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omments1.xml" ContentType="application/vnd.openxmlformats-officedocument.spreadsheetml.comment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tables/table2.xml" ContentType="application/vnd.openxmlformats-officedocument.spreadsheetml.table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tables/table3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updateLinks="never" codeName="ThisWorkbook" defaultThemeVersion="124226"/>
  <bookViews>
    <workbookView xWindow="1665" yWindow="1725" windowWidth="3525" windowHeight="4350" tabRatio="759"/>
  </bookViews>
  <sheets>
    <sheet name="INDICE_ MODELO" sheetId="40" r:id="rId1"/>
    <sheet name="RES_RESUMEN_PRESUPUESTO_2" sheetId="49" r:id="rId2"/>
    <sheet name="PRE_PRESUPUESTO_GRUPOS_ALIMENTO" sheetId="55" r:id="rId3"/>
    <sheet name="COSTPE_G_ALIMENTOS_GRUPOS (2)" sheetId="60" r:id="rId4"/>
    <sheet name="MNU_BD_MENUS" sheetId="1" r:id="rId5"/>
    <sheet name="COT_BASE_COTIZACIONES" sheetId="24" r:id="rId6"/>
    <sheet name="COT_PRECALCULOS" sheetId="28" r:id="rId7"/>
    <sheet name="COSTPE_G_ALIMENTOS_GRUPOS" sheetId="54" r:id="rId8"/>
    <sheet name="COSTSE_G_ALIMENTOS_GRUPOS" sheetId="56" r:id="rId9"/>
    <sheet name="PRO_BASE_PROVEEDORES" sheetId="23" r:id="rId10"/>
    <sheet name="FRE_FRECUENCIAS" sheetId="5" r:id="rId11"/>
    <sheet name="CAL_CALENDARIO_CICLOS" sheetId="4" r:id="rId12"/>
    <sheet name="VOL_VOLUMEN_SUMINISTROS" sheetId="10" r:id="rId13"/>
  </sheets>
  <definedNames>
    <definedName name="_xlnm._FilterDatabase" localSheetId="11" hidden="1">CAL_CALENDARIO_CICLOS!$A$18:$P$502</definedName>
    <definedName name="_xlnm._FilterDatabase" localSheetId="7" hidden="1">COSTPE_G_ALIMENTOS_GRUPOS!$A$15:$BG$375</definedName>
    <definedName name="_xlnm._FilterDatabase" localSheetId="3" hidden="1">'COSTPE_G_ALIMENTOS_GRUPOS (2)'!$A$13:$BG$403</definedName>
    <definedName name="_xlnm._FilterDatabase" localSheetId="8" hidden="1">COSTSE_G_ALIMENTOS_GRUPOS!$A$15:$AS$255</definedName>
    <definedName name="_xlnm._FilterDatabase" localSheetId="5" hidden="1">COT_BASE_COTIZACIONES!$A$14:$AF$210</definedName>
    <definedName name="_xlnm._FilterDatabase" localSheetId="6" hidden="1">COT_PRECALCULOS!$A$29:$AO$52</definedName>
    <definedName name="_xlnm._FilterDatabase" localSheetId="4" hidden="1">MNU_BD_MENUS!$A$12:$CI$38</definedName>
    <definedName name="_xlnm._FilterDatabase" localSheetId="2" hidden="1">PRE_PRESUPUESTO_GRUPOS_ALIMENTO!$B$13:$L$18</definedName>
    <definedName name="CAL_DIAS_SUMINISTRO_PE">CAL_CALENDARIO_CICLOS!$F$18:$F$502</definedName>
    <definedName name="CAL_DIAS_SUMINISTRO_SE_FDS">CAL_CALENDARIO_CICLOS!$K$18:$K$502</definedName>
    <definedName name="CAL_DIAS_SUMINISTRO_SE_LAV">CAL_CALENDARIO_CICLOS!$J$18:$J$502</definedName>
    <definedName name="CAL_PRIMERA_ENTREGA">CAL_CALENDARIO_CICLOS!$H$18:$H$502</definedName>
    <definedName name="CAL_PRIMERA_ENTREGA_FRUTA">CAL_CALENDARIO_CICLOS!$I$18:$I$502</definedName>
    <definedName name="CAL_SEGUNDA_ENTREGA_FDS">CAL_CALENDARIO_CICLOS!$O$18:$O$502</definedName>
    <definedName name="CAL_SEGUNDA_ENTREGA_FDS_FRUTA">CAL_CALENDARIO_CICLOS!$P$18:$P$502</definedName>
    <definedName name="CAL_SEGUNDA_ENTREGA_LAV">CAL_CALENDARIO_CICLOS!$M$18:$M$502</definedName>
    <definedName name="CAL_SEGUNDA_ENTREGA_LAV_FRUTA">CAL_CALENDARIO_CICLOS!$N$18:$N$502</definedName>
    <definedName name="COSTPE_G_ALIMENTO_GRUPO">COSTPE_G_ALIMENTOS_GRUPOS!$C$15:$C$375</definedName>
    <definedName name="COSTPE_G_CATEGORIA">COSTPE_G_ALIMENTOS_GRUPOS!$D$15:$D$375</definedName>
    <definedName name="COSTPE_G_CATEGORIA_GRUPO">COSTPE_G_ALIMENTOS_GRUPOS!$B$15:$B$375</definedName>
    <definedName name="COSTPE_G_CODIGO_ALIMENTOS">COSTPE_G_ALIMENTOS_GRUPOS!$E$15:$E$375</definedName>
    <definedName name="COSTPE_G_GRUPOS">COSTPE_G_ALIMENTOS_GRUPOS!$A$15:$A$375</definedName>
    <definedName name="COSTPE_G_VALOR_TOTAL_IVAINLCUIDO">COSTPE_G_ALIMENTOS_GRUPOS!$BG$15:$BG$375</definedName>
    <definedName name="COSTPE_G_VALOR_TOTAL_TIPOA">COSTPE_G_ALIMENTOS_GRUPOS!$Q$15:$Q$375</definedName>
    <definedName name="COSTPE_G_VALOR_TOTAL_TIPOB">COSTPE_G_ALIMENTOS_GRUPOS!$AA$15:$AA$375</definedName>
    <definedName name="COSTPE_G_VALOR_TOTAL_TIPOC">COSTPE_G_ALIMENTOS_GRUPOS!$AK$15:$AK$375</definedName>
    <definedName name="COSTPE_G_VALOR_TOTAL_TIPOH">COSTPE_G_ALIMENTOS_GRUPOS!$BE$15:$BE$375</definedName>
    <definedName name="COSTPE_G_VALOR_TOTAL_TIPOM">COSTPE_G_ALIMENTOS_GRUPOS!$AU$15:$AU$375</definedName>
    <definedName name="COSTPE_G_VOLUMEN_TOTAL_TIPOA">COSTPE_G_ALIMENTOS_GRUPOS!$K$15:$K$375</definedName>
    <definedName name="COSTPE_G_VOLUMEN_TOTAL_TIPOB">COSTPE_G_ALIMENTOS_GRUPOS!$U$15:$U$375</definedName>
    <definedName name="COSTPE_G_VOLUMEN_TOTAL_TIPOC">COSTPE_G_ALIMENTOS_GRUPOS!$AE$15:$AE$375</definedName>
    <definedName name="COSTPE_G_VOLUMEN_TOTAL_TIPOH">COSTPE_G_ALIMENTOS_GRUPOS!$AY$15:$AY$375</definedName>
    <definedName name="COSTPE_G_VOLUMEN_TOTAL_TIPOM">COSTPE_G_ALIMENTOS_GRUPOS!$AO$15:$AO$375</definedName>
    <definedName name="COSTSE_G_ALIMENTO_GRUPO">COSTSE_G_ALIMENTOS_GRUPOS!$C$15:$C$255</definedName>
    <definedName name="COSTSE_G_CATEGORIA">COSTSE_G_ALIMENTOS_GRUPOS!$D$15:$D$255</definedName>
    <definedName name="COSTSE_G_CATEGORIA_GRUPO">COSTSE_G_ALIMENTOS_GRUPOS!$B$15:$B$255</definedName>
    <definedName name="COSTSE_G_CODIGO_ALIMENTOS">COSTSE_G_ALIMENTOS_GRUPOS!$E$15:$E$255</definedName>
    <definedName name="COSTSE_G_GRUPOS">COSTSE_G_ALIMENTOS_GRUPOS!$A$15:$A$255</definedName>
    <definedName name="COSTSE_G_VALOR_TOTAL_IVAINLCUIDO">COSTSE_G_ALIMENTOS_GRUPOS!$AS$15:$AS$255</definedName>
    <definedName name="COSTSE_G_VALOR_TOTAL_TIPOA">COSTSE_G_ALIMENTOS_GRUPOS!$S$15:$S$255</definedName>
    <definedName name="COSTSE_G_VALOR_TOTAL_TIPOB">COSTSE_G_ALIMENTOS_GRUPOS!$AE$15:$AE$255</definedName>
    <definedName name="COSTSE_G_VALOR_TOTAL_TIPOC">COSTSE_G_ALIMENTOS_GRUPOS!$AQ$15:$AQ$255</definedName>
    <definedName name="COSTSE_G_VOLUMEN_TOTAL_TIPOA">COSTSE_G_ALIMENTOS_GRUPOS!$M$15:$M$255</definedName>
    <definedName name="COSTSE_G_VOLUMEN_TOTAL_TIPOB">COSTSE_G_ALIMENTOS_GRUPOS!$Y$15:$Y$255</definedName>
    <definedName name="COSTSE_G_VOLUMEN_TOTAL_TIPOC">COSTSE_G_ALIMENTOS_GRUPOS!$AK$15:$AK$255</definedName>
    <definedName name="COT_ALIMENTOS">COT_BASE_COTIZACIONES!$I$15:$M$210</definedName>
    <definedName name="COT_CODIGO_ALIMENTOS">COT_BASE_COTIZACIONES!$I$14:$I$210</definedName>
    <definedName name="COT_COTIZACIONES_TOTAL">COT_BASE_COTIZACIONES!$I$14:$AE$210</definedName>
    <definedName name="COT_FACTOR_PROMEDIO_PONDERADO">COT_BASE_COTIZACIONES!$AC$14:$AC$210</definedName>
    <definedName name="COT_PRE_ALIMENTOS">COT_PRECALCULOS!$D$29:$AC$888</definedName>
    <definedName name="COT_PRE_CODIGO_ALIMENTOS">COT_PRECALCULOS!$D$29:$D$888</definedName>
    <definedName name="COT_PRE_ESTADISTICOS">COT_PRECALCULOS!$AD$2:$AD$8</definedName>
    <definedName name="COT_VALOR_UNITARIO_CONIVA">COT_BASE_COTIZACIONES!$AB$14:$AB$210</definedName>
    <definedName name="COT_VALOR_UNITARIO_SINIVA">COT_BASE_COTIZACIONES!$AA$14:$AA$210</definedName>
    <definedName name="COT_VALORES_PONDERADOS_CONIVA">COT_BASE_COTIZACIONES!$AE$14:$AE$210</definedName>
    <definedName name="COT_VALORES_PONDERADOS_SINIVA">COT_BASE_COTIZACIONES!$AD$14:$AD$210</definedName>
    <definedName name="FRE_CANTIDADES_DIARIAS_SUMINISTROS">FRE_FRECUENCIAS!$G$13:$O$22</definedName>
    <definedName name="FRE_FRECUENCIA_MENUS_FDS">FRE_FRECUENCIAS!$B$47:$C$61</definedName>
    <definedName name="FRE_FRECUENCIA_MENUS_LAV">FRE_FRECUENCIAS!$B$14:$C$46</definedName>
    <definedName name="MNU_ALIMENTOS">MNU_BD_MENUS!$J$12:$L$38</definedName>
    <definedName name="MNU_CODIGO_ALIMENTO">MNU_BD_MENUS!$J$12:$J$38</definedName>
    <definedName name="MNU_CODIGO_ALIMENTO_ENTREGA">MNU_BD_MENUS!$D$12:$D$38</definedName>
    <definedName name="MNU_COSTO_GRAMO_TIPOA_CONIVA">MNU_BD_MENUS!$AY$12:$AY$38</definedName>
    <definedName name="MNU_COSTO_GRAMO_TIPOA_SINIVA">MNU_BD_MENUS!$AT$12:$AT$38</definedName>
    <definedName name="MNU_COSTO_GRAMO_TIPOB_CONIVA">MNU_BD_MENUS!$AZ$12:$AZ$38</definedName>
    <definedName name="MNU_COSTO_GRAMO_TIPOB_SINIVA">MNU_BD_MENUS!$AU$12:$AU$38</definedName>
    <definedName name="MNU_COSTO_GRAMO_TIPOC_CONIVA">MNU_BD_MENUS!$BA$12:$BA$38</definedName>
    <definedName name="MNU_COSTO_GRAMO_TIPOC_SINIVA">MNU_BD_MENUS!$AV$12:$AV$38</definedName>
    <definedName name="MNU_COSTO_GRAMO_TIPOH_CONIVA">MNU_BD_MENUS!$BC$12:$BC$38</definedName>
    <definedName name="MNU_COSTO_GRAMO_TIPOH_SINIVA">MNU_BD_MENUS!$AX$12:$AX$38</definedName>
    <definedName name="MNU_COSTO_GRAMO_TIPOM_CONIVA">MNU_BD_MENUS!$BB$12:$BB$38</definedName>
    <definedName name="MNU_COSTO_GRAMO_TIPOM_SINIVA">MNU_BD_MENUS!$AW$12:$AW$38</definedName>
    <definedName name="MNU_COSTO_TOTAL_CONIVA">MNU_BD_MENUS!$BY$12:$BY$38</definedName>
    <definedName name="MNU_COSTO_TOTAL_SINIVA">MNU_BD_MENUS!$BS$12:$BS$38</definedName>
    <definedName name="MNU_COSTO_TOTAL_TIPOA_CONIVA">MNU_BD_MENUS!$BT$12:$BT$38</definedName>
    <definedName name="MNU_COSTO_TOTAL_TIPOA_SELECCIONADO">MNU_BD_MENUS!$CE$12:$CE$38</definedName>
    <definedName name="MNU_COSTO_TOTAL_TIPOA_SINIVA">MNU_BD_MENUS!$BN$12:$BN$38</definedName>
    <definedName name="MNU_COSTO_TOTAL_TIPOB_CONIVA">MNU_BD_MENUS!$BU$12:$BU$38</definedName>
    <definedName name="MNU_COSTO_TOTAL_TIPOB_SELECCIONADO">MNU_BD_MENUS!$CF$12:$CF$38</definedName>
    <definedName name="MNU_COSTO_TOTAL_TIPOB_SINIVA">MNU_BD_MENUS!$BO$12:$BO$38</definedName>
    <definedName name="MNU_COSTO_TOTAL_TIPOC_CONIVA">MNU_BD_MENUS!$BV$12:$BV$38</definedName>
    <definedName name="MNU_COSTO_TOTAL_TIPOC_SELECCIONADO">MNU_BD_MENUS!$CG$12:$CG$38</definedName>
    <definedName name="MNU_COSTO_TOTAL_TIPOC_SINIVA">MNU_BD_MENUS!$BP$12:$BP$38</definedName>
    <definedName name="MNU_COSTO_TOTAL_TIPOH_CONIVA">MNU_BD_MENUS!$BX$12:$BX$38</definedName>
    <definedName name="MNU_COSTO_TOTAL_TIPOH_SELECCIONADO">MNU_BD_MENUS!$CI$12:$CI$38</definedName>
    <definedName name="MNU_COSTO_TOTAL_TIPOH_SINIVA">MNU_BD_MENUS!$BR$12:$BR$38</definedName>
    <definedName name="MNU_COSTO_TOTAL_TIPOM_CONIVA">MNU_BD_MENUS!$BW$12:$BW$38</definedName>
    <definedName name="MNU_COSTO_TOTAL_TIPOM_SELECCIONADO">MNU_BD_MENUS!$CH$12:$CH$38</definedName>
    <definedName name="MNU_COSTO_TOTAL_TIPOM_SINIVA">MNU_BD_MENUS!$BQ$12:$BQ$38</definedName>
    <definedName name="MNU_COSTO_UNITARIO_TIPOA_CONIVA">MNU_BD_MENUS!$BI$12:$BI$38</definedName>
    <definedName name="MNU_COSTO_UNITARIO_TIPOA_SELECCIONADO">MNU_BD_MENUS!$BZ$12:$BZ$38</definedName>
    <definedName name="MNU_COSTO_UNITARIO_TIPOA_SINIVA">MNU_BD_MENUS!$BD$12:$BD$38</definedName>
    <definedName name="MNU_COSTO_UNITARIO_TIPOB_CONIVA">MNU_BD_MENUS!$BJ$12:$BJ$38</definedName>
    <definedName name="MNU_COSTO_UNITARIO_TIPOB_SELECCIONADO">MNU_BD_MENUS!$CA$12:$CA$38</definedName>
    <definedName name="MNU_COSTO_UNITARIO_TIPOB_SINIVA">MNU_BD_MENUS!$BE$12:$BE$38</definedName>
    <definedName name="MNU_COSTO_UNITARIO_TIPOC_CONIVA">MNU_BD_MENUS!$BK$12:$BK$38</definedName>
    <definedName name="MNU_COSTO_UNITARIO_TIPOC_SELECCIONADO">MNU_BD_MENUS!$CB$12:$CB$38</definedName>
    <definedName name="MNU_COSTO_UNITARIO_TIPOC_SINIVA">MNU_BD_MENUS!$BF$12:$BF$38</definedName>
    <definedName name="MNU_COSTO_UNITARIO_TIPOH_CONIVA">MNU_BD_MENUS!$BM$12:$BM$38</definedName>
    <definedName name="MNU_COSTO_UNITARIO_TIPOH_SELECCIONADO">MNU_BD_MENUS!$CD$12:$CD$38</definedName>
    <definedName name="MNU_COSTO_UNITARIO_TIPOH_SINIVA">MNU_BD_MENUS!$BH$12:$BH$38</definedName>
    <definedName name="MNU_COSTO_UNITARIO_TIPOM_CONIVA">MNU_BD_MENUS!$BL$12:$BL$38</definedName>
    <definedName name="MNU_COSTO_UNITARIO_TIPOM_SELECCIONADO">MNU_BD_MENUS!$CC$12:$CC$38</definedName>
    <definedName name="MNU_COSTO_UNITARIO_TIPOM_SINIVA">MNU_BD_MENUS!$BG$12:$BG$38</definedName>
    <definedName name="MNU_FRECUENCIAS_FDS">MNU_BD_MENUS!$AE$12:$AE$38</definedName>
    <definedName name="MNU_FRECUENCIAS_FDS_TIPOA">MNU_BD_MENUS!$AF$12:$AF$38</definedName>
    <definedName name="MNU_FRECUENCIAS_FDS_TIPOB">MNU_BD_MENUS!$AG$12:$AG$38</definedName>
    <definedName name="MNU_FRECUENCIAS_FDS_TIPOC">MNU_BD_MENUS!$AH$12:$AH$38</definedName>
    <definedName name="MNU_FRECUENCIAS_LAV">MNU_BD_MENUS!$S$12:$S$38</definedName>
    <definedName name="MNU_FRECUENCIAS_LAV_TIPOA">MNU_BD_MENUS!$T$12:$T$38</definedName>
    <definedName name="MNU_FRECUENCIAS_LAV_TIPOB">MNU_BD_MENUS!$U$12:$U$38</definedName>
    <definedName name="MNU_FRECUENCIAS_LAV_TIPOC">MNU_BD_MENUS!$V$12:$V$38</definedName>
    <definedName name="MNU_FRECUENCIAS_LAV_TIPOH">MNU_BD_MENUS!$X$12:$X$38</definedName>
    <definedName name="MNU_FRECUENCIAS_LAV_TIPOM">MNU_BD_MENUS!$W$12:$W$38</definedName>
    <definedName name="MNU_GRAMAJE_REQUERIDO_TIPOA">MNU_BD_MENUS!$M$12:$M$38</definedName>
    <definedName name="MNU_GRAMAJE_REQUERIDO_TIPOB">MNU_BD_MENUS!$N$12:$N$38</definedName>
    <definedName name="MNU_GRAMAJE_REQUERIDO_TIPOC">MNU_BD_MENUS!$O$12:$O$38</definedName>
    <definedName name="MNU_GRAMAJE_REQUERIDO_TIPOH">MNU_BD_MENUS!$Q$12:$Q$38</definedName>
    <definedName name="MNU_GRAMAJE_REQUERIDO_TIPOM">MNU_BD_MENUS!$P$12:$P$38</definedName>
    <definedName name="MNU_GRUPO_ALIMENTO">MNU_BD_MENUS!$C$12:$C$38</definedName>
    <definedName name="MNU_GRUPO_ALIMENTO_PRECIO">MNU_BD_MENUS!$AS$12:$AS$38</definedName>
    <definedName name="MNU_NUMERO_MENU">MNU_BD_MENUS!$G$12:$G$38</definedName>
    <definedName name="MNU_VOLUMEN_TOTAL_A">MNU_BD_MENUS!$AM$12:$AM$38</definedName>
    <definedName name="MNU_VOLUMEN_TOTAL_B">MNU_BD_MENUS!$AN$12:$AN$38</definedName>
    <definedName name="MNU_VOLUMEN_TOTAL_C">MNU_BD_MENUS!$AO$12:$AO$38</definedName>
    <definedName name="MNU_VOLUMEN_TOTAL_H">MNU_BD_MENUS!$AQ$12:$AQ$38</definedName>
    <definedName name="MNU_VOLUMEN_TOTAL_M">MNU_BD_MENUS!$AP$12:$AP$38</definedName>
    <definedName name="PRE_A_CONSOLIDADO_CATEGORIA">PRE_PRESUPUESTO_GRUPOS_ALIMENTO!$B$13:$O$14</definedName>
    <definedName name="VOL_GRUPO">VOL_VOLUMEN_SUMINISTROS[[#Headers],[#Data],[Columna2]]</definedName>
    <definedName name="VOL_JORNADA">VOL_VOLUMEN_SUMINISTROS[[#All],[Columna1]]</definedName>
    <definedName name="VOL_TIPOA">VOL_VOLUMEN_SUMINISTROS[[#All],[TIPO A]]</definedName>
    <definedName name="VOL_TIPOB">VOL_VOLUMEN_SUMINISTROS[[#All],[TIPO B]]</definedName>
    <definedName name="VOL_TIPOC">VOL_VOLUMEN_SUMINISTROS[[#All],[TIPO C]]</definedName>
    <definedName name="VOL_TIPOH">VOL_VOLUMEN_SUMINISTROS[[#All],[TIPO H]]</definedName>
    <definedName name="VOL_TIPOM">VOL_VOLUMEN_SUMINISTROS[[#All],[TIPO M]]</definedName>
  </definedNames>
  <calcPr calcId="145621"/>
</workbook>
</file>

<file path=xl/calcChain.xml><?xml version="1.0" encoding="utf-8"?>
<calcChain xmlns="http://schemas.openxmlformats.org/spreadsheetml/2006/main">
  <c r="A1" i="49" l="1"/>
  <c r="A7" i="24" l="1"/>
  <c r="A7" i="1"/>
  <c r="A8" i="55"/>
  <c r="A6" i="40"/>
  <c r="A8" i="49"/>
  <c r="A8" i="60" l="1"/>
  <c r="J375" i="54" l="1"/>
  <c r="J374" i="54"/>
  <c r="J373" i="54"/>
  <c r="J372" i="54"/>
  <c r="J371" i="54"/>
  <c r="J370" i="54"/>
  <c r="J369" i="54"/>
  <c r="J368" i="54"/>
  <c r="J367" i="54"/>
  <c r="J366" i="54"/>
  <c r="J365" i="54"/>
  <c r="J364" i="54"/>
  <c r="J363" i="54"/>
  <c r="J362" i="54"/>
  <c r="J361" i="54"/>
  <c r="J360" i="54"/>
  <c r="J359" i="54"/>
  <c r="J358" i="54"/>
  <c r="J357" i="54"/>
  <c r="J356" i="54"/>
  <c r="J355" i="54"/>
  <c r="J354" i="54"/>
  <c r="J353" i="54"/>
  <c r="J352" i="54"/>
  <c r="J351" i="54"/>
  <c r="J350" i="54"/>
  <c r="J349" i="54"/>
  <c r="J348" i="54"/>
  <c r="J347" i="54"/>
  <c r="J346" i="54"/>
  <c r="J345" i="54"/>
  <c r="J344" i="54"/>
  <c r="J343" i="54"/>
  <c r="J342" i="54"/>
  <c r="J341" i="54"/>
  <c r="J340" i="54"/>
  <c r="J339" i="54"/>
  <c r="J338" i="54"/>
  <c r="J337" i="54"/>
  <c r="J336" i="54"/>
  <c r="J335" i="54"/>
  <c r="J334" i="54"/>
  <c r="J333" i="54"/>
  <c r="J332" i="54"/>
  <c r="J331" i="54"/>
  <c r="J330" i="54"/>
  <c r="J329" i="54"/>
  <c r="J328" i="54"/>
  <c r="J327" i="54"/>
  <c r="J326" i="54"/>
  <c r="J325" i="54"/>
  <c r="J324" i="54"/>
  <c r="J323" i="54"/>
  <c r="J322" i="54"/>
  <c r="J321" i="54"/>
  <c r="J320" i="54"/>
  <c r="J319" i="54"/>
  <c r="J318" i="54"/>
  <c r="J317" i="54"/>
  <c r="J316" i="54"/>
  <c r="J315" i="54"/>
  <c r="J314" i="54"/>
  <c r="J313" i="54"/>
  <c r="J312" i="54"/>
  <c r="J311" i="54"/>
  <c r="J310" i="54"/>
  <c r="J309" i="54"/>
  <c r="J308" i="54"/>
  <c r="J307" i="54"/>
  <c r="J306" i="54"/>
  <c r="J305" i="54"/>
  <c r="J304" i="54"/>
  <c r="J303" i="54"/>
  <c r="J302" i="54"/>
  <c r="J301" i="54"/>
  <c r="J300" i="54"/>
  <c r="J299" i="54"/>
  <c r="J298" i="54"/>
  <c r="J297" i="54"/>
  <c r="J296" i="54"/>
  <c r="J295" i="54"/>
  <c r="J294" i="54"/>
  <c r="J293" i="54"/>
  <c r="J292" i="54"/>
  <c r="J291" i="54"/>
  <c r="J290" i="54"/>
  <c r="J289" i="54"/>
  <c r="J288" i="54"/>
  <c r="J287" i="54"/>
  <c r="J286" i="54"/>
  <c r="J285" i="54"/>
  <c r="J284" i="54"/>
  <c r="J283" i="54"/>
  <c r="J282" i="54"/>
  <c r="J281" i="54"/>
  <c r="J280" i="54"/>
  <c r="J279" i="54"/>
  <c r="J278" i="54"/>
  <c r="J277" i="54"/>
  <c r="J276" i="54"/>
  <c r="J275" i="54"/>
  <c r="J274" i="54"/>
  <c r="J273" i="54"/>
  <c r="J272" i="54"/>
  <c r="J271" i="54"/>
  <c r="J270" i="54"/>
  <c r="J269" i="54"/>
  <c r="J268" i="54"/>
  <c r="J267" i="54"/>
  <c r="J266" i="54"/>
  <c r="J265" i="54"/>
  <c r="J264" i="54"/>
  <c r="J263" i="54"/>
  <c r="J262" i="54"/>
  <c r="J261" i="54"/>
  <c r="J260" i="54"/>
  <c r="J259" i="54"/>
  <c r="J258" i="54"/>
  <c r="J257" i="54"/>
  <c r="J256" i="54"/>
  <c r="J255" i="54"/>
  <c r="J254" i="54"/>
  <c r="J253" i="54"/>
  <c r="J252" i="54"/>
  <c r="J251" i="54"/>
  <c r="J250" i="54"/>
  <c r="J249" i="54"/>
  <c r="J248" i="54"/>
  <c r="J247" i="54"/>
  <c r="J246" i="54"/>
  <c r="J245" i="54"/>
  <c r="J244" i="54"/>
  <c r="J243" i="54"/>
  <c r="J242" i="54"/>
  <c r="J241" i="54"/>
  <c r="J240" i="54"/>
  <c r="J239" i="54"/>
  <c r="J238" i="54"/>
  <c r="J237" i="54"/>
  <c r="J236" i="54"/>
  <c r="J235" i="54"/>
  <c r="J234" i="54"/>
  <c r="J233" i="54"/>
  <c r="J232" i="54"/>
  <c r="J231" i="54"/>
  <c r="J230" i="54"/>
  <c r="J229" i="54"/>
  <c r="J228" i="54"/>
  <c r="J227" i="54"/>
  <c r="J226" i="54"/>
  <c r="J225" i="54"/>
  <c r="J224" i="54"/>
  <c r="J223" i="54"/>
  <c r="J222" i="54"/>
  <c r="J221" i="54"/>
  <c r="J220" i="54"/>
  <c r="J219" i="54"/>
  <c r="J218" i="54"/>
  <c r="J217" i="54"/>
  <c r="J216" i="54"/>
  <c r="J215" i="54"/>
  <c r="J214" i="54"/>
  <c r="J213" i="54"/>
  <c r="J212" i="54"/>
  <c r="J211" i="54"/>
  <c r="J210" i="54"/>
  <c r="J209" i="54"/>
  <c r="J208" i="54"/>
  <c r="J207" i="54"/>
  <c r="J206" i="54"/>
  <c r="J205" i="54"/>
  <c r="J204" i="54"/>
  <c r="J203" i="54"/>
  <c r="J202" i="54"/>
  <c r="J201" i="54"/>
  <c r="J200" i="54"/>
  <c r="J199" i="54"/>
  <c r="J198" i="54"/>
  <c r="J197" i="54"/>
  <c r="J196" i="54"/>
  <c r="J195" i="54"/>
  <c r="J194" i="54"/>
  <c r="J193" i="54"/>
  <c r="J192" i="54"/>
  <c r="J191" i="54"/>
  <c r="J190" i="54"/>
  <c r="J189" i="54"/>
  <c r="J188" i="54"/>
  <c r="J187" i="54"/>
  <c r="J186" i="54"/>
  <c r="J185" i="54"/>
  <c r="J184" i="54"/>
  <c r="J183" i="54"/>
  <c r="J182" i="54"/>
  <c r="J181" i="54"/>
  <c r="J180" i="54"/>
  <c r="J179" i="54"/>
  <c r="J178" i="54"/>
  <c r="J177" i="54"/>
  <c r="J176" i="54"/>
  <c r="J175" i="54"/>
  <c r="J174" i="54"/>
  <c r="J173" i="54"/>
  <c r="J172" i="54"/>
  <c r="J171" i="54"/>
  <c r="J170" i="54"/>
  <c r="J169" i="54"/>
  <c r="J168" i="54"/>
  <c r="J167" i="54"/>
  <c r="J166" i="54"/>
  <c r="J165" i="54"/>
  <c r="J164" i="54"/>
  <c r="J163" i="54"/>
  <c r="J162" i="54"/>
  <c r="J161" i="54"/>
  <c r="J160" i="54"/>
  <c r="J159" i="54"/>
  <c r="J158" i="54"/>
  <c r="J157" i="54"/>
  <c r="J156" i="54"/>
  <c r="J155" i="54"/>
  <c r="J154" i="54"/>
  <c r="J153" i="54"/>
  <c r="J152" i="54"/>
  <c r="J151" i="54"/>
  <c r="J150" i="54"/>
  <c r="J149" i="54"/>
  <c r="J148" i="54"/>
  <c r="J147" i="54"/>
  <c r="J146" i="54"/>
  <c r="J145" i="54"/>
  <c r="J144" i="54"/>
  <c r="J143" i="54"/>
  <c r="J142" i="54"/>
  <c r="J141" i="54"/>
  <c r="J140" i="54"/>
  <c r="J139" i="54"/>
  <c r="J138" i="54"/>
  <c r="J137" i="54"/>
  <c r="J136" i="54"/>
  <c r="J135" i="54"/>
  <c r="J134" i="54"/>
  <c r="J133" i="54"/>
  <c r="J132" i="54"/>
  <c r="J131" i="54"/>
  <c r="J130" i="54"/>
  <c r="J129" i="54"/>
  <c r="J128" i="54"/>
  <c r="J127" i="54"/>
  <c r="J126" i="54"/>
  <c r="J125" i="54"/>
  <c r="J124" i="54"/>
  <c r="J123" i="54"/>
  <c r="J122" i="54"/>
  <c r="J121" i="54"/>
  <c r="J120" i="54"/>
  <c r="J119" i="54"/>
  <c r="J118" i="54"/>
  <c r="J117" i="54"/>
  <c r="J116" i="54"/>
  <c r="J115" i="54"/>
  <c r="J114" i="54"/>
  <c r="J113" i="54"/>
  <c r="J112" i="54"/>
  <c r="J111" i="54"/>
  <c r="J110" i="54"/>
  <c r="J109" i="54"/>
  <c r="J108" i="54"/>
  <c r="J107" i="54"/>
  <c r="J106" i="54"/>
  <c r="J105" i="54"/>
  <c r="J104" i="54"/>
  <c r="J103" i="54"/>
  <c r="J102" i="54"/>
  <c r="J101" i="54"/>
  <c r="J100" i="54"/>
  <c r="J99" i="54"/>
  <c r="J98" i="54"/>
  <c r="J97" i="54"/>
  <c r="J96" i="54"/>
  <c r="J95" i="54"/>
  <c r="J94" i="54"/>
  <c r="J93" i="54"/>
  <c r="J92" i="54"/>
  <c r="J91" i="54"/>
  <c r="J90" i="54"/>
  <c r="J89" i="54"/>
  <c r="J88" i="54"/>
  <c r="J87" i="54"/>
  <c r="J86" i="54"/>
  <c r="J85" i="54"/>
  <c r="J84" i="54"/>
  <c r="J83" i="54"/>
  <c r="J82" i="54"/>
  <c r="J81" i="54"/>
  <c r="J80" i="54"/>
  <c r="J79" i="54"/>
  <c r="J78" i="54"/>
  <c r="J77" i="54"/>
  <c r="J76" i="54"/>
  <c r="J75" i="54"/>
  <c r="J74" i="54"/>
  <c r="J73" i="54"/>
  <c r="J72" i="54"/>
  <c r="J71" i="54"/>
  <c r="J70" i="54"/>
  <c r="J69" i="54"/>
  <c r="J68" i="54"/>
  <c r="J67" i="54"/>
  <c r="J66" i="54"/>
  <c r="J65" i="54"/>
  <c r="J64" i="54"/>
  <c r="J63" i="54"/>
  <c r="J62" i="54"/>
  <c r="J61" i="54"/>
  <c r="J60" i="54"/>
  <c r="J59" i="54"/>
  <c r="J58" i="54"/>
  <c r="J57" i="54"/>
  <c r="J56" i="54"/>
  <c r="J55" i="54"/>
  <c r="J54" i="54"/>
  <c r="J53" i="54"/>
  <c r="J52" i="54"/>
  <c r="J51" i="54"/>
  <c r="J50" i="54"/>
  <c r="J49" i="54"/>
  <c r="J48" i="54"/>
  <c r="J47" i="54"/>
  <c r="J46" i="54"/>
  <c r="J45" i="54"/>
  <c r="J44" i="54"/>
  <c r="J43" i="54"/>
  <c r="J42" i="54"/>
  <c r="J41" i="54"/>
  <c r="J40" i="54"/>
  <c r="J39" i="54"/>
  <c r="J38" i="54"/>
  <c r="J37" i="54"/>
  <c r="J36" i="54"/>
  <c r="J35" i="54"/>
  <c r="J34" i="54"/>
  <c r="J33" i="54"/>
  <c r="J32" i="54"/>
  <c r="J31" i="54"/>
  <c r="J30" i="54"/>
  <c r="J29" i="54"/>
  <c r="J28" i="54"/>
  <c r="J27" i="54"/>
  <c r="J26" i="54"/>
  <c r="J25" i="54"/>
  <c r="J24" i="54"/>
  <c r="J23" i="54"/>
  <c r="J22" i="54"/>
  <c r="J21" i="54"/>
  <c r="J20" i="54"/>
  <c r="J19" i="54"/>
  <c r="J18" i="54"/>
  <c r="J17" i="54"/>
  <c r="J16" i="54"/>
  <c r="C16" i="56" l="1"/>
  <c r="C17" i="56"/>
  <c r="C18" i="56"/>
  <c r="C19" i="56"/>
  <c r="C20" i="56"/>
  <c r="C21" i="56"/>
  <c r="C22" i="56"/>
  <c r="C23" i="56"/>
  <c r="C24" i="56"/>
  <c r="C25" i="56"/>
  <c r="C26" i="56"/>
  <c r="C27" i="56"/>
  <c r="C28" i="56"/>
  <c r="C29" i="56"/>
  <c r="C30" i="56"/>
  <c r="C31" i="56"/>
  <c r="C32" i="56"/>
  <c r="C33" i="56"/>
  <c r="C34" i="56"/>
  <c r="C35" i="56"/>
  <c r="C36" i="56"/>
  <c r="C37" i="56"/>
  <c r="C38" i="56"/>
  <c r="C39" i="56"/>
  <c r="C40" i="56"/>
  <c r="C41" i="56"/>
  <c r="C42" i="56"/>
  <c r="C43" i="56"/>
  <c r="C44" i="56"/>
  <c r="C45" i="56"/>
  <c r="C46" i="56"/>
  <c r="C47" i="56"/>
  <c r="C48" i="56"/>
  <c r="C49" i="56"/>
  <c r="C50" i="56"/>
  <c r="C51" i="56"/>
  <c r="C52" i="56"/>
  <c r="C53" i="56"/>
  <c r="C54" i="56"/>
  <c r="C55" i="56"/>
  <c r="C56" i="56"/>
  <c r="C57" i="56"/>
  <c r="C58" i="56"/>
  <c r="C59" i="56"/>
  <c r="C60" i="56"/>
  <c r="C61" i="56"/>
  <c r="C62" i="56"/>
  <c r="C63" i="56"/>
  <c r="C64" i="56"/>
  <c r="C65" i="56"/>
  <c r="C66" i="56"/>
  <c r="C67" i="56"/>
  <c r="C68" i="56"/>
  <c r="C69" i="56"/>
  <c r="C70" i="56"/>
  <c r="C71" i="56"/>
  <c r="C72" i="56"/>
  <c r="C73" i="56"/>
  <c r="C74" i="56"/>
  <c r="C75" i="56"/>
  <c r="C76" i="56"/>
  <c r="C77" i="56"/>
  <c r="C78" i="56"/>
  <c r="C79" i="56"/>
  <c r="C80" i="56"/>
  <c r="C81" i="56"/>
  <c r="C82" i="56"/>
  <c r="C83" i="56"/>
  <c r="C84" i="56"/>
  <c r="C85" i="56"/>
  <c r="C86" i="56"/>
  <c r="C87" i="56"/>
  <c r="C88" i="56"/>
  <c r="C89" i="56"/>
  <c r="C90" i="56"/>
  <c r="C91" i="56"/>
  <c r="C92" i="56"/>
  <c r="C93" i="56"/>
  <c r="C94" i="56"/>
  <c r="C95" i="56"/>
  <c r="C96" i="56"/>
  <c r="C97" i="56"/>
  <c r="C98" i="56"/>
  <c r="C99" i="56"/>
  <c r="C100" i="56"/>
  <c r="C101" i="56"/>
  <c r="C102" i="56"/>
  <c r="C103" i="56"/>
  <c r="C104" i="56"/>
  <c r="C105" i="56"/>
  <c r="C106" i="56"/>
  <c r="C107" i="56"/>
  <c r="C108" i="56"/>
  <c r="C109" i="56"/>
  <c r="C110" i="56"/>
  <c r="C111" i="56"/>
  <c r="C112" i="56"/>
  <c r="C113" i="56"/>
  <c r="C114" i="56"/>
  <c r="C115" i="56"/>
  <c r="C116" i="56"/>
  <c r="C117" i="56"/>
  <c r="C118" i="56"/>
  <c r="C119" i="56"/>
  <c r="C120" i="56"/>
  <c r="C121" i="56"/>
  <c r="C122" i="56"/>
  <c r="C123" i="56"/>
  <c r="C124" i="56"/>
  <c r="C125" i="56"/>
  <c r="C126" i="56"/>
  <c r="C127" i="56"/>
  <c r="C128" i="56"/>
  <c r="C129" i="56"/>
  <c r="C130" i="56"/>
  <c r="C131" i="56"/>
  <c r="C132" i="56"/>
  <c r="C133" i="56"/>
  <c r="C134" i="56"/>
  <c r="C135" i="56"/>
  <c r="C136" i="56"/>
  <c r="C137" i="56"/>
  <c r="C138" i="56"/>
  <c r="C139" i="56"/>
  <c r="C140" i="56"/>
  <c r="C141" i="56"/>
  <c r="C142" i="56"/>
  <c r="C143" i="56"/>
  <c r="C144" i="56"/>
  <c r="C145" i="56"/>
  <c r="C146" i="56"/>
  <c r="C147" i="56"/>
  <c r="C148" i="56"/>
  <c r="C149" i="56"/>
  <c r="C150" i="56"/>
  <c r="C151" i="56"/>
  <c r="C152" i="56"/>
  <c r="C153" i="56"/>
  <c r="C154" i="56"/>
  <c r="C155" i="56"/>
  <c r="C156" i="56"/>
  <c r="C157" i="56"/>
  <c r="C158" i="56"/>
  <c r="C159" i="56"/>
  <c r="C160" i="56"/>
  <c r="C161" i="56"/>
  <c r="C162" i="56"/>
  <c r="C163" i="56"/>
  <c r="C164" i="56"/>
  <c r="C165" i="56"/>
  <c r="C166" i="56"/>
  <c r="C167" i="56"/>
  <c r="C168" i="56"/>
  <c r="C169" i="56"/>
  <c r="C170" i="56"/>
  <c r="C171" i="56"/>
  <c r="C172" i="56"/>
  <c r="C173" i="56"/>
  <c r="C174" i="56"/>
  <c r="C175" i="56"/>
  <c r="C176" i="56"/>
  <c r="C177" i="56"/>
  <c r="C178" i="56"/>
  <c r="C179" i="56"/>
  <c r="C180" i="56"/>
  <c r="C181" i="56"/>
  <c r="C182" i="56"/>
  <c r="C183" i="56"/>
  <c r="C184" i="56"/>
  <c r="C185" i="56"/>
  <c r="C186" i="56"/>
  <c r="C187" i="56"/>
  <c r="C188" i="56"/>
  <c r="C189" i="56"/>
  <c r="C190" i="56"/>
  <c r="C191" i="56"/>
  <c r="C192" i="56"/>
  <c r="C193" i="56"/>
  <c r="C194" i="56"/>
  <c r="C195" i="56"/>
  <c r="C196" i="56"/>
  <c r="C197" i="56"/>
  <c r="C198" i="56"/>
  <c r="C199" i="56"/>
  <c r="C200" i="56"/>
  <c r="C201" i="56"/>
  <c r="C202" i="56"/>
  <c r="C203" i="56"/>
  <c r="C204" i="56"/>
  <c r="C205" i="56"/>
  <c r="C206" i="56"/>
  <c r="C207" i="56"/>
  <c r="C208" i="56"/>
  <c r="C209" i="56"/>
  <c r="C210" i="56"/>
  <c r="C211" i="56"/>
  <c r="C212" i="56"/>
  <c r="C213" i="56"/>
  <c r="C214" i="56"/>
  <c r="C215" i="56"/>
  <c r="C216" i="56"/>
  <c r="C217" i="56"/>
  <c r="C218" i="56"/>
  <c r="C219" i="56"/>
  <c r="C220" i="56"/>
  <c r="C221" i="56"/>
  <c r="C222" i="56"/>
  <c r="C223" i="56"/>
  <c r="C224" i="56"/>
  <c r="C225" i="56"/>
  <c r="C226" i="56"/>
  <c r="C227" i="56"/>
  <c r="C228" i="56"/>
  <c r="C229" i="56"/>
  <c r="C230" i="56"/>
  <c r="C231" i="56"/>
  <c r="C232" i="56"/>
  <c r="C233" i="56"/>
  <c r="C234" i="56"/>
  <c r="C235" i="56"/>
  <c r="C236" i="56"/>
  <c r="C237" i="56"/>
  <c r="C238" i="56"/>
  <c r="C239" i="56"/>
  <c r="C240" i="56"/>
  <c r="C241" i="56"/>
  <c r="C242" i="56"/>
  <c r="C243" i="56"/>
  <c r="C244" i="56"/>
  <c r="C245" i="56"/>
  <c r="C246" i="56"/>
  <c r="C247" i="56"/>
  <c r="C248" i="56"/>
  <c r="C249" i="56"/>
  <c r="C250" i="56"/>
  <c r="C251" i="56"/>
  <c r="C252" i="56"/>
  <c r="C253" i="56"/>
  <c r="C254" i="56"/>
  <c r="C255" i="56"/>
  <c r="C16" i="54"/>
  <c r="C17" i="54"/>
  <c r="C18" i="54"/>
  <c r="C19" i="54"/>
  <c r="C20" i="54"/>
  <c r="C21" i="54"/>
  <c r="C22" i="54"/>
  <c r="C23" i="54"/>
  <c r="C24" i="54"/>
  <c r="C25" i="54"/>
  <c r="C26" i="54"/>
  <c r="C27" i="54"/>
  <c r="C28" i="54"/>
  <c r="C29" i="54"/>
  <c r="C30" i="54"/>
  <c r="C31" i="54"/>
  <c r="C32" i="54"/>
  <c r="C33" i="54"/>
  <c r="C34" i="54"/>
  <c r="C35" i="54"/>
  <c r="C36" i="54"/>
  <c r="C37" i="54"/>
  <c r="C38" i="54"/>
  <c r="C39" i="54"/>
  <c r="C40" i="54"/>
  <c r="C41" i="54"/>
  <c r="C42" i="54"/>
  <c r="C43" i="54"/>
  <c r="C44" i="54"/>
  <c r="C45" i="54"/>
  <c r="C46" i="54"/>
  <c r="C47" i="54"/>
  <c r="C48" i="54"/>
  <c r="C49" i="54"/>
  <c r="C50" i="54"/>
  <c r="C51" i="54"/>
  <c r="C52" i="54"/>
  <c r="C53" i="54"/>
  <c r="C54" i="54"/>
  <c r="C55" i="54"/>
  <c r="C56" i="54"/>
  <c r="C57" i="54"/>
  <c r="C58" i="54"/>
  <c r="C59" i="54"/>
  <c r="C60" i="54"/>
  <c r="C61" i="54"/>
  <c r="C62" i="54"/>
  <c r="C63" i="54"/>
  <c r="C64" i="54"/>
  <c r="C65" i="54"/>
  <c r="C66" i="54"/>
  <c r="C67" i="54"/>
  <c r="C68" i="54"/>
  <c r="C69" i="54"/>
  <c r="C70" i="54"/>
  <c r="C71" i="54"/>
  <c r="C72" i="54"/>
  <c r="C73" i="54"/>
  <c r="C74" i="54"/>
  <c r="C75" i="54"/>
  <c r="C76" i="54"/>
  <c r="C77" i="54"/>
  <c r="C78" i="54"/>
  <c r="C79" i="54"/>
  <c r="C80" i="54"/>
  <c r="C81" i="54"/>
  <c r="C82" i="54"/>
  <c r="C83" i="54"/>
  <c r="C84" i="54"/>
  <c r="C85" i="54"/>
  <c r="C86" i="54"/>
  <c r="C87" i="54"/>
  <c r="C88" i="54"/>
  <c r="C89" i="54"/>
  <c r="C90" i="54"/>
  <c r="C91" i="54"/>
  <c r="C92" i="54"/>
  <c r="C93" i="54"/>
  <c r="C94" i="54"/>
  <c r="C95" i="54"/>
  <c r="C96" i="54"/>
  <c r="C97" i="54"/>
  <c r="C98" i="54"/>
  <c r="C99" i="54"/>
  <c r="C100" i="54"/>
  <c r="C101" i="54"/>
  <c r="C102" i="54"/>
  <c r="C103" i="54"/>
  <c r="C104" i="54"/>
  <c r="C105" i="54"/>
  <c r="C106" i="54"/>
  <c r="C107" i="54"/>
  <c r="C108" i="54"/>
  <c r="C109" i="54"/>
  <c r="C110" i="54"/>
  <c r="C111" i="54"/>
  <c r="C112" i="54"/>
  <c r="C113" i="54"/>
  <c r="C114" i="54"/>
  <c r="C115" i="54"/>
  <c r="C116" i="54"/>
  <c r="C117" i="54"/>
  <c r="C118" i="54"/>
  <c r="C119" i="54"/>
  <c r="C120" i="54"/>
  <c r="C121" i="54"/>
  <c r="C122" i="54"/>
  <c r="C123" i="54"/>
  <c r="C124" i="54"/>
  <c r="C125" i="54"/>
  <c r="C126" i="54"/>
  <c r="C127" i="54"/>
  <c r="C128" i="54"/>
  <c r="C129" i="54"/>
  <c r="C130" i="54"/>
  <c r="C131" i="54"/>
  <c r="C132" i="54"/>
  <c r="C133" i="54"/>
  <c r="C134" i="54"/>
  <c r="C135" i="54"/>
  <c r="C136" i="54"/>
  <c r="C137" i="54"/>
  <c r="C138" i="54"/>
  <c r="C139" i="54"/>
  <c r="C140" i="54"/>
  <c r="C141" i="54"/>
  <c r="C142" i="54"/>
  <c r="C143" i="54"/>
  <c r="C144" i="54"/>
  <c r="C145" i="54"/>
  <c r="C146" i="54"/>
  <c r="C147" i="54"/>
  <c r="C148" i="54"/>
  <c r="C149" i="54"/>
  <c r="C150" i="54"/>
  <c r="C151" i="54"/>
  <c r="C152" i="54"/>
  <c r="C153" i="54"/>
  <c r="C154" i="54"/>
  <c r="C155" i="54"/>
  <c r="C156" i="54"/>
  <c r="C157" i="54"/>
  <c r="C158" i="54"/>
  <c r="C159" i="54"/>
  <c r="C160" i="54"/>
  <c r="C161" i="54"/>
  <c r="C162" i="54"/>
  <c r="C163" i="54"/>
  <c r="C164" i="54"/>
  <c r="C165" i="54"/>
  <c r="C166" i="54"/>
  <c r="C167" i="54"/>
  <c r="C168" i="54"/>
  <c r="C169" i="54"/>
  <c r="C170" i="54"/>
  <c r="C171" i="54"/>
  <c r="C172" i="54"/>
  <c r="C173" i="54"/>
  <c r="C174" i="54"/>
  <c r="C175" i="54"/>
  <c r="C176" i="54"/>
  <c r="C177" i="54"/>
  <c r="C178" i="54"/>
  <c r="C179" i="54"/>
  <c r="C180" i="54"/>
  <c r="C181" i="54"/>
  <c r="C182" i="54"/>
  <c r="C183" i="54"/>
  <c r="C184" i="54"/>
  <c r="C185" i="54"/>
  <c r="C186" i="54"/>
  <c r="C187" i="54"/>
  <c r="C188" i="54"/>
  <c r="C189" i="54"/>
  <c r="C190" i="54"/>
  <c r="C191" i="54"/>
  <c r="C192" i="54"/>
  <c r="C193" i="54"/>
  <c r="C194" i="54"/>
  <c r="C195" i="54"/>
  <c r="C196" i="54"/>
  <c r="C197" i="54"/>
  <c r="C198" i="54"/>
  <c r="C199" i="54"/>
  <c r="C200" i="54"/>
  <c r="C201" i="54"/>
  <c r="C202" i="54"/>
  <c r="C203" i="54"/>
  <c r="C204" i="54"/>
  <c r="C205" i="54"/>
  <c r="C206" i="54"/>
  <c r="C207" i="54"/>
  <c r="C208" i="54"/>
  <c r="C209" i="54"/>
  <c r="C210" i="54"/>
  <c r="C211" i="54"/>
  <c r="C212" i="54"/>
  <c r="C213" i="54"/>
  <c r="C214" i="54"/>
  <c r="C215" i="54"/>
  <c r="C216" i="54"/>
  <c r="C217" i="54"/>
  <c r="C218" i="54"/>
  <c r="C219" i="54"/>
  <c r="C220" i="54"/>
  <c r="C221" i="54"/>
  <c r="C222" i="54"/>
  <c r="C223" i="54"/>
  <c r="C224" i="54"/>
  <c r="C225" i="54"/>
  <c r="C226" i="54"/>
  <c r="C227" i="54"/>
  <c r="C228" i="54"/>
  <c r="C229" i="54"/>
  <c r="C230" i="54"/>
  <c r="C231" i="54"/>
  <c r="C232" i="54"/>
  <c r="C233" i="54"/>
  <c r="C234" i="54"/>
  <c r="C235" i="54"/>
  <c r="C236" i="54"/>
  <c r="C237" i="54"/>
  <c r="C238" i="54"/>
  <c r="C239" i="54"/>
  <c r="C240" i="54"/>
  <c r="C241" i="54"/>
  <c r="C242" i="54"/>
  <c r="C243" i="54"/>
  <c r="C244" i="54"/>
  <c r="C245" i="54"/>
  <c r="C246" i="54"/>
  <c r="C247" i="54"/>
  <c r="C248" i="54"/>
  <c r="C249" i="54"/>
  <c r="C250" i="54"/>
  <c r="C251" i="54"/>
  <c r="C252" i="54"/>
  <c r="C253" i="54"/>
  <c r="C254" i="54"/>
  <c r="C255" i="54"/>
  <c r="C256" i="54"/>
  <c r="C257" i="54"/>
  <c r="C258" i="54"/>
  <c r="C259" i="54"/>
  <c r="C260" i="54"/>
  <c r="C261" i="54"/>
  <c r="C262" i="54"/>
  <c r="C263" i="54"/>
  <c r="C264" i="54"/>
  <c r="C265" i="54"/>
  <c r="C266" i="54"/>
  <c r="C267" i="54"/>
  <c r="C268" i="54"/>
  <c r="C269" i="54"/>
  <c r="C270" i="54"/>
  <c r="C271" i="54"/>
  <c r="C272" i="54"/>
  <c r="C273" i="54"/>
  <c r="C274" i="54"/>
  <c r="C275" i="54"/>
  <c r="C276" i="54"/>
  <c r="C277" i="54"/>
  <c r="C278" i="54"/>
  <c r="C279" i="54"/>
  <c r="C280" i="54"/>
  <c r="C281" i="54"/>
  <c r="C282" i="54"/>
  <c r="C283" i="54"/>
  <c r="C284" i="54"/>
  <c r="C285" i="54"/>
  <c r="C286" i="54"/>
  <c r="C287" i="54"/>
  <c r="C288" i="54"/>
  <c r="C289" i="54"/>
  <c r="C290" i="54"/>
  <c r="C291" i="54"/>
  <c r="C292" i="54"/>
  <c r="C293" i="54"/>
  <c r="C294" i="54"/>
  <c r="C295" i="54"/>
  <c r="C296" i="54"/>
  <c r="C297" i="54"/>
  <c r="C298" i="54"/>
  <c r="C299" i="54"/>
  <c r="C300" i="54"/>
  <c r="C301" i="54"/>
  <c r="C302" i="54"/>
  <c r="C303" i="54"/>
  <c r="C304" i="54"/>
  <c r="C305" i="54"/>
  <c r="C306" i="54"/>
  <c r="C307" i="54"/>
  <c r="C308" i="54"/>
  <c r="C309" i="54"/>
  <c r="C310" i="54"/>
  <c r="C311" i="54"/>
  <c r="C312" i="54"/>
  <c r="C313" i="54"/>
  <c r="C314" i="54"/>
  <c r="C315" i="54"/>
  <c r="C316" i="54"/>
  <c r="C317" i="54"/>
  <c r="C318" i="54"/>
  <c r="C319" i="54"/>
  <c r="C320" i="54"/>
  <c r="C321" i="54"/>
  <c r="C322" i="54"/>
  <c r="C323" i="54"/>
  <c r="C324" i="54"/>
  <c r="C325" i="54"/>
  <c r="C326" i="54"/>
  <c r="C327" i="54"/>
  <c r="C328" i="54"/>
  <c r="C329" i="54"/>
  <c r="C330" i="54"/>
  <c r="C331" i="54"/>
  <c r="C332" i="54"/>
  <c r="C333" i="54"/>
  <c r="C334" i="54"/>
  <c r="C335" i="54"/>
  <c r="C336" i="54"/>
  <c r="C337" i="54"/>
  <c r="C338" i="54"/>
  <c r="C339" i="54"/>
  <c r="C340" i="54"/>
  <c r="C341" i="54"/>
  <c r="C342" i="54"/>
  <c r="C343" i="54"/>
  <c r="C344" i="54"/>
  <c r="C345" i="54"/>
  <c r="C346" i="54"/>
  <c r="C347" i="54"/>
  <c r="C348" i="54"/>
  <c r="C349" i="54"/>
  <c r="C350" i="54"/>
  <c r="C351" i="54"/>
  <c r="C352" i="54"/>
  <c r="C353" i="54"/>
  <c r="C354" i="54"/>
  <c r="C355" i="54"/>
  <c r="C356" i="54"/>
  <c r="C357" i="54"/>
  <c r="C358" i="54"/>
  <c r="C359" i="54"/>
  <c r="C360" i="54"/>
  <c r="C361" i="54"/>
  <c r="C362" i="54"/>
  <c r="C363" i="54"/>
  <c r="C364" i="54"/>
  <c r="C365" i="54"/>
  <c r="C366" i="54"/>
  <c r="C367" i="54"/>
  <c r="C368" i="54"/>
  <c r="C369" i="54"/>
  <c r="C370" i="54"/>
  <c r="C371" i="54"/>
  <c r="C372" i="54"/>
  <c r="C373" i="54"/>
  <c r="C374" i="54"/>
  <c r="C375" i="54"/>
  <c r="AJ255" i="56"/>
  <c r="AI255" i="56"/>
  <c r="AJ254" i="56"/>
  <c r="AI254" i="56"/>
  <c r="AJ253" i="56"/>
  <c r="AI253" i="56"/>
  <c r="AJ252" i="56"/>
  <c r="AI252" i="56"/>
  <c r="AJ251" i="56"/>
  <c r="AI251" i="56"/>
  <c r="AJ250" i="56"/>
  <c r="AI250" i="56"/>
  <c r="AJ249" i="56"/>
  <c r="AI249" i="56"/>
  <c r="AJ248" i="56"/>
  <c r="AI248" i="56"/>
  <c r="AJ247" i="56"/>
  <c r="AI247" i="56"/>
  <c r="AJ246" i="56"/>
  <c r="AI246" i="56"/>
  <c r="AJ245" i="56"/>
  <c r="AI245" i="56"/>
  <c r="AJ244" i="56"/>
  <c r="AI244" i="56"/>
  <c r="AJ243" i="56"/>
  <c r="AI243" i="56"/>
  <c r="AJ242" i="56"/>
  <c r="AI242" i="56"/>
  <c r="AJ241" i="56"/>
  <c r="AI241" i="56"/>
  <c r="AJ240" i="56"/>
  <c r="AI240" i="56"/>
  <c r="AJ239" i="56"/>
  <c r="AI239" i="56"/>
  <c r="AJ238" i="56"/>
  <c r="AI238" i="56"/>
  <c r="AJ237" i="56"/>
  <c r="AI237" i="56"/>
  <c r="AJ236" i="56"/>
  <c r="AI236" i="56"/>
  <c r="AJ235" i="56"/>
  <c r="AI235" i="56"/>
  <c r="AJ234" i="56"/>
  <c r="AI234" i="56"/>
  <c r="AJ233" i="56"/>
  <c r="AI233" i="56"/>
  <c r="AJ232" i="56"/>
  <c r="AI232" i="56"/>
  <c r="AJ231" i="56"/>
  <c r="AI231" i="56"/>
  <c r="AJ230" i="56"/>
  <c r="AI230" i="56"/>
  <c r="AJ229" i="56"/>
  <c r="AI229" i="56"/>
  <c r="AJ228" i="56"/>
  <c r="AI228" i="56"/>
  <c r="AJ227" i="56"/>
  <c r="AI227" i="56"/>
  <c r="AJ226" i="56"/>
  <c r="AI226" i="56"/>
  <c r="AJ225" i="56"/>
  <c r="AI225" i="56"/>
  <c r="AJ224" i="56"/>
  <c r="AI224" i="56"/>
  <c r="AJ223" i="56"/>
  <c r="AI223" i="56"/>
  <c r="AJ222" i="56"/>
  <c r="AI222" i="56"/>
  <c r="AJ221" i="56"/>
  <c r="AI221" i="56"/>
  <c r="AJ220" i="56"/>
  <c r="AI220" i="56"/>
  <c r="AJ219" i="56"/>
  <c r="AI219" i="56"/>
  <c r="AJ218" i="56"/>
  <c r="AI218" i="56"/>
  <c r="AJ217" i="56"/>
  <c r="AI217" i="56"/>
  <c r="AJ216" i="56"/>
  <c r="AI216" i="56"/>
  <c r="AJ215" i="56"/>
  <c r="AI215" i="56"/>
  <c r="AJ214" i="56"/>
  <c r="AI214" i="56"/>
  <c r="AJ213" i="56"/>
  <c r="AI213" i="56"/>
  <c r="AJ212" i="56"/>
  <c r="AI212" i="56"/>
  <c r="AJ211" i="56"/>
  <c r="AI211" i="56"/>
  <c r="AJ210" i="56"/>
  <c r="AI210" i="56"/>
  <c r="AJ209" i="56"/>
  <c r="AI209" i="56"/>
  <c r="AJ208" i="56"/>
  <c r="AI208" i="56"/>
  <c r="AJ207" i="56"/>
  <c r="AI207" i="56"/>
  <c r="AJ206" i="56"/>
  <c r="AI206" i="56"/>
  <c r="AJ205" i="56"/>
  <c r="AI205" i="56"/>
  <c r="AJ204" i="56"/>
  <c r="AI204" i="56"/>
  <c r="AJ203" i="56"/>
  <c r="AI203" i="56"/>
  <c r="AJ202" i="56"/>
  <c r="AI202" i="56"/>
  <c r="AJ201" i="56"/>
  <c r="AI201" i="56"/>
  <c r="AJ200" i="56"/>
  <c r="AI200" i="56"/>
  <c r="AJ199" i="56"/>
  <c r="AI199" i="56"/>
  <c r="AJ198" i="56"/>
  <c r="AI198" i="56"/>
  <c r="AJ197" i="56"/>
  <c r="AI197" i="56"/>
  <c r="AJ196" i="56"/>
  <c r="AI196" i="56"/>
  <c r="AJ195" i="56"/>
  <c r="AI195" i="56"/>
  <c r="AJ194" i="56"/>
  <c r="AI194" i="56"/>
  <c r="AJ193" i="56"/>
  <c r="AI193" i="56"/>
  <c r="AJ192" i="56"/>
  <c r="AI192" i="56"/>
  <c r="AJ191" i="56"/>
  <c r="AI191" i="56"/>
  <c r="AJ190" i="56"/>
  <c r="AI190" i="56"/>
  <c r="AJ189" i="56"/>
  <c r="AI189" i="56"/>
  <c r="AJ188" i="56"/>
  <c r="AI188" i="56"/>
  <c r="AJ187" i="56"/>
  <c r="AI187" i="56"/>
  <c r="AJ186" i="56"/>
  <c r="AI186" i="56"/>
  <c r="AJ185" i="56"/>
  <c r="AI185" i="56"/>
  <c r="AJ184" i="56"/>
  <c r="AI184" i="56"/>
  <c r="AJ183" i="56"/>
  <c r="AI183" i="56"/>
  <c r="AJ182" i="56"/>
  <c r="AI182" i="56"/>
  <c r="AJ181" i="56"/>
  <c r="AI181" i="56"/>
  <c r="AJ180" i="56"/>
  <c r="AI180" i="56"/>
  <c r="AJ179" i="56"/>
  <c r="AI179" i="56"/>
  <c r="AJ178" i="56"/>
  <c r="AI178" i="56"/>
  <c r="AJ177" i="56"/>
  <c r="AI177" i="56"/>
  <c r="AJ176" i="56"/>
  <c r="AI176" i="56"/>
  <c r="AJ175" i="56"/>
  <c r="AI175" i="56"/>
  <c r="AJ174" i="56"/>
  <c r="AI174" i="56"/>
  <c r="AJ173" i="56"/>
  <c r="AI173" i="56"/>
  <c r="AJ172" i="56"/>
  <c r="AI172" i="56"/>
  <c r="AJ171" i="56"/>
  <c r="AI171" i="56"/>
  <c r="AJ170" i="56"/>
  <c r="AI170" i="56"/>
  <c r="AJ169" i="56"/>
  <c r="AI169" i="56"/>
  <c r="AJ168" i="56"/>
  <c r="AI168" i="56"/>
  <c r="AJ167" i="56"/>
  <c r="AI167" i="56"/>
  <c r="AJ166" i="56"/>
  <c r="AI166" i="56"/>
  <c r="AJ165" i="56"/>
  <c r="AI165" i="56"/>
  <c r="AJ164" i="56"/>
  <c r="AI164" i="56"/>
  <c r="AJ163" i="56"/>
  <c r="AI163" i="56"/>
  <c r="AJ162" i="56"/>
  <c r="AI162" i="56"/>
  <c r="AJ161" i="56"/>
  <c r="AI161" i="56"/>
  <c r="AJ160" i="56"/>
  <c r="AI160" i="56"/>
  <c r="AJ159" i="56"/>
  <c r="AI159" i="56"/>
  <c r="AJ158" i="56"/>
  <c r="AI158" i="56"/>
  <c r="AJ157" i="56"/>
  <c r="AI157" i="56"/>
  <c r="AJ156" i="56"/>
  <c r="AI156" i="56"/>
  <c r="AJ155" i="56"/>
  <c r="AI155" i="56"/>
  <c r="AJ154" i="56"/>
  <c r="AI154" i="56"/>
  <c r="AJ153" i="56"/>
  <c r="AI153" i="56"/>
  <c r="AJ152" i="56"/>
  <c r="AI152" i="56"/>
  <c r="AJ151" i="56"/>
  <c r="AI151" i="56"/>
  <c r="AJ150" i="56"/>
  <c r="AI150" i="56"/>
  <c r="AJ149" i="56"/>
  <c r="AI149" i="56"/>
  <c r="AJ148" i="56"/>
  <c r="AI148" i="56"/>
  <c r="AJ147" i="56"/>
  <c r="AI147" i="56"/>
  <c r="AJ146" i="56"/>
  <c r="AI146" i="56"/>
  <c r="AJ145" i="56"/>
  <c r="AI145" i="56"/>
  <c r="AJ144" i="56"/>
  <c r="AI144" i="56"/>
  <c r="AJ143" i="56"/>
  <c r="AI143" i="56"/>
  <c r="AJ142" i="56"/>
  <c r="AI142" i="56"/>
  <c r="AJ141" i="56"/>
  <c r="AI141" i="56"/>
  <c r="AJ140" i="56"/>
  <c r="AI140" i="56"/>
  <c r="AJ139" i="56"/>
  <c r="AI139" i="56"/>
  <c r="AJ138" i="56"/>
  <c r="AI138" i="56"/>
  <c r="AJ137" i="56"/>
  <c r="AI137" i="56"/>
  <c r="AJ136" i="56"/>
  <c r="AI136" i="56"/>
  <c r="AJ135" i="56"/>
  <c r="AI135" i="56"/>
  <c r="AJ134" i="56"/>
  <c r="AI134" i="56"/>
  <c r="AJ133" i="56"/>
  <c r="AI133" i="56"/>
  <c r="AJ132" i="56"/>
  <c r="AI132" i="56"/>
  <c r="AJ131" i="56"/>
  <c r="AI131" i="56"/>
  <c r="AJ130" i="56"/>
  <c r="AI130" i="56"/>
  <c r="AJ129" i="56"/>
  <c r="AI129" i="56"/>
  <c r="AJ128" i="56"/>
  <c r="AI128" i="56"/>
  <c r="AJ127" i="56"/>
  <c r="AI127" i="56"/>
  <c r="AJ126" i="56"/>
  <c r="AI126" i="56"/>
  <c r="AJ125" i="56"/>
  <c r="AI125" i="56"/>
  <c r="AJ124" i="56"/>
  <c r="AI124" i="56"/>
  <c r="AJ123" i="56"/>
  <c r="AI123" i="56"/>
  <c r="AJ122" i="56"/>
  <c r="AI122" i="56"/>
  <c r="AJ121" i="56"/>
  <c r="AI121" i="56"/>
  <c r="AJ120" i="56"/>
  <c r="AI120" i="56"/>
  <c r="AJ119" i="56"/>
  <c r="AI119" i="56"/>
  <c r="AJ118" i="56"/>
  <c r="AI118" i="56"/>
  <c r="AJ117" i="56"/>
  <c r="AI117" i="56"/>
  <c r="AJ116" i="56"/>
  <c r="AI116" i="56"/>
  <c r="AJ115" i="56"/>
  <c r="AI115" i="56"/>
  <c r="AJ114" i="56"/>
  <c r="AI114" i="56"/>
  <c r="AJ113" i="56"/>
  <c r="AI113" i="56"/>
  <c r="AJ112" i="56"/>
  <c r="AI112" i="56"/>
  <c r="AJ111" i="56"/>
  <c r="AI111" i="56"/>
  <c r="AJ110" i="56"/>
  <c r="AI110" i="56"/>
  <c r="AJ109" i="56"/>
  <c r="AI109" i="56"/>
  <c r="AJ108" i="56"/>
  <c r="AI108" i="56"/>
  <c r="AJ107" i="56"/>
  <c r="AI107" i="56"/>
  <c r="AJ106" i="56"/>
  <c r="AI106" i="56"/>
  <c r="AJ105" i="56"/>
  <c r="AI105" i="56"/>
  <c r="AJ104" i="56"/>
  <c r="AI104" i="56"/>
  <c r="AJ103" i="56"/>
  <c r="AI103" i="56"/>
  <c r="AJ102" i="56"/>
  <c r="AI102" i="56"/>
  <c r="AJ101" i="56"/>
  <c r="AI101" i="56"/>
  <c r="AJ100" i="56"/>
  <c r="AI100" i="56"/>
  <c r="AJ99" i="56"/>
  <c r="AI99" i="56"/>
  <c r="AJ98" i="56"/>
  <c r="AI98" i="56"/>
  <c r="AJ97" i="56"/>
  <c r="AI97" i="56"/>
  <c r="AJ96" i="56"/>
  <c r="AI96" i="56"/>
  <c r="AJ95" i="56"/>
  <c r="AI95" i="56"/>
  <c r="AJ94" i="56"/>
  <c r="AI94" i="56"/>
  <c r="AJ93" i="56"/>
  <c r="AI93" i="56"/>
  <c r="AJ92" i="56"/>
  <c r="AI92" i="56"/>
  <c r="AJ91" i="56"/>
  <c r="AI91" i="56"/>
  <c r="AJ90" i="56"/>
  <c r="AI90" i="56"/>
  <c r="AJ89" i="56"/>
  <c r="AI89" i="56"/>
  <c r="AJ88" i="56"/>
  <c r="AI88" i="56"/>
  <c r="AJ87" i="56"/>
  <c r="AI87" i="56"/>
  <c r="AJ86" i="56"/>
  <c r="AI86" i="56"/>
  <c r="AJ85" i="56"/>
  <c r="AI85" i="56"/>
  <c r="AJ84" i="56"/>
  <c r="AI84" i="56"/>
  <c r="AJ83" i="56"/>
  <c r="AI83" i="56"/>
  <c r="AJ82" i="56"/>
  <c r="AI82" i="56"/>
  <c r="AJ81" i="56"/>
  <c r="AI81" i="56"/>
  <c r="AJ80" i="56"/>
  <c r="AI80" i="56"/>
  <c r="AJ79" i="56"/>
  <c r="AI79" i="56"/>
  <c r="AJ78" i="56"/>
  <c r="AI78" i="56"/>
  <c r="AJ77" i="56"/>
  <c r="AI77" i="56"/>
  <c r="AJ76" i="56"/>
  <c r="AI76" i="56"/>
  <c r="AJ75" i="56"/>
  <c r="AI75" i="56"/>
  <c r="AJ74" i="56"/>
  <c r="AI74" i="56"/>
  <c r="AJ73" i="56"/>
  <c r="AI73" i="56"/>
  <c r="AJ72" i="56"/>
  <c r="AI72" i="56"/>
  <c r="AJ71" i="56"/>
  <c r="AI71" i="56"/>
  <c r="AJ70" i="56"/>
  <c r="AI70" i="56"/>
  <c r="AJ69" i="56"/>
  <c r="AI69" i="56"/>
  <c r="AJ68" i="56"/>
  <c r="AI68" i="56"/>
  <c r="AJ67" i="56"/>
  <c r="AI67" i="56"/>
  <c r="AJ66" i="56"/>
  <c r="AI66" i="56"/>
  <c r="AJ65" i="56"/>
  <c r="AI65" i="56"/>
  <c r="AJ64" i="56"/>
  <c r="AI64" i="56"/>
  <c r="AJ63" i="56"/>
  <c r="AI63" i="56"/>
  <c r="AJ62" i="56"/>
  <c r="AI62" i="56"/>
  <c r="AJ61" i="56"/>
  <c r="AI61" i="56"/>
  <c r="AJ60" i="56"/>
  <c r="AI60" i="56"/>
  <c r="AJ59" i="56"/>
  <c r="AI59" i="56"/>
  <c r="AJ58" i="56"/>
  <c r="AI58" i="56"/>
  <c r="AJ57" i="56"/>
  <c r="AI57" i="56"/>
  <c r="AJ56" i="56"/>
  <c r="AI56" i="56"/>
  <c r="AJ55" i="56"/>
  <c r="AI55" i="56"/>
  <c r="AJ54" i="56"/>
  <c r="AI54" i="56"/>
  <c r="AJ53" i="56"/>
  <c r="AI53" i="56"/>
  <c r="AJ52" i="56"/>
  <c r="AI52" i="56"/>
  <c r="AJ51" i="56"/>
  <c r="AI51" i="56"/>
  <c r="AJ50" i="56"/>
  <c r="AI50" i="56"/>
  <c r="AJ49" i="56"/>
  <c r="AI49" i="56"/>
  <c r="AJ48" i="56"/>
  <c r="AI48" i="56"/>
  <c r="AJ47" i="56"/>
  <c r="AI47" i="56"/>
  <c r="AJ46" i="56"/>
  <c r="AI46" i="56"/>
  <c r="AJ45" i="56"/>
  <c r="AI45" i="56"/>
  <c r="AJ44" i="56"/>
  <c r="AI44" i="56"/>
  <c r="AJ43" i="56"/>
  <c r="AI43" i="56"/>
  <c r="AJ42" i="56"/>
  <c r="AI42" i="56"/>
  <c r="AJ41" i="56"/>
  <c r="AI41" i="56"/>
  <c r="AJ40" i="56"/>
  <c r="AI40" i="56"/>
  <c r="AJ39" i="56"/>
  <c r="AI39" i="56"/>
  <c r="AJ38" i="56"/>
  <c r="AI38" i="56"/>
  <c r="AJ37" i="56"/>
  <c r="AI37" i="56"/>
  <c r="AJ36" i="56"/>
  <c r="AI36" i="56"/>
  <c r="AJ35" i="56"/>
  <c r="AI35" i="56"/>
  <c r="AJ34" i="56"/>
  <c r="AI34" i="56"/>
  <c r="AJ33" i="56"/>
  <c r="AI33" i="56"/>
  <c r="AJ32" i="56"/>
  <c r="AI32" i="56"/>
  <c r="AJ31" i="56"/>
  <c r="AI31" i="56"/>
  <c r="AJ30" i="56"/>
  <c r="AI30" i="56"/>
  <c r="AJ29" i="56"/>
  <c r="AI29" i="56"/>
  <c r="AJ28" i="56"/>
  <c r="AI28" i="56"/>
  <c r="AJ27" i="56"/>
  <c r="AI27" i="56"/>
  <c r="AJ26" i="56"/>
  <c r="AI26" i="56"/>
  <c r="AJ25" i="56"/>
  <c r="AI25" i="56"/>
  <c r="AJ24" i="56"/>
  <c r="AI24" i="56"/>
  <c r="AJ23" i="56"/>
  <c r="AI23" i="56"/>
  <c r="AJ22" i="56"/>
  <c r="AI22" i="56"/>
  <c r="AJ21" i="56"/>
  <c r="AI21" i="56"/>
  <c r="AJ20" i="56"/>
  <c r="AI20" i="56"/>
  <c r="AJ19" i="56"/>
  <c r="AI19" i="56"/>
  <c r="AJ18" i="56"/>
  <c r="AI18" i="56"/>
  <c r="AJ17" i="56"/>
  <c r="AI17" i="56"/>
  <c r="AJ16" i="56"/>
  <c r="AI16" i="56"/>
  <c r="X255" i="56"/>
  <c r="W255" i="56"/>
  <c r="X254" i="56"/>
  <c r="W254" i="56"/>
  <c r="X253" i="56"/>
  <c r="W253" i="56"/>
  <c r="X252" i="56"/>
  <c r="W252" i="56"/>
  <c r="X251" i="56"/>
  <c r="W251" i="56"/>
  <c r="X250" i="56"/>
  <c r="W250" i="56"/>
  <c r="X249" i="56"/>
  <c r="W249" i="56"/>
  <c r="X248" i="56"/>
  <c r="W248" i="56"/>
  <c r="X247" i="56"/>
  <c r="W247" i="56"/>
  <c r="X246" i="56"/>
  <c r="W246" i="56"/>
  <c r="X245" i="56"/>
  <c r="W245" i="56"/>
  <c r="X244" i="56"/>
  <c r="W244" i="56"/>
  <c r="X243" i="56"/>
  <c r="W243" i="56"/>
  <c r="X242" i="56"/>
  <c r="W242" i="56"/>
  <c r="X241" i="56"/>
  <c r="W241" i="56"/>
  <c r="X240" i="56"/>
  <c r="W240" i="56"/>
  <c r="X239" i="56"/>
  <c r="W239" i="56"/>
  <c r="X238" i="56"/>
  <c r="W238" i="56"/>
  <c r="X237" i="56"/>
  <c r="W237" i="56"/>
  <c r="X236" i="56"/>
  <c r="W236" i="56"/>
  <c r="X235" i="56"/>
  <c r="W235" i="56"/>
  <c r="X234" i="56"/>
  <c r="W234" i="56"/>
  <c r="X233" i="56"/>
  <c r="W233" i="56"/>
  <c r="X232" i="56"/>
  <c r="W232" i="56"/>
  <c r="X231" i="56"/>
  <c r="W231" i="56"/>
  <c r="X230" i="56"/>
  <c r="W230" i="56"/>
  <c r="X229" i="56"/>
  <c r="W229" i="56"/>
  <c r="X228" i="56"/>
  <c r="W228" i="56"/>
  <c r="X227" i="56"/>
  <c r="W227" i="56"/>
  <c r="X226" i="56"/>
  <c r="W226" i="56"/>
  <c r="X225" i="56"/>
  <c r="W225" i="56"/>
  <c r="X224" i="56"/>
  <c r="W224" i="56"/>
  <c r="X223" i="56"/>
  <c r="W223" i="56"/>
  <c r="X222" i="56"/>
  <c r="W222" i="56"/>
  <c r="X221" i="56"/>
  <c r="W221" i="56"/>
  <c r="X220" i="56"/>
  <c r="W220" i="56"/>
  <c r="X219" i="56"/>
  <c r="W219" i="56"/>
  <c r="X218" i="56"/>
  <c r="W218" i="56"/>
  <c r="X217" i="56"/>
  <c r="W217" i="56"/>
  <c r="X216" i="56"/>
  <c r="W216" i="56"/>
  <c r="X215" i="56"/>
  <c r="W215" i="56"/>
  <c r="X214" i="56"/>
  <c r="W214" i="56"/>
  <c r="X213" i="56"/>
  <c r="W213" i="56"/>
  <c r="X212" i="56"/>
  <c r="W212" i="56"/>
  <c r="X211" i="56"/>
  <c r="W211" i="56"/>
  <c r="X210" i="56"/>
  <c r="W210" i="56"/>
  <c r="X209" i="56"/>
  <c r="W209" i="56"/>
  <c r="X208" i="56"/>
  <c r="W208" i="56"/>
  <c r="X207" i="56"/>
  <c r="W207" i="56"/>
  <c r="X206" i="56"/>
  <c r="W206" i="56"/>
  <c r="X205" i="56"/>
  <c r="W205" i="56"/>
  <c r="X204" i="56"/>
  <c r="W204" i="56"/>
  <c r="X203" i="56"/>
  <c r="W203" i="56"/>
  <c r="X202" i="56"/>
  <c r="W202" i="56"/>
  <c r="X201" i="56"/>
  <c r="W201" i="56"/>
  <c r="X200" i="56"/>
  <c r="W200" i="56"/>
  <c r="X199" i="56"/>
  <c r="W199" i="56"/>
  <c r="X198" i="56"/>
  <c r="W198" i="56"/>
  <c r="X197" i="56"/>
  <c r="W197" i="56"/>
  <c r="X196" i="56"/>
  <c r="W196" i="56"/>
  <c r="X195" i="56"/>
  <c r="W195" i="56"/>
  <c r="X194" i="56"/>
  <c r="W194" i="56"/>
  <c r="X193" i="56"/>
  <c r="W193" i="56"/>
  <c r="X192" i="56"/>
  <c r="W192" i="56"/>
  <c r="X191" i="56"/>
  <c r="W191" i="56"/>
  <c r="X190" i="56"/>
  <c r="W190" i="56"/>
  <c r="X189" i="56"/>
  <c r="W189" i="56"/>
  <c r="X188" i="56"/>
  <c r="W188" i="56"/>
  <c r="X187" i="56"/>
  <c r="W187" i="56"/>
  <c r="X186" i="56"/>
  <c r="W186" i="56"/>
  <c r="X185" i="56"/>
  <c r="W185" i="56"/>
  <c r="X184" i="56"/>
  <c r="W184" i="56"/>
  <c r="X183" i="56"/>
  <c r="W183" i="56"/>
  <c r="X182" i="56"/>
  <c r="W182" i="56"/>
  <c r="X181" i="56"/>
  <c r="W181" i="56"/>
  <c r="X180" i="56"/>
  <c r="W180" i="56"/>
  <c r="X179" i="56"/>
  <c r="W179" i="56"/>
  <c r="X178" i="56"/>
  <c r="W178" i="56"/>
  <c r="X177" i="56"/>
  <c r="W177" i="56"/>
  <c r="X176" i="56"/>
  <c r="W176" i="56"/>
  <c r="X175" i="56"/>
  <c r="W175" i="56"/>
  <c r="X174" i="56"/>
  <c r="W174" i="56"/>
  <c r="X173" i="56"/>
  <c r="W173" i="56"/>
  <c r="X172" i="56"/>
  <c r="W172" i="56"/>
  <c r="X171" i="56"/>
  <c r="W171" i="56"/>
  <c r="X170" i="56"/>
  <c r="W170" i="56"/>
  <c r="X169" i="56"/>
  <c r="W169" i="56"/>
  <c r="X168" i="56"/>
  <c r="W168" i="56"/>
  <c r="X167" i="56"/>
  <c r="W167" i="56"/>
  <c r="X166" i="56"/>
  <c r="W166" i="56"/>
  <c r="X165" i="56"/>
  <c r="W165" i="56"/>
  <c r="X164" i="56"/>
  <c r="W164" i="56"/>
  <c r="X163" i="56"/>
  <c r="W163" i="56"/>
  <c r="X162" i="56"/>
  <c r="W162" i="56"/>
  <c r="X161" i="56"/>
  <c r="W161" i="56"/>
  <c r="X160" i="56"/>
  <c r="W160" i="56"/>
  <c r="X159" i="56"/>
  <c r="W159" i="56"/>
  <c r="X158" i="56"/>
  <c r="W158" i="56"/>
  <c r="X157" i="56"/>
  <c r="W157" i="56"/>
  <c r="X156" i="56"/>
  <c r="W156" i="56"/>
  <c r="X155" i="56"/>
  <c r="W155" i="56"/>
  <c r="X154" i="56"/>
  <c r="W154" i="56"/>
  <c r="X153" i="56"/>
  <c r="W153" i="56"/>
  <c r="X152" i="56"/>
  <c r="W152" i="56"/>
  <c r="X151" i="56"/>
  <c r="W151" i="56"/>
  <c r="X150" i="56"/>
  <c r="W150" i="56"/>
  <c r="X149" i="56"/>
  <c r="W149" i="56"/>
  <c r="X148" i="56"/>
  <c r="W148" i="56"/>
  <c r="X147" i="56"/>
  <c r="W147" i="56"/>
  <c r="X146" i="56"/>
  <c r="W146" i="56"/>
  <c r="X145" i="56"/>
  <c r="W145" i="56"/>
  <c r="X144" i="56"/>
  <c r="W144" i="56"/>
  <c r="X143" i="56"/>
  <c r="W143" i="56"/>
  <c r="X142" i="56"/>
  <c r="W142" i="56"/>
  <c r="X141" i="56"/>
  <c r="W141" i="56"/>
  <c r="X140" i="56"/>
  <c r="W140" i="56"/>
  <c r="X139" i="56"/>
  <c r="W139" i="56"/>
  <c r="X138" i="56"/>
  <c r="W138" i="56"/>
  <c r="X137" i="56"/>
  <c r="W137" i="56"/>
  <c r="X136" i="56"/>
  <c r="W136" i="56"/>
  <c r="X135" i="56"/>
  <c r="W135" i="56"/>
  <c r="X134" i="56"/>
  <c r="W134" i="56"/>
  <c r="X133" i="56"/>
  <c r="W133" i="56"/>
  <c r="X132" i="56"/>
  <c r="W132" i="56"/>
  <c r="X131" i="56"/>
  <c r="W131" i="56"/>
  <c r="X130" i="56"/>
  <c r="W130" i="56"/>
  <c r="X129" i="56"/>
  <c r="W129" i="56"/>
  <c r="X128" i="56"/>
  <c r="W128" i="56"/>
  <c r="X127" i="56"/>
  <c r="W127" i="56"/>
  <c r="X126" i="56"/>
  <c r="W126" i="56"/>
  <c r="X125" i="56"/>
  <c r="W125" i="56"/>
  <c r="X124" i="56"/>
  <c r="W124" i="56"/>
  <c r="X123" i="56"/>
  <c r="W123" i="56"/>
  <c r="X122" i="56"/>
  <c r="W122" i="56"/>
  <c r="X121" i="56"/>
  <c r="W121" i="56"/>
  <c r="X120" i="56"/>
  <c r="W120" i="56"/>
  <c r="X119" i="56"/>
  <c r="W119" i="56"/>
  <c r="X118" i="56"/>
  <c r="W118" i="56"/>
  <c r="X117" i="56"/>
  <c r="W117" i="56"/>
  <c r="X116" i="56"/>
  <c r="W116" i="56"/>
  <c r="X115" i="56"/>
  <c r="W115" i="56"/>
  <c r="X114" i="56"/>
  <c r="W114" i="56"/>
  <c r="X113" i="56"/>
  <c r="W113" i="56"/>
  <c r="X112" i="56"/>
  <c r="W112" i="56"/>
  <c r="X111" i="56"/>
  <c r="W111" i="56"/>
  <c r="X110" i="56"/>
  <c r="W110" i="56"/>
  <c r="X109" i="56"/>
  <c r="W109" i="56"/>
  <c r="X108" i="56"/>
  <c r="W108" i="56"/>
  <c r="X107" i="56"/>
  <c r="W107" i="56"/>
  <c r="X106" i="56"/>
  <c r="W106" i="56"/>
  <c r="X105" i="56"/>
  <c r="W105" i="56"/>
  <c r="X104" i="56"/>
  <c r="W104" i="56"/>
  <c r="X103" i="56"/>
  <c r="W103" i="56"/>
  <c r="X102" i="56"/>
  <c r="W102" i="56"/>
  <c r="X101" i="56"/>
  <c r="W101" i="56"/>
  <c r="X100" i="56"/>
  <c r="W100" i="56"/>
  <c r="X99" i="56"/>
  <c r="W99" i="56"/>
  <c r="X98" i="56"/>
  <c r="W98" i="56"/>
  <c r="X97" i="56"/>
  <c r="W97" i="56"/>
  <c r="X96" i="56"/>
  <c r="W96" i="56"/>
  <c r="X95" i="56"/>
  <c r="W95" i="56"/>
  <c r="X94" i="56"/>
  <c r="W94" i="56"/>
  <c r="X93" i="56"/>
  <c r="W93" i="56"/>
  <c r="X92" i="56"/>
  <c r="W92" i="56"/>
  <c r="X91" i="56"/>
  <c r="W91" i="56"/>
  <c r="X90" i="56"/>
  <c r="W90" i="56"/>
  <c r="X89" i="56"/>
  <c r="W89" i="56"/>
  <c r="X88" i="56"/>
  <c r="W88" i="56"/>
  <c r="X87" i="56"/>
  <c r="W87" i="56"/>
  <c r="X86" i="56"/>
  <c r="W86" i="56"/>
  <c r="X85" i="56"/>
  <c r="W85" i="56"/>
  <c r="X84" i="56"/>
  <c r="W84" i="56"/>
  <c r="X83" i="56"/>
  <c r="W83" i="56"/>
  <c r="X82" i="56"/>
  <c r="W82" i="56"/>
  <c r="X81" i="56"/>
  <c r="W81" i="56"/>
  <c r="X80" i="56"/>
  <c r="W80" i="56"/>
  <c r="X79" i="56"/>
  <c r="W79" i="56"/>
  <c r="X78" i="56"/>
  <c r="W78" i="56"/>
  <c r="X77" i="56"/>
  <c r="W77" i="56"/>
  <c r="X76" i="56"/>
  <c r="W76" i="56"/>
  <c r="X75" i="56"/>
  <c r="W75" i="56"/>
  <c r="X74" i="56"/>
  <c r="W74" i="56"/>
  <c r="X73" i="56"/>
  <c r="W73" i="56"/>
  <c r="X72" i="56"/>
  <c r="W72" i="56"/>
  <c r="X71" i="56"/>
  <c r="W71" i="56"/>
  <c r="X70" i="56"/>
  <c r="W70" i="56"/>
  <c r="X69" i="56"/>
  <c r="W69" i="56"/>
  <c r="X68" i="56"/>
  <c r="W68" i="56"/>
  <c r="X67" i="56"/>
  <c r="W67" i="56"/>
  <c r="X66" i="56"/>
  <c r="W66" i="56"/>
  <c r="X65" i="56"/>
  <c r="W65" i="56"/>
  <c r="X64" i="56"/>
  <c r="W64" i="56"/>
  <c r="X63" i="56"/>
  <c r="W63" i="56"/>
  <c r="X62" i="56"/>
  <c r="W62" i="56"/>
  <c r="X61" i="56"/>
  <c r="W61" i="56"/>
  <c r="X60" i="56"/>
  <c r="W60" i="56"/>
  <c r="X59" i="56"/>
  <c r="W59" i="56"/>
  <c r="X58" i="56"/>
  <c r="W58" i="56"/>
  <c r="X57" i="56"/>
  <c r="W57" i="56"/>
  <c r="X56" i="56"/>
  <c r="W56" i="56"/>
  <c r="X55" i="56"/>
  <c r="W55" i="56"/>
  <c r="X54" i="56"/>
  <c r="W54" i="56"/>
  <c r="X53" i="56"/>
  <c r="W53" i="56"/>
  <c r="X52" i="56"/>
  <c r="W52" i="56"/>
  <c r="X51" i="56"/>
  <c r="W51" i="56"/>
  <c r="X50" i="56"/>
  <c r="W50" i="56"/>
  <c r="X49" i="56"/>
  <c r="W49" i="56"/>
  <c r="X48" i="56"/>
  <c r="W48" i="56"/>
  <c r="X47" i="56"/>
  <c r="W47" i="56"/>
  <c r="X46" i="56"/>
  <c r="W46" i="56"/>
  <c r="X45" i="56"/>
  <c r="W45" i="56"/>
  <c r="X44" i="56"/>
  <c r="W44" i="56"/>
  <c r="X43" i="56"/>
  <c r="W43" i="56"/>
  <c r="X42" i="56"/>
  <c r="W42" i="56"/>
  <c r="X41" i="56"/>
  <c r="W41" i="56"/>
  <c r="X40" i="56"/>
  <c r="W40" i="56"/>
  <c r="X39" i="56"/>
  <c r="W39" i="56"/>
  <c r="X38" i="56"/>
  <c r="W38" i="56"/>
  <c r="X37" i="56"/>
  <c r="W37" i="56"/>
  <c r="X36" i="56"/>
  <c r="W36" i="56"/>
  <c r="X35" i="56"/>
  <c r="W35" i="56"/>
  <c r="X34" i="56"/>
  <c r="W34" i="56"/>
  <c r="X33" i="56"/>
  <c r="W33" i="56"/>
  <c r="X32" i="56"/>
  <c r="W32" i="56"/>
  <c r="X31" i="56"/>
  <c r="W31" i="56"/>
  <c r="X30" i="56"/>
  <c r="W30" i="56"/>
  <c r="X29" i="56"/>
  <c r="W29" i="56"/>
  <c r="X28" i="56"/>
  <c r="W28" i="56"/>
  <c r="X27" i="56"/>
  <c r="W27" i="56"/>
  <c r="X26" i="56"/>
  <c r="W26" i="56"/>
  <c r="X25" i="56"/>
  <c r="W25" i="56"/>
  <c r="X24" i="56"/>
  <c r="W24" i="56"/>
  <c r="X23" i="56"/>
  <c r="W23" i="56"/>
  <c r="X22" i="56"/>
  <c r="W22" i="56"/>
  <c r="X21" i="56"/>
  <c r="W21" i="56"/>
  <c r="X20" i="56"/>
  <c r="W20" i="56"/>
  <c r="X19" i="56"/>
  <c r="W19" i="56"/>
  <c r="X18" i="56"/>
  <c r="W18" i="56"/>
  <c r="X17" i="56"/>
  <c r="W17" i="56"/>
  <c r="X16" i="56"/>
  <c r="W16" i="56"/>
  <c r="L255" i="56"/>
  <c r="K255" i="56"/>
  <c r="L254" i="56"/>
  <c r="K254" i="56"/>
  <c r="L253" i="56"/>
  <c r="K253" i="56"/>
  <c r="L252" i="56"/>
  <c r="K252" i="56"/>
  <c r="L251" i="56"/>
  <c r="K251" i="56"/>
  <c r="L250" i="56"/>
  <c r="K250" i="56"/>
  <c r="L249" i="56"/>
  <c r="K249" i="56"/>
  <c r="L248" i="56"/>
  <c r="K248" i="56"/>
  <c r="L247" i="56"/>
  <c r="K247" i="56"/>
  <c r="L246" i="56"/>
  <c r="K246" i="56"/>
  <c r="L245" i="56"/>
  <c r="K245" i="56"/>
  <c r="L244" i="56"/>
  <c r="K244" i="56"/>
  <c r="L243" i="56"/>
  <c r="K243" i="56"/>
  <c r="L242" i="56"/>
  <c r="K242" i="56"/>
  <c r="L241" i="56"/>
  <c r="K241" i="56"/>
  <c r="L240" i="56"/>
  <c r="K240" i="56"/>
  <c r="L239" i="56"/>
  <c r="K239" i="56"/>
  <c r="L238" i="56"/>
  <c r="K238" i="56"/>
  <c r="L237" i="56"/>
  <c r="K237" i="56"/>
  <c r="L236" i="56"/>
  <c r="K236" i="56"/>
  <c r="L235" i="56"/>
  <c r="K235" i="56"/>
  <c r="L234" i="56"/>
  <c r="K234" i="56"/>
  <c r="L233" i="56"/>
  <c r="K233" i="56"/>
  <c r="L232" i="56"/>
  <c r="K232" i="56"/>
  <c r="L231" i="56"/>
  <c r="K231" i="56"/>
  <c r="L230" i="56"/>
  <c r="K230" i="56"/>
  <c r="L229" i="56"/>
  <c r="K229" i="56"/>
  <c r="L228" i="56"/>
  <c r="K228" i="56"/>
  <c r="L227" i="56"/>
  <c r="K227" i="56"/>
  <c r="L226" i="56"/>
  <c r="K226" i="56"/>
  <c r="L225" i="56"/>
  <c r="K225" i="56"/>
  <c r="L224" i="56"/>
  <c r="K224" i="56"/>
  <c r="L223" i="56"/>
  <c r="K223" i="56"/>
  <c r="L222" i="56"/>
  <c r="K222" i="56"/>
  <c r="L221" i="56"/>
  <c r="K221" i="56"/>
  <c r="L220" i="56"/>
  <c r="K220" i="56"/>
  <c r="L219" i="56"/>
  <c r="K219" i="56"/>
  <c r="L218" i="56"/>
  <c r="K218" i="56"/>
  <c r="L217" i="56"/>
  <c r="K217" i="56"/>
  <c r="L216" i="56"/>
  <c r="K216" i="56"/>
  <c r="L215" i="56"/>
  <c r="K215" i="56"/>
  <c r="L214" i="56"/>
  <c r="K214" i="56"/>
  <c r="L213" i="56"/>
  <c r="K213" i="56"/>
  <c r="L212" i="56"/>
  <c r="K212" i="56"/>
  <c r="L211" i="56"/>
  <c r="K211" i="56"/>
  <c r="L210" i="56"/>
  <c r="K210" i="56"/>
  <c r="L209" i="56"/>
  <c r="K209" i="56"/>
  <c r="L208" i="56"/>
  <c r="K208" i="56"/>
  <c r="L207" i="56"/>
  <c r="K207" i="56"/>
  <c r="L206" i="56"/>
  <c r="K206" i="56"/>
  <c r="L205" i="56"/>
  <c r="K205" i="56"/>
  <c r="L204" i="56"/>
  <c r="K204" i="56"/>
  <c r="L203" i="56"/>
  <c r="K203" i="56"/>
  <c r="L202" i="56"/>
  <c r="K202" i="56"/>
  <c r="L201" i="56"/>
  <c r="K201" i="56"/>
  <c r="L200" i="56"/>
  <c r="K200" i="56"/>
  <c r="L199" i="56"/>
  <c r="K199" i="56"/>
  <c r="L198" i="56"/>
  <c r="K198" i="56"/>
  <c r="L197" i="56"/>
  <c r="K197" i="56"/>
  <c r="L196" i="56"/>
  <c r="K196" i="56"/>
  <c r="L195" i="56"/>
  <c r="K195" i="56"/>
  <c r="L194" i="56"/>
  <c r="K194" i="56"/>
  <c r="L193" i="56"/>
  <c r="K193" i="56"/>
  <c r="L192" i="56"/>
  <c r="K192" i="56"/>
  <c r="L191" i="56"/>
  <c r="K191" i="56"/>
  <c r="L190" i="56"/>
  <c r="K190" i="56"/>
  <c r="L189" i="56"/>
  <c r="K189" i="56"/>
  <c r="L188" i="56"/>
  <c r="K188" i="56"/>
  <c r="L187" i="56"/>
  <c r="K187" i="56"/>
  <c r="L186" i="56"/>
  <c r="K186" i="56"/>
  <c r="L185" i="56"/>
  <c r="K185" i="56"/>
  <c r="L184" i="56"/>
  <c r="K184" i="56"/>
  <c r="L183" i="56"/>
  <c r="K183" i="56"/>
  <c r="L182" i="56"/>
  <c r="K182" i="56"/>
  <c r="L181" i="56"/>
  <c r="K181" i="56"/>
  <c r="L180" i="56"/>
  <c r="K180" i="56"/>
  <c r="L179" i="56"/>
  <c r="K179" i="56"/>
  <c r="L178" i="56"/>
  <c r="K178" i="56"/>
  <c r="L177" i="56"/>
  <c r="K177" i="56"/>
  <c r="L176" i="56"/>
  <c r="K176" i="56"/>
  <c r="L175" i="56"/>
  <c r="K175" i="56"/>
  <c r="L174" i="56"/>
  <c r="K174" i="56"/>
  <c r="L173" i="56"/>
  <c r="K173" i="56"/>
  <c r="L172" i="56"/>
  <c r="K172" i="56"/>
  <c r="L171" i="56"/>
  <c r="K171" i="56"/>
  <c r="L170" i="56"/>
  <c r="K170" i="56"/>
  <c r="L169" i="56"/>
  <c r="K169" i="56"/>
  <c r="L168" i="56"/>
  <c r="K168" i="56"/>
  <c r="L167" i="56"/>
  <c r="K167" i="56"/>
  <c r="L166" i="56"/>
  <c r="K166" i="56"/>
  <c r="L165" i="56"/>
  <c r="K165" i="56"/>
  <c r="L164" i="56"/>
  <c r="K164" i="56"/>
  <c r="L163" i="56"/>
  <c r="K163" i="56"/>
  <c r="L162" i="56"/>
  <c r="K162" i="56"/>
  <c r="L161" i="56"/>
  <c r="K161" i="56"/>
  <c r="L160" i="56"/>
  <c r="K160" i="56"/>
  <c r="L159" i="56"/>
  <c r="K159" i="56"/>
  <c r="L158" i="56"/>
  <c r="K158" i="56"/>
  <c r="L157" i="56"/>
  <c r="K157" i="56"/>
  <c r="L156" i="56"/>
  <c r="K156" i="56"/>
  <c r="L155" i="56"/>
  <c r="K155" i="56"/>
  <c r="L154" i="56"/>
  <c r="K154" i="56"/>
  <c r="L153" i="56"/>
  <c r="K153" i="56"/>
  <c r="L152" i="56"/>
  <c r="K152" i="56"/>
  <c r="L151" i="56"/>
  <c r="K151" i="56"/>
  <c r="L150" i="56"/>
  <c r="K150" i="56"/>
  <c r="L149" i="56"/>
  <c r="K149" i="56"/>
  <c r="L148" i="56"/>
  <c r="K148" i="56"/>
  <c r="L147" i="56"/>
  <c r="K147" i="56"/>
  <c r="L146" i="56"/>
  <c r="K146" i="56"/>
  <c r="L145" i="56"/>
  <c r="K145" i="56"/>
  <c r="L144" i="56"/>
  <c r="K144" i="56"/>
  <c r="L143" i="56"/>
  <c r="K143" i="56"/>
  <c r="L142" i="56"/>
  <c r="K142" i="56"/>
  <c r="L141" i="56"/>
  <c r="K141" i="56"/>
  <c r="L140" i="56"/>
  <c r="K140" i="56"/>
  <c r="L139" i="56"/>
  <c r="K139" i="56"/>
  <c r="L138" i="56"/>
  <c r="K138" i="56"/>
  <c r="L137" i="56"/>
  <c r="K137" i="56"/>
  <c r="L136" i="56"/>
  <c r="K136" i="56"/>
  <c r="L135" i="56"/>
  <c r="K135" i="56"/>
  <c r="L134" i="56"/>
  <c r="K134" i="56"/>
  <c r="L133" i="56"/>
  <c r="K133" i="56"/>
  <c r="L132" i="56"/>
  <c r="K132" i="56"/>
  <c r="L131" i="56"/>
  <c r="K131" i="56"/>
  <c r="L130" i="56"/>
  <c r="K130" i="56"/>
  <c r="L129" i="56"/>
  <c r="K129" i="56"/>
  <c r="L128" i="56"/>
  <c r="K128" i="56"/>
  <c r="L127" i="56"/>
  <c r="K127" i="56"/>
  <c r="L126" i="56"/>
  <c r="K126" i="56"/>
  <c r="L125" i="56"/>
  <c r="K125" i="56"/>
  <c r="L124" i="56"/>
  <c r="K124" i="56"/>
  <c r="L123" i="56"/>
  <c r="K123" i="56"/>
  <c r="L122" i="56"/>
  <c r="K122" i="56"/>
  <c r="L121" i="56"/>
  <c r="K121" i="56"/>
  <c r="L120" i="56"/>
  <c r="K120" i="56"/>
  <c r="L119" i="56"/>
  <c r="K119" i="56"/>
  <c r="L118" i="56"/>
  <c r="K118" i="56"/>
  <c r="L117" i="56"/>
  <c r="K117" i="56"/>
  <c r="L116" i="56"/>
  <c r="K116" i="56"/>
  <c r="L115" i="56"/>
  <c r="K115" i="56"/>
  <c r="L114" i="56"/>
  <c r="K114" i="56"/>
  <c r="L113" i="56"/>
  <c r="K113" i="56"/>
  <c r="L112" i="56"/>
  <c r="K112" i="56"/>
  <c r="L111" i="56"/>
  <c r="K111" i="56"/>
  <c r="L110" i="56"/>
  <c r="K110" i="56"/>
  <c r="L109" i="56"/>
  <c r="K109" i="56"/>
  <c r="L108" i="56"/>
  <c r="K108" i="56"/>
  <c r="L107" i="56"/>
  <c r="K107" i="56"/>
  <c r="L106" i="56"/>
  <c r="K106" i="56"/>
  <c r="L105" i="56"/>
  <c r="K105" i="56"/>
  <c r="L104" i="56"/>
  <c r="K104" i="56"/>
  <c r="L103" i="56"/>
  <c r="K103" i="56"/>
  <c r="L102" i="56"/>
  <c r="K102" i="56"/>
  <c r="L101" i="56"/>
  <c r="K101" i="56"/>
  <c r="L100" i="56"/>
  <c r="K100" i="56"/>
  <c r="L99" i="56"/>
  <c r="K99" i="56"/>
  <c r="L98" i="56"/>
  <c r="K98" i="56"/>
  <c r="L97" i="56"/>
  <c r="K97" i="56"/>
  <c r="L96" i="56"/>
  <c r="K96" i="56"/>
  <c r="L95" i="56"/>
  <c r="K95" i="56"/>
  <c r="L94" i="56"/>
  <c r="K94" i="56"/>
  <c r="L93" i="56"/>
  <c r="K93" i="56"/>
  <c r="L92" i="56"/>
  <c r="K92" i="56"/>
  <c r="L91" i="56"/>
  <c r="K91" i="56"/>
  <c r="L90" i="56"/>
  <c r="K90" i="56"/>
  <c r="L89" i="56"/>
  <c r="K89" i="56"/>
  <c r="L88" i="56"/>
  <c r="K88" i="56"/>
  <c r="L87" i="56"/>
  <c r="K87" i="56"/>
  <c r="L86" i="56"/>
  <c r="K86" i="56"/>
  <c r="L85" i="56"/>
  <c r="K85" i="56"/>
  <c r="L84" i="56"/>
  <c r="K84" i="56"/>
  <c r="L83" i="56"/>
  <c r="K83" i="56"/>
  <c r="L82" i="56"/>
  <c r="K82" i="56"/>
  <c r="L81" i="56"/>
  <c r="K81" i="56"/>
  <c r="L80" i="56"/>
  <c r="K80" i="56"/>
  <c r="L79" i="56"/>
  <c r="K79" i="56"/>
  <c r="L78" i="56"/>
  <c r="K78" i="56"/>
  <c r="L77" i="56"/>
  <c r="K77" i="56"/>
  <c r="L76" i="56"/>
  <c r="K76" i="56"/>
  <c r="L75" i="56"/>
  <c r="K75" i="56"/>
  <c r="L74" i="56"/>
  <c r="K74" i="56"/>
  <c r="L73" i="56"/>
  <c r="K73" i="56"/>
  <c r="L72" i="56"/>
  <c r="K72" i="56"/>
  <c r="L71" i="56"/>
  <c r="K71" i="56"/>
  <c r="L70" i="56"/>
  <c r="K70" i="56"/>
  <c r="L69" i="56"/>
  <c r="K69" i="56"/>
  <c r="L68" i="56"/>
  <c r="K68" i="56"/>
  <c r="L67" i="56"/>
  <c r="K67" i="56"/>
  <c r="L66" i="56"/>
  <c r="K66" i="56"/>
  <c r="L65" i="56"/>
  <c r="K65" i="56"/>
  <c r="L64" i="56"/>
  <c r="K64" i="56"/>
  <c r="L63" i="56"/>
  <c r="K63" i="56"/>
  <c r="L62" i="56"/>
  <c r="K62" i="56"/>
  <c r="L61" i="56"/>
  <c r="K61" i="56"/>
  <c r="L60" i="56"/>
  <c r="K60" i="56"/>
  <c r="L59" i="56"/>
  <c r="K59" i="56"/>
  <c r="L58" i="56"/>
  <c r="K58" i="56"/>
  <c r="L57" i="56"/>
  <c r="K57" i="56"/>
  <c r="L56" i="56"/>
  <c r="K56" i="56"/>
  <c r="L55" i="56"/>
  <c r="K55" i="56"/>
  <c r="L54" i="56"/>
  <c r="K54" i="56"/>
  <c r="L53" i="56"/>
  <c r="K53" i="56"/>
  <c r="L52" i="56"/>
  <c r="K52" i="56"/>
  <c r="L51" i="56"/>
  <c r="K51" i="56"/>
  <c r="L50" i="56"/>
  <c r="K50" i="56"/>
  <c r="L49" i="56"/>
  <c r="K49" i="56"/>
  <c r="L48" i="56"/>
  <c r="K48" i="56"/>
  <c r="L47" i="56"/>
  <c r="K47" i="56"/>
  <c r="L46" i="56"/>
  <c r="K46" i="56"/>
  <c r="L45" i="56"/>
  <c r="K45" i="56"/>
  <c r="L44" i="56"/>
  <c r="K44" i="56"/>
  <c r="L43" i="56"/>
  <c r="K43" i="56"/>
  <c r="L42" i="56"/>
  <c r="K42" i="56"/>
  <c r="L41" i="56"/>
  <c r="K41" i="56"/>
  <c r="L40" i="56"/>
  <c r="K40" i="56"/>
  <c r="L39" i="56"/>
  <c r="K39" i="56"/>
  <c r="L38" i="56"/>
  <c r="K38" i="56"/>
  <c r="L37" i="56"/>
  <c r="K37" i="56"/>
  <c r="L36" i="56"/>
  <c r="K36" i="56"/>
  <c r="L35" i="56"/>
  <c r="K35" i="56"/>
  <c r="L34" i="56"/>
  <c r="K34" i="56"/>
  <c r="L33" i="56"/>
  <c r="K33" i="56"/>
  <c r="L32" i="56"/>
  <c r="K32" i="56"/>
  <c r="L31" i="56"/>
  <c r="K31" i="56"/>
  <c r="L30" i="56"/>
  <c r="K30" i="56"/>
  <c r="L29" i="56"/>
  <c r="K29" i="56"/>
  <c r="L28" i="56"/>
  <c r="K28" i="56"/>
  <c r="L27" i="56"/>
  <c r="K27" i="56"/>
  <c r="L26" i="56"/>
  <c r="K26" i="56"/>
  <c r="L25" i="56"/>
  <c r="K25" i="56"/>
  <c r="L24" i="56"/>
  <c r="K24" i="56"/>
  <c r="L23" i="56"/>
  <c r="K23" i="56"/>
  <c r="L22" i="56"/>
  <c r="K22" i="56"/>
  <c r="L21" i="56"/>
  <c r="K21" i="56"/>
  <c r="L20" i="56"/>
  <c r="K20" i="56"/>
  <c r="L19" i="56"/>
  <c r="K19" i="56"/>
  <c r="L18" i="56"/>
  <c r="K18" i="56"/>
  <c r="L17" i="56"/>
  <c r="K17" i="56"/>
  <c r="L16" i="56"/>
  <c r="K16" i="56"/>
  <c r="B255" i="56"/>
  <c r="B254" i="56"/>
  <c r="B253" i="56"/>
  <c r="B252" i="56"/>
  <c r="B251" i="56"/>
  <c r="B250" i="56"/>
  <c r="B249" i="56"/>
  <c r="B248" i="56"/>
  <c r="B247" i="56"/>
  <c r="B246" i="56"/>
  <c r="B245" i="56"/>
  <c r="B244" i="56"/>
  <c r="B243" i="56"/>
  <c r="B242" i="56"/>
  <c r="B241" i="56"/>
  <c r="B240" i="56"/>
  <c r="B239" i="56"/>
  <c r="B238" i="56"/>
  <c r="B237" i="56"/>
  <c r="B236" i="56"/>
  <c r="B235" i="56"/>
  <c r="B234" i="56"/>
  <c r="B233" i="56"/>
  <c r="B232" i="56"/>
  <c r="B231" i="56"/>
  <c r="B230" i="56"/>
  <c r="B229" i="56"/>
  <c r="B228" i="56"/>
  <c r="B227" i="56"/>
  <c r="B226" i="56"/>
  <c r="B225" i="56"/>
  <c r="B224" i="56"/>
  <c r="B223" i="56"/>
  <c r="B222" i="56"/>
  <c r="B221" i="56"/>
  <c r="B220" i="56"/>
  <c r="B219" i="56"/>
  <c r="B218" i="56"/>
  <c r="B217" i="56"/>
  <c r="B216" i="56"/>
  <c r="B215" i="56"/>
  <c r="B214" i="56"/>
  <c r="B213" i="56"/>
  <c r="B212" i="56"/>
  <c r="B211" i="56"/>
  <c r="B210" i="56"/>
  <c r="B209" i="56"/>
  <c r="B208" i="56"/>
  <c r="B207" i="56"/>
  <c r="B206" i="56"/>
  <c r="B205" i="56"/>
  <c r="B204" i="56"/>
  <c r="B203" i="56"/>
  <c r="B202" i="56"/>
  <c r="B201" i="56"/>
  <c r="B200" i="56"/>
  <c r="B199" i="56"/>
  <c r="B198" i="56"/>
  <c r="B197" i="56"/>
  <c r="B196" i="56"/>
  <c r="B195" i="56"/>
  <c r="B194" i="56"/>
  <c r="B193" i="56"/>
  <c r="B192" i="56"/>
  <c r="B191" i="56"/>
  <c r="B190" i="56"/>
  <c r="B189" i="56"/>
  <c r="B188" i="56"/>
  <c r="B187" i="56"/>
  <c r="B186" i="56"/>
  <c r="B185" i="56"/>
  <c r="B184" i="56"/>
  <c r="B183" i="56"/>
  <c r="B182" i="56"/>
  <c r="B181" i="56"/>
  <c r="B180" i="56"/>
  <c r="B179" i="56"/>
  <c r="B178" i="56"/>
  <c r="B177" i="56"/>
  <c r="B176" i="56"/>
  <c r="B175" i="56"/>
  <c r="B174" i="56"/>
  <c r="B173" i="56"/>
  <c r="B172" i="56"/>
  <c r="B171" i="56"/>
  <c r="B170" i="56"/>
  <c r="B169" i="56"/>
  <c r="B168" i="56"/>
  <c r="B167" i="56"/>
  <c r="B166" i="56"/>
  <c r="B165" i="56"/>
  <c r="B164" i="56"/>
  <c r="B163" i="56"/>
  <c r="B162" i="56"/>
  <c r="B161" i="56"/>
  <c r="B160" i="56"/>
  <c r="B159" i="56"/>
  <c r="B158" i="56"/>
  <c r="B157" i="56"/>
  <c r="B156" i="56"/>
  <c r="B155" i="56"/>
  <c r="B154" i="56"/>
  <c r="B153" i="56"/>
  <c r="B152" i="56"/>
  <c r="B151" i="56"/>
  <c r="B150" i="56"/>
  <c r="B149" i="56"/>
  <c r="B148" i="56"/>
  <c r="B147" i="56"/>
  <c r="B146" i="56"/>
  <c r="B145" i="56"/>
  <c r="B144" i="56"/>
  <c r="B143" i="56"/>
  <c r="B142" i="56"/>
  <c r="B141" i="56"/>
  <c r="B140" i="56"/>
  <c r="B139" i="56"/>
  <c r="B138" i="56"/>
  <c r="B137" i="56"/>
  <c r="B136" i="56"/>
  <c r="B135" i="56"/>
  <c r="B134" i="56"/>
  <c r="B133" i="56"/>
  <c r="B132" i="56"/>
  <c r="B131" i="56"/>
  <c r="B130" i="56"/>
  <c r="B129" i="56"/>
  <c r="B128" i="56"/>
  <c r="B127" i="56"/>
  <c r="B126" i="56"/>
  <c r="B125" i="56"/>
  <c r="B124" i="56"/>
  <c r="B123" i="56"/>
  <c r="B122" i="56"/>
  <c r="B121" i="56"/>
  <c r="B120" i="56"/>
  <c r="B119" i="56"/>
  <c r="B118" i="56"/>
  <c r="B117" i="56"/>
  <c r="B116" i="56"/>
  <c r="B115" i="56"/>
  <c r="B114" i="56"/>
  <c r="B113" i="56"/>
  <c r="B112" i="56"/>
  <c r="B111" i="56"/>
  <c r="B110" i="56"/>
  <c r="B109" i="56"/>
  <c r="B108" i="56"/>
  <c r="B107" i="56"/>
  <c r="B106" i="56"/>
  <c r="B105" i="56"/>
  <c r="B104" i="56"/>
  <c r="B103" i="56"/>
  <c r="B102" i="56"/>
  <c r="B101" i="56"/>
  <c r="B100" i="56"/>
  <c r="B99" i="56"/>
  <c r="B98" i="56"/>
  <c r="B97" i="56"/>
  <c r="B96" i="56"/>
  <c r="B95" i="56"/>
  <c r="B94" i="56"/>
  <c r="B93" i="56"/>
  <c r="B92" i="56"/>
  <c r="B91" i="56"/>
  <c r="B90" i="56"/>
  <c r="B89" i="56"/>
  <c r="B88" i="56"/>
  <c r="B87" i="56"/>
  <c r="B86" i="56"/>
  <c r="B85" i="56"/>
  <c r="B84" i="56"/>
  <c r="B83" i="56"/>
  <c r="B82" i="56"/>
  <c r="B81" i="56"/>
  <c r="B80" i="56"/>
  <c r="B79" i="56"/>
  <c r="B78" i="56"/>
  <c r="B77" i="56"/>
  <c r="B76" i="56"/>
  <c r="B75" i="56"/>
  <c r="B74" i="56"/>
  <c r="B73" i="56"/>
  <c r="B72" i="56"/>
  <c r="B71" i="56"/>
  <c r="B70" i="56"/>
  <c r="B69" i="56"/>
  <c r="B68" i="56"/>
  <c r="B67" i="56"/>
  <c r="B66" i="56"/>
  <c r="B65" i="56"/>
  <c r="B64" i="56"/>
  <c r="B63" i="56"/>
  <c r="B62" i="56"/>
  <c r="B61" i="56"/>
  <c r="B60" i="56"/>
  <c r="B59" i="56"/>
  <c r="B58" i="56"/>
  <c r="B57" i="56"/>
  <c r="B56" i="56"/>
  <c r="B55" i="56"/>
  <c r="B54" i="56"/>
  <c r="B53" i="56"/>
  <c r="B52" i="56"/>
  <c r="B51" i="56"/>
  <c r="B50" i="56"/>
  <c r="B49" i="56"/>
  <c r="B48" i="56"/>
  <c r="B47" i="56"/>
  <c r="B46" i="56"/>
  <c r="B45" i="56"/>
  <c r="B44" i="56"/>
  <c r="B43" i="56"/>
  <c r="B42" i="56"/>
  <c r="B41" i="56"/>
  <c r="B40" i="56"/>
  <c r="B39" i="56"/>
  <c r="B38" i="56"/>
  <c r="B37" i="56"/>
  <c r="B36" i="56"/>
  <c r="B35" i="56"/>
  <c r="B34" i="56"/>
  <c r="B33" i="56"/>
  <c r="B32" i="56"/>
  <c r="B31" i="56"/>
  <c r="B30" i="56"/>
  <c r="B29" i="56"/>
  <c r="B28" i="56"/>
  <c r="B27" i="56"/>
  <c r="B26" i="56"/>
  <c r="B25" i="56"/>
  <c r="B24" i="56"/>
  <c r="B16" i="56"/>
  <c r="B17" i="56"/>
  <c r="B18" i="56"/>
  <c r="B19" i="56"/>
  <c r="B20" i="56"/>
  <c r="B21" i="56"/>
  <c r="B22" i="56"/>
  <c r="B23" i="56"/>
  <c r="A8" i="56"/>
  <c r="C46" i="5"/>
  <c r="C32" i="5"/>
  <c r="C47" i="5"/>
  <c r="C56" i="5"/>
  <c r="C55" i="5"/>
  <c r="C54" i="5"/>
  <c r="C53" i="5"/>
  <c r="C52" i="5"/>
  <c r="C51" i="5"/>
  <c r="C50" i="5"/>
  <c r="C49" i="5"/>
  <c r="C48" i="5"/>
  <c r="B16" i="54"/>
  <c r="B17" i="54"/>
  <c r="B18" i="54"/>
  <c r="B19" i="54"/>
  <c r="B20" i="54"/>
  <c r="B21" i="54"/>
  <c r="B22" i="54"/>
  <c r="B23" i="54"/>
  <c r="B24" i="54"/>
  <c r="B25" i="54"/>
  <c r="B26" i="54"/>
  <c r="B27" i="54"/>
  <c r="B28" i="54"/>
  <c r="B29" i="54"/>
  <c r="B30" i="54"/>
  <c r="B31" i="54"/>
  <c r="B32" i="54"/>
  <c r="B33" i="54"/>
  <c r="B34" i="54"/>
  <c r="B35" i="54"/>
  <c r="B36" i="54"/>
  <c r="B37" i="54"/>
  <c r="B38" i="54"/>
  <c r="B39" i="54"/>
  <c r="B40" i="54"/>
  <c r="B41" i="54"/>
  <c r="B42" i="54"/>
  <c r="B43" i="54"/>
  <c r="B44" i="54"/>
  <c r="B45" i="54"/>
  <c r="B46" i="54"/>
  <c r="B47" i="54"/>
  <c r="B48" i="54"/>
  <c r="B49" i="54"/>
  <c r="B50" i="54"/>
  <c r="B51" i="54"/>
  <c r="B52" i="54"/>
  <c r="B53" i="54"/>
  <c r="B54" i="54"/>
  <c r="B55" i="54"/>
  <c r="B56" i="54"/>
  <c r="B57" i="54"/>
  <c r="B58" i="54"/>
  <c r="B59" i="54"/>
  <c r="B60" i="54"/>
  <c r="B61" i="54"/>
  <c r="B62" i="54"/>
  <c r="B63" i="54"/>
  <c r="B64" i="54"/>
  <c r="B65" i="54"/>
  <c r="B66" i="54"/>
  <c r="B67" i="54"/>
  <c r="B68" i="54"/>
  <c r="B69" i="54"/>
  <c r="B70" i="54"/>
  <c r="B71" i="54"/>
  <c r="B72" i="54"/>
  <c r="B73" i="54"/>
  <c r="B74" i="54"/>
  <c r="B75" i="54"/>
  <c r="B76" i="54"/>
  <c r="B77" i="54"/>
  <c r="B78" i="54"/>
  <c r="B79" i="54"/>
  <c r="B80" i="54"/>
  <c r="B81" i="54"/>
  <c r="B82" i="54"/>
  <c r="B83" i="54"/>
  <c r="B84" i="54"/>
  <c r="B85" i="54"/>
  <c r="B86" i="54"/>
  <c r="B87" i="54"/>
  <c r="B88" i="54"/>
  <c r="B89" i="54"/>
  <c r="B90" i="54"/>
  <c r="B91" i="54"/>
  <c r="B92" i="54"/>
  <c r="B93" i="54"/>
  <c r="B94" i="54"/>
  <c r="B95" i="54"/>
  <c r="B96" i="54"/>
  <c r="B97" i="54"/>
  <c r="B98" i="54"/>
  <c r="B99" i="54"/>
  <c r="B100" i="54"/>
  <c r="B101" i="54"/>
  <c r="B102" i="54"/>
  <c r="B103" i="54"/>
  <c r="B104" i="54"/>
  <c r="B105" i="54"/>
  <c r="B106" i="54"/>
  <c r="B107" i="54"/>
  <c r="B108" i="54"/>
  <c r="B109" i="54"/>
  <c r="B110" i="54"/>
  <c r="B111" i="54"/>
  <c r="B112" i="54"/>
  <c r="B113" i="54"/>
  <c r="B114" i="54"/>
  <c r="B115" i="54"/>
  <c r="B116" i="54"/>
  <c r="B117" i="54"/>
  <c r="B118" i="54"/>
  <c r="B119" i="54"/>
  <c r="B120" i="54"/>
  <c r="B121" i="54"/>
  <c r="B122" i="54"/>
  <c r="B123" i="54"/>
  <c r="B124" i="54"/>
  <c r="B125" i="54"/>
  <c r="B126" i="54"/>
  <c r="B127" i="54"/>
  <c r="B128" i="54"/>
  <c r="B129" i="54"/>
  <c r="B130" i="54"/>
  <c r="B131" i="54"/>
  <c r="B132" i="54"/>
  <c r="B133" i="54"/>
  <c r="B134" i="54"/>
  <c r="B135" i="54"/>
  <c r="B136" i="54"/>
  <c r="B137" i="54"/>
  <c r="B138" i="54"/>
  <c r="B139" i="54"/>
  <c r="B140" i="54"/>
  <c r="B141" i="54"/>
  <c r="B142" i="54"/>
  <c r="B143" i="54"/>
  <c r="B144" i="54"/>
  <c r="B145" i="54"/>
  <c r="B146" i="54"/>
  <c r="B147" i="54"/>
  <c r="B148" i="54"/>
  <c r="B149" i="54"/>
  <c r="B150" i="54"/>
  <c r="B151" i="54"/>
  <c r="B152" i="54"/>
  <c r="B153" i="54"/>
  <c r="B154" i="54"/>
  <c r="B155" i="54"/>
  <c r="B156" i="54"/>
  <c r="B157" i="54"/>
  <c r="B158" i="54"/>
  <c r="B159" i="54"/>
  <c r="B160" i="54"/>
  <c r="B161" i="54"/>
  <c r="B162" i="54"/>
  <c r="B163" i="54"/>
  <c r="B164" i="54"/>
  <c r="B165" i="54"/>
  <c r="B166" i="54"/>
  <c r="B167" i="54"/>
  <c r="B168" i="54"/>
  <c r="B169" i="54"/>
  <c r="B170" i="54"/>
  <c r="B171" i="54"/>
  <c r="B172" i="54"/>
  <c r="B173" i="54"/>
  <c r="B174" i="54"/>
  <c r="B175" i="54"/>
  <c r="B176" i="54"/>
  <c r="B177" i="54"/>
  <c r="B178" i="54"/>
  <c r="B179" i="54"/>
  <c r="B180" i="54"/>
  <c r="B181" i="54"/>
  <c r="B182" i="54"/>
  <c r="B183" i="54"/>
  <c r="B184" i="54"/>
  <c r="B185" i="54"/>
  <c r="B186" i="54"/>
  <c r="B187" i="54"/>
  <c r="B188" i="54"/>
  <c r="B189" i="54"/>
  <c r="B190" i="54"/>
  <c r="B191" i="54"/>
  <c r="B192" i="54"/>
  <c r="B193" i="54"/>
  <c r="B194" i="54"/>
  <c r="B195" i="54"/>
  <c r="B196" i="54"/>
  <c r="B197" i="54"/>
  <c r="B198" i="54"/>
  <c r="B199" i="54"/>
  <c r="B200" i="54"/>
  <c r="B201" i="54"/>
  <c r="B202" i="54"/>
  <c r="B203" i="54"/>
  <c r="B204" i="54"/>
  <c r="B205" i="54"/>
  <c r="B206" i="54"/>
  <c r="B207" i="54"/>
  <c r="B208" i="54"/>
  <c r="B209" i="54"/>
  <c r="B210" i="54"/>
  <c r="B211" i="54"/>
  <c r="B212" i="54"/>
  <c r="B213" i="54"/>
  <c r="B214" i="54"/>
  <c r="B215" i="54"/>
  <c r="B216" i="54"/>
  <c r="B217" i="54"/>
  <c r="B218" i="54"/>
  <c r="B219" i="54"/>
  <c r="B220" i="54"/>
  <c r="B221" i="54"/>
  <c r="B222" i="54"/>
  <c r="B223" i="54"/>
  <c r="B224" i="54"/>
  <c r="B225" i="54"/>
  <c r="B226" i="54"/>
  <c r="B227" i="54"/>
  <c r="B228" i="54"/>
  <c r="B229" i="54"/>
  <c r="B230" i="54"/>
  <c r="B231" i="54"/>
  <c r="B232" i="54"/>
  <c r="B233" i="54"/>
  <c r="B234" i="54"/>
  <c r="B235" i="54"/>
  <c r="B236" i="54"/>
  <c r="B237" i="54"/>
  <c r="B238" i="54"/>
  <c r="B239" i="54"/>
  <c r="B240" i="54"/>
  <c r="B241" i="54"/>
  <c r="B242" i="54"/>
  <c r="B243" i="54"/>
  <c r="B244" i="54"/>
  <c r="B245" i="54"/>
  <c r="B246" i="54"/>
  <c r="B247" i="54"/>
  <c r="B248" i="54"/>
  <c r="B249" i="54"/>
  <c r="B250" i="54"/>
  <c r="B251" i="54"/>
  <c r="B252" i="54"/>
  <c r="B253" i="54"/>
  <c r="B254" i="54"/>
  <c r="B255" i="54"/>
  <c r="B256" i="54"/>
  <c r="B257" i="54"/>
  <c r="B258" i="54"/>
  <c r="B259" i="54"/>
  <c r="B260" i="54"/>
  <c r="B261" i="54"/>
  <c r="B262" i="54"/>
  <c r="B263" i="54"/>
  <c r="B264" i="54"/>
  <c r="B265" i="54"/>
  <c r="B266" i="54"/>
  <c r="B267" i="54"/>
  <c r="B268" i="54"/>
  <c r="B269" i="54"/>
  <c r="B270" i="54"/>
  <c r="B271" i="54"/>
  <c r="B272" i="54"/>
  <c r="B273" i="54"/>
  <c r="B274" i="54"/>
  <c r="B275" i="54"/>
  <c r="B276" i="54"/>
  <c r="B277" i="54"/>
  <c r="B278" i="54"/>
  <c r="B279" i="54"/>
  <c r="B280" i="54"/>
  <c r="B281" i="54"/>
  <c r="B282" i="54"/>
  <c r="B283" i="54"/>
  <c r="B284" i="54"/>
  <c r="B285" i="54"/>
  <c r="B286" i="54"/>
  <c r="B287" i="54"/>
  <c r="B288" i="54"/>
  <c r="B289" i="54"/>
  <c r="B290" i="54"/>
  <c r="B291" i="54"/>
  <c r="B292" i="54"/>
  <c r="B293" i="54"/>
  <c r="B294" i="54"/>
  <c r="B295" i="54"/>
  <c r="B296" i="54"/>
  <c r="B297" i="54"/>
  <c r="B298" i="54"/>
  <c r="B299" i="54"/>
  <c r="B300" i="54"/>
  <c r="B301" i="54"/>
  <c r="B302" i="54"/>
  <c r="B303" i="54"/>
  <c r="B304" i="54"/>
  <c r="B305" i="54"/>
  <c r="B306" i="54"/>
  <c r="B307" i="54"/>
  <c r="B308" i="54"/>
  <c r="B309" i="54"/>
  <c r="B310" i="54"/>
  <c r="B311" i="54"/>
  <c r="B312" i="54"/>
  <c r="B313" i="54"/>
  <c r="B314" i="54"/>
  <c r="B315" i="54"/>
  <c r="B316" i="54"/>
  <c r="B317" i="54"/>
  <c r="B318" i="54"/>
  <c r="B319" i="54"/>
  <c r="B320" i="54"/>
  <c r="B321" i="54"/>
  <c r="B322" i="54"/>
  <c r="B323" i="54"/>
  <c r="B324" i="54"/>
  <c r="B325" i="54"/>
  <c r="B326" i="54"/>
  <c r="B327" i="54"/>
  <c r="B328" i="54"/>
  <c r="B329" i="54"/>
  <c r="B330" i="54"/>
  <c r="B331" i="54"/>
  <c r="B332" i="54"/>
  <c r="B333" i="54"/>
  <c r="B334" i="54"/>
  <c r="B335" i="54"/>
  <c r="B336" i="54"/>
  <c r="B337" i="54"/>
  <c r="B338" i="54"/>
  <c r="B339" i="54"/>
  <c r="B340" i="54"/>
  <c r="B341" i="54"/>
  <c r="B342" i="54"/>
  <c r="B343" i="54"/>
  <c r="B344" i="54"/>
  <c r="B345" i="54"/>
  <c r="B346" i="54"/>
  <c r="B347" i="54"/>
  <c r="B348" i="54"/>
  <c r="B349" i="54"/>
  <c r="B350" i="54"/>
  <c r="B351" i="54"/>
  <c r="B352" i="54"/>
  <c r="B353" i="54"/>
  <c r="B354" i="54"/>
  <c r="B355" i="54"/>
  <c r="B356" i="54"/>
  <c r="B357" i="54"/>
  <c r="B358" i="54"/>
  <c r="B359" i="54"/>
  <c r="B360" i="54"/>
  <c r="B361" i="54"/>
  <c r="B362" i="54"/>
  <c r="B363" i="54"/>
  <c r="B364" i="54"/>
  <c r="B365" i="54"/>
  <c r="B366" i="54"/>
  <c r="B367" i="54"/>
  <c r="B368" i="54"/>
  <c r="B369" i="54"/>
  <c r="B370" i="54"/>
  <c r="B371" i="54"/>
  <c r="B372" i="54"/>
  <c r="B373" i="54"/>
  <c r="B374" i="54"/>
  <c r="B375" i="54"/>
  <c r="AX16" i="54"/>
  <c r="AX17" i="54"/>
  <c r="AX18" i="54"/>
  <c r="AX19" i="54"/>
  <c r="AX20" i="54"/>
  <c r="AX21" i="54"/>
  <c r="AX22" i="54"/>
  <c r="AX23" i="54"/>
  <c r="AX24" i="54"/>
  <c r="AX25" i="54"/>
  <c r="AX26" i="54"/>
  <c r="AX27" i="54"/>
  <c r="AX28" i="54"/>
  <c r="AX29" i="54"/>
  <c r="AX30" i="54"/>
  <c r="AX31" i="54"/>
  <c r="AX32" i="54"/>
  <c r="AX33" i="54"/>
  <c r="AX34" i="54"/>
  <c r="AX35" i="54"/>
  <c r="AX36" i="54"/>
  <c r="AX37" i="54"/>
  <c r="AX38" i="54"/>
  <c r="AX39" i="54"/>
  <c r="AX40" i="54"/>
  <c r="AX41" i="54"/>
  <c r="AX42" i="54"/>
  <c r="AX43" i="54"/>
  <c r="AX44" i="54"/>
  <c r="AX45" i="54"/>
  <c r="AX46" i="54"/>
  <c r="AX47" i="54"/>
  <c r="AX48" i="54"/>
  <c r="AX49" i="54"/>
  <c r="AX50" i="54"/>
  <c r="AX51" i="54"/>
  <c r="AX52" i="54"/>
  <c r="AX53" i="54"/>
  <c r="AX54" i="54"/>
  <c r="AX55" i="54"/>
  <c r="AX56" i="54"/>
  <c r="AX57" i="54"/>
  <c r="AX58" i="54"/>
  <c r="AX59" i="54"/>
  <c r="AX60" i="54"/>
  <c r="AX61" i="54"/>
  <c r="AX62" i="54"/>
  <c r="AX63" i="54"/>
  <c r="AX64" i="54"/>
  <c r="AX65" i="54"/>
  <c r="AX66" i="54"/>
  <c r="AX67" i="54"/>
  <c r="AX68" i="54"/>
  <c r="AX69" i="54"/>
  <c r="AX70" i="54"/>
  <c r="AX71" i="54"/>
  <c r="AX72" i="54"/>
  <c r="AX73" i="54"/>
  <c r="AX74" i="54"/>
  <c r="AX75" i="54"/>
  <c r="AX76" i="54"/>
  <c r="AX77" i="54"/>
  <c r="AX78" i="54"/>
  <c r="AX79" i="54"/>
  <c r="AX80" i="54"/>
  <c r="AX81" i="54"/>
  <c r="AX82" i="54"/>
  <c r="AX83" i="54"/>
  <c r="AX84" i="54"/>
  <c r="AX85" i="54"/>
  <c r="AX86" i="54"/>
  <c r="AX87" i="54"/>
  <c r="AX88" i="54"/>
  <c r="AX89" i="54"/>
  <c r="AX90" i="54"/>
  <c r="AX91" i="54"/>
  <c r="AX92" i="54"/>
  <c r="AX93" i="54"/>
  <c r="AX94" i="54"/>
  <c r="AX95" i="54"/>
  <c r="AX96" i="54"/>
  <c r="AX97" i="54"/>
  <c r="AX98" i="54"/>
  <c r="AX99" i="54"/>
  <c r="AX100" i="54"/>
  <c r="AX101" i="54"/>
  <c r="AX102" i="54"/>
  <c r="AX103" i="54"/>
  <c r="AX104" i="54"/>
  <c r="AX105" i="54"/>
  <c r="AX106" i="54"/>
  <c r="AX107" i="54"/>
  <c r="AX108" i="54"/>
  <c r="AX109" i="54"/>
  <c r="AX110" i="54"/>
  <c r="AX111" i="54"/>
  <c r="AX112" i="54"/>
  <c r="AX113" i="54"/>
  <c r="AX114" i="54"/>
  <c r="AX115" i="54"/>
  <c r="AX116" i="54"/>
  <c r="AX117" i="54"/>
  <c r="AX118" i="54"/>
  <c r="AX119" i="54"/>
  <c r="AX120" i="54"/>
  <c r="AX121" i="54"/>
  <c r="AX122" i="54"/>
  <c r="AX123" i="54"/>
  <c r="AX124" i="54"/>
  <c r="AX125" i="54"/>
  <c r="AX126" i="54"/>
  <c r="AX127" i="54"/>
  <c r="AX128" i="54"/>
  <c r="AX129" i="54"/>
  <c r="AX130" i="54"/>
  <c r="AX131" i="54"/>
  <c r="AX132" i="54"/>
  <c r="AX133" i="54"/>
  <c r="AX134" i="54"/>
  <c r="AX135" i="54"/>
  <c r="AX136" i="54"/>
  <c r="AX137" i="54"/>
  <c r="AX138" i="54"/>
  <c r="AX139" i="54"/>
  <c r="AX140" i="54"/>
  <c r="AX141" i="54"/>
  <c r="AX142" i="54"/>
  <c r="AX143" i="54"/>
  <c r="AX144" i="54"/>
  <c r="AX145" i="54"/>
  <c r="AX146" i="54"/>
  <c r="AX147" i="54"/>
  <c r="AX148" i="54"/>
  <c r="AX149" i="54"/>
  <c r="AX150" i="54"/>
  <c r="AX151" i="54"/>
  <c r="AX152" i="54"/>
  <c r="AX153" i="54"/>
  <c r="AX154" i="54"/>
  <c r="AX155" i="54"/>
  <c r="AX156" i="54"/>
  <c r="AX157" i="54"/>
  <c r="AX158" i="54"/>
  <c r="AX159" i="54"/>
  <c r="AX160" i="54"/>
  <c r="AX161" i="54"/>
  <c r="AX162" i="54"/>
  <c r="AX163" i="54"/>
  <c r="AX164" i="54"/>
  <c r="AX165" i="54"/>
  <c r="AX166" i="54"/>
  <c r="AX167" i="54"/>
  <c r="AX168" i="54"/>
  <c r="AX169" i="54"/>
  <c r="AX170" i="54"/>
  <c r="AX171" i="54"/>
  <c r="AX172" i="54"/>
  <c r="AX173" i="54"/>
  <c r="AX174" i="54"/>
  <c r="AX175" i="54"/>
  <c r="AX176" i="54"/>
  <c r="AX177" i="54"/>
  <c r="AX178" i="54"/>
  <c r="AX179" i="54"/>
  <c r="AX180" i="54"/>
  <c r="AX181" i="54"/>
  <c r="AX182" i="54"/>
  <c r="AX183" i="54"/>
  <c r="AX184" i="54"/>
  <c r="AX185" i="54"/>
  <c r="AX186" i="54"/>
  <c r="AX187" i="54"/>
  <c r="AX188" i="54"/>
  <c r="AX189" i="54"/>
  <c r="AX190" i="54"/>
  <c r="AX191" i="54"/>
  <c r="AX192" i="54"/>
  <c r="AX193" i="54"/>
  <c r="AX194" i="54"/>
  <c r="AX195" i="54"/>
  <c r="AX196" i="54"/>
  <c r="AX197" i="54"/>
  <c r="AX198" i="54"/>
  <c r="AX199" i="54"/>
  <c r="AX200" i="54"/>
  <c r="AX201" i="54"/>
  <c r="AX202" i="54"/>
  <c r="AX203" i="54"/>
  <c r="AX204" i="54"/>
  <c r="AX205" i="54"/>
  <c r="AX206" i="54"/>
  <c r="AX207" i="54"/>
  <c r="AX208" i="54"/>
  <c r="AX209" i="54"/>
  <c r="AX210" i="54"/>
  <c r="AX211" i="54"/>
  <c r="AX212" i="54"/>
  <c r="AX213" i="54"/>
  <c r="AX214" i="54"/>
  <c r="AX215" i="54"/>
  <c r="AX216" i="54"/>
  <c r="AX217" i="54"/>
  <c r="AX218" i="54"/>
  <c r="AX219" i="54"/>
  <c r="AX220" i="54"/>
  <c r="AX221" i="54"/>
  <c r="AX222" i="54"/>
  <c r="AX223" i="54"/>
  <c r="AX224" i="54"/>
  <c r="AX225" i="54"/>
  <c r="AX226" i="54"/>
  <c r="AX227" i="54"/>
  <c r="AX228" i="54"/>
  <c r="AX229" i="54"/>
  <c r="AX230" i="54"/>
  <c r="AX231" i="54"/>
  <c r="AX232" i="54"/>
  <c r="AX233" i="54"/>
  <c r="AX234" i="54"/>
  <c r="AX235" i="54"/>
  <c r="AX236" i="54"/>
  <c r="AX237" i="54"/>
  <c r="AX238" i="54"/>
  <c r="AX239" i="54"/>
  <c r="AX240" i="54"/>
  <c r="AX241" i="54"/>
  <c r="AX242" i="54"/>
  <c r="AX243" i="54"/>
  <c r="AX244" i="54"/>
  <c r="AX245" i="54"/>
  <c r="AX246" i="54"/>
  <c r="AX247" i="54"/>
  <c r="AX248" i="54"/>
  <c r="AX249" i="54"/>
  <c r="AX250" i="54"/>
  <c r="AX251" i="54"/>
  <c r="AX252" i="54"/>
  <c r="AX253" i="54"/>
  <c r="AX254" i="54"/>
  <c r="AX255" i="54"/>
  <c r="AX256" i="54"/>
  <c r="AX257" i="54"/>
  <c r="AX258" i="54"/>
  <c r="AX259" i="54"/>
  <c r="AX260" i="54"/>
  <c r="AX261" i="54"/>
  <c r="AX262" i="54"/>
  <c r="AX263" i="54"/>
  <c r="AX264" i="54"/>
  <c r="AX265" i="54"/>
  <c r="AX266" i="54"/>
  <c r="AX267" i="54"/>
  <c r="AX268" i="54"/>
  <c r="AX269" i="54"/>
  <c r="AX270" i="54"/>
  <c r="AX271" i="54"/>
  <c r="AX272" i="54"/>
  <c r="AX273" i="54"/>
  <c r="AX274" i="54"/>
  <c r="AX275" i="54"/>
  <c r="AX276" i="54"/>
  <c r="AX277" i="54"/>
  <c r="AX278" i="54"/>
  <c r="AX279" i="54"/>
  <c r="AX280" i="54"/>
  <c r="AX281" i="54"/>
  <c r="AX282" i="54"/>
  <c r="AX283" i="54"/>
  <c r="AX284" i="54"/>
  <c r="AX285" i="54"/>
  <c r="AX286" i="54"/>
  <c r="AX287" i="54"/>
  <c r="AX288" i="54"/>
  <c r="AX289" i="54"/>
  <c r="AX290" i="54"/>
  <c r="AX291" i="54"/>
  <c r="AX292" i="54"/>
  <c r="AX293" i="54"/>
  <c r="AX294" i="54"/>
  <c r="AX295" i="54"/>
  <c r="AX296" i="54"/>
  <c r="AX297" i="54"/>
  <c r="AX298" i="54"/>
  <c r="AX299" i="54"/>
  <c r="AX300" i="54"/>
  <c r="AX301" i="54"/>
  <c r="AX302" i="54"/>
  <c r="AX303" i="54"/>
  <c r="AX304" i="54"/>
  <c r="AX305" i="54"/>
  <c r="AX306" i="54"/>
  <c r="AX307" i="54"/>
  <c r="AX308" i="54"/>
  <c r="AX309" i="54"/>
  <c r="AX310" i="54"/>
  <c r="AX311" i="54"/>
  <c r="AX312" i="54"/>
  <c r="AX313" i="54"/>
  <c r="AX314" i="54"/>
  <c r="AX315" i="54"/>
  <c r="AX316" i="54"/>
  <c r="AX317" i="54"/>
  <c r="AX318" i="54"/>
  <c r="AX319" i="54"/>
  <c r="AX320" i="54"/>
  <c r="AX321" i="54"/>
  <c r="AX322" i="54"/>
  <c r="AX323" i="54"/>
  <c r="AX324" i="54"/>
  <c r="AX325" i="54"/>
  <c r="AX326" i="54"/>
  <c r="AX327" i="54"/>
  <c r="AX328" i="54"/>
  <c r="AX329" i="54"/>
  <c r="AX330" i="54"/>
  <c r="AX331" i="54"/>
  <c r="AX332" i="54"/>
  <c r="AX333" i="54"/>
  <c r="AX334" i="54"/>
  <c r="AX335" i="54"/>
  <c r="AX336" i="54"/>
  <c r="AX337" i="54"/>
  <c r="AX338" i="54"/>
  <c r="AX339" i="54"/>
  <c r="AX340" i="54"/>
  <c r="AX341" i="54"/>
  <c r="AX342" i="54"/>
  <c r="AX343" i="54"/>
  <c r="AX344" i="54"/>
  <c r="AX345" i="54"/>
  <c r="AX346" i="54"/>
  <c r="AX347" i="54"/>
  <c r="AX348" i="54"/>
  <c r="AX349" i="54"/>
  <c r="AX350" i="54"/>
  <c r="AX351" i="54"/>
  <c r="AX352" i="54"/>
  <c r="AX353" i="54"/>
  <c r="AX354" i="54"/>
  <c r="AX355" i="54"/>
  <c r="AX356" i="54"/>
  <c r="AX357" i="54"/>
  <c r="AX358" i="54"/>
  <c r="AX359" i="54"/>
  <c r="AX360" i="54"/>
  <c r="AX361" i="54"/>
  <c r="AX362" i="54"/>
  <c r="AX363" i="54"/>
  <c r="AX364" i="54"/>
  <c r="AX365" i="54"/>
  <c r="AX366" i="54"/>
  <c r="AX367" i="54"/>
  <c r="AX368" i="54"/>
  <c r="AX369" i="54"/>
  <c r="AX370" i="54"/>
  <c r="AX371" i="54"/>
  <c r="AX372" i="54"/>
  <c r="AX373" i="54"/>
  <c r="AX374" i="54"/>
  <c r="AX375" i="54"/>
  <c r="AN16" i="54"/>
  <c r="AN17" i="54"/>
  <c r="AN18" i="54"/>
  <c r="AN19" i="54"/>
  <c r="AN20" i="54"/>
  <c r="AN21" i="54"/>
  <c r="AN22" i="54"/>
  <c r="AN23" i="54"/>
  <c r="AN24" i="54"/>
  <c r="AN25" i="54"/>
  <c r="AN26" i="54"/>
  <c r="AN27" i="54"/>
  <c r="AN28" i="54"/>
  <c r="AN29" i="54"/>
  <c r="AN30" i="54"/>
  <c r="AN31" i="54"/>
  <c r="AN32" i="54"/>
  <c r="AN33" i="54"/>
  <c r="AN34" i="54"/>
  <c r="AN35" i="54"/>
  <c r="AN36" i="54"/>
  <c r="AN37" i="54"/>
  <c r="AN38" i="54"/>
  <c r="AN39" i="54"/>
  <c r="AN40" i="54"/>
  <c r="AN41" i="54"/>
  <c r="AN42" i="54"/>
  <c r="AN43" i="54"/>
  <c r="AN44" i="54"/>
  <c r="AN45" i="54"/>
  <c r="AN46" i="54"/>
  <c r="AN47" i="54"/>
  <c r="AN48" i="54"/>
  <c r="AN49" i="54"/>
  <c r="AN50" i="54"/>
  <c r="AN51" i="54"/>
  <c r="AN52" i="54"/>
  <c r="AN53" i="54"/>
  <c r="AN54" i="54"/>
  <c r="AN55" i="54"/>
  <c r="AN56" i="54"/>
  <c r="AN57" i="54"/>
  <c r="AN58" i="54"/>
  <c r="AN59" i="54"/>
  <c r="AN60" i="54"/>
  <c r="AN61" i="54"/>
  <c r="AN62" i="54"/>
  <c r="AN63" i="54"/>
  <c r="AN64" i="54"/>
  <c r="AN65" i="54"/>
  <c r="AN66" i="54"/>
  <c r="AN67" i="54"/>
  <c r="AN68" i="54"/>
  <c r="AN69" i="54"/>
  <c r="AN70" i="54"/>
  <c r="AN71" i="54"/>
  <c r="AN72" i="54"/>
  <c r="AN73" i="54"/>
  <c r="AN74" i="54"/>
  <c r="AN75" i="54"/>
  <c r="AN76" i="54"/>
  <c r="AN77" i="54"/>
  <c r="AN78" i="54"/>
  <c r="AN79" i="54"/>
  <c r="AN80" i="54"/>
  <c r="AN81" i="54"/>
  <c r="AN82" i="54"/>
  <c r="AN83" i="54"/>
  <c r="AN84" i="54"/>
  <c r="AN85" i="54"/>
  <c r="AN86" i="54"/>
  <c r="AN87" i="54"/>
  <c r="AN88" i="54"/>
  <c r="AN89" i="54"/>
  <c r="AN90" i="54"/>
  <c r="AN91" i="54"/>
  <c r="AN92" i="54"/>
  <c r="AN93" i="54"/>
  <c r="AN94" i="54"/>
  <c r="AN95" i="54"/>
  <c r="AN96" i="54"/>
  <c r="AN97" i="54"/>
  <c r="AN98" i="54"/>
  <c r="AN99" i="54"/>
  <c r="AN100" i="54"/>
  <c r="AN101" i="54"/>
  <c r="AN102" i="54"/>
  <c r="AN103" i="54"/>
  <c r="AN104" i="54"/>
  <c r="AN105" i="54"/>
  <c r="AN106" i="54"/>
  <c r="AN107" i="54"/>
  <c r="AN108" i="54"/>
  <c r="AN109" i="54"/>
  <c r="AN110" i="54"/>
  <c r="AN111" i="54"/>
  <c r="AN112" i="54"/>
  <c r="AN113" i="54"/>
  <c r="AN114" i="54"/>
  <c r="AN115" i="54"/>
  <c r="AN116" i="54"/>
  <c r="AN117" i="54"/>
  <c r="AN118" i="54"/>
  <c r="AN119" i="54"/>
  <c r="AN120" i="54"/>
  <c r="AN121" i="54"/>
  <c r="AN122" i="54"/>
  <c r="AN123" i="54"/>
  <c r="AN124" i="54"/>
  <c r="AN125" i="54"/>
  <c r="AN126" i="54"/>
  <c r="AN127" i="54"/>
  <c r="AN128" i="54"/>
  <c r="AN129" i="54"/>
  <c r="AN130" i="54"/>
  <c r="AN131" i="54"/>
  <c r="AN132" i="54"/>
  <c r="AN133" i="54"/>
  <c r="AN134" i="54"/>
  <c r="AN135" i="54"/>
  <c r="AN136" i="54"/>
  <c r="AN137" i="54"/>
  <c r="AN138" i="54"/>
  <c r="AN139" i="54"/>
  <c r="AN140" i="54"/>
  <c r="AN141" i="54"/>
  <c r="AN142" i="54"/>
  <c r="AN143" i="54"/>
  <c r="AN144" i="54"/>
  <c r="AN145" i="54"/>
  <c r="AN146" i="54"/>
  <c r="AN147" i="54"/>
  <c r="AN148" i="54"/>
  <c r="AN149" i="54"/>
  <c r="AN150" i="54"/>
  <c r="AN151" i="54"/>
  <c r="AN152" i="54"/>
  <c r="AN153" i="54"/>
  <c r="AN154" i="54"/>
  <c r="AN155" i="54"/>
  <c r="AN156" i="54"/>
  <c r="AN157" i="54"/>
  <c r="AN158" i="54"/>
  <c r="AN159" i="54"/>
  <c r="AN160" i="54"/>
  <c r="AN161" i="54"/>
  <c r="AN162" i="54"/>
  <c r="AN163" i="54"/>
  <c r="AN164" i="54"/>
  <c r="AN165" i="54"/>
  <c r="AN166" i="54"/>
  <c r="AN167" i="54"/>
  <c r="AN168" i="54"/>
  <c r="AN169" i="54"/>
  <c r="AN170" i="54"/>
  <c r="AN171" i="54"/>
  <c r="AN172" i="54"/>
  <c r="AN173" i="54"/>
  <c r="AN174" i="54"/>
  <c r="AN175" i="54"/>
  <c r="AN176" i="54"/>
  <c r="AN177" i="54"/>
  <c r="AN178" i="54"/>
  <c r="AN179" i="54"/>
  <c r="AN180" i="54"/>
  <c r="AN181" i="54"/>
  <c r="AN182" i="54"/>
  <c r="AN183" i="54"/>
  <c r="AN184" i="54"/>
  <c r="AN185" i="54"/>
  <c r="AN186" i="54"/>
  <c r="AN187" i="54"/>
  <c r="AN188" i="54"/>
  <c r="AN189" i="54"/>
  <c r="AN190" i="54"/>
  <c r="AN191" i="54"/>
  <c r="AN192" i="54"/>
  <c r="AN193" i="54"/>
  <c r="AN194" i="54"/>
  <c r="AN195" i="54"/>
  <c r="AN196" i="54"/>
  <c r="AN197" i="54"/>
  <c r="AN198" i="54"/>
  <c r="AN199" i="54"/>
  <c r="AN200" i="54"/>
  <c r="AN201" i="54"/>
  <c r="AN202" i="54"/>
  <c r="AN203" i="54"/>
  <c r="AN204" i="54"/>
  <c r="AN205" i="54"/>
  <c r="AN206" i="54"/>
  <c r="AN207" i="54"/>
  <c r="AN208" i="54"/>
  <c r="AN209" i="54"/>
  <c r="AN210" i="54"/>
  <c r="AN211" i="54"/>
  <c r="AN212" i="54"/>
  <c r="AN213" i="54"/>
  <c r="AN214" i="54"/>
  <c r="AN215" i="54"/>
  <c r="AN216" i="54"/>
  <c r="AN217" i="54"/>
  <c r="AN218" i="54"/>
  <c r="AN219" i="54"/>
  <c r="AN220" i="54"/>
  <c r="AN221" i="54"/>
  <c r="AN222" i="54"/>
  <c r="AN223" i="54"/>
  <c r="AN224" i="54"/>
  <c r="AN225" i="54"/>
  <c r="AN226" i="54"/>
  <c r="AN227" i="54"/>
  <c r="AN228" i="54"/>
  <c r="AN229" i="54"/>
  <c r="AN230" i="54"/>
  <c r="AN231" i="54"/>
  <c r="AN232" i="54"/>
  <c r="AN233" i="54"/>
  <c r="AN234" i="54"/>
  <c r="AN235" i="54"/>
  <c r="AN236" i="54"/>
  <c r="AN237" i="54"/>
  <c r="AN238" i="54"/>
  <c r="AN239" i="54"/>
  <c r="AN240" i="54"/>
  <c r="AN241" i="54"/>
  <c r="AN242" i="54"/>
  <c r="AN243" i="54"/>
  <c r="AN244" i="54"/>
  <c r="AN245" i="54"/>
  <c r="AN246" i="54"/>
  <c r="AN247" i="54"/>
  <c r="AN248" i="54"/>
  <c r="AN249" i="54"/>
  <c r="AN250" i="54"/>
  <c r="AN251" i="54"/>
  <c r="AN252" i="54"/>
  <c r="AN253" i="54"/>
  <c r="AN254" i="54"/>
  <c r="AN255" i="54"/>
  <c r="AN256" i="54"/>
  <c r="AN257" i="54"/>
  <c r="AN258" i="54"/>
  <c r="AN259" i="54"/>
  <c r="AN260" i="54"/>
  <c r="AN261" i="54"/>
  <c r="AN262" i="54"/>
  <c r="AN263" i="54"/>
  <c r="AN264" i="54"/>
  <c r="AN265" i="54"/>
  <c r="AN266" i="54"/>
  <c r="AN267" i="54"/>
  <c r="AN268" i="54"/>
  <c r="AN269" i="54"/>
  <c r="AN270" i="54"/>
  <c r="AN271" i="54"/>
  <c r="AN272" i="54"/>
  <c r="AN273" i="54"/>
  <c r="AN274" i="54"/>
  <c r="AN275" i="54"/>
  <c r="AN276" i="54"/>
  <c r="AN277" i="54"/>
  <c r="AN278" i="54"/>
  <c r="AN279" i="54"/>
  <c r="AN280" i="54"/>
  <c r="AN281" i="54"/>
  <c r="AN282" i="54"/>
  <c r="AN283" i="54"/>
  <c r="AN284" i="54"/>
  <c r="AN285" i="54"/>
  <c r="AN286" i="54"/>
  <c r="AN287" i="54"/>
  <c r="AN288" i="54"/>
  <c r="AN289" i="54"/>
  <c r="AN290" i="54"/>
  <c r="AN291" i="54"/>
  <c r="AN292" i="54"/>
  <c r="AN293" i="54"/>
  <c r="AN294" i="54"/>
  <c r="AN295" i="54"/>
  <c r="AN296" i="54"/>
  <c r="AN297" i="54"/>
  <c r="AN298" i="54"/>
  <c r="AN299" i="54"/>
  <c r="AN300" i="54"/>
  <c r="AN301" i="54"/>
  <c r="AN302" i="54"/>
  <c r="AN303" i="54"/>
  <c r="AN304" i="54"/>
  <c r="AN305" i="54"/>
  <c r="AN306" i="54"/>
  <c r="AN307" i="54"/>
  <c r="AN308" i="54"/>
  <c r="AN309" i="54"/>
  <c r="AN310" i="54"/>
  <c r="AN311" i="54"/>
  <c r="AN312" i="54"/>
  <c r="AN313" i="54"/>
  <c r="AN314" i="54"/>
  <c r="AN315" i="54"/>
  <c r="AN316" i="54"/>
  <c r="AN317" i="54"/>
  <c r="AN318" i="54"/>
  <c r="AN319" i="54"/>
  <c r="AN320" i="54"/>
  <c r="AN321" i="54"/>
  <c r="AN322" i="54"/>
  <c r="AN323" i="54"/>
  <c r="AN324" i="54"/>
  <c r="AN325" i="54"/>
  <c r="AN326" i="54"/>
  <c r="AN327" i="54"/>
  <c r="AN328" i="54"/>
  <c r="AN329" i="54"/>
  <c r="AN330" i="54"/>
  <c r="AN331" i="54"/>
  <c r="AN332" i="54"/>
  <c r="AN333" i="54"/>
  <c r="AN334" i="54"/>
  <c r="AN335" i="54"/>
  <c r="AN336" i="54"/>
  <c r="AN337" i="54"/>
  <c r="AN338" i="54"/>
  <c r="AN339" i="54"/>
  <c r="AN340" i="54"/>
  <c r="AN341" i="54"/>
  <c r="AN342" i="54"/>
  <c r="AN343" i="54"/>
  <c r="AN344" i="54"/>
  <c r="AN345" i="54"/>
  <c r="AN346" i="54"/>
  <c r="AN347" i="54"/>
  <c r="AN348" i="54"/>
  <c r="AN349" i="54"/>
  <c r="AN350" i="54"/>
  <c r="AN351" i="54"/>
  <c r="AN352" i="54"/>
  <c r="AN353" i="54"/>
  <c r="AN354" i="54"/>
  <c r="AN355" i="54"/>
  <c r="AN356" i="54"/>
  <c r="AN357" i="54"/>
  <c r="AN358" i="54"/>
  <c r="AN359" i="54"/>
  <c r="AN360" i="54"/>
  <c r="AN361" i="54"/>
  <c r="AN362" i="54"/>
  <c r="AN363" i="54"/>
  <c r="AN364" i="54"/>
  <c r="AN365" i="54"/>
  <c r="AN366" i="54"/>
  <c r="AN367" i="54"/>
  <c r="AN368" i="54"/>
  <c r="AN369" i="54"/>
  <c r="AN370" i="54"/>
  <c r="AN371" i="54"/>
  <c r="AN372" i="54"/>
  <c r="AN373" i="54"/>
  <c r="AN374" i="54"/>
  <c r="AN375" i="54"/>
  <c r="AD16" i="54"/>
  <c r="AD17" i="54"/>
  <c r="AD18" i="54"/>
  <c r="AD19" i="54"/>
  <c r="AD20" i="54"/>
  <c r="AD21" i="54"/>
  <c r="AD22" i="54"/>
  <c r="AD23" i="54"/>
  <c r="AD24" i="54"/>
  <c r="AD25" i="54"/>
  <c r="AD26" i="54"/>
  <c r="AD27" i="54"/>
  <c r="AD28" i="54"/>
  <c r="AD29" i="54"/>
  <c r="AD30" i="54"/>
  <c r="AD31" i="54"/>
  <c r="AD32" i="54"/>
  <c r="AD33" i="54"/>
  <c r="AD34" i="54"/>
  <c r="AD35" i="54"/>
  <c r="AD36" i="54"/>
  <c r="AD37" i="54"/>
  <c r="AD38" i="54"/>
  <c r="AD39" i="54"/>
  <c r="AD40" i="54"/>
  <c r="AD41" i="54"/>
  <c r="AD42" i="54"/>
  <c r="AD43" i="54"/>
  <c r="AD44" i="54"/>
  <c r="AD45" i="54"/>
  <c r="AD46" i="54"/>
  <c r="AD47" i="54"/>
  <c r="AD48" i="54"/>
  <c r="AD49" i="54"/>
  <c r="AD50" i="54"/>
  <c r="AD51" i="54"/>
  <c r="AD52" i="54"/>
  <c r="AD53" i="54"/>
  <c r="AD54" i="54"/>
  <c r="AD55" i="54"/>
  <c r="AD56" i="54"/>
  <c r="AD57" i="54"/>
  <c r="AD58" i="54"/>
  <c r="AD59" i="54"/>
  <c r="AD60" i="54"/>
  <c r="AD61" i="54"/>
  <c r="AD62" i="54"/>
  <c r="AD63" i="54"/>
  <c r="AD64" i="54"/>
  <c r="AD65" i="54"/>
  <c r="AD66" i="54"/>
  <c r="AD67" i="54"/>
  <c r="AD68" i="54"/>
  <c r="AD69" i="54"/>
  <c r="AD70" i="54"/>
  <c r="AD71" i="54"/>
  <c r="AD72" i="54"/>
  <c r="AD73" i="54"/>
  <c r="AD74" i="54"/>
  <c r="AD75" i="54"/>
  <c r="AD76" i="54"/>
  <c r="AD77" i="54"/>
  <c r="AD78" i="54"/>
  <c r="AD79" i="54"/>
  <c r="AD80" i="54"/>
  <c r="AD81" i="54"/>
  <c r="AD82" i="54"/>
  <c r="AD83" i="54"/>
  <c r="AD84" i="54"/>
  <c r="AD85" i="54"/>
  <c r="AD86" i="54"/>
  <c r="AD87" i="54"/>
  <c r="AD88" i="54"/>
  <c r="AD89" i="54"/>
  <c r="AD90" i="54"/>
  <c r="AD91" i="54"/>
  <c r="AD92" i="54"/>
  <c r="AD93" i="54"/>
  <c r="AD94" i="54"/>
  <c r="AD95" i="54"/>
  <c r="AD96" i="54"/>
  <c r="AD97" i="54"/>
  <c r="AD98" i="54"/>
  <c r="AD99" i="54"/>
  <c r="AD100" i="54"/>
  <c r="AD101" i="54"/>
  <c r="AD102" i="54"/>
  <c r="AD103" i="54"/>
  <c r="AD104" i="54"/>
  <c r="AD105" i="54"/>
  <c r="AD106" i="54"/>
  <c r="AD107" i="54"/>
  <c r="AD108" i="54"/>
  <c r="AD109" i="54"/>
  <c r="AD110" i="54"/>
  <c r="AD111" i="54"/>
  <c r="AD112" i="54"/>
  <c r="AD113" i="54"/>
  <c r="AD114" i="54"/>
  <c r="AD115" i="54"/>
  <c r="AD116" i="54"/>
  <c r="AD117" i="54"/>
  <c r="AD118" i="54"/>
  <c r="AD119" i="54"/>
  <c r="AD120" i="54"/>
  <c r="AD121" i="54"/>
  <c r="AD122" i="54"/>
  <c r="AD123" i="54"/>
  <c r="AD124" i="54"/>
  <c r="AD125" i="54"/>
  <c r="AD126" i="54"/>
  <c r="AD127" i="54"/>
  <c r="AD128" i="54"/>
  <c r="AD129" i="54"/>
  <c r="AD130" i="54"/>
  <c r="AD131" i="54"/>
  <c r="AD132" i="54"/>
  <c r="AD133" i="54"/>
  <c r="AD134" i="54"/>
  <c r="AD135" i="54"/>
  <c r="AD136" i="54"/>
  <c r="AD137" i="54"/>
  <c r="AD138" i="54"/>
  <c r="AD139" i="54"/>
  <c r="AD140" i="54"/>
  <c r="AD141" i="54"/>
  <c r="AD142" i="54"/>
  <c r="AD143" i="54"/>
  <c r="AD144" i="54"/>
  <c r="AD145" i="54"/>
  <c r="AD146" i="54"/>
  <c r="AD147" i="54"/>
  <c r="AD148" i="54"/>
  <c r="AD149" i="54"/>
  <c r="AD150" i="54"/>
  <c r="AD151" i="54"/>
  <c r="AD152" i="54"/>
  <c r="AD153" i="54"/>
  <c r="AD154" i="54"/>
  <c r="AD155" i="54"/>
  <c r="AD156" i="54"/>
  <c r="AD157" i="54"/>
  <c r="AD158" i="54"/>
  <c r="AD159" i="54"/>
  <c r="AD160" i="54"/>
  <c r="AD161" i="54"/>
  <c r="AD162" i="54"/>
  <c r="AD163" i="54"/>
  <c r="AD164" i="54"/>
  <c r="AD165" i="54"/>
  <c r="AD166" i="54"/>
  <c r="AD167" i="54"/>
  <c r="AD168" i="54"/>
  <c r="AD169" i="54"/>
  <c r="AD170" i="54"/>
  <c r="AD171" i="54"/>
  <c r="AD172" i="54"/>
  <c r="AD173" i="54"/>
  <c r="AD174" i="54"/>
  <c r="AD175" i="54"/>
  <c r="AD176" i="54"/>
  <c r="AD177" i="54"/>
  <c r="AD178" i="54"/>
  <c r="AD179" i="54"/>
  <c r="AD180" i="54"/>
  <c r="AD181" i="54"/>
  <c r="AD182" i="54"/>
  <c r="AD183" i="54"/>
  <c r="AD184" i="54"/>
  <c r="AD185" i="54"/>
  <c r="AD186" i="54"/>
  <c r="AD187" i="54"/>
  <c r="AD188" i="54"/>
  <c r="AD189" i="54"/>
  <c r="AD190" i="54"/>
  <c r="AD191" i="54"/>
  <c r="AD192" i="54"/>
  <c r="AD193" i="54"/>
  <c r="AD194" i="54"/>
  <c r="AD195" i="54"/>
  <c r="AD196" i="54"/>
  <c r="AD197" i="54"/>
  <c r="AD198" i="54"/>
  <c r="AD199" i="54"/>
  <c r="AD200" i="54"/>
  <c r="AD201" i="54"/>
  <c r="AD202" i="54"/>
  <c r="AD203" i="54"/>
  <c r="AD204" i="54"/>
  <c r="AD205" i="54"/>
  <c r="AD206" i="54"/>
  <c r="AD207" i="54"/>
  <c r="AD208" i="54"/>
  <c r="AD209" i="54"/>
  <c r="AD210" i="54"/>
  <c r="AD211" i="54"/>
  <c r="AD212" i="54"/>
  <c r="AD213" i="54"/>
  <c r="AD214" i="54"/>
  <c r="AD215" i="54"/>
  <c r="AD216" i="54"/>
  <c r="AD217" i="54"/>
  <c r="AD218" i="54"/>
  <c r="AD219" i="54"/>
  <c r="AD220" i="54"/>
  <c r="AD221" i="54"/>
  <c r="AD222" i="54"/>
  <c r="AD223" i="54"/>
  <c r="AD224" i="54"/>
  <c r="AD225" i="54"/>
  <c r="AD226" i="54"/>
  <c r="AD227" i="54"/>
  <c r="AD228" i="54"/>
  <c r="AD229" i="54"/>
  <c r="AD230" i="54"/>
  <c r="AD231" i="54"/>
  <c r="AD232" i="54"/>
  <c r="AD233" i="54"/>
  <c r="AD234" i="54"/>
  <c r="AD235" i="54"/>
  <c r="AD236" i="54"/>
  <c r="AD237" i="54"/>
  <c r="AD238" i="54"/>
  <c r="AD239" i="54"/>
  <c r="AD240" i="54"/>
  <c r="AD241" i="54"/>
  <c r="AD242" i="54"/>
  <c r="AD243" i="54"/>
  <c r="AD244" i="54"/>
  <c r="AD245" i="54"/>
  <c r="AD246" i="54"/>
  <c r="AD247" i="54"/>
  <c r="AD248" i="54"/>
  <c r="AD249" i="54"/>
  <c r="AD250" i="54"/>
  <c r="AD251" i="54"/>
  <c r="AD252" i="54"/>
  <c r="AD253" i="54"/>
  <c r="AD254" i="54"/>
  <c r="AD255" i="54"/>
  <c r="AD256" i="54"/>
  <c r="AD257" i="54"/>
  <c r="AD258" i="54"/>
  <c r="AD259" i="54"/>
  <c r="AD260" i="54"/>
  <c r="AD261" i="54"/>
  <c r="AD262" i="54"/>
  <c r="AD263" i="54"/>
  <c r="AD264" i="54"/>
  <c r="AD265" i="54"/>
  <c r="AD266" i="54"/>
  <c r="AD267" i="54"/>
  <c r="AD268" i="54"/>
  <c r="AD269" i="54"/>
  <c r="AD270" i="54"/>
  <c r="AD271" i="54"/>
  <c r="AD272" i="54"/>
  <c r="AD273" i="54"/>
  <c r="AD274" i="54"/>
  <c r="AD275" i="54"/>
  <c r="AD276" i="54"/>
  <c r="AD277" i="54"/>
  <c r="AD278" i="54"/>
  <c r="AD279" i="54"/>
  <c r="AD280" i="54"/>
  <c r="AD281" i="54"/>
  <c r="AD282" i="54"/>
  <c r="AD283" i="54"/>
  <c r="AD284" i="54"/>
  <c r="AD285" i="54"/>
  <c r="AD286" i="54"/>
  <c r="AD287" i="54"/>
  <c r="AD288" i="54"/>
  <c r="AD289" i="54"/>
  <c r="AD290" i="54"/>
  <c r="AD291" i="54"/>
  <c r="AD292" i="54"/>
  <c r="AD293" i="54"/>
  <c r="AD294" i="54"/>
  <c r="AD295" i="54"/>
  <c r="AD296" i="54"/>
  <c r="AD297" i="54"/>
  <c r="AD298" i="54"/>
  <c r="AD299" i="54"/>
  <c r="AD300" i="54"/>
  <c r="AD301" i="54"/>
  <c r="AD302" i="54"/>
  <c r="AD303" i="54"/>
  <c r="AD304" i="54"/>
  <c r="AD305" i="54"/>
  <c r="AD306" i="54"/>
  <c r="AD307" i="54"/>
  <c r="AD308" i="54"/>
  <c r="AD309" i="54"/>
  <c r="AD310" i="54"/>
  <c r="AD311" i="54"/>
  <c r="AD312" i="54"/>
  <c r="AD313" i="54"/>
  <c r="AD314" i="54"/>
  <c r="AD315" i="54"/>
  <c r="AD316" i="54"/>
  <c r="AD317" i="54"/>
  <c r="AD318" i="54"/>
  <c r="AD319" i="54"/>
  <c r="AD320" i="54"/>
  <c r="AD321" i="54"/>
  <c r="AD322" i="54"/>
  <c r="AD323" i="54"/>
  <c r="AD324" i="54"/>
  <c r="AD325" i="54"/>
  <c r="AD326" i="54"/>
  <c r="AD327" i="54"/>
  <c r="AD328" i="54"/>
  <c r="AD329" i="54"/>
  <c r="AD330" i="54"/>
  <c r="AD331" i="54"/>
  <c r="AD332" i="54"/>
  <c r="AD333" i="54"/>
  <c r="AD334" i="54"/>
  <c r="AD335" i="54"/>
  <c r="AD336" i="54"/>
  <c r="AD337" i="54"/>
  <c r="AD338" i="54"/>
  <c r="AD339" i="54"/>
  <c r="AD340" i="54"/>
  <c r="AD341" i="54"/>
  <c r="AD342" i="54"/>
  <c r="AD343" i="54"/>
  <c r="AD344" i="54"/>
  <c r="AD345" i="54"/>
  <c r="AD346" i="54"/>
  <c r="AD347" i="54"/>
  <c r="AD348" i="54"/>
  <c r="AD349" i="54"/>
  <c r="AD350" i="54"/>
  <c r="AD351" i="54"/>
  <c r="AD352" i="54"/>
  <c r="AD353" i="54"/>
  <c r="AD354" i="54"/>
  <c r="AD355" i="54"/>
  <c r="AD356" i="54"/>
  <c r="AD357" i="54"/>
  <c r="AD358" i="54"/>
  <c r="AD359" i="54"/>
  <c r="AD360" i="54"/>
  <c r="AD361" i="54"/>
  <c r="AD362" i="54"/>
  <c r="AD363" i="54"/>
  <c r="AD364" i="54"/>
  <c r="AD365" i="54"/>
  <c r="AD366" i="54"/>
  <c r="AD367" i="54"/>
  <c r="AD368" i="54"/>
  <c r="AD369" i="54"/>
  <c r="AD370" i="54"/>
  <c r="AD371" i="54"/>
  <c r="AD372" i="54"/>
  <c r="AD373" i="54"/>
  <c r="AD374" i="54"/>
  <c r="AD375" i="54"/>
  <c r="T375" i="54"/>
  <c r="T374" i="54"/>
  <c r="T373" i="54"/>
  <c r="T372" i="54"/>
  <c r="T371" i="54"/>
  <c r="T370" i="54"/>
  <c r="T369" i="54"/>
  <c r="T368" i="54"/>
  <c r="T367" i="54"/>
  <c r="T366" i="54"/>
  <c r="T365" i="54"/>
  <c r="T364" i="54"/>
  <c r="T363" i="54"/>
  <c r="T362" i="54"/>
  <c r="T361" i="54"/>
  <c r="T360" i="54"/>
  <c r="T359" i="54"/>
  <c r="T358" i="54"/>
  <c r="T357" i="54"/>
  <c r="T356" i="54"/>
  <c r="T355" i="54"/>
  <c r="T354" i="54"/>
  <c r="T353" i="54"/>
  <c r="T352" i="54"/>
  <c r="T351" i="54"/>
  <c r="T350" i="54"/>
  <c r="T349" i="54"/>
  <c r="T348" i="54"/>
  <c r="T347" i="54"/>
  <c r="T346" i="54"/>
  <c r="T345" i="54"/>
  <c r="T344" i="54"/>
  <c r="T343" i="54"/>
  <c r="T342" i="54"/>
  <c r="T341" i="54"/>
  <c r="T340" i="54"/>
  <c r="T339" i="54"/>
  <c r="T338" i="54"/>
  <c r="T337" i="54"/>
  <c r="T336" i="54"/>
  <c r="T335" i="54"/>
  <c r="T334" i="54"/>
  <c r="T333" i="54"/>
  <c r="T332" i="54"/>
  <c r="T331" i="54"/>
  <c r="T330" i="54"/>
  <c r="T329" i="54"/>
  <c r="T328" i="54"/>
  <c r="T327" i="54"/>
  <c r="T326" i="54"/>
  <c r="T325" i="54"/>
  <c r="T324" i="54"/>
  <c r="T323" i="54"/>
  <c r="T322" i="54"/>
  <c r="T321" i="54"/>
  <c r="T320" i="54"/>
  <c r="T319" i="54"/>
  <c r="T318" i="54"/>
  <c r="T317" i="54"/>
  <c r="T316" i="54"/>
  <c r="T315" i="54"/>
  <c r="T314" i="54"/>
  <c r="T313" i="54"/>
  <c r="T312" i="54"/>
  <c r="T311" i="54"/>
  <c r="T310" i="54"/>
  <c r="T309" i="54"/>
  <c r="T308" i="54"/>
  <c r="T307" i="54"/>
  <c r="T306" i="54"/>
  <c r="T305" i="54"/>
  <c r="T304" i="54"/>
  <c r="T303" i="54"/>
  <c r="T302" i="54"/>
  <c r="T301" i="54"/>
  <c r="T300" i="54"/>
  <c r="T299" i="54"/>
  <c r="T298" i="54"/>
  <c r="T297" i="54"/>
  <c r="T296" i="54"/>
  <c r="T295" i="54"/>
  <c r="T294" i="54"/>
  <c r="T293" i="54"/>
  <c r="T292" i="54"/>
  <c r="T291" i="54"/>
  <c r="T290" i="54"/>
  <c r="T289" i="54"/>
  <c r="T288" i="54"/>
  <c r="T287" i="54"/>
  <c r="T286" i="54"/>
  <c r="T285" i="54"/>
  <c r="T284" i="54"/>
  <c r="T283" i="54"/>
  <c r="T282" i="54"/>
  <c r="T281" i="54"/>
  <c r="T280" i="54"/>
  <c r="T279" i="54"/>
  <c r="T278" i="54"/>
  <c r="T277" i="54"/>
  <c r="T276" i="54"/>
  <c r="T275" i="54"/>
  <c r="T274" i="54"/>
  <c r="T273" i="54"/>
  <c r="T272" i="54"/>
  <c r="T271" i="54"/>
  <c r="T270" i="54"/>
  <c r="T269" i="54"/>
  <c r="T268" i="54"/>
  <c r="T267" i="54"/>
  <c r="T266" i="54"/>
  <c r="T265" i="54"/>
  <c r="T264" i="54"/>
  <c r="T263" i="54"/>
  <c r="T262" i="54"/>
  <c r="T261" i="54"/>
  <c r="T260" i="54"/>
  <c r="T259" i="54"/>
  <c r="T258" i="54"/>
  <c r="T257" i="54"/>
  <c r="T256" i="54"/>
  <c r="T255" i="54"/>
  <c r="T254" i="54"/>
  <c r="T253" i="54"/>
  <c r="T252" i="54"/>
  <c r="T251" i="54"/>
  <c r="T250" i="54"/>
  <c r="T249" i="54"/>
  <c r="T248" i="54"/>
  <c r="T247" i="54"/>
  <c r="T246" i="54"/>
  <c r="T245" i="54"/>
  <c r="T244" i="54"/>
  <c r="T243" i="54"/>
  <c r="T242" i="54"/>
  <c r="T241" i="54"/>
  <c r="T240" i="54"/>
  <c r="T239" i="54"/>
  <c r="T238" i="54"/>
  <c r="T237" i="54"/>
  <c r="T236" i="54"/>
  <c r="T235" i="54"/>
  <c r="T234" i="54"/>
  <c r="T233" i="54"/>
  <c r="T232" i="54"/>
  <c r="T231" i="54"/>
  <c r="T230" i="54"/>
  <c r="T229" i="54"/>
  <c r="T228" i="54"/>
  <c r="T227" i="54"/>
  <c r="T226" i="54"/>
  <c r="T225" i="54"/>
  <c r="T224" i="54"/>
  <c r="T223" i="54"/>
  <c r="T222" i="54"/>
  <c r="T221" i="54"/>
  <c r="T220" i="54"/>
  <c r="T219" i="54"/>
  <c r="T218" i="54"/>
  <c r="T217" i="54"/>
  <c r="T216" i="54"/>
  <c r="T215" i="54"/>
  <c r="T214" i="54"/>
  <c r="T213" i="54"/>
  <c r="T212" i="54"/>
  <c r="T211" i="54"/>
  <c r="T210" i="54"/>
  <c r="T209" i="54"/>
  <c r="T208" i="54"/>
  <c r="T207" i="54"/>
  <c r="T206" i="54"/>
  <c r="T205" i="54"/>
  <c r="T204" i="54"/>
  <c r="T203" i="54"/>
  <c r="T202" i="54"/>
  <c r="T201" i="54"/>
  <c r="T200" i="54"/>
  <c r="T199" i="54"/>
  <c r="T198" i="54"/>
  <c r="T197" i="54"/>
  <c r="T196" i="54"/>
  <c r="T195" i="54"/>
  <c r="T194" i="54"/>
  <c r="T193" i="54"/>
  <c r="T192" i="54"/>
  <c r="T191" i="54"/>
  <c r="T190" i="54"/>
  <c r="T189" i="54"/>
  <c r="T188" i="54"/>
  <c r="T187" i="54"/>
  <c r="T186" i="54"/>
  <c r="T185" i="54"/>
  <c r="T184" i="54"/>
  <c r="T183" i="54"/>
  <c r="T182" i="54"/>
  <c r="T181" i="54"/>
  <c r="T180" i="54"/>
  <c r="T179" i="54"/>
  <c r="T178" i="54"/>
  <c r="T177" i="54"/>
  <c r="T176" i="54"/>
  <c r="T175" i="54"/>
  <c r="T174" i="54"/>
  <c r="T173" i="54"/>
  <c r="T172" i="54"/>
  <c r="T171" i="54"/>
  <c r="T170" i="54"/>
  <c r="T169" i="54"/>
  <c r="T168" i="54"/>
  <c r="T167" i="54"/>
  <c r="T166" i="54"/>
  <c r="T165" i="54"/>
  <c r="T164" i="54"/>
  <c r="T163" i="54"/>
  <c r="T162" i="54"/>
  <c r="T161" i="54"/>
  <c r="T160" i="54"/>
  <c r="T159" i="54"/>
  <c r="T158" i="54"/>
  <c r="T157" i="54"/>
  <c r="T156" i="54"/>
  <c r="T155" i="54"/>
  <c r="T154" i="54"/>
  <c r="T153" i="54"/>
  <c r="T152" i="54"/>
  <c r="T151" i="54"/>
  <c r="T150" i="54"/>
  <c r="T149" i="54"/>
  <c r="T148" i="54"/>
  <c r="T147" i="54"/>
  <c r="T146" i="54"/>
  <c r="T145" i="54"/>
  <c r="T144" i="54"/>
  <c r="T143" i="54"/>
  <c r="T142" i="54"/>
  <c r="T141" i="54"/>
  <c r="T140" i="54"/>
  <c r="T139" i="54"/>
  <c r="T138" i="54"/>
  <c r="T137" i="54"/>
  <c r="T136" i="54"/>
  <c r="T135" i="54"/>
  <c r="T134" i="54"/>
  <c r="T133" i="54"/>
  <c r="T132" i="54"/>
  <c r="T131" i="54"/>
  <c r="T130" i="54"/>
  <c r="T129" i="54"/>
  <c r="T128" i="54"/>
  <c r="T127" i="54"/>
  <c r="T126" i="54"/>
  <c r="T125" i="54"/>
  <c r="T124" i="54"/>
  <c r="T123" i="54"/>
  <c r="T122" i="54"/>
  <c r="T121" i="54"/>
  <c r="T120" i="54"/>
  <c r="T119" i="54"/>
  <c r="T118" i="54"/>
  <c r="T117" i="54"/>
  <c r="T116" i="54"/>
  <c r="T115" i="54"/>
  <c r="T114" i="54"/>
  <c r="T113" i="54"/>
  <c r="T112" i="54"/>
  <c r="T111" i="54"/>
  <c r="T110" i="54"/>
  <c r="T109" i="54"/>
  <c r="T108" i="54"/>
  <c r="T107" i="54"/>
  <c r="T106" i="54"/>
  <c r="T105" i="54"/>
  <c r="T104" i="54"/>
  <c r="T103" i="54"/>
  <c r="T102" i="54"/>
  <c r="T101" i="54"/>
  <c r="T100" i="54"/>
  <c r="T99" i="54"/>
  <c r="T98" i="54"/>
  <c r="T97" i="54"/>
  <c r="T96" i="54"/>
  <c r="T95" i="54"/>
  <c r="T94" i="54"/>
  <c r="T93" i="54"/>
  <c r="T92" i="54"/>
  <c r="T91" i="54"/>
  <c r="T90" i="54"/>
  <c r="T89" i="54"/>
  <c r="T88" i="54"/>
  <c r="T87" i="54"/>
  <c r="T86" i="54"/>
  <c r="T85" i="54"/>
  <c r="T84" i="54"/>
  <c r="T83" i="54"/>
  <c r="T82" i="54"/>
  <c r="T81" i="54"/>
  <c r="T80" i="54"/>
  <c r="T79" i="54"/>
  <c r="T78" i="54"/>
  <c r="T77" i="54"/>
  <c r="T76" i="54"/>
  <c r="T75" i="54"/>
  <c r="T74" i="54"/>
  <c r="T73" i="54"/>
  <c r="T72" i="54"/>
  <c r="T71" i="54"/>
  <c r="T70" i="54"/>
  <c r="T69" i="54"/>
  <c r="T68" i="54"/>
  <c r="T67" i="54"/>
  <c r="T66" i="54"/>
  <c r="T65" i="54"/>
  <c r="T64" i="54"/>
  <c r="T63" i="54"/>
  <c r="T62" i="54"/>
  <c r="T61" i="54"/>
  <c r="T60" i="54"/>
  <c r="T59" i="54"/>
  <c r="T58" i="54"/>
  <c r="T57" i="54"/>
  <c r="T56" i="54"/>
  <c r="T55" i="54"/>
  <c r="T54" i="54"/>
  <c r="T53" i="54"/>
  <c r="T52" i="54"/>
  <c r="T51" i="54"/>
  <c r="T50" i="54"/>
  <c r="T49" i="54"/>
  <c r="T48" i="54"/>
  <c r="T47" i="54"/>
  <c r="T46" i="54"/>
  <c r="T45" i="54"/>
  <c r="T44" i="54"/>
  <c r="T43" i="54"/>
  <c r="T42" i="54"/>
  <c r="T41" i="54"/>
  <c r="T40" i="54"/>
  <c r="T39" i="54"/>
  <c r="T38" i="54"/>
  <c r="T37" i="54"/>
  <c r="T36" i="54"/>
  <c r="T35" i="54"/>
  <c r="T34" i="54"/>
  <c r="T33" i="54"/>
  <c r="T32" i="54"/>
  <c r="T31" i="54"/>
  <c r="T30" i="54"/>
  <c r="T29" i="54"/>
  <c r="T28" i="54"/>
  <c r="T27" i="54"/>
  <c r="T26" i="54"/>
  <c r="T25" i="54"/>
  <c r="T24" i="54"/>
  <c r="T23" i="54"/>
  <c r="T22" i="54"/>
  <c r="T21" i="54"/>
  <c r="T20" i="54"/>
  <c r="T19" i="54"/>
  <c r="T18" i="54"/>
  <c r="T17" i="54"/>
  <c r="T16" i="54"/>
  <c r="A8" i="54"/>
  <c r="AB403" i="60" l="1"/>
  <c r="AD403" i="60" s="1"/>
  <c r="N403" i="60"/>
  <c r="AE402" i="60"/>
  <c r="AG402" i="60" s="1"/>
  <c r="Q402" i="60"/>
  <c r="AE403" i="60"/>
  <c r="AG403" i="60" s="1"/>
  <c r="J403" i="60"/>
  <c r="AI402" i="60"/>
  <c r="AK402" i="60" s="1"/>
  <c r="U402" i="60"/>
  <c r="AL401" i="60"/>
  <c r="AN401" i="60" s="1"/>
  <c r="X401" i="60"/>
  <c r="J401" i="60"/>
  <c r="X403" i="60"/>
  <c r="G403" i="60"/>
  <c r="N402" i="60"/>
  <c r="AI401" i="60"/>
  <c r="AK401" i="60" s="1"/>
  <c r="U401" i="60"/>
  <c r="G401" i="60"/>
  <c r="U403" i="60"/>
  <c r="AB402" i="60"/>
  <c r="AD402" i="60" s="1"/>
  <c r="Q403" i="60"/>
  <c r="X402" i="60"/>
  <c r="N401" i="60"/>
  <c r="AI400" i="60"/>
  <c r="AK400" i="60" s="1"/>
  <c r="U400" i="60"/>
  <c r="G400" i="60"/>
  <c r="AL403" i="60"/>
  <c r="AN403" i="60" s="1"/>
  <c r="J402" i="60"/>
  <c r="AE401" i="60"/>
  <c r="AG401" i="60" s="1"/>
  <c r="AE400" i="60"/>
  <c r="AG400" i="60" s="1"/>
  <c r="Q400" i="60"/>
  <c r="AL400" i="60"/>
  <c r="AN400" i="60" s="1"/>
  <c r="J400" i="60"/>
  <c r="AE399" i="60"/>
  <c r="AG399" i="60" s="1"/>
  <c r="Q399" i="60"/>
  <c r="AL398" i="60"/>
  <c r="AN398" i="60" s="1"/>
  <c r="X398" i="60"/>
  <c r="J398" i="60"/>
  <c r="AE397" i="60"/>
  <c r="AG397" i="60" s="1"/>
  <c r="AB401" i="60"/>
  <c r="AD401" i="60" s="1"/>
  <c r="AB400" i="60"/>
  <c r="AD400" i="60" s="1"/>
  <c r="AB399" i="60"/>
  <c r="AD399" i="60" s="1"/>
  <c r="N399" i="60"/>
  <c r="AI398" i="60"/>
  <c r="AK398" i="60" s="1"/>
  <c r="U398" i="60"/>
  <c r="G398" i="60"/>
  <c r="AB397" i="60"/>
  <c r="AD397" i="60" s="1"/>
  <c r="N397" i="60"/>
  <c r="AI403" i="60"/>
  <c r="AK403" i="60" s="1"/>
  <c r="AL402" i="60"/>
  <c r="AN402" i="60" s="1"/>
  <c r="Q401" i="60"/>
  <c r="X400" i="60"/>
  <c r="AL399" i="60"/>
  <c r="AN399" i="60" s="1"/>
  <c r="X399" i="60"/>
  <c r="J399" i="60"/>
  <c r="AE398" i="60"/>
  <c r="AG398" i="60" s="1"/>
  <c r="Q398" i="60"/>
  <c r="AL397" i="60"/>
  <c r="AN397" i="60" s="1"/>
  <c r="X397" i="60"/>
  <c r="J397" i="60"/>
  <c r="N400" i="60"/>
  <c r="G399" i="60"/>
  <c r="AB398" i="60"/>
  <c r="AD398" i="60" s="1"/>
  <c r="G397" i="60"/>
  <c r="AE396" i="60"/>
  <c r="AG396" i="60" s="1"/>
  <c r="Q396" i="60"/>
  <c r="AB395" i="60"/>
  <c r="AD395" i="60" s="1"/>
  <c r="N395" i="60"/>
  <c r="AI394" i="60"/>
  <c r="AK394" i="60" s="1"/>
  <c r="U394" i="60"/>
  <c r="G394" i="60"/>
  <c r="G402" i="60"/>
  <c r="N398" i="60"/>
  <c r="AI397" i="60"/>
  <c r="AK397" i="60" s="1"/>
  <c r="AB396" i="60"/>
  <c r="AD396" i="60" s="1"/>
  <c r="N396" i="60"/>
  <c r="AL395" i="60"/>
  <c r="AN395" i="60" s="1"/>
  <c r="X395" i="60"/>
  <c r="J395" i="60"/>
  <c r="AE394" i="60"/>
  <c r="AG394" i="60" s="1"/>
  <c r="Q394" i="60"/>
  <c r="AI399" i="60"/>
  <c r="AK399" i="60" s="1"/>
  <c r="U397" i="60"/>
  <c r="AL396" i="60"/>
  <c r="AN396" i="60" s="1"/>
  <c r="X396" i="60"/>
  <c r="J396" i="60"/>
  <c r="AI395" i="60"/>
  <c r="AK395" i="60" s="1"/>
  <c r="U395" i="60"/>
  <c r="G395" i="60"/>
  <c r="AB394" i="60"/>
  <c r="AD394" i="60" s="1"/>
  <c r="N394" i="60"/>
  <c r="AI393" i="60"/>
  <c r="AK393" i="60" s="1"/>
  <c r="U393" i="60"/>
  <c r="G393" i="60"/>
  <c r="Q395" i="60"/>
  <c r="AL394" i="60"/>
  <c r="AN394" i="60" s="1"/>
  <c r="AL393" i="60"/>
  <c r="AN393" i="60" s="1"/>
  <c r="Q393" i="60"/>
  <c r="AE392" i="60"/>
  <c r="AG392" i="60" s="1"/>
  <c r="Q392" i="60"/>
  <c r="AL391" i="60"/>
  <c r="AN391" i="60" s="1"/>
  <c r="X391" i="60"/>
  <c r="J391" i="60"/>
  <c r="AE390" i="60"/>
  <c r="AG390" i="60" s="1"/>
  <c r="Q390" i="60"/>
  <c r="AI396" i="60"/>
  <c r="AK396" i="60" s="1"/>
  <c r="X394" i="60"/>
  <c r="AE393" i="60"/>
  <c r="AG393" i="60" s="1"/>
  <c r="N393" i="60"/>
  <c r="AB392" i="60"/>
  <c r="AD392" i="60" s="1"/>
  <c r="N392" i="60"/>
  <c r="AI391" i="60"/>
  <c r="AK391" i="60" s="1"/>
  <c r="U391" i="60"/>
  <c r="G391" i="60"/>
  <c r="AB390" i="60"/>
  <c r="AD390" i="60" s="1"/>
  <c r="N390" i="60"/>
  <c r="Q397" i="60"/>
  <c r="U396" i="60"/>
  <c r="J394" i="60"/>
  <c r="AB393" i="60"/>
  <c r="AD393" i="60" s="1"/>
  <c r="J393" i="60"/>
  <c r="AL392" i="60"/>
  <c r="AN392" i="60" s="1"/>
  <c r="X392" i="60"/>
  <c r="J392" i="60"/>
  <c r="AE391" i="60"/>
  <c r="AG391" i="60" s="1"/>
  <c r="Q391" i="60"/>
  <c r="AL390" i="60"/>
  <c r="AN390" i="60" s="1"/>
  <c r="X390" i="60"/>
  <c r="J390" i="60"/>
  <c r="AI389" i="60"/>
  <c r="AK389" i="60" s="1"/>
  <c r="U389" i="60"/>
  <c r="G389" i="60"/>
  <c r="AI392" i="60"/>
  <c r="AK392" i="60" s="1"/>
  <c r="U390" i="60"/>
  <c r="X389" i="60"/>
  <c r="AL388" i="60"/>
  <c r="AN388" i="60" s="1"/>
  <c r="X388" i="60"/>
  <c r="J388" i="60"/>
  <c r="AE387" i="60"/>
  <c r="AG387" i="60" s="1"/>
  <c r="Q387" i="60"/>
  <c r="AL386" i="60"/>
  <c r="AN386" i="60" s="1"/>
  <c r="X386" i="60"/>
  <c r="J386" i="60"/>
  <c r="AE385" i="60"/>
  <c r="AG385" i="60" s="1"/>
  <c r="Q385" i="60"/>
  <c r="AE384" i="60"/>
  <c r="AG384" i="60" s="1"/>
  <c r="Q384" i="60"/>
  <c r="AI383" i="60"/>
  <c r="AK383" i="60" s="1"/>
  <c r="X383" i="60"/>
  <c r="J383" i="60"/>
  <c r="X393" i="60"/>
  <c r="U392" i="60"/>
  <c r="G390" i="60"/>
  <c r="AL389" i="60"/>
  <c r="AN389" i="60" s="1"/>
  <c r="Q389" i="60"/>
  <c r="AI388" i="60"/>
  <c r="AK388" i="60" s="1"/>
  <c r="U388" i="60"/>
  <c r="G388" i="60"/>
  <c r="AB387" i="60"/>
  <c r="AD387" i="60" s="1"/>
  <c r="N387" i="60"/>
  <c r="AI386" i="60"/>
  <c r="AK386" i="60" s="1"/>
  <c r="U386" i="60"/>
  <c r="G386" i="60"/>
  <c r="AB385" i="60"/>
  <c r="AD385" i="60" s="1"/>
  <c r="N385" i="60"/>
  <c r="G396" i="60"/>
  <c r="G392" i="60"/>
  <c r="AB391" i="60"/>
  <c r="AD391" i="60" s="1"/>
  <c r="AE389" i="60"/>
  <c r="AG389" i="60" s="1"/>
  <c r="N389" i="60"/>
  <c r="AE388" i="60"/>
  <c r="AG388" i="60" s="1"/>
  <c r="Q388" i="60"/>
  <c r="AL387" i="60"/>
  <c r="AN387" i="60" s="1"/>
  <c r="X387" i="60"/>
  <c r="J387" i="60"/>
  <c r="AE386" i="60"/>
  <c r="AG386" i="60" s="1"/>
  <c r="Q386" i="60"/>
  <c r="AL385" i="60"/>
  <c r="AN385" i="60" s="1"/>
  <c r="X385" i="60"/>
  <c r="J385" i="60"/>
  <c r="AL384" i="60"/>
  <c r="AN384" i="60" s="1"/>
  <c r="X384" i="60"/>
  <c r="J384" i="60"/>
  <c r="AE383" i="60"/>
  <c r="AG383" i="60" s="1"/>
  <c r="Q383" i="60"/>
  <c r="AE382" i="60"/>
  <c r="AG382" i="60" s="1"/>
  <c r="Q382" i="60"/>
  <c r="U399" i="60"/>
  <c r="AB388" i="60"/>
  <c r="AD388" i="60" s="1"/>
  <c r="N386" i="60"/>
  <c r="AI385" i="60"/>
  <c r="AK385" i="60" s="1"/>
  <c r="AB384" i="60"/>
  <c r="AD384" i="60" s="1"/>
  <c r="G383" i="60"/>
  <c r="AL382" i="60"/>
  <c r="AN382" i="60" s="1"/>
  <c r="U382" i="60"/>
  <c r="AI381" i="60"/>
  <c r="AK381" i="60" s="1"/>
  <c r="U381" i="60"/>
  <c r="G381" i="60"/>
  <c r="AI380" i="60"/>
  <c r="AK380" i="60" s="1"/>
  <c r="U380" i="60"/>
  <c r="G380" i="60"/>
  <c r="AB379" i="60"/>
  <c r="AD379" i="60" s="1"/>
  <c r="N379" i="60"/>
  <c r="AI378" i="60"/>
  <c r="AK378" i="60" s="1"/>
  <c r="U378" i="60"/>
  <c r="G378" i="60"/>
  <c r="AB377" i="60"/>
  <c r="AD377" i="60" s="1"/>
  <c r="N377" i="60"/>
  <c r="AE395" i="60"/>
  <c r="AG395" i="60" s="1"/>
  <c r="N388" i="60"/>
  <c r="AI387" i="60"/>
  <c r="AK387" i="60" s="1"/>
  <c r="U385" i="60"/>
  <c r="U384" i="60"/>
  <c r="AB383" i="60"/>
  <c r="AD383" i="60" s="1"/>
  <c r="AI382" i="60"/>
  <c r="AK382" i="60" s="1"/>
  <c r="N382" i="60"/>
  <c r="AE381" i="60"/>
  <c r="AG381" i="60" s="1"/>
  <c r="Q381" i="60"/>
  <c r="AE380" i="60"/>
  <c r="AG380" i="60" s="1"/>
  <c r="Q380" i="60"/>
  <c r="AL379" i="60"/>
  <c r="AN379" i="60" s="1"/>
  <c r="X379" i="60"/>
  <c r="J379" i="60"/>
  <c r="AE378" i="60"/>
  <c r="AG378" i="60" s="1"/>
  <c r="Q378" i="60"/>
  <c r="N391" i="60"/>
  <c r="AB389" i="60"/>
  <c r="AD389" i="60" s="1"/>
  <c r="U387" i="60"/>
  <c r="G385" i="60"/>
  <c r="N384" i="60"/>
  <c r="U383" i="60"/>
  <c r="AB382" i="60"/>
  <c r="AD382" i="60" s="1"/>
  <c r="J382" i="60"/>
  <c r="AB381" i="60"/>
  <c r="AD381" i="60" s="1"/>
  <c r="N381" i="60"/>
  <c r="AB380" i="60"/>
  <c r="AD380" i="60" s="1"/>
  <c r="N380" i="60"/>
  <c r="AI379" i="60"/>
  <c r="AK379" i="60" s="1"/>
  <c r="U379" i="60"/>
  <c r="G379" i="60"/>
  <c r="AB378" i="60"/>
  <c r="AD378" i="60" s="1"/>
  <c r="N378" i="60"/>
  <c r="AI390" i="60"/>
  <c r="AK390" i="60" s="1"/>
  <c r="J389" i="60"/>
  <c r="G387" i="60"/>
  <c r="AB386" i="60"/>
  <c r="AD386" i="60" s="1"/>
  <c r="AI384" i="60"/>
  <c r="AK384" i="60" s="1"/>
  <c r="G384" i="60"/>
  <c r="AL383" i="60"/>
  <c r="AN383" i="60" s="1"/>
  <c r="N383" i="60"/>
  <c r="X382" i="60"/>
  <c r="X380" i="60"/>
  <c r="J378" i="60"/>
  <c r="AI377" i="60"/>
  <c r="AK377" i="60" s="1"/>
  <c r="Q377" i="60"/>
  <c r="AL376" i="60"/>
  <c r="AN376" i="60" s="1"/>
  <c r="X376" i="60"/>
  <c r="J376" i="60"/>
  <c r="AL375" i="60"/>
  <c r="AN375" i="60" s="1"/>
  <c r="AB375" i="60"/>
  <c r="AD375" i="60" s="1"/>
  <c r="N375" i="60"/>
  <c r="G382" i="60"/>
  <c r="AL381" i="60"/>
  <c r="AN381" i="60" s="1"/>
  <c r="J380" i="60"/>
  <c r="AE379" i="60"/>
  <c r="AG379" i="60" s="1"/>
  <c r="AE377" i="60"/>
  <c r="AG377" i="60" s="1"/>
  <c r="J377" i="60"/>
  <c r="AI376" i="60"/>
  <c r="AK376" i="60" s="1"/>
  <c r="U376" i="60"/>
  <c r="G376" i="60"/>
  <c r="AI375" i="60"/>
  <c r="AK375" i="60" s="1"/>
  <c r="X375" i="60"/>
  <c r="J375" i="60"/>
  <c r="X381" i="60"/>
  <c r="Q379" i="60"/>
  <c r="AL378" i="60"/>
  <c r="AN378" i="60" s="1"/>
  <c r="X377" i="60"/>
  <c r="G377" i="60"/>
  <c r="AE376" i="60"/>
  <c r="AG376" i="60" s="1"/>
  <c r="Q376" i="60"/>
  <c r="AE375" i="60"/>
  <c r="AG375" i="60" s="1"/>
  <c r="U375" i="60"/>
  <c r="G375" i="60"/>
  <c r="J381" i="60"/>
  <c r="AL380" i="60"/>
  <c r="AN380" i="60" s="1"/>
  <c r="X378" i="60"/>
  <c r="AL377" i="60"/>
  <c r="AN377" i="60" s="1"/>
  <c r="U377" i="60"/>
  <c r="AB376" i="60"/>
  <c r="AD376" i="60" s="1"/>
  <c r="N376" i="60"/>
  <c r="Q375" i="60"/>
  <c r="AE374" i="60"/>
  <c r="AG374" i="60" s="1"/>
  <c r="Q374" i="60"/>
  <c r="AB374" i="60"/>
  <c r="AD374" i="60" s="1"/>
  <c r="N374" i="60"/>
  <c r="AL374" i="60"/>
  <c r="AN374" i="60" s="1"/>
  <c r="X374" i="60"/>
  <c r="J374" i="60"/>
  <c r="AI374" i="60"/>
  <c r="AK374" i="60" s="1"/>
  <c r="U374" i="60"/>
  <c r="G374" i="60"/>
  <c r="Y373" i="60"/>
  <c r="K373" i="60"/>
  <c r="R371" i="60"/>
  <c r="Y369" i="60"/>
  <c r="K369" i="60"/>
  <c r="R367" i="60"/>
  <c r="Y362" i="60"/>
  <c r="K362" i="60"/>
  <c r="V373" i="60"/>
  <c r="H373" i="60"/>
  <c r="O371" i="60"/>
  <c r="V369" i="60"/>
  <c r="H369" i="60"/>
  <c r="O367" i="60"/>
  <c r="V362" i="60"/>
  <c r="H362" i="60"/>
  <c r="Y361" i="60"/>
  <c r="K361" i="60"/>
  <c r="R359" i="60"/>
  <c r="Y357" i="60"/>
  <c r="K357" i="60"/>
  <c r="R355" i="60"/>
  <c r="Y350" i="60"/>
  <c r="K350" i="60"/>
  <c r="R373" i="60"/>
  <c r="Y371" i="60"/>
  <c r="K371" i="60"/>
  <c r="R369" i="60"/>
  <c r="Y367" i="60"/>
  <c r="K367" i="60"/>
  <c r="R362" i="60"/>
  <c r="V361" i="60"/>
  <c r="H361" i="60"/>
  <c r="O359" i="60"/>
  <c r="V357" i="60"/>
  <c r="H357" i="60"/>
  <c r="O355" i="60"/>
  <c r="V350" i="60"/>
  <c r="H350" i="60"/>
  <c r="O373" i="60"/>
  <c r="V367" i="60"/>
  <c r="V359" i="60"/>
  <c r="O357" i="60"/>
  <c r="H355" i="60"/>
  <c r="R349" i="60"/>
  <c r="Y347" i="60"/>
  <c r="K347" i="60"/>
  <c r="R345" i="60"/>
  <c r="Y343" i="60"/>
  <c r="K343" i="60"/>
  <c r="R338" i="60"/>
  <c r="V371" i="60"/>
  <c r="H367" i="60"/>
  <c r="R361" i="60"/>
  <c r="K359" i="60"/>
  <c r="Y355" i="60"/>
  <c r="R350" i="60"/>
  <c r="O349" i="60"/>
  <c r="V347" i="60"/>
  <c r="H347" i="60"/>
  <c r="O345" i="60"/>
  <c r="V343" i="60"/>
  <c r="H343" i="60"/>
  <c r="O338" i="60"/>
  <c r="H371" i="60"/>
  <c r="O362" i="60"/>
  <c r="O361" i="60"/>
  <c r="H359" i="60"/>
  <c r="V355" i="60"/>
  <c r="O350" i="60"/>
  <c r="Y349" i="60"/>
  <c r="K349" i="60"/>
  <c r="R347" i="60"/>
  <c r="Y345" i="60"/>
  <c r="K345" i="60"/>
  <c r="R343" i="60"/>
  <c r="Y338" i="60"/>
  <c r="K338" i="60"/>
  <c r="K355" i="60"/>
  <c r="H349" i="60"/>
  <c r="O343" i="60"/>
  <c r="Y337" i="60"/>
  <c r="K337" i="60"/>
  <c r="R335" i="60"/>
  <c r="Y333" i="60"/>
  <c r="K333" i="60"/>
  <c r="R331" i="60"/>
  <c r="Y326" i="60"/>
  <c r="K326" i="60"/>
  <c r="O347" i="60"/>
  <c r="V338" i="60"/>
  <c r="V337" i="60"/>
  <c r="H337" i="60"/>
  <c r="O335" i="60"/>
  <c r="V333" i="60"/>
  <c r="H333" i="60"/>
  <c r="O331" i="60"/>
  <c r="V326" i="60"/>
  <c r="H326" i="60"/>
  <c r="Y359" i="60"/>
  <c r="V345" i="60"/>
  <c r="H338" i="60"/>
  <c r="R337" i="60"/>
  <c r="Y335" i="60"/>
  <c r="K335" i="60"/>
  <c r="R333" i="60"/>
  <c r="Y331" i="60"/>
  <c r="K331" i="60"/>
  <c r="R326" i="60"/>
  <c r="V325" i="60"/>
  <c r="H325" i="60"/>
  <c r="O323" i="60"/>
  <c r="R357" i="60"/>
  <c r="H335" i="60"/>
  <c r="O326" i="60"/>
  <c r="O325" i="60"/>
  <c r="R323" i="60"/>
  <c r="V321" i="60"/>
  <c r="H321" i="60"/>
  <c r="O319" i="60"/>
  <c r="V314" i="60"/>
  <c r="H314" i="60"/>
  <c r="Y313" i="60"/>
  <c r="K313" i="60"/>
  <c r="R311" i="60"/>
  <c r="Y309" i="60"/>
  <c r="K309" i="60"/>
  <c r="R307" i="60"/>
  <c r="Y302" i="60"/>
  <c r="K302" i="60"/>
  <c r="O301" i="60"/>
  <c r="V299" i="60"/>
  <c r="H299" i="60"/>
  <c r="O297" i="60"/>
  <c r="V295" i="60"/>
  <c r="H295" i="60"/>
  <c r="O290" i="60"/>
  <c r="R289" i="60"/>
  <c r="Y287" i="60"/>
  <c r="K287" i="60"/>
  <c r="R285" i="60"/>
  <c r="Y283" i="60"/>
  <c r="K283" i="60"/>
  <c r="R278" i="60"/>
  <c r="V349" i="60"/>
  <c r="O333" i="60"/>
  <c r="K325" i="60"/>
  <c r="K323" i="60"/>
  <c r="R321" i="60"/>
  <c r="Y319" i="60"/>
  <c r="K319" i="60"/>
  <c r="R314" i="60"/>
  <c r="V313" i="60"/>
  <c r="H313" i="60"/>
  <c r="O311" i="60"/>
  <c r="V309" i="60"/>
  <c r="H309" i="60"/>
  <c r="O307" i="60"/>
  <c r="V302" i="60"/>
  <c r="H302" i="60"/>
  <c r="Y301" i="60"/>
  <c r="K301" i="60"/>
  <c r="R299" i="60"/>
  <c r="Y297" i="60"/>
  <c r="K297" i="60"/>
  <c r="R295" i="60"/>
  <c r="Y290" i="60"/>
  <c r="K290" i="60"/>
  <c r="O289" i="60"/>
  <c r="V287" i="60"/>
  <c r="H287" i="60"/>
  <c r="O285" i="60"/>
  <c r="V283" i="60"/>
  <c r="H283" i="60"/>
  <c r="H345" i="60"/>
  <c r="O337" i="60"/>
  <c r="V331" i="60"/>
  <c r="Y325" i="60"/>
  <c r="Y323" i="60"/>
  <c r="H323" i="60"/>
  <c r="O321" i="60"/>
  <c r="V319" i="60"/>
  <c r="H319" i="60"/>
  <c r="O314" i="60"/>
  <c r="R313" i="60"/>
  <c r="Y311" i="60"/>
  <c r="K311" i="60"/>
  <c r="R309" i="60"/>
  <c r="Y307" i="60"/>
  <c r="K307" i="60"/>
  <c r="R302" i="60"/>
  <c r="H331" i="60"/>
  <c r="K321" i="60"/>
  <c r="V311" i="60"/>
  <c r="H307" i="60"/>
  <c r="R301" i="60"/>
  <c r="K299" i="60"/>
  <c r="Y295" i="60"/>
  <c r="R290" i="60"/>
  <c r="Y289" i="60"/>
  <c r="R287" i="60"/>
  <c r="K285" i="60"/>
  <c r="Y278" i="60"/>
  <c r="H278" i="60"/>
  <c r="O277" i="60"/>
  <c r="V275" i="60"/>
  <c r="H275" i="60"/>
  <c r="O273" i="60"/>
  <c r="V271" i="60"/>
  <c r="H271" i="60"/>
  <c r="O266" i="60"/>
  <c r="R265" i="60"/>
  <c r="Y263" i="60"/>
  <c r="K263" i="60"/>
  <c r="R261" i="60"/>
  <c r="Y259" i="60"/>
  <c r="K259" i="60"/>
  <c r="R254" i="60"/>
  <c r="V253" i="60"/>
  <c r="H253" i="60"/>
  <c r="O251" i="60"/>
  <c r="R325" i="60"/>
  <c r="R319" i="60"/>
  <c r="H311" i="60"/>
  <c r="O302" i="60"/>
  <c r="H301" i="60"/>
  <c r="V297" i="60"/>
  <c r="O295" i="60"/>
  <c r="H290" i="60"/>
  <c r="V289" i="60"/>
  <c r="O287" i="60"/>
  <c r="H285" i="60"/>
  <c r="V278" i="60"/>
  <c r="O369" i="60"/>
  <c r="V323" i="60"/>
  <c r="Y314" i="60"/>
  <c r="O309" i="60"/>
  <c r="Y299" i="60"/>
  <c r="R297" i="60"/>
  <c r="K295" i="60"/>
  <c r="K289" i="60"/>
  <c r="Y285" i="60"/>
  <c r="R283" i="60"/>
  <c r="O278" i="60"/>
  <c r="V277" i="60"/>
  <c r="H277" i="60"/>
  <c r="O275" i="60"/>
  <c r="V273" i="60"/>
  <c r="H273" i="60"/>
  <c r="O271" i="60"/>
  <c r="V266" i="60"/>
  <c r="H266" i="60"/>
  <c r="Y265" i="60"/>
  <c r="K265" i="60"/>
  <c r="R263" i="60"/>
  <c r="Y261" i="60"/>
  <c r="K261" i="60"/>
  <c r="R259" i="60"/>
  <c r="Y254" i="60"/>
  <c r="K254" i="60"/>
  <c r="O253" i="60"/>
  <c r="V251" i="60"/>
  <c r="O313" i="60"/>
  <c r="V290" i="60"/>
  <c r="V285" i="60"/>
  <c r="Y275" i="60"/>
  <c r="R273" i="60"/>
  <c r="K271" i="60"/>
  <c r="H265" i="60"/>
  <c r="V261" i="60"/>
  <c r="O259" i="60"/>
  <c r="H254" i="60"/>
  <c r="R253" i="60"/>
  <c r="K251" i="60"/>
  <c r="R249" i="60"/>
  <c r="Y247" i="60"/>
  <c r="K247" i="60"/>
  <c r="R242" i="60"/>
  <c r="V241" i="60"/>
  <c r="H241" i="60"/>
  <c r="O239" i="60"/>
  <c r="V237" i="60"/>
  <c r="H237" i="60"/>
  <c r="O235" i="60"/>
  <c r="V230" i="60"/>
  <c r="H230" i="60"/>
  <c r="Y229" i="60"/>
  <c r="K229" i="60"/>
  <c r="R227" i="60"/>
  <c r="Y225" i="60"/>
  <c r="K225" i="60"/>
  <c r="R223" i="60"/>
  <c r="Y218" i="60"/>
  <c r="K218" i="60"/>
  <c r="Y321" i="60"/>
  <c r="V307" i="60"/>
  <c r="V301" i="60"/>
  <c r="O283" i="60"/>
  <c r="Y277" i="60"/>
  <c r="R275" i="60"/>
  <c r="K273" i="60"/>
  <c r="Y266" i="60"/>
  <c r="V263" i="60"/>
  <c r="O261" i="60"/>
  <c r="H259" i="60"/>
  <c r="K253" i="60"/>
  <c r="H251" i="60"/>
  <c r="O249" i="60"/>
  <c r="V247" i="60"/>
  <c r="H247" i="60"/>
  <c r="O242" i="60"/>
  <c r="R241" i="60"/>
  <c r="Y239" i="60"/>
  <c r="K239" i="60"/>
  <c r="R237" i="60"/>
  <c r="Y235" i="60"/>
  <c r="K235" i="60"/>
  <c r="R230" i="60"/>
  <c r="V229" i="60"/>
  <c r="H229" i="60"/>
  <c r="O227" i="60"/>
  <c r="V225" i="60"/>
  <c r="H225" i="60"/>
  <c r="O223" i="60"/>
  <c r="V218" i="60"/>
  <c r="H218" i="60"/>
  <c r="K314" i="60"/>
  <c r="O299" i="60"/>
  <c r="K278" i="60"/>
  <c r="R277" i="60"/>
  <c r="K275" i="60"/>
  <c r="Y271" i="60"/>
  <c r="R266" i="60"/>
  <c r="V265" i="60"/>
  <c r="O263" i="60"/>
  <c r="H261" i="60"/>
  <c r="V254" i="60"/>
  <c r="Y251" i="60"/>
  <c r="Y249" i="60"/>
  <c r="K249" i="60"/>
  <c r="R247" i="60"/>
  <c r="Y242" i="60"/>
  <c r="K242" i="60"/>
  <c r="O241" i="60"/>
  <c r="V239" i="60"/>
  <c r="H239" i="60"/>
  <c r="O237" i="60"/>
  <c r="V235" i="60"/>
  <c r="H235" i="60"/>
  <c r="O230" i="60"/>
  <c r="R229" i="60"/>
  <c r="Y227" i="60"/>
  <c r="K227" i="60"/>
  <c r="R225" i="60"/>
  <c r="Y223" i="60"/>
  <c r="K223" i="60"/>
  <c r="R218" i="60"/>
  <c r="R271" i="60"/>
  <c r="O265" i="60"/>
  <c r="V249" i="60"/>
  <c r="H242" i="60"/>
  <c r="Y241" i="60"/>
  <c r="K237" i="60"/>
  <c r="V227" i="60"/>
  <c r="H223" i="60"/>
  <c r="O217" i="60"/>
  <c r="V215" i="60"/>
  <c r="H215" i="60"/>
  <c r="O213" i="60"/>
  <c r="V211" i="60"/>
  <c r="H211" i="60"/>
  <c r="O206" i="60"/>
  <c r="R205" i="60"/>
  <c r="Y203" i="60"/>
  <c r="K203" i="60"/>
  <c r="R201" i="60"/>
  <c r="Y199" i="60"/>
  <c r="K199" i="60"/>
  <c r="R194" i="60"/>
  <c r="V193" i="60"/>
  <c r="H193" i="60"/>
  <c r="O191" i="60"/>
  <c r="V189" i="60"/>
  <c r="H189" i="60"/>
  <c r="O187" i="60"/>
  <c r="V182" i="60"/>
  <c r="H182" i="60"/>
  <c r="Y181" i="60"/>
  <c r="K181" i="60"/>
  <c r="R179" i="60"/>
  <c r="Y177" i="60"/>
  <c r="K177" i="60"/>
  <c r="R175" i="60"/>
  <c r="Y170" i="60"/>
  <c r="K170" i="60"/>
  <c r="O169" i="60"/>
  <c r="V167" i="60"/>
  <c r="H167" i="60"/>
  <c r="O165" i="60"/>
  <c r="V163" i="60"/>
  <c r="H163" i="60"/>
  <c r="O158" i="60"/>
  <c r="R157" i="60"/>
  <c r="Y155" i="60"/>
  <c r="K155" i="60"/>
  <c r="R153" i="60"/>
  <c r="Y151" i="60"/>
  <c r="K151" i="60"/>
  <c r="R146" i="60"/>
  <c r="V145" i="60"/>
  <c r="H145" i="60"/>
  <c r="O143" i="60"/>
  <c r="V141" i="60"/>
  <c r="H141" i="60"/>
  <c r="O139" i="60"/>
  <c r="V134" i="60"/>
  <c r="H134" i="60"/>
  <c r="V335" i="60"/>
  <c r="H289" i="60"/>
  <c r="K266" i="60"/>
  <c r="H263" i="60"/>
  <c r="H249" i="60"/>
  <c r="K241" i="60"/>
  <c r="R235" i="60"/>
  <c r="H227" i="60"/>
  <c r="O218" i="60"/>
  <c r="Y217" i="60"/>
  <c r="K217" i="60"/>
  <c r="R215" i="60"/>
  <c r="Y213" i="60"/>
  <c r="K213" i="60"/>
  <c r="R211" i="60"/>
  <c r="Y206" i="60"/>
  <c r="K206" i="60"/>
  <c r="O205" i="60"/>
  <c r="V203" i="60"/>
  <c r="H203" i="60"/>
  <c r="O201" i="60"/>
  <c r="V199" i="60"/>
  <c r="H199" i="60"/>
  <c r="O194" i="60"/>
  <c r="R193" i="60"/>
  <c r="Y191" i="60"/>
  <c r="K191" i="60"/>
  <c r="R189" i="60"/>
  <c r="Y187" i="60"/>
  <c r="K187" i="60"/>
  <c r="R182" i="60"/>
  <c r="V181" i="60"/>
  <c r="H181" i="60"/>
  <c r="O179" i="60"/>
  <c r="V177" i="60"/>
  <c r="H177" i="60"/>
  <c r="O175" i="60"/>
  <c r="V170" i="60"/>
  <c r="H170" i="60"/>
  <c r="Y169" i="60"/>
  <c r="K169" i="60"/>
  <c r="R167" i="60"/>
  <c r="Y165" i="60"/>
  <c r="K165" i="60"/>
  <c r="R163" i="60"/>
  <c r="Y158" i="60"/>
  <c r="K158" i="60"/>
  <c r="O157" i="60"/>
  <c r="V155" i="60"/>
  <c r="H155" i="60"/>
  <c r="O153" i="60"/>
  <c r="V151" i="60"/>
  <c r="H151" i="60"/>
  <c r="O146" i="60"/>
  <c r="R145" i="60"/>
  <c r="K277" i="60"/>
  <c r="V259" i="60"/>
  <c r="Y253" i="60"/>
  <c r="O247" i="60"/>
  <c r="R239" i="60"/>
  <c r="Y230" i="60"/>
  <c r="O225" i="60"/>
  <c r="V217" i="60"/>
  <c r="H217" i="60"/>
  <c r="O215" i="60"/>
  <c r="V213" i="60"/>
  <c r="H213" i="60"/>
  <c r="O211" i="60"/>
  <c r="V206" i="60"/>
  <c r="H206" i="60"/>
  <c r="Y205" i="60"/>
  <c r="K205" i="60"/>
  <c r="R203" i="60"/>
  <c r="Y201" i="60"/>
  <c r="K201" i="60"/>
  <c r="R199" i="60"/>
  <c r="Y194" i="60"/>
  <c r="K194" i="60"/>
  <c r="O193" i="60"/>
  <c r="V191" i="60"/>
  <c r="H191" i="60"/>
  <c r="O189" i="60"/>
  <c r="V187" i="60"/>
  <c r="H187" i="60"/>
  <c r="O182" i="60"/>
  <c r="R181" i="60"/>
  <c r="Y179" i="60"/>
  <c r="K179" i="60"/>
  <c r="R177" i="60"/>
  <c r="Y175" i="60"/>
  <c r="K175" i="60"/>
  <c r="R170" i="60"/>
  <c r="V169" i="60"/>
  <c r="H169" i="60"/>
  <c r="O167" i="60"/>
  <c r="V165" i="60"/>
  <c r="H165" i="60"/>
  <c r="O163" i="60"/>
  <c r="V158" i="60"/>
  <c r="H158" i="60"/>
  <c r="Y157" i="60"/>
  <c r="K157" i="60"/>
  <c r="R155" i="60"/>
  <c r="Y153" i="60"/>
  <c r="K153" i="60"/>
  <c r="R151" i="60"/>
  <c r="Y146" i="60"/>
  <c r="K146" i="60"/>
  <c r="O145" i="60"/>
  <c r="V143" i="60"/>
  <c r="H143" i="60"/>
  <c r="O141" i="60"/>
  <c r="V139" i="60"/>
  <c r="H139" i="60"/>
  <c r="O134" i="60"/>
  <c r="Y273" i="60"/>
  <c r="R251" i="60"/>
  <c r="K230" i="60"/>
  <c r="R217" i="60"/>
  <c r="Y211" i="60"/>
  <c r="H205" i="60"/>
  <c r="O199" i="60"/>
  <c r="R191" i="60"/>
  <c r="Y182" i="60"/>
  <c r="O177" i="60"/>
  <c r="R169" i="60"/>
  <c r="Y163" i="60"/>
  <c r="H157" i="60"/>
  <c r="O151" i="60"/>
  <c r="Y143" i="60"/>
  <c r="R141" i="60"/>
  <c r="K139" i="60"/>
  <c r="Y133" i="60"/>
  <c r="K133" i="60"/>
  <c r="R131" i="60"/>
  <c r="Y129" i="60"/>
  <c r="K129" i="60"/>
  <c r="R127" i="60"/>
  <c r="Y122" i="60"/>
  <c r="K122" i="60"/>
  <c r="O121" i="60"/>
  <c r="V119" i="60"/>
  <c r="H119" i="60"/>
  <c r="O117" i="60"/>
  <c r="V115" i="60"/>
  <c r="H115" i="60"/>
  <c r="O110" i="60"/>
  <c r="R109" i="60"/>
  <c r="Y107" i="60"/>
  <c r="K107" i="60"/>
  <c r="R105" i="60"/>
  <c r="Y103" i="60"/>
  <c r="K103" i="60"/>
  <c r="R98" i="60"/>
  <c r="V97" i="60"/>
  <c r="H97" i="60"/>
  <c r="O95" i="60"/>
  <c r="V93" i="60"/>
  <c r="H93" i="60"/>
  <c r="O91" i="60"/>
  <c r="V86" i="60"/>
  <c r="H86" i="60"/>
  <c r="Y85" i="60"/>
  <c r="K85" i="60"/>
  <c r="R83" i="60"/>
  <c r="Y81" i="60"/>
  <c r="K81" i="60"/>
  <c r="R79" i="60"/>
  <c r="Y74" i="60"/>
  <c r="K74" i="60"/>
  <c r="O73" i="60"/>
  <c r="V71" i="60"/>
  <c r="H71" i="60"/>
  <c r="O69" i="60"/>
  <c r="V67" i="60"/>
  <c r="H67" i="60"/>
  <c r="O62" i="60"/>
  <c r="H297" i="60"/>
  <c r="V242" i="60"/>
  <c r="Y215" i="60"/>
  <c r="K211" i="60"/>
  <c r="O203" i="60"/>
  <c r="V194" i="60"/>
  <c r="Y189" i="60"/>
  <c r="K182" i="60"/>
  <c r="O181" i="60"/>
  <c r="V175" i="60"/>
  <c r="Y167" i="60"/>
  <c r="K163" i="60"/>
  <c r="O155" i="60"/>
  <c r="V146" i="60"/>
  <c r="R143" i="60"/>
  <c r="K141" i="60"/>
  <c r="Y134" i="60"/>
  <c r="V133" i="60"/>
  <c r="H133" i="60"/>
  <c r="O131" i="60"/>
  <c r="V129" i="60"/>
  <c r="H129" i="60"/>
  <c r="O127" i="60"/>
  <c r="V122" i="60"/>
  <c r="H122" i="60"/>
  <c r="Y121" i="60"/>
  <c r="K121" i="60"/>
  <c r="R119" i="60"/>
  <c r="Y117" i="60"/>
  <c r="K117" i="60"/>
  <c r="R115" i="60"/>
  <c r="Y110" i="60"/>
  <c r="K110" i="60"/>
  <c r="O109" i="60"/>
  <c r="V107" i="60"/>
  <c r="H107" i="60"/>
  <c r="O105" i="60"/>
  <c r="V103" i="60"/>
  <c r="H103" i="60"/>
  <c r="O98" i="60"/>
  <c r="R97" i="60"/>
  <c r="Y95" i="60"/>
  <c r="K95" i="60"/>
  <c r="R93" i="60"/>
  <c r="Y91" i="60"/>
  <c r="K91" i="60"/>
  <c r="R86" i="60"/>
  <c r="V85" i="60"/>
  <c r="H85" i="60"/>
  <c r="O83" i="60"/>
  <c r="V81" i="60"/>
  <c r="H81" i="60"/>
  <c r="O79" i="60"/>
  <c r="V74" i="60"/>
  <c r="H74" i="60"/>
  <c r="Y73" i="60"/>
  <c r="K73" i="60"/>
  <c r="R71" i="60"/>
  <c r="Y69" i="60"/>
  <c r="K69" i="60"/>
  <c r="R67" i="60"/>
  <c r="Y62" i="60"/>
  <c r="K62" i="60"/>
  <c r="O254" i="60"/>
  <c r="O229" i="60"/>
  <c r="K215" i="60"/>
  <c r="R206" i="60"/>
  <c r="V201" i="60"/>
  <c r="H194" i="60"/>
  <c r="Y193" i="60"/>
  <c r="K189" i="60"/>
  <c r="V179" i="60"/>
  <c r="H175" i="60"/>
  <c r="K167" i="60"/>
  <c r="R158" i="60"/>
  <c r="V153" i="60"/>
  <c r="H146" i="60"/>
  <c r="Y145" i="60"/>
  <c r="K143" i="60"/>
  <c r="Y139" i="60"/>
  <c r="R134" i="60"/>
  <c r="R133" i="60"/>
  <c r="Y131" i="60"/>
  <c r="K131" i="60"/>
  <c r="R129" i="60"/>
  <c r="Y127" i="60"/>
  <c r="K127" i="60"/>
  <c r="R122" i="60"/>
  <c r="V121" i="60"/>
  <c r="H121" i="60"/>
  <c r="O119" i="60"/>
  <c r="V117" i="60"/>
  <c r="H117" i="60"/>
  <c r="O115" i="60"/>
  <c r="V110" i="60"/>
  <c r="H110" i="60"/>
  <c r="Y109" i="60"/>
  <c r="K109" i="60"/>
  <c r="R107" i="60"/>
  <c r="Y105" i="60"/>
  <c r="K105" i="60"/>
  <c r="R103" i="60"/>
  <c r="Y98" i="60"/>
  <c r="K98" i="60"/>
  <c r="O97" i="60"/>
  <c r="V95" i="60"/>
  <c r="H95" i="60"/>
  <c r="O93" i="60"/>
  <c r="V91" i="60"/>
  <c r="H91" i="60"/>
  <c r="O86" i="60"/>
  <c r="R85" i="60"/>
  <c r="Y83" i="60"/>
  <c r="K83" i="60"/>
  <c r="R81" i="60"/>
  <c r="Y79" i="60"/>
  <c r="K79" i="60"/>
  <c r="R74" i="60"/>
  <c r="V73" i="60"/>
  <c r="H73" i="60"/>
  <c r="O71" i="60"/>
  <c r="V69" i="60"/>
  <c r="H69" i="60"/>
  <c r="O67" i="60"/>
  <c r="V62" i="60"/>
  <c r="H62" i="60"/>
  <c r="V205" i="60"/>
  <c r="K193" i="60"/>
  <c r="H179" i="60"/>
  <c r="R139" i="60"/>
  <c r="V131" i="60"/>
  <c r="H127" i="60"/>
  <c r="K119" i="60"/>
  <c r="R110" i="60"/>
  <c r="V105" i="60"/>
  <c r="H98" i="60"/>
  <c r="Y97" i="60"/>
  <c r="K93" i="60"/>
  <c r="V83" i="60"/>
  <c r="H79" i="60"/>
  <c r="K71" i="60"/>
  <c r="R62" i="60"/>
  <c r="Y61" i="60"/>
  <c r="K61" i="60"/>
  <c r="R59" i="60"/>
  <c r="Y57" i="60"/>
  <c r="K57" i="60"/>
  <c r="R55" i="60"/>
  <c r="Y50" i="60"/>
  <c r="K50" i="60"/>
  <c r="O49" i="60"/>
  <c r="V47" i="60"/>
  <c r="H47" i="60"/>
  <c r="O45" i="60"/>
  <c r="V43" i="60"/>
  <c r="H43" i="60"/>
  <c r="O38" i="60"/>
  <c r="R37" i="60"/>
  <c r="Y35" i="60"/>
  <c r="K35" i="60"/>
  <c r="R33" i="60"/>
  <c r="Y31" i="60"/>
  <c r="K31" i="60"/>
  <c r="R26" i="60"/>
  <c r="V25" i="60"/>
  <c r="H25" i="60"/>
  <c r="O23" i="60"/>
  <c r="V21" i="60"/>
  <c r="H21" i="60"/>
  <c r="O19" i="60"/>
  <c r="V14" i="60"/>
  <c r="H14" i="60"/>
  <c r="O133" i="60"/>
  <c r="K115" i="60"/>
  <c r="K86" i="60"/>
  <c r="O85" i="60"/>
  <c r="K67" i="60"/>
  <c r="H59" i="60"/>
  <c r="H55" i="60"/>
  <c r="R213" i="60"/>
  <c r="H201" i="60"/>
  <c r="R187" i="60"/>
  <c r="O170" i="60"/>
  <c r="K134" i="60"/>
  <c r="H131" i="60"/>
  <c r="O122" i="60"/>
  <c r="R117" i="60"/>
  <c r="V109" i="60"/>
  <c r="H105" i="60"/>
  <c r="K97" i="60"/>
  <c r="R91" i="60"/>
  <c r="H83" i="60"/>
  <c r="O74" i="60"/>
  <c r="R69" i="60"/>
  <c r="V61" i="60"/>
  <c r="H61" i="60"/>
  <c r="O59" i="60"/>
  <c r="V57" i="60"/>
  <c r="H57" i="60"/>
  <c r="O55" i="60"/>
  <c r="V50" i="60"/>
  <c r="H50" i="60"/>
  <c r="Y49" i="60"/>
  <c r="K49" i="60"/>
  <c r="R47" i="60"/>
  <c r="Y45" i="60"/>
  <c r="K45" i="60"/>
  <c r="R43" i="60"/>
  <c r="Y38" i="60"/>
  <c r="K38" i="60"/>
  <c r="O37" i="60"/>
  <c r="V35" i="60"/>
  <c r="H35" i="60"/>
  <c r="O33" i="60"/>
  <c r="V31" i="60"/>
  <c r="H31" i="60"/>
  <c r="O26" i="60"/>
  <c r="R25" i="60"/>
  <c r="Y23" i="60"/>
  <c r="K23" i="60"/>
  <c r="R21" i="60"/>
  <c r="Y19" i="60"/>
  <c r="K19" i="60"/>
  <c r="R14" i="60"/>
  <c r="Y119" i="60"/>
  <c r="V98" i="60"/>
  <c r="Y93" i="60"/>
  <c r="Y71" i="60"/>
  <c r="O61" i="60"/>
  <c r="V55" i="60"/>
  <c r="R49" i="60"/>
  <c r="K47" i="60"/>
  <c r="Y43" i="60"/>
  <c r="R38" i="60"/>
  <c r="V37" i="60"/>
  <c r="V33" i="60"/>
  <c r="V26" i="60"/>
  <c r="R23" i="60"/>
  <c r="K21" i="60"/>
  <c r="Y237" i="60"/>
  <c r="V223" i="60"/>
  <c r="V157" i="60"/>
  <c r="K145" i="60"/>
  <c r="O129" i="60"/>
  <c r="R121" i="60"/>
  <c r="Y115" i="60"/>
  <c r="H109" i="60"/>
  <c r="O103" i="60"/>
  <c r="R95" i="60"/>
  <c r="Y86" i="60"/>
  <c r="O81" i="60"/>
  <c r="R73" i="60"/>
  <c r="Y67" i="60"/>
  <c r="R61" i="60"/>
  <c r="Y59" i="60"/>
  <c r="K59" i="60"/>
  <c r="R57" i="60"/>
  <c r="Y55" i="60"/>
  <c r="K55" i="60"/>
  <c r="R50" i="60"/>
  <c r="V49" i="60"/>
  <c r="H49" i="60"/>
  <c r="O47" i="60"/>
  <c r="V45" i="60"/>
  <c r="H45" i="60"/>
  <c r="O43" i="60"/>
  <c r="V38" i="60"/>
  <c r="H38" i="60"/>
  <c r="Y37" i="60"/>
  <c r="K37" i="60"/>
  <c r="R35" i="60"/>
  <c r="Y33" i="60"/>
  <c r="K33" i="60"/>
  <c r="R31" i="60"/>
  <c r="Y26" i="60"/>
  <c r="K26" i="60"/>
  <c r="O25" i="60"/>
  <c r="V23" i="60"/>
  <c r="H23" i="60"/>
  <c r="O21" i="60"/>
  <c r="V19" i="60"/>
  <c r="H19" i="60"/>
  <c r="O14" i="60"/>
  <c r="R165" i="60"/>
  <c r="H153" i="60"/>
  <c r="Y141" i="60"/>
  <c r="V127" i="60"/>
  <c r="O107" i="60"/>
  <c r="V79" i="60"/>
  <c r="V59" i="60"/>
  <c r="O57" i="60"/>
  <c r="O50" i="60"/>
  <c r="Y47" i="60"/>
  <c r="R45" i="60"/>
  <c r="K43" i="60"/>
  <c r="H37" i="60"/>
  <c r="H33" i="60"/>
  <c r="H26" i="60"/>
  <c r="K25" i="60"/>
  <c r="R19" i="60"/>
  <c r="K14" i="60"/>
  <c r="O35" i="60"/>
  <c r="O31" i="60"/>
  <c r="Y25" i="60"/>
  <c r="Y21" i="60"/>
  <c r="Y14" i="60"/>
  <c r="AX11" i="54"/>
  <c r="AD11" i="54"/>
  <c r="T11" i="54"/>
  <c r="AN11" i="54"/>
  <c r="K11" i="56"/>
  <c r="W11" i="56"/>
  <c r="L11" i="56"/>
  <c r="AI11" i="56"/>
  <c r="X11" i="56"/>
  <c r="AJ11" i="56"/>
  <c r="J11" i="54"/>
  <c r="D14" i="10"/>
  <c r="D15" i="10"/>
  <c r="D16" i="10"/>
  <c r="D17" i="10"/>
  <c r="D18" i="10"/>
  <c r="D19" i="10"/>
  <c r="D20" i="10"/>
  <c r="D21" i="10"/>
  <c r="D22" i="10"/>
  <c r="D23" i="10"/>
  <c r="D24" i="10"/>
  <c r="D25" i="10"/>
  <c r="D26" i="10"/>
  <c r="D27" i="10"/>
  <c r="D28" i="10"/>
  <c r="D29" i="10"/>
  <c r="D30" i="10"/>
  <c r="D31" i="10"/>
  <c r="D32" i="10"/>
  <c r="D33" i="10"/>
  <c r="D34" i="10"/>
  <c r="D35" i="10"/>
  <c r="D36" i="10"/>
  <c r="D37" i="10"/>
  <c r="D38" i="10"/>
  <c r="D39" i="10"/>
  <c r="D40" i="10"/>
  <c r="D41" i="10"/>
  <c r="D42" i="10"/>
  <c r="D43" i="10"/>
  <c r="D44" i="10"/>
  <c r="D45" i="10"/>
  <c r="D46" i="10"/>
  <c r="D47" i="10"/>
  <c r="D48" i="10"/>
  <c r="D49" i="10"/>
  <c r="D50" i="10"/>
  <c r="D51" i="10"/>
  <c r="D52" i="10"/>
  <c r="D53" i="10"/>
  <c r="D54" i="10"/>
  <c r="D55" i="10"/>
  <c r="D56" i="10"/>
  <c r="D57" i="10"/>
  <c r="D58" i="10"/>
  <c r="D59" i="10"/>
  <c r="D60" i="10"/>
  <c r="D61" i="10"/>
  <c r="D62" i="10"/>
  <c r="D63" i="10"/>
  <c r="D64" i="10"/>
  <c r="D65" i="10"/>
  <c r="D66" i="10"/>
  <c r="D67" i="10"/>
  <c r="D68" i="10"/>
  <c r="D69" i="10"/>
  <c r="D70" i="10"/>
  <c r="D71" i="10"/>
  <c r="D72" i="10"/>
  <c r="D73" i="10"/>
  <c r="D74" i="10"/>
  <c r="D75" i="10"/>
  <c r="D76" i="10"/>
  <c r="D77" i="10"/>
  <c r="D78" i="10"/>
  <c r="D79" i="10"/>
  <c r="D80" i="10"/>
  <c r="D81" i="10"/>
  <c r="D82" i="10"/>
  <c r="D83" i="10"/>
  <c r="D84" i="10"/>
  <c r="D85" i="10"/>
  <c r="D86" i="10"/>
  <c r="D87" i="10"/>
  <c r="D88" i="10"/>
  <c r="D89" i="10"/>
  <c r="D90" i="10"/>
  <c r="D91" i="10"/>
  <c r="D92" i="10"/>
  <c r="D93" i="10"/>
  <c r="D94" i="10"/>
  <c r="D95" i="10"/>
  <c r="D96" i="10"/>
  <c r="D97" i="10"/>
  <c r="D98" i="10"/>
  <c r="D99" i="10"/>
  <c r="D100" i="10"/>
  <c r="D101" i="10"/>
  <c r="D102" i="10"/>
  <c r="D103" i="10"/>
  <c r="D104" i="10"/>
  <c r="D105" i="10"/>
  <c r="D106" i="10"/>
  <c r="D107" i="10"/>
  <c r="D108" i="10"/>
  <c r="D109" i="10"/>
  <c r="D110" i="10"/>
  <c r="D111" i="10"/>
  <c r="D112" i="10"/>
  <c r="D113" i="10"/>
  <c r="D114" i="10"/>
  <c r="D115" i="10"/>
  <c r="D116" i="10"/>
  <c r="D117" i="10"/>
  <c r="D118" i="10"/>
  <c r="D119" i="10"/>
  <c r="D120" i="10"/>
  <c r="D121" i="10"/>
  <c r="D122" i="10"/>
  <c r="D123" i="10"/>
  <c r="D124" i="10"/>
  <c r="D125" i="10"/>
  <c r="D126" i="10"/>
  <c r="D127" i="10"/>
  <c r="D128" i="10"/>
  <c r="D129" i="10"/>
  <c r="D130" i="10"/>
  <c r="D131" i="10"/>
  <c r="D132" i="10"/>
  <c r="D133" i="10"/>
  <c r="D134" i="10"/>
  <c r="D135" i="10"/>
  <c r="D136" i="10"/>
  <c r="D137" i="10"/>
  <c r="D138" i="10"/>
  <c r="D139" i="10"/>
  <c r="D140" i="10"/>
  <c r="D141" i="10"/>
  <c r="D142" i="10"/>
  <c r="D143" i="10"/>
  <c r="D144" i="10"/>
  <c r="D145" i="10"/>
  <c r="D146" i="10"/>
  <c r="D147" i="10"/>
  <c r="D148" i="10"/>
  <c r="D149" i="10"/>
  <c r="D150" i="10"/>
  <c r="D151" i="10"/>
  <c r="D152" i="10"/>
  <c r="D153" i="10"/>
  <c r="D154" i="10"/>
  <c r="D155" i="10"/>
  <c r="D156" i="10"/>
  <c r="D157" i="10"/>
  <c r="D158" i="10"/>
  <c r="D159" i="10"/>
  <c r="D160" i="10"/>
  <c r="D161" i="10"/>
  <c r="D162" i="10"/>
  <c r="D163" i="10"/>
  <c r="D164" i="10"/>
  <c r="D165" i="10"/>
  <c r="D166" i="10"/>
  <c r="D167" i="10"/>
  <c r="D168" i="10"/>
  <c r="D169" i="10"/>
  <c r="D170" i="10"/>
  <c r="D171" i="10"/>
  <c r="D172" i="10"/>
  <c r="D173" i="10"/>
  <c r="D174" i="10"/>
  <c r="D175" i="10"/>
  <c r="D176" i="10"/>
  <c r="D177" i="10"/>
  <c r="D178" i="10"/>
  <c r="D179" i="10"/>
  <c r="D180" i="10"/>
  <c r="D181" i="10"/>
  <c r="D182" i="10"/>
  <c r="D183" i="10"/>
  <c r="D184" i="10"/>
  <c r="D185" i="10"/>
  <c r="D186" i="10"/>
  <c r="D187" i="10"/>
  <c r="D188" i="10"/>
  <c r="D189" i="10"/>
  <c r="D190" i="10"/>
  <c r="D191" i="10"/>
  <c r="D192" i="10"/>
  <c r="D193" i="10"/>
  <c r="D194" i="10"/>
  <c r="D195" i="10"/>
  <c r="D196" i="10"/>
  <c r="D197" i="10"/>
  <c r="D198" i="10"/>
  <c r="D199" i="10"/>
  <c r="D200" i="10"/>
  <c r="D201" i="10"/>
  <c r="D202" i="10"/>
  <c r="D203" i="10"/>
  <c r="D204" i="10"/>
  <c r="D205" i="10"/>
  <c r="D206" i="10"/>
  <c r="D207" i="10"/>
  <c r="D208" i="10"/>
  <c r="D209" i="10"/>
  <c r="D210" i="10"/>
  <c r="D211" i="10"/>
  <c r="D212" i="10"/>
  <c r="D213" i="10"/>
  <c r="D214" i="10"/>
  <c r="D215" i="10"/>
  <c r="D216" i="10"/>
  <c r="D217" i="10"/>
  <c r="D218" i="10"/>
  <c r="D219" i="10"/>
  <c r="D220" i="10"/>
  <c r="D221" i="10"/>
  <c r="D222" i="10"/>
  <c r="D223" i="10"/>
  <c r="D224" i="10"/>
  <c r="D225" i="10"/>
  <c r="D226" i="10"/>
  <c r="D227" i="10"/>
  <c r="D228" i="10"/>
  <c r="D229" i="10"/>
  <c r="D230" i="10"/>
  <c r="D231" i="10"/>
  <c r="D232" i="10"/>
  <c r="D233" i="10"/>
  <c r="D234" i="10"/>
  <c r="D235" i="10"/>
  <c r="D236" i="10"/>
  <c r="D237" i="10"/>
  <c r="D238" i="10"/>
  <c r="D239" i="10"/>
  <c r="D240" i="10"/>
  <c r="D241" i="10"/>
  <c r="D242" i="10"/>
  <c r="D243" i="10"/>
  <c r="D244" i="10"/>
  <c r="D245" i="10"/>
  <c r="D246" i="10"/>
  <c r="D247" i="10"/>
  <c r="D248" i="10"/>
  <c r="D249" i="10"/>
  <c r="D250" i="10"/>
  <c r="D251" i="10"/>
  <c r="D252" i="10"/>
  <c r="D253" i="10"/>
  <c r="D254" i="10"/>
  <c r="D255" i="10"/>
  <c r="D256" i="10"/>
  <c r="D257" i="10"/>
  <c r="D258" i="10"/>
  <c r="D259" i="10"/>
  <c r="D260" i="10"/>
  <c r="D261" i="10"/>
  <c r="D262" i="10"/>
  <c r="D263" i="10"/>
  <c r="D264" i="10"/>
  <c r="D265" i="10"/>
  <c r="D266" i="10"/>
  <c r="D267" i="10"/>
  <c r="D268" i="10"/>
  <c r="D269" i="10"/>
  <c r="D270" i="10"/>
  <c r="D271" i="10"/>
  <c r="D272" i="10"/>
  <c r="D273" i="10"/>
  <c r="D274" i="10"/>
  <c r="D275" i="10"/>
  <c r="D276" i="10"/>
  <c r="D277" i="10"/>
  <c r="D278" i="10"/>
  <c r="D279" i="10"/>
  <c r="D280" i="10"/>
  <c r="D281" i="10"/>
  <c r="D282" i="10"/>
  <c r="D283" i="10"/>
  <c r="D284" i="10"/>
  <c r="D285" i="10"/>
  <c r="D286" i="10"/>
  <c r="D287" i="10"/>
  <c r="D288" i="10"/>
  <c r="D289" i="10"/>
  <c r="D290" i="10"/>
  <c r="D291" i="10"/>
  <c r="D292" i="10"/>
  <c r="D293" i="10"/>
  <c r="D294" i="10"/>
  <c r="D295" i="10"/>
  <c r="D296" i="10"/>
  <c r="D297" i="10"/>
  <c r="D298" i="10"/>
  <c r="D299" i="10"/>
  <c r="D300" i="10"/>
  <c r="D301" i="10"/>
  <c r="D302" i="10"/>
  <c r="D303" i="10"/>
  <c r="D304" i="10"/>
  <c r="D305" i="10"/>
  <c r="D306" i="10"/>
  <c r="D307" i="10"/>
  <c r="D308" i="10"/>
  <c r="D309" i="10"/>
  <c r="D310" i="10"/>
  <c r="D311" i="10"/>
  <c r="D312" i="10"/>
  <c r="D313" i="10"/>
  <c r="D314" i="10"/>
  <c r="D315" i="10"/>
  <c r="D316" i="10"/>
  <c r="D317" i="10"/>
  <c r="D318" i="10"/>
  <c r="D319" i="10"/>
  <c r="D320" i="10"/>
  <c r="D321" i="10"/>
  <c r="D322" i="10"/>
  <c r="D323" i="10"/>
  <c r="D324" i="10"/>
  <c r="D325" i="10"/>
  <c r="D326" i="10"/>
  <c r="D327" i="10"/>
  <c r="D328" i="10"/>
  <c r="D329" i="10"/>
  <c r="D330" i="10"/>
  <c r="D331" i="10"/>
  <c r="D332" i="10"/>
  <c r="D333" i="10"/>
  <c r="D334" i="10"/>
  <c r="D335" i="10"/>
  <c r="D336" i="10"/>
  <c r="D337" i="10"/>
  <c r="D338" i="10"/>
  <c r="D339" i="10"/>
  <c r="D340" i="10"/>
  <c r="D341" i="10"/>
  <c r="D342" i="10"/>
  <c r="D343" i="10"/>
  <c r="D344" i="10"/>
  <c r="D345" i="10"/>
  <c r="D346" i="10"/>
  <c r="D347" i="10"/>
  <c r="D348" i="10"/>
  <c r="D349" i="10"/>
  <c r="D350" i="10"/>
  <c r="D351" i="10"/>
  <c r="D352" i="10"/>
  <c r="D353" i="10"/>
  <c r="D354" i="10"/>
  <c r="D355" i="10"/>
  <c r="D356" i="10"/>
  <c r="D357" i="10"/>
  <c r="D358" i="10"/>
  <c r="D359" i="10"/>
  <c r="D360" i="10"/>
  <c r="D361" i="10"/>
  <c r="D362" i="10"/>
  <c r="D363" i="10"/>
  <c r="D364" i="10"/>
  <c r="D365" i="10"/>
  <c r="D366" i="10"/>
  <c r="D367" i="10"/>
  <c r="D368" i="10"/>
  <c r="D369" i="10"/>
  <c r="D370" i="10"/>
  <c r="D371" i="10"/>
  <c r="D372" i="10"/>
  <c r="D373" i="10"/>
  <c r="D374" i="10"/>
  <c r="D375" i="10"/>
  <c r="D376" i="10"/>
  <c r="D377" i="10"/>
  <c r="D378" i="10"/>
  <c r="D379" i="10"/>
  <c r="D380" i="10"/>
  <c r="D381" i="10"/>
  <c r="D382" i="10"/>
  <c r="D383" i="10"/>
  <c r="D384" i="10"/>
  <c r="D385" i="10"/>
  <c r="D386" i="10"/>
  <c r="D387" i="10"/>
  <c r="D388" i="10"/>
  <c r="D389" i="10"/>
  <c r="D390" i="10"/>
  <c r="D391" i="10"/>
  <c r="D392" i="10"/>
  <c r="D393" i="10"/>
  <c r="D394" i="10"/>
  <c r="D395" i="10"/>
  <c r="D396" i="10"/>
  <c r="D397" i="10"/>
  <c r="D398" i="10"/>
  <c r="D399" i="10"/>
  <c r="D400" i="10"/>
  <c r="D401" i="10"/>
  <c r="D402" i="10"/>
  <c r="D403" i="10"/>
  <c r="D404" i="10"/>
  <c r="D405" i="10"/>
  <c r="D406" i="10"/>
  <c r="D407" i="10"/>
  <c r="D408" i="10"/>
  <c r="D409" i="10"/>
  <c r="D410" i="10"/>
  <c r="D411" i="10"/>
  <c r="D412" i="10"/>
  <c r="D413" i="10"/>
  <c r="D414" i="10"/>
  <c r="D415" i="10"/>
  <c r="D416" i="10"/>
  <c r="D417" i="10"/>
  <c r="D418" i="10"/>
  <c r="D419" i="10"/>
  <c r="D420" i="10"/>
  <c r="D421" i="10"/>
  <c r="D422" i="10"/>
  <c r="D423" i="10"/>
  <c r="D424" i="10"/>
  <c r="D425" i="10"/>
  <c r="D426" i="10"/>
  <c r="D427" i="10"/>
  <c r="D428" i="10"/>
  <c r="D429" i="10"/>
  <c r="D430" i="10"/>
  <c r="D431" i="10"/>
  <c r="D432" i="10"/>
  <c r="D433" i="10"/>
  <c r="D434" i="10"/>
  <c r="D435" i="10"/>
  <c r="D436" i="10"/>
  <c r="D437" i="10"/>
  <c r="D438" i="10"/>
  <c r="D439" i="10"/>
  <c r="D440" i="10"/>
  <c r="D441" i="10"/>
  <c r="D442" i="10"/>
  <c r="D443" i="10"/>
  <c r="D444" i="10"/>
  <c r="D445" i="10"/>
  <c r="D446" i="10"/>
  <c r="D447" i="10"/>
  <c r="D448" i="10"/>
  <c r="D449" i="10"/>
  <c r="D450" i="10"/>
  <c r="D451" i="10"/>
  <c r="D452" i="10"/>
  <c r="D453" i="10"/>
  <c r="D454" i="10"/>
  <c r="D455" i="10"/>
  <c r="D456" i="10"/>
  <c r="D457" i="10"/>
  <c r="D458" i="10"/>
  <c r="D459" i="10"/>
  <c r="D460" i="10"/>
  <c r="D461" i="10"/>
  <c r="D462" i="10"/>
  <c r="D463" i="10"/>
  <c r="D464" i="10"/>
  <c r="D465" i="10"/>
  <c r="D466" i="10"/>
  <c r="D467" i="10"/>
  <c r="D468" i="10"/>
  <c r="D469" i="10"/>
  <c r="D470" i="10"/>
  <c r="D471" i="10"/>
  <c r="D472" i="10"/>
  <c r="D473" i="10"/>
  <c r="D474" i="10"/>
  <c r="D475" i="10"/>
  <c r="D476" i="10"/>
  <c r="D477" i="10"/>
  <c r="D478" i="10"/>
  <c r="D479" i="10"/>
  <c r="D480" i="10"/>
  <c r="D481" i="10"/>
  <c r="D482" i="10"/>
  <c r="D483" i="10"/>
  <c r="D484" i="10"/>
  <c r="D485" i="10"/>
  <c r="D486" i="10"/>
  <c r="D487" i="10"/>
  <c r="D488" i="10"/>
  <c r="D489" i="10"/>
  <c r="D490" i="10"/>
  <c r="D491" i="10"/>
  <c r="D492" i="10"/>
  <c r="D493" i="10"/>
  <c r="D494" i="10"/>
  <c r="D495" i="10"/>
  <c r="D496" i="10"/>
  <c r="D497" i="10"/>
  <c r="D498" i="10"/>
  <c r="D499" i="10"/>
  <c r="D500" i="10"/>
  <c r="D501" i="10"/>
  <c r="D502" i="10"/>
  <c r="D503" i="10"/>
  <c r="D504" i="10"/>
  <c r="D505" i="10"/>
  <c r="D506" i="10"/>
  <c r="D507" i="10"/>
  <c r="D508" i="10"/>
  <c r="D509" i="10"/>
  <c r="D510" i="10"/>
  <c r="D511" i="10"/>
  <c r="D512" i="10"/>
  <c r="D513" i="10"/>
  <c r="D514" i="10"/>
  <c r="D515" i="10"/>
  <c r="D516" i="10"/>
  <c r="D517" i="10"/>
  <c r="D518" i="10"/>
  <c r="D519" i="10"/>
  <c r="D520" i="10"/>
  <c r="D521" i="10"/>
  <c r="D522" i="10"/>
  <c r="D523" i="10"/>
  <c r="D524" i="10"/>
  <c r="D525" i="10"/>
  <c r="D526" i="10"/>
  <c r="D527" i="10"/>
  <c r="D528" i="10"/>
  <c r="D529" i="10"/>
  <c r="D530" i="10"/>
  <c r="D531" i="10"/>
  <c r="D532" i="10"/>
  <c r="D533" i="10"/>
  <c r="D534" i="10"/>
  <c r="D535" i="10"/>
  <c r="D536" i="10"/>
  <c r="D537" i="10"/>
  <c r="D538" i="10"/>
  <c r="D539" i="10"/>
  <c r="D540" i="10"/>
  <c r="D541" i="10"/>
  <c r="D542" i="10"/>
  <c r="D543" i="10"/>
  <c r="D544" i="10"/>
  <c r="D545" i="10"/>
  <c r="D546" i="10"/>
  <c r="D547" i="10"/>
  <c r="D548" i="10"/>
  <c r="D549" i="10"/>
  <c r="D550" i="10"/>
  <c r="D551" i="10"/>
  <c r="D552" i="10"/>
  <c r="D553" i="10"/>
  <c r="D554" i="10"/>
  <c r="D555" i="10"/>
  <c r="D556" i="10"/>
  <c r="D557" i="10"/>
  <c r="D558" i="10"/>
  <c r="D559" i="10"/>
  <c r="D560" i="10"/>
  <c r="D561" i="10"/>
  <c r="D562" i="10"/>
  <c r="D563" i="10"/>
  <c r="D564" i="10"/>
  <c r="D565" i="10"/>
  <c r="D566" i="10"/>
  <c r="D567" i="10"/>
  <c r="D568" i="10"/>
  <c r="D569" i="10"/>
  <c r="D570" i="10"/>
  <c r="D571" i="10"/>
  <c r="D572" i="10"/>
  <c r="D573" i="10"/>
  <c r="D574" i="10"/>
  <c r="D575" i="10"/>
  <c r="D576" i="10"/>
  <c r="D577" i="10"/>
  <c r="D578" i="10"/>
  <c r="D579" i="10"/>
  <c r="D580" i="10"/>
  <c r="D581" i="10"/>
  <c r="D582" i="10"/>
  <c r="D583" i="10"/>
  <c r="D584" i="10"/>
  <c r="D585" i="10"/>
  <c r="D586" i="10"/>
  <c r="D587" i="10"/>
  <c r="D588" i="10"/>
  <c r="D589" i="10"/>
  <c r="D590" i="10"/>
  <c r="D591" i="10"/>
  <c r="D592" i="10"/>
  <c r="D593" i="10"/>
  <c r="D594" i="10"/>
  <c r="D595" i="10"/>
  <c r="D596" i="10"/>
  <c r="D597" i="10"/>
  <c r="D598" i="10"/>
  <c r="D599" i="10"/>
  <c r="D600" i="10"/>
  <c r="D601" i="10"/>
  <c r="D602" i="10"/>
  <c r="D603" i="10"/>
  <c r="D604" i="10"/>
  <c r="D605" i="10"/>
  <c r="D606" i="10"/>
  <c r="D607" i="10"/>
  <c r="D608" i="10"/>
  <c r="D609" i="10"/>
  <c r="D610" i="10"/>
  <c r="D611" i="10"/>
  <c r="D612" i="10"/>
  <c r="D613" i="10"/>
  <c r="D614" i="10"/>
  <c r="D615" i="10"/>
  <c r="D616" i="10"/>
  <c r="D617" i="10"/>
  <c r="D618" i="10"/>
  <c r="D619" i="10"/>
  <c r="D620" i="10"/>
  <c r="D621" i="10"/>
  <c r="D622" i="10"/>
  <c r="D623" i="10"/>
  <c r="D624" i="10"/>
  <c r="D625" i="10"/>
  <c r="D626" i="10"/>
  <c r="D627" i="10"/>
  <c r="D628" i="10"/>
  <c r="D629" i="10"/>
  <c r="D630" i="10"/>
  <c r="D631" i="10"/>
  <c r="D632" i="10"/>
  <c r="D633" i="10"/>
  <c r="D634" i="10"/>
  <c r="D635" i="10"/>
  <c r="D636" i="10"/>
  <c r="D637" i="10"/>
  <c r="D638" i="10"/>
  <c r="D639" i="10"/>
  <c r="D640" i="10"/>
  <c r="D641" i="10"/>
  <c r="D642" i="10"/>
  <c r="D643" i="10"/>
  <c r="D644" i="10"/>
  <c r="D645" i="10"/>
  <c r="D646" i="10"/>
  <c r="D647" i="10"/>
  <c r="D648" i="10"/>
  <c r="D649" i="10"/>
  <c r="D650" i="10"/>
  <c r="D651" i="10"/>
  <c r="D652" i="10"/>
  <c r="D653" i="10"/>
  <c r="D654" i="10"/>
  <c r="D655" i="10"/>
  <c r="D656" i="10"/>
  <c r="D657" i="10"/>
  <c r="D658" i="10"/>
  <c r="D659" i="10"/>
  <c r="D660" i="10"/>
  <c r="D661" i="10"/>
  <c r="D662" i="10"/>
  <c r="D663" i="10"/>
  <c r="D664" i="10"/>
  <c r="D665" i="10"/>
  <c r="D666" i="10"/>
  <c r="D667" i="10"/>
  <c r="D668" i="10"/>
  <c r="D669" i="10"/>
  <c r="D670" i="10"/>
  <c r="D671" i="10"/>
  <c r="D672" i="10"/>
  <c r="D673" i="10"/>
  <c r="D674" i="10"/>
  <c r="D675" i="10"/>
  <c r="D676" i="10"/>
  <c r="D677" i="10"/>
  <c r="D678" i="10"/>
  <c r="D679" i="10"/>
  <c r="D680" i="10"/>
  <c r="D681" i="10"/>
  <c r="D682" i="10"/>
  <c r="D683" i="10"/>
  <c r="D684" i="10"/>
  <c r="D685" i="10"/>
  <c r="D686" i="10"/>
  <c r="D687" i="10"/>
  <c r="D688" i="10"/>
  <c r="D689" i="10"/>
  <c r="D690" i="10"/>
  <c r="D691" i="10"/>
  <c r="D692" i="10"/>
  <c r="D693" i="10"/>
  <c r="D694" i="10"/>
  <c r="D695" i="10"/>
  <c r="D696" i="10"/>
  <c r="D697" i="10"/>
  <c r="D698" i="10"/>
  <c r="D699" i="10"/>
  <c r="D700" i="10"/>
  <c r="D701" i="10"/>
  <c r="D702" i="10"/>
  <c r="D703" i="10"/>
  <c r="D704" i="10"/>
  <c r="D705" i="10"/>
  <c r="D706" i="10"/>
  <c r="D707" i="10"/>
  <c r="D708" i="10"/>
  <c r="D709" i="10"/>
  <c r="D710" i="10"/>
  <c r="D711" i="10"/>
  <c r="D712" i="10"/>
  <c r="D713" i="10"/>
  <c r="D714" i="10"/>
  <c r="D715" i="10"/>
  <c r="D716" i="10"/>
  <c r="D717" i="10"/>
  <c r="D718" i="10"/>
  <c r="D719" i="10"/>
  <c r="D720" i="10"/>
  <c r="D721" i="10"/>
  <c r="D722" i="10"/>
  <c r="D723" i="10"/>
  <c r="D724" i="10"/>
  <c r="D725" i="10"/>
  <c r="D726" i="10"/>
  <c r="D727" i="10"/>
  <c r="D728" i="10"/>
  <c r="D729" i="10"/>
  <c r="D730" i="10"/>
  <c r="D731" i="10"/>
  <c r="D732" i="10"/>
  <c r="D733" i="10"/>
  <c r="D734" i="10"/>
  <c r="D735" i="10"/>
  <c r="D736" i="10"/>
  <c r="D737" i="10"/>
  <c r="D738" i="10"/>
  <c r="D739" i="10"/>
  <c r="D740" i="10"/>
  <c r="D741" i="10"/>
  <c r="D742" i="10"/>
  <c r="D743" i="10"/>
  <c r="D744" i="10"/>
  <c r="D745" i="10"/>
  <c r="D746" i="10"/>
  <c r="D747" i="10"/>
  <c r="D748" i="10"/>
  <c r="D749" i="10"/>
  <c r="D750" i="10"/>
  <c r="D751" i="10"/>
  <c r="D752" i="10"/>
  <c r="D753" i="10"/>
  <c r="D754" i="10"/>
  <c r="D755" i="10"/>
  <c r="D756" i="10"/>
  <c r="D757" i="10"/>
  <c r="D758" i="10"/>
  <c r="D759" i="10"/>
  <c r="D760" i="10"/>
  <c r="D761" i="10"/>
  <c r="D762" i="10"/>
  <c r="D763" i="10"/>
  <c r="D764" i="10"/>
  <c r="D765" i="10"/>
  <c r="D766" i="10"/>
  <c r="D767" i="10"/>
  <c r="D768" i="10"/>
  <c r="D769" i="10"/>
  <c r="D770" i="10"/>
  <c r="D771" i="10"/>
  <c r="D772" i="10"/>
  <c r="D773" i="10"/>
  <c r="D774" i="10"/>
  <c r="D775" i="10"/>
  <c r="D776" i="10"/>
  <c r="D777" i="10"/>
  <c r="D778" i="10"/>
  <c r="D779" i="10"/>
  <c r="D780" i="10"/>
  <c r="D781" i="10"/>
  <c r="D782" i="10"/>
  <c r="D783" i="10"/>
  <c r="D784" i="10"/>
  <c r="D785" i="10"/>
  <c r="D786" i="10"/>
  <c r="D787" i="10"/>
  <c r="D788" i="10"/>
  <c r="D789" i="10"/>
  <c r="D790" i="10"/>
  <c r="D791" i="10"/>
  <c r="D792" i="10"/>
  <c r="D793" i="10"/>
  <c r="D794" i="10"/>
  <c r="D795" i="10"/>
  <c r="D796" i="10"/>
  <c r="D797" i="10"/>
  <c r="D798" i="10"/>
  <c r="D799" i="10"/>
  <c r="D800" i="10"/>
  <c r="D801" i="10"/>
  <c r="D802" i="10"/>
  <c r="D803" i="10"/>
  <c r="D804" i="10"/>
  <c r="D805" i="10"/>
  <c r="D806" i="10"/>
  <c r="D807" i="10"/>
  <c r="D808" i="10"/>
  <c r="D809" i="10"/>
  <c r="D810" i="10"/>
  <c r="D811" i="10"/>
  <c r="D812" i="10"/>
  <c r="D813" i="10"/>
  <c r="D814" i="10"/>
  <c r="D815" i="10"/>
  <c r="D816" i="10"/>
  <c r="D817" i="10"/>
  <c r="D818" i="10"/>
  <c r="D819" i="10"/>
  <c r="D820" i="10"/>
  <c r="D821" i="10"/>
  <c r="D822" i="10"/>
  <c r="D823" i="10"/>
  <c r="D824" i="10"/>
  <c r="D825" i="10"/>
  <c r="D826" i="10"/>
  <c r="D827" i="10"/>
  <c r="D828" i="10"/>
  <c r="D829" i="10"/>
  <c r="D830" i="10"/>
  <c r="D831" i="10"/>
  <c r="D832" i="10"/>
  <c r="D833" i="10"/>
  <c r="D834" i="10"/>
  <c r="D835" i="10"/>
  <c r="D836" i="10"/>
  <c r="D837" i="10"/>
  <c r="D838" i="10"/>
  <c r="D839" i="10"/>
  <c r="D840" i="10"/>
  <c r="D841" i="10"/>
  <c r="D842" i="10"/>
  <c r="D843" i="10"/>
  <c r="D844" i="10"/>
  <c r="D845" i="10"/>
  <c r="D846" i="10"/>
  <c r="D847" i="10"/>
  <c r="D848" i="10"/>
  <c r="D849" i="10"/>
  <c r="D850" i="10"/>
  <c r="D851" i="10"/>
  <c r="D852" i="10"/>
  <c r="D853" i="10"/>
  <c r="D854" i="10"/>
  <c r="D855" i="10"/>
  <c r="D856" i="10"/>
  <c r="D857" i="10"/>
  <c r="D858" i="10"/>
  <c r="D859" i="10"/>
  <c r="D860" i="10"/>
  <c r="D861" i="10"/>
  <c r="D862" i="10"/>
  <c r="D863" i="10"/>
  <c r="D864" i="10"/>
  <c r="D865" i="10"/>
  <c r="D866" i="10"/>
  <c r="D867" i="10"/>
  <c r="D868" i="10"/>
  <c r="D869" i="10"/>
  <c r="D870" i="10"/>
  <c r="D871" i="10"/>
  <c r="D872" i="10"/>
  <c r="D873" i="10"/>
  <c r="D874" i="10"/>
  <c r="D875" i="10"/>
  <c r="D876" i="10"/>
  <c r="D877" i="10"/>
  <c r="D878" i="10"/>
  <c r="D879" i="10"/>
  <c r="D880" i="10"/>
  <c r="D881" i="10"/>
  <c r="D882" i="10"/>
  <c r="D883" i="10"/>
  <c r="D884" i="10"/>
  <c r="D885" i="10"/>
  <c r="D886" i="10"/>
  <c r="D887" i="10"/>
  <c r="D888" i="10"/>
  <c r="D889" i="10"/>
  <c r="D890" i="10"/>
  <c r="D891" i="10"/>
  <c r="D892" i="10"/>
  <c r="D893" i="10"/>
  <c r="D894" i="10"/>
  <c r="D895" i="10"/>
  <c r="D896" i="10"/>
  <c r="D897" i="10"/>
  <c r="D898" i="10"/>
  <c r="D899" i="10"/>
  <c r="D900" i="10"/>
  <c r="D901" i="10"/>
  <c r="D902" i="10"/>
  <c r="D903" i="10"/>
  <c r="D904" i="10"/>
  <c r="D905" i="10"/>
  <c r="D906" i="10"/>
  <c r="D907" i="10"/>
  <c r="D908" i="10"/>
  <c r="D909" i="10"/>
  <c r="D910" i="10"/>
  <c r="D911" i="10"/>
  <c r="D912" i="10"/>
  <c r="D913" i="10"/>
  <c r="D914" i="10"/>
  <c r="D915" i="10"/>
  <c r="D916" i="10"/>
  <c r="D917" i="10"/>
  <c r="D918" i="10"/>
  <c r="D919" i="10"/>
  <c r="D920" i="10"/>
  <c r="D921" i="10"/>
  <c r="D922" i="10"/>
  <c r="D923" i="10"/>
  <c r="D924" i="10"/>
  <c r="D925" i="10"/>
  <c r="D926" i="10"/>
  <c r="D927" i="10"/>
  <c r="D928" i="10"/>
  <c r="D929" i="10"/>
  <c r="D930" i="10"/>
  <c r="D931" i="10"/>
  <c r="D932" i="10"/>
  <c r="D933" i="10"/>
  <c r="D934" i="10"/>
  <c r="D935" i="10"/>
  <c r="D936" i="10"/>
  <c r="D937" i="10"/>
  <c r="D938" i="10"/>
  <c r="D939" i="10"/>
  <c r="D940" i="10"/>
  <c r="D941" i="10"/>
  <c r="D942" i="10"/>
  <c r="D943" i="10"/>
  <c r="D944" i="10"/>
  <c r="D945" i="10"/>
  <c r="D946" i="10"/>
  <c r="D947" i="10"/>
  <c r="D948" i="10"/>
  <c r="D949" i="10"/>
  <c r="D950" i="10"/>
  <c r="D951" i="10"/>
  <c r="D952" i="10"/>
  <c r="D953" i="10"/>
  <c r="D954" i="10"/>
  <c r="D955" i="10"/>
  <c r="D956" i="10"/>
  <c r="D957" i="10"/>
  <c r="D958" i="10"/>
  <c r="D959" i="10"/>
  <c r="D960" i="10"/>
  <c r="D961" i="10"/>
  <c r="D962" i="10"/>
  <c r="D963" i="10"/>
  <c r="D964" i="10"/>
  <c r="D965" i="10"/>
  <c r="D966" i="10"/>
  <c r="D967" i="10"/>
  <c r="D968" i="10"/>
  <c r="D969" i="10"/>
  <c r="D970" i="10"/>
  <c r="D971" i="10"/>
  <c r="D972" i="10"/>
  <c r="D973" i="10"/>
  <c r="D974" i="10"/>
  <c r="D975" i="10"/>
  <c r="D976" i="10"/>
  <c r="D977" i="10"/>
  <c r="D978" i="10"/>
  <c r="D979" i="10"/>
  <c r="D980" i="10"/>
  <c r="D981" i="10"/>
  <c r="D982" i="10"/>
  <c r="D983" i="10"/>
  <c r="D984" i="10"/>
  <c r="D985" i="10"/>
  <c r="D986" i="10"/>
  <c r="D987" i="10"/>
  <c r="D988" i="10"/>
  <c r="D989" i="10"/>
  <c r="D990" i="10"/>
  <c r="D991" i="10"/>
  <c r="D992" i="10"/>
  <c r="D993" i="10"/>
  <c r="D994" i="10"/>
  <c r="D995" i="10"/>
  <c r="D996" i="10"/>
  <c r="D997" i="10"/>
  <c r="D998" i="10"/>
  <c r="D999" i="10"/>
  <c r="D1000" i="10"/>
  <c r="D1001" i="10"/>
  <c r="D1002" i="10"/>
  <c r="D1003" i="10"/>
  <c r="D1004" i="10"/>
  <c r="D1005" i="10"/>
  <c r="D1006" i="10"/>
  <c r="D1007" i="10"/>
  <c r="D1008" i="10"/>
  <c r="D1009" i="10"/>
  <c r="D1010" i="10"/>
  <c r="D1011" i="10"/>
  <c r="D1012" i="10"/>
  <c r="D1013" i="10"/>
  <c r="D1014" i="10"/>
  <c r="D1015" i="10"/>
  <c r="D1016" i="10"/>
  <c r="D1017" i="10"/>
  <c r="D1018" i="10"/>
  <c r="D1019" i="10"/>
  <c r="D1020" i="10"/>
  <c r="D1021" i="10"/>
  <c r="D1022" i="10"/>
  <c r="D1023" i="10"/>
  <c r="D1024" i="10"/>
  <c r="D1025" i="10"/>
  <c r="D1026" i="10"/>
  <c r="D1027" i="10"/>
  <c r="D1028" i="10"/>
  <c r="D1029" i="10"/>
  <c r="D1030" i="10"/>
  <c r="D1031" i="10"/>
  <c r="D1032" i="10"/>
  <c r="D1033" i="10"/>
  <c r="D1034" i="10"/>
  <c r="D1035" i="10"/>
  <c r="D1036" i="10"/>
  <c r="D1037" i="10"/>
  <c r="D1038" i="10"/>
  <c r="D1039" i="10"/>
  <c r="D1040" i="10"/>
  <c r="D1041" i="10"/>
  <c r="D1042" i="10"/>
  <c r="D1043" i="10"/>
  <c r="D1044" i="10"/>
  <c r="D1045" i="10"/>
  <c r="D1046" i="10"/>
  <c r="D1047" i="10"/>
  <c r="D1048" i="10"/>
  <c r="D1049" i="10"/>
  <c r="D1050" i="10"/>
  <c r="D1051" i="10"/>
  <c r="D1052" i="10"/>
  <c r="D1053" i="10"/>
  <c r="D1054" i="10"/>
  <c r="D1055" i="10"/>
  <c r="D1056" i="10"/>
  <c r="D1057" i="10"/>
  <c r="D1058" i="10"/>
  <c r="D1059" i="10"/>
  <c r="D1060" i="10"/>
  <c r="D1061" i="10"/>
  <c r="D1062" i="10"/>
  <c r="D1063" i="10"/>
  <c r="D1064" i="10"/>
  <c r="D1065" i="10"/>
  <c r="D1066" i="10"/>
  <c r="D1067" i="10"/>
  <c r="D1068" i="10"/>
  <c r="D1069" i="10"/>
  <c r="D1070" i="10"/>
  <c r="D1071" i="10"/>
  <c r="D1072" i="10"/>
  <c r="D1073" i="10"/>
  <c r="D1074" i="10"/>
  <c r="D1075" i="10"/>
  <c r="D1076" i="10"/>
  <c r="D1077" i="10"/>
  <c r="D1078" i="10"/>
  <c r="D1079" i="10"/>
  <c r="D1080" i="10"/>
  <c r="D1081" i="10"/>
  <c r="D1082" i="10"/>
  <c r="D1083" i="10"/>
  <c r="D1084" i="10"/>
  <c r="D1085" i="10"/>
  <c r="D1086" i="10"/>
  <c r="D1087" i="10"/>
  <c r="D1088" i="10"/>
  <c r="D1089" i="10"/>
  <c r="D1090" i="10"/>
  <c r="D1091" i="10"/>
  <c r="D1092" i="10"/>
  <c r="D1093" i="10"/>
  <c r="D1094" i="10"/>
  <c r="D1095" i="10"/>
  <c r="D1096" i="10"/>
  <c r="D1097" i="10"/>
  <c r="D1098" i="10"/>
  <c r="D1099" i="10"/>
  <c r="D1100" i="10"/>
  <c r="D1101" i="10"/>
  <c r="D1102" i="10"/>
  <c r="D1103" i="10"/>
  <c r="D1104" i="10"/>
  <c r="D1105" i="10"/>
  <c r="D1106" i="10"/>
  <c r="D1107" i="10"/>
  <c r="D1108" i="10"/>
  <c r="D1109" i="10"/>
  <c r="D1110" i="10"/>
  <c r="D1111" i="10"/>
  <c r="D1112" i="10"/>
  <c r="D1113" i="10"/>
  <c r="D1114" i="10"/>
  <c r="D1115" i="10"/>
  <c r="D1116" i="10"/>
  <c r="D1117" i="10"/>
  <c r="D1118" i="10"/>
  <c r="D1119" i="10"/>
  <c r="D1120" i="10"/>
  <c r="D1121" i="10"/>
  <c r="D1122" i="10"/>
  <c r="D1123" i="10"/>
  <c r="D1124" i="10"/>
  <c r="D1125" i="10"/>
  <c r="D1126" i="10"/>
  <c r="D1127" i="10"/>
  <c r="D1128" i="10"/>
  <c r="D1129" i="10"/>
  <c r="D1130" i="10"/>
  <c r="D1131" i="10"/>
  <c r="D1132" i="10"/>
  <c r="D1133" i="10"/>
  <c r="D1134" i="10"/>
  <c r="D1135" i="10"/>
  <c r="D1136" i="10"/>
  <c r="D1137" i="10"/>
  <c r="D1138" i="10"/>
  <c r="D1139" i="10"/>
  <c r="D1140" i="10"/>
  <c r="D1141" i="10"/>
  <c r="D1142" i="10"/>
  <c r="D1143" i="10"/>
  <c r="D1144" i="10"/>
  <c r="D1145" i="10"/>
  <c r="D1146" i="10"/>
  <c r="D1147" i="10"/>
  <c r="D1148" i="10"/>
  <c r="D1149" i="10"/>
  <c r="D1150" i="10"/>
  <c r="D1151" i="10"/>
  <c r="D1152" i="10"/>
  <c r="D1153" i="10"/>
  <c r="D1154" i="10"/>
  <c r="D1155" i="10"/>
  <c r="D1156" i="10"/>
  <c r="D1157" i="10"/>
  <c r="D1158" i="10"/>
  <c r="D1159" i="10"/>
  <c r="D1160" i="10"/>
  <c r="D1161" i="10"/>
  <c r="D1162" i="10"/>
  <c r="D1163" i="10"/>
  <c r="D1164" i="10"/>
  <c r="D1165" i="10"/>
  <c r="D1166" i="10"/>
  <c r="D1167" i="10"/>
  <c r="D1168" i="10"/>
  <c r="D1169" i="10"/>
  <c r="D1170" i="10"/>
  <c r="D1171" i="10"/>
  <c r="D1172" i="10"/>
  <c r="D1173" i="10"/>
  <c r="D1174" i="10"/>
  <c r="D1175" i="10"/>
  <c r="D1176" i="10"/>
  <c r="D1177" i="10"/>
  <c r="D1178" i="10"/>
  <c r="D1179" i="10"/>
  <c r="D1180" i="10"/>
  <c r="D1181" i="10"/>
  <c r="D1182" i="10"/>
  <c r="D1183" i="10"/>
  <c r="D1184" i="10"/>
  <c r="D1185" i="10"/>
  <c r="D1186" i="10"/>
  <c r="D1187" i="10"/>
  <c r="D1188" i="10"/>
  <c r="D1189" i="10"/>
  <c r="D1190" i="10"/>
  <c r="D1191" i="10"/>
  <c r="D1192" i="10"/>
  <c r="D1193" i="10"/>
  <c r="D1194" i="10"/>
  <c r="D1195" i="10"/>
  <c r="D1196" i="10"/>
  <c r="D1197" i="10"/>
  <c r="D1198" i="10"/>
  <c r="D1199" i="10"/>
  <c r="D1200" i="10"/>
  <c r="D1201" i="10"/>
  <c r="D1202" i="10"/>
  <c r="D1203" i="10"/>
  <c r="D1204" i="10"/>
  <c r="D1205" i="10"/>
  <c r="D1206" i="10"/>
  <c r="D1207" i="10"/>
  <c r="D1208" i="10"/>
  <c r="D1209" i="10"/>
  <c r="D1210" i="10"/>
  <c r="D1211" i="10"/>
  <c r="D1212" i="10"/>
  <c r="D1213" i="10"/>
  <c r="D1214" i="10"/>
  <c r="D1215" i="10"/>
  <c r="D1216" i="10"/>
  <c r="D1217" i="10"/>
  <c r="D1218" i="10"/>
  <c r="D1219" i="10"/>
  <c r="D1220" i="10"/>
  <c r="D1221" i="10"/>
  <c r="D1222" i="10"/>
  <c r="D1223" i="10"/>
  <c r="D1224" i="10"/>
  <c r="D1225" i="10"/>
  <c r="D1226" i="10"/>
  <c r="D1227" i="10"/>
  <c r="D1228" i="10"/>
  <c r="D1229" i="10"/>
  <c r="D1230" i="10"/>
  <c r="D1231" i="10"/>
  <c r="D1232" i="10"/>
  <c r="D1233" i="10"/>
  <c r="D1234" i="10"/>
  <c r="D1235" i="10"/>
  <c r="D1236" i="10"/>
  <c r="D1237" i="10"/>
  <c r="D1238" i="10"/>
  <c r="D1239" i="10"/>
  <c r="D1240" i="10"/>
  <c r="D1241" i="10"/>
  <c r="D1242" i="10"/>
  <c r="D1243" i="10"/>
  <c r="D1244" i="10"/>
  <c r="D1245" i="10"/>
  <c r="D1246" i="10"/>
  <c r="D1247" i="10"/>
  <c r="D1248" i="10"/>
  <c r="D1249" i="10"/>
  <c r="D1250" i="10"/>
  <c r="D1251" i="10"/>
  <c r="D1252" i="10"/>
  <c r="D1253" i="10"/>
  <c r="D1254" i="10"/>
  <c r="D1255" i="10"/>
  <c r="D1256" i="10"/>
  <c r="D1257" i="10"/>
  <c r="D1258" i="10"/>
  <c r="D1259" i="10"/>
  <c r="D1260" i="10"/>
  <c r="D1261" i="10"/>
  <c r="D1262" i="10"/>
  <c r="D1263" i="10"/>
  <c r="D1264" i="10"/>
  <c r="D1265" i="10"/>
  <c r="D1266" i="10"/>
  <c r="D1267" i="10"/>
  <c r="D1268" i="10"/>
  <c r="D1269" i="10"/>
  <c r="D1270" i="10"/>
  <c r="D1271" i="10"/>
  <c r="D1272" i="10"/>
  <c r="D1273" i="10"/>
  <c r="D1274" i="10"/>
  <c r="D1275" i="10"/>
  <c r="D1276" i="10"/>
  <c r="D1277" i="10"/>
  <c r="D1278" i="10"/>
  <c r="D1279" i="10"/>
  <c r="D1280" i="10"/>
  <c r="D1281" i="10"/>
  <c r="D1282" i="10"/>
  <c r="D1283" i="10"/>
  <c r="D1284" i="10"/>
  <c r="D1285" i="10"/>
  <c r="D1286" i="10"/>
  <c r="D1287" i="10"/>
  <c r="D1288" i="10"/>
  <c r="D1289" i="10"/>
  <c r="D1290" i="10"/>
  <c r="D1291" i="10"/>
  <c r="D1292" i="10"/>
  <c r="D1293" i="10"/>
  <c r="D1294" i="10"/>
  <c r="D1295" i="10"/>
  <c r="D1296" i="10"/>
  <c r="D1297" i="10"/>
  <c r="D1298" i="10"/>
  <c r="D1299" i="10"/>
  <c r="D1300" i="10"/>
  <c r="D1301" i="10"/>
  <c r="D1302" i="10"/>
  <c r="D1303" i="10"/>
  <c r="D1304" i="10"/>
  <c r="D1305" i="10"/>
  <c r="D1306" i="10"/>
  <c r="D1307" i="10"/>
  <c r="D1308" i="10"/>
  <c r="D1309" i="10"/>
  <c r="D1310" i="10"/>
  <c r="D1311" i="10"/>
  <c r="D1312" i="10"/>
  <c r="D1313" i="10"/>
  <c r="D1314" i="10"/>
  <c r="D1315" i="10"/>
  <c r="D1316" i="10"/>
  <c r="D1317" i="10"/>
  <c r="D1318" i="10"/>
  <c r="D1319" i="10"/>
  <c r="D1320" i="10"/>
  <c r="D1321" i="10"/>
  <c r="D1322" i="10"/>
  <c r="D1323" i="10"/>
  <c r="D1324" i="10"/>
  <c r="D1325" i="10"/>
  <c r="D1326" i="10"/>
  <c r="D1327" i="10"/>
  <c r="D1328" i="10"/>
  <c r="D1329" i="10"/>
  <c r="D1330" i="10"/>
  <c r="D1331" i="10"/>
  <c r="D1332" i="10"/>
  <c r="D1333" i="10"/>
  <c r="D1334" i="10"/>
  <c r="D1335" i="10"/>
  <c r="D1336" i="10"/>
  <c r="D1337" i="10"/>
  <c r="D1338" i="10"/>
  <c r="D1339" i="10"/>
  <c r="D1340" i="10"/>
  <c r="D1341" i="10"/>
  <c r="D1342" i="10"/>
  <c r="D1343" i="10"/>
  <c r="D1344" i="10"/>
  <c r="D1345" i="10"/>
  <c r="D1346" i="10"/>
  <c r="D1347" i="10"/>
  <c r="D1348" i="10"/>
  <c r="D1349" i="10"/>
  <c r="D1350" i="10"/>
  <c r="D1351" i="10"/>
  <c r="D1352" i="10"/>
  <c r="D1353" i="10"/>
  <c r="D1354" i="10"/>
  <c r="D1355" i="10"/>
  <c r="D1356" i="10"/>
  <c r="D1357" i="10"/>
  <c r="D1358" i="10"/>
  <c r="D1359" i="10"/>
  <c r="D1360" i="10"/>
  <c r="D1361" i="10"/>
  <c r="D1362" i="10"/>
  <c r="D1363" i="10"/>
  <c r="D1364" i="10"/>
  <c r="D1365" i="10"/>
  <c r="D1366" i="10"/>
  <c r="D1367" i="10"/>
  <c r="D1368" i="10"/>
  <c r="D1369" i="10"/>
  <c r="D1370" i="10"/>
  <c r="D1371" i="10"/>
  <c r="D1372" i="10"/>
  <c r="D1373" i="10"/>
  <c r="D1374" i="10"/>
  <c r="D1375" i="10"/>
  <c r="D1376" i="10"/>
  <c r="D1377" i="10"/>
  <c r="D1378" i="10"/>
  <c r="D1379" i="10"/>
  <c r="D1380" i="10"/>
  <c r="D1381" i="10"/>
  <c r="D1382" i="10"/>
  <c r="D1383" i="10"/>
  <c r="D1384" i="10"/>
  <c r="D1385" i="10"/>
  <c r="D1386" i="10"/>
  <c r="D1387" i="10"/>
  <c r="D1388" i="10"/>
  <c r="D1389" i="10"/>
  <c r="D1390" i="10"/>
  <c r="D1391" i="10"/>
  <c r="D1392" i="10"/>
  <c r="D1393" i="10"/>
  <c r="D1394" i="10"/>
  <c r="D1395" i="10"/>
  <c r="D1396" i="10"/>
  <c r="D1397" i="10"/>
  <c r="D1398" i="10"/>
  <c r="D1399" i="10"/>
  <c r="D1400" i="10"/>
  <c r="D1401" i="10"/>
  <c r="D1402" i="10"/>
  <c r="D1403" i="10"/>
  <c r="D1404" i="10"/>
  <c r="D1405" i="10"/>
  <c r="D1406" i="10"/>
  <c r="D1407" i="10"/>
  <c r="D1408" i="10"/>
  <c r="D1409" i="10"/>
  <c r="D1410" i="10"/>
  <c r="D1411" i="10"/>
  <c r="D1412" i="10"/>
  <c r="D1413" i="10"/>
  <c r="D1414" i="10"/>
  <c r="D1415" i="10"/>
  <c r="D1416" i="10"/>
  <c r="D1417" i="10"/>
  <c r="D1418" i="10"/>
  <c r="D1419" i="10"/>
  <c r="D1420" i="10"/>
  <c r="D1421" i="10"/>
  <c r="D1422" i="10"/>
  <c r="D1423" i="10"/>
  <c r="D1424" i="10"/>
  <c r="D1425" i="10"/>
  <c r="D1426" i="10"/>
  <c r="D1427" i="10"/>
  <c r="D1428" i="10"/>
  <c r="D1429" i="10"/>
  <c r="D1430" i="10"/>
  <c r="D1431" i="10"/>
  <c r="D1432" i="10"/>
  <c r="D1433" i="10"/>
  <c r="D1434" i="10"/>
  <c r="D1435" i="10"/>
  <c r="D1436" i="10"/>
  <c r="D1437" i="10"/>
  <c r="D1438" i="10"/>
  <c r="D1439" i="10"/>
  <c r="D1440" i="10"/>
  <c r="D1441" i="10"/>
  <c r="D1442" i="10"/>
  <c r="D1443" i="10"/>
  <c r="D1444" i="10"/>
  <c r="D1445" i="10"/>
  <c r="D1446" i="10"/>
  <c r="D1447" i="10"/>
  <c r="D1448" i="10"/>
  <c r="D1449" i="10"/>
  <c r="D1450" i="10"/>
  <c r="D1451" i="10"/>
  <c r="D1452" i="10"/>
  <c r="D1453" i="10"/>
  <c r="D1454" i="10"/>
  <c r="D1455" i="10"/>
  <c r="D1456" i="10"/>
  <c r="D1457" i="10"/>
  <c r="D1458" i="10"/>
  <c r="D1459" i="10"/>
  <c r="D1460" i="10"/>
  <c r="D1461" i="10"/>
  <c r="D1462" i="10"/>
  <c r="D1463" i="10"/>
  <c r="D1464" i="10"/>
  <c r="D1465" i="10"/>
  <c r="D1466" i="10"/>
  <c r="D1467" i="10"/>
  <c r="D1468" i="10"/>
  <c r="D1469" i="10"/>
  <c r="D1470" i="10"/>
  <c r="D1471" i="10"/>
  <c r="D1472" i="10"/>
  <c r="D1473" i="10"/>
  <c r="D1474" i="10"/>
  <c r="D1475" i="10"/>
  <c r="D1476" i="10"/>
  <c r="D1477" i="10"/>
  <c r="D1478" i="10"/>
  <c r="D1479" i="10"/>
  <c r="D1480" i="10"/>
  <c r="D1481" i="10"/>
  <c r="D1482" i="10"/>
  <c r="D1483" i="10"/>
  <c r="D1484" i="10"/>
  <c r="D1485" i="10"/>
  <c r="D1486" i="10"/>
  <c r="D1487" i="10"/>
  <c r="D1488" i="10"/>
  <c r="D1489" i="10"/>
  <c r="D1490" i="10"/>
  <c r="D1491" i="10"/>
  <c r="D1492" i="10"/>
  <c r="D1493" i="10"/>
  <c r="D1494" i="10"/>
  <c r="D1495" i="10"/>
  <c r="D1496" i="10"/>
  <c r="D1497" i="10"/>
  <c r="D1498" i="10"/>
  <c r="D1499" i="10"/>
  <c r="D1500" i="10"/>
  <c r="D1501" i="10"/>
  <c r="D1502" i="10"/>
  <c r="D1503" i="10"/>
  <c r="D1504" i="10"/>
  <c r="D1505" i="10"/>
  <c r="D1506" i="10"/>
  <c r="D1507" i="10"/>
  <c r="D1508" i="10"/>
  <c r="D1509" i="10"/>
  <c r="D1510" i="10"/>
  <c r="D1511" i="10"/>
  <c r="D1512" i="10"/>
  <c r="D1513" i="10"/>
  <c r="D1514" i="10"/>
  <c r="D1515" i="10"/>
  <c r="D1516" i="10"/>
  <c r="D1517" i="10"/>
  <c r="D1518" i="10"/>
  <c r="D1519" i="10"/>
  <c r="D1520" i="10"/>
  <c r="D1521" i="10"/>
  <c r="D1522" i="10"/>
  <c r="D1523" i="10"/>
  <c r="D1524" i="10"/>
  <c r="D1525" i="10"/>
  <c r="D1526" i="10"/>
  <c r="D1527" i="10"/>
  <c r="D1528" i="10"/>
  <c r="D1529" i="10"/>
  <c r="D1530" i="10"/>
  <c r="D1531" i="10"/>
  <c r="D1532" i="10"/>
  <c r="D1533" i="10"/>
  <c r="D1534" i="10"/>
  <c r="D1535" i="10"/>
  <c r="D1536" i="10"/>
  <c r="D1537" i="10"/>
  <c r="D1538" i="10"/>
  <c r="D1539" i="10"/>
  <c r="D1540" i="10"/>
  <c r="D1541" i="10"/>
  <c r="D1542" i="10"/>
  <c r="D1543" i="10"/>
  <c r="D1544" i="10"/>
  <c r="D1545" i="10"/>
  <c r="D1546" i="10"/>
  <c r="D1547" i="10"/>
  <c r="D1548" i="10"/>
  <c r="D1549" i="10"/>
  <c r="D1550" i="10"/>
  <c r="D1551" i="10"/>
  <c r="D1552" i="10"/>
  <c r="D1553" i="10"/>
  <c r="D1554" i="10"/>
  <c r="D1555" i="10"/>
  <c r="D1556" i="10"/>
  <c r="D1557" i="10"/>
  <c r="D1558" i="10"/>
  <c r="D1559" i="10"/>
  <c r="D1560" i="10"/>
  <c r="D1561" i="10"/>
  <c r="D1562" i="10"/>
  <c r="D1563" i="10"/>
  <c r="D1564" i="10"/>
  <c r="D1565" i="10"/>
  <c r="D1566" i="10"/>
  <c r="D1567" i="10"/>
  <c r="D1568" i="10"/>
  <c r="D1569" i="10"/>
  <c r="D1570" i="10"/>
  <c r="D1571" i="10"/>
  <c r="D1572" i="10"/>
  <c r="D1573" i="10"/>
  <c r="D1574" i="10"/>
  <c r="D1575" i="10"/>
  <c r="D1576" i="10"/>
  <c r="D1577" i="10"/>
  <c r="D1578" i="10"/>
  <c r="D1579" i="10"/>
  <c r="D1580" i="10"/>
  <c r="D1581" i="10"/>
  <c r="D1582" i="10"/>
  <c r="D1583" i="10"/>
  <c r="D1584" i="10"/>
  <c r="D1585" i="10"/>
  <c r="D1586" i="10"/>
  <c r="D1587" i="10"/>
  <c r="D1588" i="10"/>
  <c r="D1589" i="10"/>
  <c r="D1590" i="10"/>
  <c r="D1591" i="10"/>
  <c r="D1592" i="10"/>
  <c r="D1593" i="10"/>
  <c r="D1594" i="10"/>
  <c r="D1595" i="10"/>
  <c r="D1596" i="10"/>
  <c r="D1597" i="10"/>
  <c r="D1598" i="10"/>
  <c r="D1599" i="10"/>
  <c r="D1600" i="10"/>
  <c r="D1601" i="10"/>
  <c r="D1602" i="10"/>
  <c r="D1603" i="10"/>
  <c r="D1604" i="10"/>
  <c r="D1605" i="10"/>
  <c r="D1606" i="10"/>
  <c r="D1607" i="10"/>
  <c r="D1608" i="10"/>
  <c r="D1609" i="10"/>
  <c r="D1610" i="10"/>
  <c r="D1611" i="10"/>
  <c r="D1612" i="10"/>
  <c r="D1613" i="10"/>
  <c r="D1614" i="10"/>
  <c r="D1615" i="10"/>
  <c r="D1616" i="10"/>
  <c r="D1617" i="10"/>
  <c r="D1618" i="10"/>
  <c r="D1619" i="10"/>
  <c r="D1620" i="10"/>
  <c r="D1621" i="10"/>
  <c r="D1622" i="10"/>
  <c r="D1623" i="10"/>
  <c r="D1624" i="10"/>
  <c r="D1625" i="10"/>
  <c r="D1626" i="10"/>
  <c r="D1627" i="10"/>
  <c r="D1628" i="10"/>
  <c r="D1629" i="10"/>
  <c r="D1630" i="10"/>
  <c r="D1631" i="10"/>
  <c r="D1632" i="10"/>
  <c r="D1633" i="10"/>
  <c r="D1634" i="10"/>
  <c r="D1635" i="10"/>
  <c r="D1636" i="10"/>
  <c r="D1637" i="10"/>
  <c r="D1638" i="10"/>
  <c r="D1639" i="10"/>
  <c r="D1640" i="10"/>
  <c r="D1641" i="10"/>
  <c r="D1642" i="10"/>
  <c r="D1643" i="10"/>
  <c r="D1644" i="10"/>
  <c r="D1645" i="10"/>
  <c r="D1646" i="10"/>
  <c r="D1647" i="10"/>
  <c r="D1648" i="10"/>
  <c r="D1649" i="10"/>
  <c r="D1650" i="10"/>
  <c r="D1651" i="10"/>
  <c r="D1652" i="10"/>
  <c r="D1653" i="10"/>
  <c r="D1654" i="10"/>
  <c r="D1655" i="10"/>
  <c r="D1656" i="10"/>
  <c r="D1657" i="10"/>
  <c r="D1658" i="10"/>
  <c r="D1659" i="10"/>
  <c r="D1660" i="10"/>
  <c r="D1661" i="10"/>
  <c r="D1662" i="10"/>
  <c r="D1663" i="10"/>
  <c r="D1664" i="10"/>
  <c r="D1665" i="10"/>
  <c r="D1666" i="10"/>
  <c r="D1667" i="10"/>
  <c r="D1668" i="10"/>
  <c r="D1669" i="10"/>
  <c r="D1670" i="10"/>
  <c r="D1671" i="10"/>
  <c r="D1672" i="10"/>
  <c r="D1673" i="10"/>
  <c r="D1674" i="10"/>
  <c r="D1675" i="10"/>
  <c r="D1676" i="10"/>
  <c r="D1677" i="10"/>
  <c r="D1678" i="10"/>
  <c r="D1679" i="10"/>
  <c r="D1680" i="10"/>
  <c r="D1681" i="10"/>
  <c r="D1682" i="10"/>
  <c r="D1683" i="10"/>
  <c r="D1684" i="10"/>
  <c r="D1685" i="10"/>
  <c r="D1686" i="10"/>
  <c r="D1687" i="10"/>
  <c r="D1688" i="10"/>
  <c r="D1689" i="10"/>
  <c r="D1690" i="10"/>
  <c r="D1691" i="10"/>
  <c r="D1692" i="10"/>
  <c r="D1693" i="10"/>
  <c r="D1694" i="10"/>
  <c r="D1695" i="10"/>
  <c r="D1696" i="10"/>
  <c r="D1697" i="10"/>
  <c r="D1698" i="10"/>
  <c r="D1699" i="10"/>
  <c r="D1700" i="10"/>
  <c r="D1701" i="10"/>
  <c r="D1702" i="10"/>
  <c r="D1703" i="10"/>
  <c r="D1704" i="10"/>
  <c r="D1705" i="10"/>
  <c r="D1706" i="10"/>
  <c r="D1707" i="10"/>
  <c r="D1708" i="10"/>
  <c r="D1709" i="10"/>
  <c r="D1710" i="10"/>
  <c r="D1711" i="10"/>
  <c r="D1712" i="10"/>
  <c r="D1713" i="10"/>
  <c r="D1714" i="10"/>
  <c r="D1715" i="10"/>
  <c r="D1716" i="10"/>
  <c r="D1717" i="10"/>
  <c r="D1718" i="10"/>
  <c r="D1719" i="10"/>
  <c r="D1720" i="10"/>
  <c r="D1721" i="10"/>
  <c r="D1722" i="10"/>
  <c r="D1723" i="10"/>
  <c r="D1724" i="10"/>
  <c r="D1725" i="10"/>
  <c r="D1726" i="10"/>
  <c r="D1727" i="10"/>
  <c r="D1728" i="10"/>
  <c r="D1729" i="10"/>
  <c r="D1730" i="10"/>
  <c r="D1731" i="10"/>
  <c r="D1732" i="10"/>
  <c r="D1733" i="10"/>
  <c r="D1734" i="10"/>
  <c r="D1735" i="10"/>
  <c r="D1736" i="10"/>
  <c r="D1737" i="10"/>
  <c r="D1738" i="10"/>
  <c r="D1739" i="10"/>
  <c r="D1740" i="10"/>
  <c r="D1741" i="10"/>
  <c r="D1742" i="10"/>
  <c r="D1743" i="10"/>
  <c r="D1744" i="10"/>
  <c r="D1745" i="10"/>
  <c r="D1746" i="10"/>
  <c r="D1747" i="10"/>
  <c r="D1748" i="10"/>
  <c r="D1749" i="10"/>
  <c r="D1750" i="10"/>
  <c r="D1751" i="10"/>
  <c r="D1752" i="10"/>
  <c r="D1753" i="10"/>
  <c r="D1754" i="10"/>
  <c r="D1755" i="10"/>
  <c r="D1756" i="10"/>
  <c r="D1757" i="10"/>
  <c r="D1758" i="10"/>
  <c r="D1759" i="10"/>
  <c r="D1760" i="10"/>
  <c r="D1761" i="10"/>
  <c r="D1762" i="10"/>
  <c r="D1763" i="10"/>
  <c r="D1764" i="10"/>
  <c r="D1765" i="10"/>
  <c r="D1766" i="10"/>
  <c r="D1767" i="10"/>
  <c r="D1768" i="10"/>
  <c r="D1769" i="10"/>
  <c r="D1770" i="10"/>
  <c r="D1771" i="10"/>
  <c r="D1772" i="10"/>
  <c r="D1773" i="10"/>
  <c r="D1774" i="10"/>
  <c r="D1775" i="10"/>
  <c r="D1776" i="10"/>
  <c r="D1777" i="10"/>
  <c r="D1778" i="10"/>
  <c r="D1779" i="10"/>
  <c r="D1780" i="10"/>
  <c r="D1781" i="10"/>
  <c r="D1782" i="10"/>
  <c r="D1783" i="10"/>
  <c r="D1784" i="10"/>
  <c r="D1785" i="10"/>
  <c r="D1786" i="10"/>
  <c r="D1787" i="10"/>
  <c r="D1788" i="10"/>
  <c r="D1789" i="10"/>
  <c r="D1790" i="10"/>
  <c r="D1791" i="10"/>
  <c r="D1792" i="10"/>
  <c r="D1793" i="10"/>
  <c r="D1794" i="10"/>
  <c r="D1795" i="10"/>
  <c r="D1796" i="10"/>
  <c r="D1797" i="10"/>
  <c r="D1798" i="10"/>
  <c r="D1799" i="10"/>
  <c r="D1800" i="10"/>
  <c r="D1801" i="10"/>
  <c r="D1802" i="10"/>
  <c r="D1803" i="10"/>
  <c r="D1804" i="10"/>
  <c r="D1805" i="10"/>
  <c r="D1806" i="10"/>
  <c r="D1807" i="10"/>
  <c r="D1808" i="10"/>
  <c r="D1809" i="10"/>
  <c r="D1810" i="10"/>
  <c r="D1811" i="10"/>
  <c r="D1812" i="10"/>
  <c r="D1813" i="10"/>
  <c r="D1814" i="10"/>
  <c r="D1815" i="10"/>
  <c r="D1816" i="10"/>
  <c r="D1817" i="10"/>
  <c r="D1818" i="10"/>
  <c r="D1819" i="10"/>
  <c r="D1820" i="10"/>
  <c r="D1821" i="10"/>
  <c r="D1822" i="10"/>
  <c r="D1823" i="10"/>
  <c r="D1824" i="10"/>
  <c r="D1825" i="10"/>
  <c r="D1826" i="10"/>
  <c r="D1827" i="10"/>
  <c r="D1828" i="10"/>
  <c r="D1829" i="10"/>
  <c r="D1830" i="10"/>
  <c r="D1831" i="10"/>
  <c r="D1832" i="10"/>
  <c r="D1833" i="10"/>
  <c r="D1834" i="10"/>
  <c r="D1835" i="10"/>
  <c r="D1836" i="10"/>
  <c r="D1837" i="10"/>
  <c r="D1838" i="10"/>
  <c r="D1839" i="10"/>
  <c r="D1840" i="10"/>
  <c r="D1841" i="10"/>
  <c r="D1842" i="10"/>
  <c r="D1843" i="10"/>
  <c r="D1844" i="10"/>
  <c r="D1845" i="10"/>
  <c r="D1846" i="10"/>
  <c r="D1847" i="10"/>
  <c r="D1848" i="10"/>
  <c r="D1849" i="10"/>
  <c r="D1850" i="10"/>
  <c r="D1851" i="10"/>
  <c r="D1852" i="10"/>
  <c r="D1853" i="10"/>
  <c r="D1854" i="10"/>
  <c r="D1855" i="10"/>
  <c r="D1856" i="10"/>
  <c r="D1857" i="10"/>
  <c r="D1858" i="10"/>
  <c r="D1859" i="10"/>
  <c r="D1860" i="10"/>
  <c r="D1861" i="10"/>
  <c r="D1862" i="10"/>
  <c r="D1863" i="10"/>
  <c r="D1864" i="10"/>
  <c r="D1865" i="10"/>
  <c r="D1866" i="10"/>
  <c r="D1867" i="10"/>
  <c r="D1868" i="10"/>
  <c r="D1869" i="10"/>
  <c r="D1870" i="10"/>
  <c r="D1871" i="10"/>
  <c r="D1872" i="10"/>
  <c r="D1873" i="10"/>
  <c r="D1874" i="10"/>
  <c r="D1875" i="10"/>
  <c r="D1876" i="10"/>
  <c r="D1877" i="10"/>
  <c r="D1878" i="10"/>
  <c r="D1879" i="10"/>
  <c r="D1880" i="10"/>
  <c r="D1881" i="10"/>
  <c r="D1882" i="10"/>
  <c r="D1883" i="10"/>
  <c r="D1884" i="10"/>
  <c r="D1885" i="10"/>
  <c r="D1886" i="10"/>
  <c r="D1887" i="10"/>
  <c r="D1888" i="10"/>
  <c r="D1889" i="10"/>
  <c r="D1890" i="10"/>
  <c r="D1891" i="10"/>
  <c r="D1892" i="10"/>
  <c r="D1893" i="10"/>
  <c r="D1894" i="10"/>
  <c r="D1895" i="10"/>
  <c r="D1896" i="10"/>
  <c r="D1897" i="10"/>
  <c r="D1898" i="10"/>
  <c r="D1899" i="10"/>
  <c r="D1900" i="10"/>
  <c r="D1901" i="10"/>
  <c r="D1902" i="10"/>
  <c r="D1903" i="10"/>
  <c r="D1904" i="10"/>
  <c r="D1905" i="10"/>
  <c r="D1906" i="10"/>
  <c r="D1907" i="10"/>
  <c r="D1908" i="10"/>
  <c r="D1909" i="10"/>
  <c r="D1910" i="10"/>
  <c r="D1911" i="10"/>
  <c r="D1912" i="10"/>
  <c r="D1913" i="10"/>
  <c r="D1914" i="10"/>
  <c r="D1915" i="10"/>
  <c r="D1916" i="10"/>
  <c r="J343" i="4" l="1"/>
  <c r="D323" i="4"/>
  <c r="D324" i="4"/>
  <c r="D325" i="4"/>
  <c r="D326" i="4"/>
  <c r="D327" i="4"/>
  <c r="D328" i="4"/>
  <c r="D329" i="4"/>
  <c r="D330" i="4"/>
  <c r="D331" i="4"/>
  <c r="D332" i="4"/>
  <c r="D333" i="4"/>
  <c r="D334" i="4"/>
  <c r="D335" i="4"/>
  <c r="D336" i="4"/>
  <c r="D337" i="4"/>
  <c r="D338" i="4"/>
  <c r="D339" i="4"/>
  <c r="D340" i="4"/>
  <c r="D341" i="4"/>
  <c r="D342" i="4"/>
  <c r="D343" i="4"/>
  <c r="D344" i="4"/>
  <c r="D345" i="4"/>
  <c r="D346" i="4"/>
  <c r="D347" i="4"/>
  <c r="D348" i="4"/>
  <c r="D349" i="4"/>
  <c r="D350" i="4"/>
  <c r="D351" i="4"/>
  <c r="D352" i="4"/>
  <c r="D353" i="4"/>
  <c r="D354" i="4"/>
  <c r="D355" i="4"/>
  <c r="D356" i="4"/>
  <c r="D357" i="4"/>
  <c r="D358" i="4"/>
  <c r="D359" i="4"/>
  <c r="D360" i="4"/>
  <c r="D361" i="4"/>
  <c r="D362" i="4"/>
  <c r="D363" i="4"/>
  <c r="D364" i="4"/>
  <c r="D365" i="4"/>
  <c r="D366" i="4"/>
  <c r="D367" i="4"/>
  <c r="D368" i="4"/>
  <c r="D369" i="4"/>
  <c r="D370" i="4"/>
  <c r="D371" i="4"/>
  <c r="D372" i="4"/>
  <c r="D373" i="4"/>
  <c r="D374" i="4"/>
  <c r="D375" i="4"/>
  <c r="D376" i="4"/>
  <c r="D377" i="4"/>
  <c r="D378" i="4"/>
  <c r="D379" i="4"/>
  <c r="D380" i="4"/>
  <c r="D381" i="4"/>
  <c r="D382" i="4"/>
  <c r="D383" i="4"/>
  <c r="D384" i="4"/>
  <c r="D385" i="4"/>
  <c r="D386" i="4"/>
  <c r="D387" i="4"/>
  <c r="D388" i="4"/>
  <c r="D389" i="4"/>
  <c r="D390" i="4"/>
  <c r="D391" i="4"/>
  <c r="D392" i="4"/>
  <c r="D393" i="4"/>
  <c r="D394" i="4"/>
  <c r="D395" i="4"/>
  <c r="D396" i="4"/>
  <c r="D397" i="4"/>
  <c r="D398" i="4"/>
  <c r="D399" i="4"/>
  <c r="D400" i="4"/>
  <c r="D401" i="4"/>
  <c r="D402" i="4"/>
  <c r="D403" i="4"/>
  <c r="D404" i="4"/>
  <c r="D405" i="4"/>
  <c r="D406" i="4"/>
  <c r="D407" i="4"/>
  <c r="D408" i="4"/>
  <c r="D409" i="4"/>
  <c r="D410" i="4"/>
  <c r="D411" i="4"/>
  <c r="D412" i="4"/>
  <c r="D413" i="4"/>
  <c r="D414" i="4"/>
  <c r="D415" i="4"/>
  <c r="D416" i="4"/>
  <c r="D417" i="4"/>
  <c r="D418" i="4"/>
  <c r="D419" i="4"/>
  <c r="D420" i="4"/>
  <c r="D421" i="4"/>
  <c r="D422" i="4"/>
  <c r="D423" i="4"/>
  <c r="D424" i="4"/>
  <c r="D425" i="4"/>
  <c r="D426" i="4"/>
  <c r="D427" i="4"/>
  <c r="D428" i="4"/>
  <c r="D429" i="4"/>
  <c r="D430" i="4"/>
  <c r="D431" i="4"/>
  <c r="D432" i="4"/>
  <c r="D433" i="4"/>
  <c r="D434" i="4"/>
  <c r="D435" i="4"/>
  <c r="D436" i="4"/>
  <c r="D437" i="4"/>
  <c r="D438" i="4"/>
  <c r="D439" i="4"/>
  <c r="D440" i="4"/>
  <c r="D441" i="4"/>
  <c r="D442" i="4"/>
  <c r="D443" i="4"/>
  <c r="D444" i="4"/>
  <c r="D445" i="4"/>
  <c r="D446" i="4"/>
  <c r="D447" i="4"/>
  <c r="D448" i="4"/>
  <c r="D449" i="4"/>
  <c r="D450" i="4"/>
  <c r="D451" i="4"/>
  <c r="D452" i="4"/>
  <c r="D453" i="4"/>
  <c r="D454" i="4"/>
  <c r="D455" i="4"/>
  <c r="D456" i="4"/>
  <c r="D457" i="4"/>
  <c r="D458" i="4"/>
  <c r="D459" i="4"/>
  <c r="D460" i="4"/>
  <c r="D461" i="4"/>
  <c r="D462" i="4"/>
  <c r="D463" i="4"/>
  <c r="D464" i="4"/>
  <c r="D465" i="4"/>
  <c r="D466" i="4"/>
  <c r="D467" i="4"/>
  <c r="D468" i="4"/>
  <c r="D469" i="4"/>
  <c r="D470" i="4"/>
  <c r="D471" i="4"/>
  <c r="D472" i="4"/>
  <c r="D473" i="4"/>
  <c r="D474" i="4"/>
  <c r="D475" i="4"/>
  <c r="D476" i="4"/>
  <c r="D477" i="4"/>
  <c r="D478" i="4"/>
  <c r="D479" i="4"/>
  <c r="D480" i="4"/>
  <c r="D481" i="4"/>
  <c r="D482" i="4"/>
  <c r="D483" i="4"/>
  <c r="D484" i="4"/>
  <c r="D485" i="4"/>
  <c r="D486" i="4"/>
  <c r="D487" i="4"/>
  <c r="D488" i="4"/>
  <c r="D489" i="4"/>
  <c r="D490" i="4"/>
  <c r="D491" i="4"/>
  <c r="D492" i="4"/>
  <c r="D493" i="4"/>
  <c r="D494" i="4"/>
  <c r="D495" i="4"/>
  <c r="D496" i="4"/>
  <c r="D497" i="4"/>
  <c r="D498" i="4"/>
  <c r="D499" i="4"/>
  <c r="D500" i="4"/>
  <c r="D501" i="4"/>
  <c r="D502" i="4"/>
  <c r="D322" i="4"/>
  <c r="D321" i="4"/>
  <c r="CD38" i="1" l="1"/>
  <c r="CC38" i="1"/>
  <c r="CD37" i="1"/>
  <c r="CC37" i="1"/>
  <c r="CD36" i="1"/>
  <c r="CC36" i="1"/>
  <c r="CD35" i="1"/>
  <c r="CC35" i="1"/>
  <c r="CD34" i="1"/>
  <c r="CC34" i="1"/>
  <c r="CD33" i="1"/>
  <c r="CC33" i="1"/>
  <c r="CD32" i="1"/>
  <c r="CC32" i="1"/>
  <c r="CD31" i="1"/>
  <c r="CC31" i="1"/>
  <c r="CD30" i="1"/>
  <c r="CC30" i="1"/>
  <c r="CD29" i="1"/>
  <c r="CC29" i="1"/>
  <c r="CD28" i="1"/>
  <c r="CC28" i="1"/>
  <c r="AC160" i="24" l="1"/>
  <c r="AB160" i="24"/>
  <c r="AA160" i="24"/>
  <c r="AC159" i="24"/>
  <c r="AB159" i="24"/>
  <c r="AA159" i="24"/>
  <c r="AC158" i="24"/>
  <c r="AB158" i="24"/>
  <c r="AA158" i="24"/>
  <c r="AC157" i="24"/>
  <c r="AB157" i="24"/>
  <c r="AA157" i="24"/>
  <c r="AC156" i="24"/>
  <c r="AB156" i="24"/>
  <c r="AA156" i="24"/>
  <c r="AC155" i="24"/>
  <c r="AB155" i="24"/>
  <c r="AA155" i="24"/>
  <c r="AC154" i="24"/>
  <c r="AB154" i="24"/>
  <c r="AA154" i="24"/>
  <c r="AC153" i="24"/>
  <c r="AB153" i="24"/>
  <c r="AA153" i="24"/>
  <c r="AC152" i="24"/>
  <c r="AB152" i="24"/>
  <c r="AA152" i="24"/>
  <c r="AC151" i="24"/>
  <c r="AB151" i="24"/>
  <c r="AA151" i="24"/>
  <c r="AC150" i="24"/>
  <c r="AB150" i="24"/>
  <c r="AA150" i="24"/>
  <c r="AC149" i="24"/>
  <c r="AB149" i="24"/>
  <c r="AA149" i="24"/>
  <c r="AC148" i="24"/>
  <c r="AB148" i="24"/>
  <c r="AA148" i="24"/>
  <c r="AC147" i="24"/>
  <c r="AB147" i="24"/>
  <c r="AA147" i="24"/>
  <c r="AC146" i="24"/>
  <c r="AB146" i="24"/>
  <c r="AA146" i="24"/>
  <c r="AC145" i="24"/>
  <c r="AB145" i="24"/>
  <c r="AA145" i="24"/>
  <c r="AC144" i="24"/>
  <c r="AB144" i="24"/>
  <c r="AA144" i="24"/>
  <c r="AC143" i="24"/>
  <c r="AB143" i="24"/>
  <c r="AA143" i="24"/>
  <c r="AC142" i="24"/>
  <c r="AB142" i="24"/>
  <c r="AA142" i="24"/>
  <c r="AC141" i="24"/>
  <c r="AB141" i="24"/>
  <c r="AA141" i="24"/>
  <c r="AC140" i="24"/>
  <c r="AB140" i="24"/>
  <c r="AA140" i="24"/>
  <c r="AC139" i="24"/>
  <c r="AB139" i="24"/>
  <c r="AA139" i="24"/>
  <c r="Q139" i="24"/>
  <c r="Q140" i="24"/>
  <c r="Q141" i="24"/>
  <c r="Q142" i="24"/>
  <c r="Q143" i="24"/>
  <c r="Q144" i="24"/>
  <c r="Q145" i="24"/>
  <c r="Q146" i="24"/>
  <c r="Q147" i="24"/>
  <c r="Q148" i="24"/>
  <c r="Q149" i="24"/>
  <c r="Q150" i="24"/>
  <c r="Q151" i="24"/>
  <c r="Q152" i="24"/>
  <c r="Q153" i="24"/>
  <c r="Q154" i="24"/>
  <c r="Q155" i="24"/>
  <c r="Q156" i="24"/>
  <c r="Q157" i="24"/>
  <c r="Q158" i="24"/>
  <c r="Q159" i="24"/>
  <c r="Q160" i="24"/>
  <c r="I139" i="24"/>
  <c r="I140" i="24"/>
  <c r="I141" i="24"/>
  <c r="I142" i="24"/>
  <c r="I143" i="24"/>
  <c r="I144" i="24"/>
  <c r="I145" i="24"/>
  <c r="I146" i="24"/>
  <c r="I147" i="24"/>
  <c r="I148" i="24"/>
  <c r="I149" i="24"/>
  <c r="I150" i="24"/>
  <c r="I151" i="24"/>
  <c r="I152" i="24"/>
  <c r="I153" i="24"/>
  <c r="I154" i="24"/>
  <c r="I155" i="24"/>
  <c r="I156" i="24"/>
  <c r="I157" i="24"/>
  <c r="I158" i="24"/>
  <c r="I159" i="24"/>
  <c r="I160" i="24"/>
  <c r="AE160" i="24" l="1"/>
  <c r="AD142" i="24"/>
  <c r="AE143" i="24"/>
  <c r="AE142" i="24"/>
  <c r="AE141" i="24"/>
  <c r="AE158" i="24"/>
  <c r="AE159" i="24"/>
  <c r="AD143" i="24"/>
  <c r="AD147" i="24"/>
  <c r="AD151" i="24"/>
  <c r="AE157" i="24"/>
  <c r="AD144" i="24"/>
  <c r="AD146" i="24"/>
  <c r="AE147" i="24"/>
  <c r="AD158" i="24"/>
  <c r="AD159" i="24"/>
  <c r="AD145" i="24"/>
  <c r="AE146" i="24"/>
  <c r="AD149" i="24"/>
  <c r="AE151" i="24"/>
  <c r="AE155" i="24"/>
  <c r="AE145" i="24"/>
  <c r="AE150" i="24"/>
  <c r="AE154" i="24"/>
  <c r="AD139" i="24"/>
  <c r="AE153" i="24"/>
  <c r="AD155" i="24"/>
  <c r="AE139" i="24"/>
  <c r="AD141" i="24"/>
  <c r="AE149" i="24"/>
  <c r="AD152" i="24"/>
  <c r="AD154" i="24"/>
  <c r="AD157" i="24"/>
  <c r="AE140" i="24"/>
  <c r="AE156" i="24"/>
  <c r="AE148" i="24"/>
  <c r="AD150" i="24"/>
  <c r="AD153" i="24"/>
  <c r="AD140" i="24"/>
  <c r="AD148" i="24"/>
  <c r="AD156" i="24"/>
  <c r="AD160" i="24"/>
  <c r="AE144" i="24"/>
  <c r="AE152" i="24"/>
  <c r="AC117" i="24" l="1"/>
  <c r="AB117" i="24"/>
  <c r="AA117" i="24"/>
  <c r="AC116" i="24"/>
  <c r="AB116" i="24"/>
  <c r="AA116" i="24"/>
  <c r="AC115" i="24"/>
  <c r="AB115" i="24"/>
  <c r="AA115" i="24"/>
  <c r="AC114" i="24"/>
  <c r="AB114" i="24"/>
  <c r="AA114" i="24"/>
  <c r="AC113" i="24"/>
  <c r="AB113" i="24"/>
  <c r="AA113" i="24"/>
  <c r="AC112" i="24"/>
  <c r="AB112" i="24"/>
  <c r="AA112" i="24"/>
  <c r="AC111" i="24"/>
  <c r="AB111" i="24"/>
  <c r="AA111" i="24"/>
  <c r="AC110" i="24"/>
  <c r="AB110" i="24"/>
  <c r="AA110" i="24"/>
  <c r="AC109" i="24"/>
  <c r="AB109" i="24"/>
  <c r="AA109" i="24"/>
  <c r="AC108" i="24"/>
  <c r="AB108" i="24"/>
  <c r="AA108" i="24"/>
  <c r="AC107" i="24"/>
  <c r="AB107" i="24"/>
  <c r="AA107" i="24"/>
  <c r="AC106" i="24"/>
  <c r="AB106" i="24"/>
  <c r="AA106" i="24"/>
  <c r="AC105" i="24"/>
  <c r="AB105" i="24"/>
  <c r="AA105" i="24"/>
  <c r="AC104" i="24"/>
  <c r="AB104" i="24"/>
  <c r="AA104" i="24"/>
  <c r="AC103" i="24"/>
  <c r="AB103" i="24"/>
  <c r="AA103" i="24"/>
  <c r="AC166" i="24"/>
  <c r="AB166" i="24"/>
  <c r="AA166" i="24"/>
  <c r="Q166" i="24"/>
  <c r="Q103" i="24"/>
  <c r="Q104" i="24"/>
  <c r="Q105" i="24"/>
  <c r="Q106" i="24"/>
  <c r="Q107" i="24"/>
  <c r="Q108" i="24"/>
  <c r="Q109" i="24"/>
  <c r="Q110" i="24"/>
  <c r="Q111" i="24"/>
  <c r="Q112" i="24"/>
  <c r="Q113" i="24"/>
  <c r="Q114" i="24"/>
  <c r="Q115" i="24"/>
  <c r="Q116" i="24"/>
  <c r="Q117" i="24"/>
  <c r="I166" i="24"/>
  <c r="I103" i="24"/>
  <c r="I104" i="24"/>
  <c r="I105" i="24"/>
  <c r="I106" i="24"/>
  <c r="I107" i="24"/>
  <c r="I108" i="24"/>
  <c r="I109" i="24"/>
  <c r="I110" i="24"/>
  <c r="I111" i="24"/>
  <c r="I112" i="24"/>
  <c r="I113" i="24"/>
  <c r="I114" i="24"/>
  <c r="I115" i="24"/>
  <c r="I116" i="24"/>
  <c r="I117" i="24"/>
  <c r="AE109" i="24" l="1"/>
  <c r="AE110" i="24"/>
  <c r="AD103" i="24"/>
  <c r="AE107" i="24"/>
  <c r="AE106" i="24"/>
  <c r="AD111" i="24"/>
  <c r="AD115" i="24"/>
  <c r="AE117" i="24"/>
  <c r="AD110" i="24"/>
  <c r="AE111" i="24"/>
  <c r="AE166" i="24"/>
  <c r="AE105" i="24"/>
  <c r="AD109" i="24"/>
  <c r="AD113" i="24"/>
  <c r="AE115" i="24"/>
  <c r="AE108" i="24"/>
  <c r="AE112" i="24"/>
  <c r="AE103" i="24"/>
  <c r="AD104" i="24"/>
  <c r="AD106" i="24"/>
  <c r="AD107" i="24"/>
  <c r="AE114" i="24"/>
  <c r="AD105" i="24"/>
  <c r="AE113" i="24"/>
  <c r="AD116" i="24"/>
  <c r="AD114" i="24"/>
  <c r="AD117" i="24"/>
  <c r="AD108" i="24"/>
  <c r="AD112" i="24"/>
  <c r="AE104" i="24"/>
  <c r="AE116" i="24"/>
  <c r="AD166" i="24"/>
  <c r="AC137" i="24" l="1"/>
  <c r="AB137" i="24"/>
  <c r="AA137" i="24"/>
  <c r="AC136" i="24"/>
  <c r="AB136" i="24"/>
  <c r="AA136" i="24"/>
  <c r="AC135" i="24"/>
  <c r="AB135" i="24"/>
  <c r="AA135" i="24"/>
  <c r="AC134" i="24"/>
  <c r="AB134" i="24"/>
  <c r="AA134" i="24"/>
  <c r="AC133" i="24"/>
  <c r="AB133" i="24"/>
  <c r="AA133" i="24"/>
  <c r="AC132" i="24"/>
  <c r="AB132" i="24"/>
  <c r="AA132" i="24"/>
  <c r="AC131" i="24"/>
  <c r="AB131" i="24"/>
  <c r="AA131" i="24"/>
  <c r="AC130" i="24"/>
  <c r="AB130" i="24"/>
  <c r="AA130" i="24"/>
  <c r="AC129" i="24"/>
  <c r="AB129" i="24"/>
  <c r="AA129" i="24"/>
  <c r="AC128" i="24"/>
  <c r="AB128" i="24"/>
  <c r="AA128" i="24"/>
  <c r="AC127" i="24"/>
  <c r="AB127" i="24"/>
  <c r="AA127" i="24"/>
  <c r="AC126" i="24"/>
  <c r="AB126" i="24"/>
  <c r="AA126" i="24"/>
  <c r="AC125" i="24"/>
  <c r="AB125" i="24"/>
  <c r="AA125" i="24"/>
  <c r="AC124" i="24"/>
  <c r="AB124" i="24"/>
  <c r="AA124" i="24"/>
  <c r="AC95" i="24"/>
  <c r="AB95" i="24"/>
  <c r="AA95" i="24"/>
  <c r="AC94" i="24"/>
  <c r="AB94" i="24"/>
  <c r="AA94" i="24"/>
  <c r="AC93" i="24"/>
  <c r="AB93" i="24"/>
  <c r="AA93" i="24"/>
  <c r="AC92" i="24"/>
  <c r="AB92" i="24"/>
  <c r="AA92" i="24"/>
  <c r="AC91" i="24"/>
  <c r="AB91" i="24"/>
  <c r="AA91" i="24"/>
  <c r="AE94" i="24" l="1"/>
  <c r="AE124" i="24"/>
  <c r="AD130" i="24"/>
  <c r="AE131" i="24"/>
  <c r="AE136" i="24"/>
  <c r="AE126" i="24"/>
  <c r="AD124" i="24"/>
  <c r="AD127" i="24"/>
  <c r="AD133" i="24"/>
  <c r="AD94" i="24"/>
  <c r="AD91" i="24"/>
  <c r="AD93" i="24"/>
  <c r="AE133" i="24"/>
  <c r="AE127" i="24"/>
  <c r="AD131" i="24"/>
  <c r="AE95" i="24"/>
  <c r="AD128" i="24"/>
  <c r="AE137" i="24"/>
  <c r="AD134" i="24"/>
  <c r="AD95" i="24"/>
  <c r="AD132" i="24"/>
  <c r="AE92" i="24"/>
  <c r="AE93" i="24"/>
  <c r="AE129" i="24"/>
  <c r="AE130" i="24"/>
  <c r="AE134" i="24"/>
  <c r="AE135" i="24"/>
  <c r="AD136" i="24"/>
  <c r="AD92" i="24"/>
  <c r="AE125" i="24"/>
  <c r="AD126" i="24"/>
  <c r="AD129" i="24"/>
  <c r="AD137" i="24"/>
  <c r="AD125" i="24"/>
  <c r="AE132" i="24"/>
  <c r="AD135" i="24"/>
  <c r="AE91" i="24"/>
  <c r="AE128" i="24"/>
  <c r="AC102" i="24" l="1"/>
  <c r="AC101" i="24"/>
  <c r="AC100" i="24"/>
  <c r="AC99" i="24"/>
  <c r="AC98" i="24"/>
  <c r="AC97" i="24"/>
  <c r="AC96" i="24"/>
  <c r="AC138" i="24"/>
  <c r="AB102" i="24"/>
  <c r="AA102" i="24"/>
  <c r="AB101" i="24"/>
  <c r="AA101" i="24"/>
  <c r="AB100" i="24"/>
  <c r="AA100" i="24"/>
  <c r="AB99" i="24"/>
  <c r="AA99" i="24"/>
  <c r="AB98" i="24"/>
  <c r="AA98" i="24"/>
  <c r="AB97" i="24"/>
  <c r="AA97" i="24"/>
  <c r="AB96" i="24"/>
  <c r="AA96" i="24"/>
  <c r="AB138" i="24"/>
  <c r="AA138" i="24"/>
  <c r="AE96" i="24" l="1"/>
  <c r="AD97" i="24"/>
  <c r="AD101" i="24"/>
  <c r="AD138" i="24"/>
  <c r="AE101" i="24"/>
  <c r="AE100" i="24"/>
  <c r="AD99" i="24"/>
  <c r="AE97" i="24"/>
  <c r="AE138" i="24"/>
  <c r="AD96" i="24"/>
  <c r="AD100" i="24"/>
  <c r="AD98" i="24"/>
  <c r="AD102" i="24"/>
  <c r="AE99" i="24"/>
  <c r="AE98" i="24"/>
  <c r="AE102" i="24"/>
  <c r="AA15" i="24" l="1"/>
  <c r="AB61" i="24"/>
  <c r="AB62" i="24"/>
  <c r="AB63" i="24"/>
  <c r="AB64" i="24"/>
  <c r="AB66" i="24"/>
  <c r="AB67" i="24"/>
  <c r="AB68" i="24"/>
  <c r="AB88" i="24"/>
  <c r="AB89" i="24"/>
  <c r="AB90" i="24"/>
  <c r="AB30" i="24"/>
  <c r="AB31" i="24"/>
  <c r="AB45" i="24"/>
  <c r="AB46" i="24"/>
  <c r="AB55" i="24"/>
  <c r="AB56" i="24"/>
  <c r="AB120" i="24"/>
  <c r="AB16" i="24"/>
  <c r="AB17" i="24"/>
  <c r="AB65" i="24"/>
  <c r="AB69" i="24"/>
  <c r="AB70" i="24"/>
  <c r="AB169" i="24"/>
  <c r="AB170" i="24"/>
  <c r="AB18" i="24"/>
  <c r="AB19" i="24"/>
  <c r="AB47" i="24"/>
  <c r="AB58" i="24"/>
  <c r="AB71" i="24"/>
  <c r="AB72" i="24"/>
  <c r="AB32" i="24"/>
  <c r="AB33" i="24"/>
  <c r="AB34" i="24"/>
  <c r="AB171" i="24"/>
  <c r="AB172" i="24"/>
  <c r="AB173" i="24"/>
  <c r="AB201" i="24"/>
  <c r="AB202" i="24"/>
  <c r="AB203" i="24"/>
  <c r="AB35" i="24"/>
  <c r="AB36" i="24"/>
  <c r="AB37" i="24"/>
  <c r="AB174" i="24"/>
  <c r="AB175" i="24"/>
  <c r="AB176" i="24"/>
  <c r="AB204" i="24"/>
  <c r="AB205" i="24"/>
  <c r="AB206" i="24"/>
  <c r="AB23" i="24"/>
  <c r="AB59" i="24"/>
  <c r="AB119" i="24"/>
  <c r="AB22" i="24"/>
  <c r="AB38" i="24"/>
  <c r="AB51" i="24"/>
  <c r="AB52" i="24"/>
  <c r="AB57" i="24"/>
  <c r="AB85" i="24"/>
  <c r="AB86" i="24"/>
  <c r="AB87" i="24"/>
  <c r="AB118" i="24"/>
  <c r="AB162" i="24"/>
  <c r="AB163" i="24"/>
  <c r="AB164" i="24"/>
  <c r="AB177" i="24"/>
  <c r="AB178" i="24"/>
  <c r="AB179" i="24"/>
  <c r="AB200" i="24"/>
  <c r="AB207" i="24"/>
  <c r="AB208" i="24"/>
  <c r="AB209" i="24"/>
  <c r="AB73" i="24"/>
  <c r="AB74" i="24"/>
  <c r="AB210" i="24"/>
  <c r="AB20" i="24"/>
  <c r="AB39" i="24"/>
  <c r="AB40" i="24"/>
  <c r="AB41" i="24"/>
  <c r="AB180" i="24"/>
  <c r="AB181" i="24"/>
  <c r="AB182" i="24"/>
  <c r="AB42" i="24"/>
  <c r="AB43" i="24"/>
  <c r="AB44" i="24"/>
  <c r="AB75" i="24"/>
  <c r="AB76" i="24"/>
  <c r="AB183" i="24"/>
  <c r="AB184" i="24"/>
  <c r="AB185" i="24"/>
  <c r="AB28" i="24"/>
  <c r="AB77" i="24"/>
  <c r="AB186" i="24"/>
  <c r="AB187" i="24"/>
  <c r="AB188" i="24"/>
  <c r="AB21" i="24"/>
  <c r="AB53" i="24"/>
  <c r="AB54" i="24"/>
  <c r="AB78" i="24"/>
  <c r="AB165" i="24"/>
  <c r="AB168" i="24"/>
  <c r="AB189" i="24"/>
  <c r="AB161" i="24"/>
  <c r="AB121" i="24"/>
  <c r="AB122" i="24"/>
  <c r="AB123" i="24"/>
  <c r="AB190" i="24"/>
  <c r="AB191" i="24"/>
  <c r="AB192" i="24"/>
  <c r="AB193" i="24"/>
  <c r="AB194" i="24"/>
  <c r="AB195" i="24"/>
  <c r="AB196" i="24"/>
  <c r="AB197" i="24"/>
  <c r="AB198" i="24"/>
  <c r="AB199" i="24"/>
  <c r="AA61" i="24"/>
  <c r="AA62" i="24"/>
  <c r="AA63" i="24"/>
  <c r="AA64" i="24"/>
  <c r="AA66" i="24"/>
  <c r="AA67" i="24"/>
  <c r="AA68" i="24"/>
  <c r="AA88" i="24"/>
  <c r="AA89" i="24"/>
  <c r="AA90" i="24"/>
  <c r="AA30" i="24"/>
  <c r="AA31" i="24"/>
  <c r="AA45" i="24"/>
  <c r="AA46" i="24"/>
  <c r="AA55" i="24"/>
  <c r="AA56" i="24"/>
  <c r="AA120" i="24"/>
  <c r="AA16" i="24"/>
  <c r="AA17" i="24"/>
  <c r="AA60" i="24"/>
  <c r="AA65" i="24"/>
  <c r="AA69" i="24"/>
  <c r="AA70" i="24"/>
  <c r="AA169" i="24"/>
  <c r="AA170" i="24"/>
  <c r="AA18" i="24"/>
  <c r="AA19" i="24"/>
  <c r="AA47" i="24"/>
  <c r="AA58" i="24"/>
  <c r="AA71" i="24"/>
  <c r="AA72" i="24"/>
  <c r="AA32" i="24"/>
  <c r="AA33" i="24"/>
  <c r="AA34" i="24"/>
  <c r="AA79" i="24"/>
  <c r="AA80" i="24"/>
  <c r="AA81" i="24"/>
  <c r="AA171" i="24"/>
  <c r="AA172" i="24"/>
  <c r="AA173" i="24"/>
  <c r="AA201" i="24"/>
  <c r="AA202" i="24"/>
  <c r="AA203" i="24"/>
  <c r="AA24" i="24"/>
  <c r="AA35" i="24"/>
  <c r="AA36" i="24"/>
  <c r="AA37" i="24"/>
  <c r="AA82" i="24"/>
  <c r="AA83" i="24"/>
  <c r="AA84" i="24"/>
  <c r="AA174" i="24"/>
  <c r="AA175" i="24"/>
  <c r="AA176" i="24"/>
  <c r="AA204" i="24"/>
  <c r="AA205" i="24"/>
  <c r="AA206" i="24"/>
  <c r="AA23" i="24"/>
  <c r="AA59" i="24"/>
  <c r="AA119" i="24"/>
  <c r="AA22" i="24"/>
  <c r="AA38" i="24"/>
  <c r="AA51" i="24"/>
  <c r="AA52" i="24"/>
  <c r="AA57" i="24"/>
  <c r="AA85" i="24"/>
  <c r="AA86" i="24"/>
  <c r="AA87" i="24"/>
  <c r="AA118" i="24"/>
  <c r="AA162" i="24"/>
  <c r="AA163" i="24"/>
  <c r="AA164" i="24"/>
  <c r="AA177" i="24"/>
  <c r="AA178" i="24"/>
  <c r="AA179" i="24"/>
  <c r="AA200" i="24"/>
  <c r="AA207" i="24"/>
  <c r="AA208" i="24"/>
  <c r="AA209" i="24"/>
  <c r="AA73" i="24"/>
  <c r="AA74" i="24"/>
  <c r="AA210" i="24"/>
  <c r="AA20" i="24"/>
  <c r="AA25" i="24"/>
  <c r="AA39" i="24"/>
  <c r="AA40" i="24"/>
  <c r="AA41" i="24"/>
  <c r="AA180" i="24"/>
  <c r="AA181" i="24"/>
  <c r="AA182" i="24"/>
  <c r="AA26" i="24"/>
  <c r="AA42" i="24"/>
  <c r="AA43" i="24"/>
  <c r="AA44" i="24"/>
  <c r="AA75" i="24"/>
  <c r="AA76" i="24"/>
  <c r="AA183" i="24"/>
  <c r="AA184" i="24"/>
  <c r="AA185" i="24"/>
  <c r="AA27" i="24"/>
  <c r="AA28" i="24"/>
  <c r="AA77" i="24"/>
  <c r="AA186" i="24"/>
  <c r="AA187" i="24"/>
  <c r="AA188" i="24"/>
  <c r="AA21" i="24"/>
  <c r="AA29" i="24"/>
  <c r="AA53" i="24"/>
  <c r="AA54" i="24"/>
  <c r="AA78" i="24"/>
  <c r="AA165" i="24"/>
  <c r="AA168" i="24"/>
  <c r="AA189" i="24"/>
  <c r="AA161" i="24"/>
  <c r="AA121" i="24"/>
  <c r="AA122" i="24"/>
  <c r="AA123" i="24"/>
  <c r="AA190" i="24"/>
  <c r="AA191" i="24"/>
  <c r="AA192" i="24"/>
  <c r="AA193" i="24"/>
  <c r="AA194" i="24"/>
  <c r="AA195" i="24"/>
  <c r="AA196" i="24"/>
  <c r="AA197" i="24"/>
  <c r="AA198" i="24"/>
  <c r="AA199" i="24"/>
  <c r="AB15" i="24"/>
  <c r="AC15" i="24"/>
  <c r="AE15" i="24" l="1"/>
  <c r="AD15" i="24"/>
  <c r="AC199" i="24" l="1"/>
  <c r="AD199" i="24" s="1"/>
  <c r="AC198" i="24"/>
  <c r="AD198" i="24" s="1"/>
  <c r="AC197" i="24"/>
  <c r="AD197" i="24" s="1"/>
  <c r="AC196" i="24"/>
  <c r="AD196" i="24" s="1"/>
  <c r="AC195" i="24"/>
  <c r="AD195" i="24" s="1"/>
  <c r="AC194" i="24"/>
  <c r="AD194" i="24" s="1"/>
  <c r="AC193" i="24"/>
  <c r="AD193" i="24" s="1"/>
  <c r="AC192" i="24"/>
  <c r="AD192" i="24" s="1"/>
  <c r="AC191" i="24"/>
  <c r="AD191" i="24" s="1"/>
  <c r="AC190" i="24"/>
  <c r="AD190" i="24" s="1"/>
  <c r="AC123" i="24"/>
  <c r="AD123" i="24" s="1"/>
  <c r="AC122" i="24"/>
  <c r="AD122" i="24" s="1"/>
  <c r="AC121" i="24"/>
  <c r="AD121" i="24" s="1"/>
  <c r="AC161" i="24"/>
  <c r="AD161" i="24" s="1"/>
  <c r="Q161" i="24"/>
  <c r="Q121" i="24"/>
  <c r="Q122" i="24"/>
  <c r="Q123" i="24"/>
  <c r="Q190" i="24"/>
  <c r="Q191" i="24"/>
  <c r="Q192" i="24"/>
  <c r="Q193" i="24"/>
  <c r="Q194" i="24"/>
  <c r="Q195" i="24"/>
  <c r="Q196" i="24"/>
  <c r="Q197" i="24"/>
  <c r="Q198" i="24"/>
  <c r="Q199" i="24"/>
  <c r="Q138" i="24"/>
  <c r="Q96" i="24"/>
  <c r="Q97" i="24"/>
  <c r="Q98" i="24"/>
  <c r="Q99" i="24"/>
  <c r="Q100" i="24"/>
  <c r="Q101" i="24"/>
  <c r="Q102" i="24"/>
  <c r="Q91" i="24"/>
  <c r="Q92" i="24"/>
  <c r="Q93" i="24"/>
  <c r="Q94" i="24"/>
  <c r="Q95" i="24"/>
  <c r="Q124" i="24"/>
  <c r="Q125" i="24"/>
  <c r="Q126" i="24"/>
  <c r="Q127" i="24"/>
  <c r="Q128" i="24"/>
  <c r="Q129" i="24"/>
  <c r="Q130" i="24"/>
  <c r="Q131" i="24"/>
  <c r="Q132" i="24"/>
  <c r="Q133" i="24"/>
  <c r="Q134" i="24"/>
  <c r="Q135" i="24"/>
  <c r="Q136" i="24"/>
  <c r="Q137" i="24"/>
  <c r="I161" i="24"/>
  <c r="I121" i="24"/>
  <c r="I122" i="24"/>
  <c r="I123" i="24"/>
  <c r="I190" i="24"/>
  <c r="I191" i="24"/>
  <c r="I192" i="24"/>
  <c r="I193" i="24"/>
  <c r="I194" i="24"/>
  <c r="I195" i="24"/>
  <c r="I196" i="24"/>
  <c r="I197" i="24"/>
  <c r="I198" i="24"/>
  <c r="I199" i="24"/>
  <c r="I138" i="24"/>
  <c r="I96" i="24"/>
  <c r="I97" i="24"/>
  <c r="I98" i="24"/>
  <c r="I99" i="24"/>
  <c r="I100" i="24"/>
  <c r="I101" i="24"/>
  <c r="I102" i="24"/>
  <c r="I91" i="24"/>
  <c r="I92" i="24"/>
  <c r="I93" i="24"/>
  <c r="I94" i="24"/>
  <c r="I95" i="24"/>
  <c r="I124" i="24"/>
  <c r="I125" i="24"/>
  <c r="I126" i="24"/>
  <c r="I127" i="24"/>
  <c r="I128" i="24"/>
  <c r="I129" i="24"/>
  <c r="I130" i="24"/>
  <c r="I131" i="24"/>
  <c r="I132" i="24"/>
  <c r="I133" i="24"/>
  <c r="I134" i="24"/>
  <c r="I135" i="24"/>
  <c r="I136" i="24"/>
  <c r="I137" i="24"/>
  <c r="AE193" i="24" l="1"/>
  <c r="AE197" i="24"/>
  <c r="AE198" i="24"/>
  <c r="AE190" i="24"/>
  <c r="AE192" i="24"/>
  <c r="AE194" i="24"/>
  <c r="AE121" i="24"/>
  <c r="AE123" i="24"/>
  <c r="AE196" i="24"/>
  <c r="AE122" i="24"/>
  <c r="AE195" i="24"/>
  <c r="AE161" i="24"/>
  <c r="AE191" i="24"/>
  <c r="AE199" i="24"/>
  <c r="AC168" i="24"/>
  <c r="AD168" i="24" s="1"/>
  <c r="AC200" i="24"/>
  <c r="AD200" i="24" s="1"/>
  <c r="AE168" i="24" l="1"/>
  <c r="AE200" i="24"/>
  <c r="P167" i="24"/>
  <c r="AB167" i="24" l="1"/>
  <c r="AA167" i="24"/>
  <c r="AC165" i="24"/>
  <c r="AD165" i="24" s="1"/>
  <c r="AC164" i="24"/>
  <c r="AD164" i="24" s="1"/>
  <c r="AC163" i="24"/>
  <c r="AD163" i="24" s="1"/>
  <c r="AC162" i="24"/>
  <c r="AD162" i="24" s="1"/>
  <c r="AC167" i="24"/>
  <c r="AD167" i="24" s="1"/>
  <c r="AC189" i="24"/>
  <c r="AD189" i="24" s="1"/>
  <c r="AC188" i="24"/>
  <c r="AD188" i="24" s="1"/>
  <c r="AC187" i="24"/>
  <c r="AD187" i="24" s="1"/>
  <c r="AC186" i="24"/>
  <c r="AD186" i="24" s="1"/>
  <c r="AC185" i="24"/>
  <c r="AD185" i="24" s="1"/>
  <c r="AC184" i="24"/>
  <c r="AD184" i="24" s="1"/>
  <c r="AC183" i="24"/>
  <c r="AD183" i="24" s="1"/>
  <c r="AC182" i="24"/>
  <c r="AD182" i="24" s="1"/>
  <c r="AC181" i="24"/>
  <c r="AD181" i="24" s="1"/>
  <c r="AC180" i="24"/>
  <c r="AD180" i="24" s="1"/>
  <c r="AC179" i="24"/>
  <c r="AD179" i="24" s="1"/>
  <c r="AC178" i="24"/>
  <c r="AD178" i="24" s="1"/>
  <c r="AC177" i="24"/>
  <c r="AD177" i="24" s="1"/>
  <c r="AC176" i="24"/>
  <c r="AD176" i="24" s="1"/>
  <c r="AC175" i="24"/>
  <c r="AD175" i="24" s="1"/>
  <c r="AC174" i="24"/>
  <c r="AD174" i="24" s="1"/>
  <c r="AC173" i="24"/>
  <c r="AD173" i="24" s="1"/>
  <c r="AC172" i="24"/>
  <c r="AD172" i="24" s="1"/>
  <c r="AC171" i="24"/>
  <c r="AD171" i="24" s="1"/>
  <c r="AC170" i="24"/>
  <c r="AD170" i="24" s="1"/>
  <c r="AC169" i="24"/>
  <c r="AD169" i="24" s="1"/>
  <c r="AE170" i="24" l="1"/>
  <c r="AE184" i="24"/>
  <c r="AE163" i="24"/>
  <c r="AE176" i="24"/>
  <c r="AE165" i="24"/>
  <c r="AE172" i="24"/>
  <c r="AE188" i="24"/>
  <c r="AE178" i="24"/>
  <c r="AE180" i="24"/>
  <c r="AE169" i="24"/>
  <c r="AE171" i="24"/>
  <c r="AE177" i="24"/>
  <c r="AE183" i="24"/>
  <c r="AE185" i="24"/>
  <c r="AE187" i="24"/>
  <c r="AE175" i="24"/>
  <c r="AE182" i="24"/>
  <c r="AE162" i="24"/>
  <c r="AE179" i="24"/>
  <c r="AE186" i="24"/>
  <c r="AE167" i="24"/>
  <c r="AE164" i="24"/>
  <c r="AE173" i="24"/>
  <c r="AE189" i="24"/>
  <c r="AE174" i="24"/>
  <c r="AE181" i="24"/>
  <c r="AC209" i="24" l="1"/>
  <c r="AD209" i="24" s="1"/>
  <c r="AC208" i="24"/>
  <c r="AD208" i="24" s="1"/>
  <c r="AC207" i="24"/>
  <c r="AD207" i="24" s="1"/>
  <c r="AC206" i="24"/>
  <c r="AD206" i="24" s="1"/>
  <c r="AC205" i="24"/>
  <c r="AD205" i="24" s="1"/>
  <c r="AC204" i="24"/>
  <c r="AD204" i="24" s="1"/>
  <c r="AC210" i="24"/>
  <c r="AD210" i="24" s="1"/>
  <c r="AC203" i="24"/>
  <c r="AD203" i="24" s="1"/>
  <c r="AC202" i="24"/>
  <c r="AD202" i="24" s="1"/>
  <c r="AC201" i="24"/>
  <c r="AD201" i="24" s="1"/>
  <c r="AC119" i="24"/>
  <c r="AD119" i="24" s="1"/>
  <c r="AC90" i="24"/>
  <c r="AD90" i="24" s="1"/>
  <c r="AC89" i="24"/>
  <c r="AD89" i="24" s="1"/>
  <c r="AC88" i="24"/>
  <c r="AD88" i="24" s="1"/>
  <c r="AC120" i="24"/>
  <c r="AD120" i="24" s="1"/>
  <c r="AC118" i="24"/>
  <c r="AD118" i="24" s="1"/>
  <c r="Q209" i="24"/>
  <c r="Q208" i="24"/>
  <c r="Q207" i="24"/>
  <c r="Q206" i="24"/>
  <c r="Q205" i="24"/>
  <c r="Q204" i="24"/>
  <c r="Q210" i="24"/>
  <c r="Q203" i="24"/>
  <c r="Q202" i="24"/>
  <c r="Q201" i="24"/>
  <c r="Q119" i="24"/>
  <c r="Q90" i="24"/>
  <c r="Q89" i="24"/>
  <c r="Q88" i="24"/>
  <c r="Q120" i="24"/>
  <c r="Q118" i="24"/>
  <c r="I209" i="24"/>
  <c r="I208" i="24"/>
  <c r="I207" i="24"/>
  <c r="I206" i="24"/>
  <c r="I205" i="24"/>
  <c r="I204" i="24"/>
  <c r="I210" i="24"/>
  <c r="I203" i="24"/>
  <c r="I202" i="24"/>
  <c r="I201" i="24"/>
  <c r="I119" i="24"/>
  <c r="I90" i="24"/>
  <c r="I89" i="24"/>
  <c r="I88" i="24"/>
  <c r="I120" i="24"/>
  <c r="I118" i="24"/>
  <c r="AE119" i="24" l="1"/>
  <c r="AE207" i="24"/>
  <c r="AE209" i="24"/>
  <c r="AE120" i="24"/>
  <c r="AE88" i="24"/>
  <c r="AE201" i="24"/>
  <c r="AE203" i="24"/>
  <c r="AE118" i="24"/>
  <c r="AE210" i="24"/>
  <c r="AE204" i="24"/>
  <c r="AE206" i="24"/>
  <c r="AE90" i="24"/>
  <c r="AE202" i="24"/>
  <c r="AE208" i="24"/>
  <c r="AE89" i="24"/>
  <c r="AE205" i="24"/>
  <c r="AC68" i="24" l="1"/>
  <c r="AD68" i="24" s="1"/>
  <c r="AC67" i="24"/>
  <c r="AD67" i="24" s="1"/>
  <c r="AC66" i="24"/>
  <c r="AD66" i="24" s="1"/>
  <c r="AC64" i="24"/>
  <c r="AD64" i="24" s="1"/>
  <c r="AC63" i="24"/>
  <c r="AD63" i="24" s="1"/>
  <c r="AC62" i="24"/>
  <c r="AD62" i="24" s="1"/>
  <c r="AC61" i="24"/>
  <c r="AD61" i="24" s="1"/>
  <c r="AC59" i="24" l="1"/>
  <c r="AD59" i="24" s="1"/>
  <c r="Q59" i="24"/>
  <c r="I59" i="24"/>
  <c r="AE59" i="24" l="1"/>
  <c r="AC56" i="24" l="1"/>
  <c r="AD56" i="24" s="1"/>
  <c r="AC55" i="24"/>
  <c r="AD55" i="24" s="1"/>
  <c r="AE55" i="24" l="1"/>
  <c r="AE56" i="24"/>
  <c r="D20" i="49" l="1"/>
  <c r="D18" i="49"/>
  <c r="AC22" i="24" l="1"/>
  <c r="AD22" i="24" s="1"/>
  <c r="AE22" i="24" l="1"/>
  <c r="E13" i="49"/>
  <c r="D13" i="49"/>
  <c r="C13" i="49"/>
  <c r="AC54" i="24" l="1"/>
  <c r="AD54" i="24" s="1"/>
  <c r="AC53" i="24"/>
  <c r="AD53" i="24" s="1"/>
  <c r="AC78" i="24"/>
  <c r="AD78" i="24" s="1"/>
  <c r="AC21" i="24"/>
  <c r="AD21" i="24" s="1"/>
  <c r="AC29" i="24"/>
  <c r="AD29" i="24" s="1"/>
  <c r="AC77" i="24"/>
  <c r="AD77" i="24" s="1"/>
  <c r="AC28" i="24"/>
  <c r="AD28" i="24" s="1"/>
  <c r="AC27" i="24"/>
  <c r="AD27" i="24" s="1"/>
  <c r="AC76" i="24"/>
  <c r="AD76" i="24" s="1"/>
  <c r="AC75" i="24"/>
  <c r="AD75" i="24" s="1"/>
  <c r="AC44" i="24"/>
  <c r="AD44" i="24" s="1"/>
  <c r="AC43" i="24"/>
  <c r="AD43" i="24" s="1"/>
  <c r="AC42" i="24"/>
  <c r="AD42" i="24" s="1"/>
  <c r="AC26" i="24"/>
  <c r="AD26" i="24" s="1"/>
  <c r="AC50" i="24"/>
  <c r="AC49" i="24"/>
  <c r="AC48" i="24"/>
  <c r="AC20" i="24"/>
  <c r="AD20" i="24" s="1"/>
  <c r="AC41" i="24"/>
  <c r="AD41" i="24" s="1"/>
  <c r="AC40" i="24"/>
  <c r="AD40" i="24" s="1"/>
  <c r="AC39" i="24"/>
  <c r="AD39" i="24" s="1"/>
  <c r="AC25" i="24"/>
  <c r="AD25" i="24" s="1"/>
  <c r="AC74" i="24"/>
  <c r="AD74" i="24" s="1"/>
  <c r="AC73" i="24"/>
  <c r="AD73" i="24" s="1"/>
  <c r="AC57" i="24"/>
  <c r="AD57" i="24" s="1"/>
  <c r="AC52" i="24"/>
  <c r="AD52" i="24" s="1"/>
  <c r="AC51" i="24"/>
  <c r="AD51" i="24" s="1"/>
  <c r="AC87" i="24"/>
  <c r="AD87" i="24" s="1"/>
  <c r="AC86" i="24"/>
  <c r="AD86" i="24" s="1"/>
  <c r="AC85" i="24"/>
  <c r="AD85" i="24" s="1"/>
  <c r="AC38" i="24"/>
  <c r="AD38" i="24" s="1"/>
  <c r="AC23" i="24"/>
  <c r="AD23" i="24" s="1"/>
  <c r="AC84" i="24"/>
  <c r="AD84" i="24" s="1"/>
  <c r="AC83" i="24"/>
  <c r="AD83" i="24" s="1"/>
  <c r="AC82" i="24"/>
  <c r="AD82" i="24" s="1"/>
  <c r="AC37" i="24"/>
  <c r="AD37" i="24" s="1"/>
  <c r="AC36" i="24"/>
  <c r="AD36" i="24" s="1"/>
  <c r="AC35" i="24"/>
  <c r="AD35" i="24" s="1"/>
  <c r="AC24" i="24"/>
  <c r="AD24" i="24" s="1"/>
  <c r="AC81" i="24"/>
  <c r="AD81" i="24" s="1"/>
  <c r="AC80" i="24"/>
  <c r="AD80" i="24" s="1"/>
  <c r="AC79" i="24"/>
  <c r="AD79" i="24" s="1"/>
  <c r="AC34" i="24"/>
  <c r="AD34" i="24" s="1"/>
  <c r="AC33" i="24"/>
  <c r="AD33" i="24" s="1"/>
  <c r="AC32" i="24"/>
  <c r="AD32" i="24" s="1"/>
  <c r="AC58" i="24"/>
  <c r="AD58" i="24" s="1"/>
  <c r="AC72" i="24"/>
  <c r="AD72" i="24" s="1"/>
  <c r="AC71" i="24"/>
  <c r="AD71" i="24" s="1"/>
  <c r="AC47" i="24"/>
  <c r="AD47" i="24" s="1"/>
  <c r="AC19" i="24"/>
  <c r="AD19" i="24" s="1"/>
  <c r="AC18" i="24"/>
  <c r="AD18" i="24" s="1"/>
  <c r="AC60" i="24"/>
  <c r="AD60" i="24" s="1"/>
  <c r="AC70" i="24"/>
  <c r="AD70" i="24" s="1"/>
  <c r="AC69" i="24"/>
  <c r="AD69" i="24" s="1"/>
  <c r="AC17" i="24"/>
  <c r="AD17" i="24" s="1"/>
  <c r="AC16" i="24"/>
  <c r="AD16" i="24" s="1"/>
  <c r="AC65" i="24"/>
  <c r="AD65" i="24" s="1"/>
  <c r="AC46" i="24"/>
  <c r="AD46" i="24" s="1"/>
  <c r="AC45" i="24"/>
  <c r="AD45" i="24" s="1"/>
  <c r="AC31" i="24"/>
  <c r="AD31" i="24" s="1"/>
  <c r="AC30" i="24"/>
  <c r="AD30" i="24" s="1"/>
  <c r="S38" i="1" l="1"/>
  <c r="S37" i="1"/>
  <c r="S36" i="1"/>
  <c r="S27" i="1"/>
  <c r="S26" i="1"/>
  <c r="S25" i="1"/>
  <c r="X25" i="1" l="1"/>
  <c r="T25" i="1"/>
  <c r="W25" i="1"/>
  <c r="V25" i="1"/>
  <c r="U25" i="1"/>
  <c r="U37" i="1"/>
  <c r="V37" i="1"/>
  <c r="T37" i="1"/>
  <c r="V36" i="1"/>
  <c r="T36" i="1"/>
  <c r="U36" i="1"/>
  <c r="V27" i="1"/>
  <c r="U27" i="1"/>
  <c r="X27" i="1"/>
  <c r="T27" i="1"/>
  <c r="W27" i="1"/>
  <c r="U26" i="1"/>
  <c r="X26" i="1"/>
  <c r="T26" i="1"/>
  <c r="W26" i="1"/>
  <c r="V26" i="1"/>
  <c r="T38" i="1"/>
  <c r="V38" i="1"/>
  <c r="U38" i="1"/>
  <c r="D38" i="1" l="1"/>
  <c r="D37" i="1"/>
  <c r="D36" i="1"/>
  <c r="D35" i="1"/>
  <c r="D31" i="1"/>
  <c r="D29" i="1"/>
  <c r="D33" i="1"/>
  <c r="D32" i="1"/>
  <c r="D34" i="1"/>
  <c r="D30" i="1"/>
  <c r="D28" i="1"/>
  <c r="D27" i="1"/>
  <c r="D26" i="1"/>
  <c r="D25" i="1"/>
  <c r="D24" i="1"/>
  <c r="D23" i="1"/>
  <c r="D22" i="1"/>
  <c r="D21" i="1"/>
  <c r="D20" i="1"/>
  <c r="D19" i="1"/>
  <c r="D18" i="1"/>
  <c r="D17" i="1"/>
  <c r="D16" i="1"/>
  <c r="D15" i="1"/>
  <c r="D14" i="1"/>
  <c r="D13" i="1"/>
  <c r="T156" i="60" l="1" a="1"/>
  <c r="T156" i="60" s="1"/>
  <c r="T154" i="60" a="1"/>
  <c r="T154" i="60" s="1"/>
  <c r="T152" i="60" a="1"/>
  <c r="T152" i="60" s="1"/>
  <c r="T150" i="60" a="1"/>
  <c r="T150" i="60" s="1"/>
  <c r="M147" i="60" a="1"/>
  <c r="M147" i="60" s="1"/>
  <c r="AA145" i="60" a="1"/>
  <c r="AA145" i="60" s="1"/>
  <c r="AA144" i="60" a="1"/>
  <c r="AA144" i="60" s="1"/>
  <c r="M144" i="60" a="1"/>
  <c r="M144" i="60" s="1"/>
  <c r="AH143" i="60" a="1"/>
  <c r="AH143" i="60" s="1"/>
  <c r="T143" i="60" a="1"/>
  <c r="T143" i="60" s="1"/>
  <c r="AA142" i="60" a="1"/>
  <c r="AA142" i="60" s="1"/>
  <c r="AA157" i="60" a="1"/>
  <c r="AA157" i="60" s="1"/>
  <c r="AA155" i="60" a="1"/>
  <c r="AA155" i="60" s="1"/>
  <c r="AA153" i="60" a="1"/>
  <c r="AA153" i="60" s="1"/>
  <c r="AA151" i="60" a="1"/>
  <c r="AA151" i="60" s="1"/>
  <c r="AA149" i="60" a="1"/>
  <c r="AA149" i="60" s="1"/>
  <c r="F145" i="60" a="1"/>
  <c r="F145" i="60" s="1"/>
  <c r="AA143" i="60" a="1"/>
  <c r="AA143" i="60" s="1"/>
  <c r="AH145" i="60" a="1"/>
  <c r="AH145" i="60" s="1"/>
  <c r="T142" i="60" a="1"/>
  <c r="T142" i="60" s="1"/>
  <c r="AA141" i="60" a="1"/>
  <c r="AA141" i="60" s="1"/>
  <c r="AA140" i="60" a="1"/>
  <c r="AA140" i="60" s="1"/>
  <c r="M140" i="60" a="1"/>
  <c r="M140" i="60" s="1"/>
  <c r="AH139" i="60" a="1"/>
  <c r="AH139" i="60" s="1"/>
  <c r="T139" i="60" a="1"/>
  <c r="T139" i="60" s="1"/>
  <c r="AA138" i="60" a="1"/>
  <c r="AA138" i="60" s="1"/>
  <c r="AH137" i="60" a="1"/>
  <c r="AH137" i="60" s="1"/>
  <c r="F137" i="60" a="1"/>
  <c r="F137" i="60" s="1"/>
  <c r="M136" i="60" a="1"/>
  <c r="M136" i="60" s="1"/>
  <c r="T135" i="60" a="1"/>
  <c r="T135" i="60" s="1"/>
  <c r="AA134" i="60" a="1"/>
  <c r="AA134" i="60" s="1"/>
  <c r="AH148" i="60" a="1"/>
  <c r="AH148" i="60" s="1"/>
  <c r="F146" i="60" a="1"/>
  <c r="F146" i="60" s="1"/>
  <c r="AH144" i="60" a="1"/>
  <c r="AH144" i="60" s="1"/>
  <c r="F144" i="60" a="1"/>
  <c r="F144" i="60" s="1"/>
  <c r="M142" i="60" a="1"/>
  <c r="M142" i="60" s="1"/>
  <c r="F141" i="60" a="1"/>
  <c r="F141" i="60" s="1"/>
  <c r="AA139" i="60" a="1"/>
  <c r="AA139" i="60" s="1"/>
  <c r="T138" i="60" a="1"/>
  <c r="T138" i="60" s="1"/>
  <c r="AA137" i="60" a="1"/>
  <c r="AA137" i="60" s="1"/>
  <c r="AH136" i="60" a="1"/>
  <c r="AH136" i="60" s="1"/>
  <c r="F136" i="60" a="1"/>
  <c r="F136" i="60" s="1"/>
  <c r="M135" i="60" a="1"/>
  <c r="M135" i="60" s="1"/>
  <c r="F134" i="60" a="1"/>
  <c r="F134" i="60" s="1"/>
  <c r="T145" i="60" a="1"/>
  <c r="T145" i="60" s="1"/>
  <c r="F143" i="60" a="1"/>
  <c r="F143" i="60" s="1"/>
  <c r="AH140" i="60" a="1"/>
  <c r="AH140" i="60" s="1"/>
  <c r="F140" i="60" a="1"/>
  <c r="F140" i="60" s="1"/>
  <c r="F138" i="60" a="1"/>
  <c r="F138" i="60" s="1"/>
  <c r="T136" i="60" a="1"/>
  <c r="T136" i="60" s="1"/>
  <c r="AH134" i="60" a="1"/>
  <c r="AH134" i="60" s="1"/>
  <c r="F133" i="60" a="1"/>
  <c r="F133" i="60" s="1"/>
  <c r="M132" i="60" a="1"/>
  <c r="M132" i="60" s="1"/>
  <c r="F131" i="60" a="1"/>
  <c r="F131" i="60" s="1"/>
  <c r="M130" i="60" a="1"/>
  <c r="M130" i="60" s="1"/>
  <c r="F129" i="60" a="1"/>
  <c r="F129" i="60" s="1"/>
  <c r="M128" i="60" a="1"/>
  <c r="M128" i="60" s="1"/>
  <c r="F127" i="60" a="1"/>
  <c r="F127" i="60" s="1"/>
  <c r="M126" i="60" a="1"/>
  <c r="M126" i="60" s="1"/>
  <c r="T125" i="60" a="1"/>
  <c r="T125" i="60" s="1"/>
  <c r="AA124" i="60" a="1"/>
  <c r="AA124" i="60" s="1"/>
  <c r="AH123" i="60" a="1"/>
  <c r="AH123" i="60" s="1"/>
  <c r="F123" i="60" a="1"/>
  <c r="F123" i="60" s="1"/>
  <c r="M122" i="60" a="1"/>
  <c r="M122" i="60" s="1"/>
  <c r="M143" i="60" a="1"/>
  <c r="M143" i="60" s="1"/>
  <c r="AH142" i="60" a="1"/>
  <c r="AH142" i="60" s="1"/>
  <c r="M141" i="60" a="1"/>
  <c r="M141" i="60" s="1"/>
  <c r="F139" i="60" a="1"/>
  <c r="F139" i="60" s="1"/>
  <c r="T137" i="60" a="1"/>
  <c r="T137" i="60" s="1"/>
  <c r="AH135" i="60" a="1"/>
  <c r="AH135" i="60" s="1"/>
  <c r="M133" i="60" a="1"/>
  <c r="M133" i="60" s="1"/>
  <c r="AH132" i="60" a="1"/>
  <c r="AH132" i="60" s="1"/>
  <c r="F132" i="60" a="1"/>
  <c r="F132" i="60" s="1"/>
  <c r="M131" i="60" a="1"/>
  <c r="M131" i="60" s="1"/>
  <c r="AH130" i="60" a="1"/>
  <c r="AH130" i="60" s="1"/>
  <c r="F130" i="60" a="1"/>
  <c r="F130" i="60" s="1"/>
  <c r="M129" i="60" a="1"/>
  <c r="M129" i="60" s="1"/>
  <c r="AH128" i="60" a="1"/>
  <c r="AH128" i="60" s="1"/>
  <c r="F128" i="60" a="1"/>
  <c r="F128" i="60" s="1"/>
  <c r="M127" i="60" a="1"/>
  <c r="M127" i="60" s="1"/>
  <c r="AH126" i="60" a="1"/>
  <c r="AH126" i="60" s="1"/>
  <c r="F126" i="60" a="1"/>
  <c r="F126" i="60" s="1"/>
  <c r="M125" i="60" a="1"/>
  <c r="M125" i="60" s="1"/>
  <c r="T124" i="60" a="1"/>
  <c r="T124" i="60" s="1"/>
  <c r="AA123" i="60" a="1"/>
  <c r="AA123" i="60" s="1"/>
  <c r="AH122" i="60" a="1"/>
  <c r="AH122" i="60" s="1"/>
  <c r="T122" i="60" a="1"/>
  <c r="T122" i="60" s="1"/>
  <c r="F142" i="60" a="1"/>
  <c r="F142" i="60" s="1"/>
  <c r="T141" i="60" a="1"/>
  <c r="T141" i="60" s="1"/>
  <c r="T140" i="60" a="1"/>
  <c r="T140" i="60" s="1"/>
  <c r="M139" i="60" a="1"/>
  <c r="M139" i="60" s="1"/>
  <c r="AH138" i="60" a="1"/>
  <c r="AH138" i="60" s="1"/>
  <c r="M137" i="60" a="1"/>
  <c r="M137" i="60" s="1"/>
  <c r="AA135" i="60" a="1"/>
  <c r="AA135" i="60" s="1"/>
  <c r="M134" i="60" a="1"/>
  <c r="M134" i="60" s="1"/>
  <c r="AH133" i="60" a="1"/>
  <c r="AH133" i="60" s="1"/>
  <c r="T133" i="60" a="1"/>
  <c r="T133" i="60" s="1"/>
  <c r="AA132" i="60" a="1"/>
  <c r="AA132" i="60" s="1"/>
  <c r="AH131" i="60" a="1"/>
  <c r="AH131" i="60" s="1"/>
  <c r="T131" i="60" a="1"/>
  <c r="T131" i="60" s="1"/>
  <c r="AA130" i="60" a="1"/>
  <c r="AA130" i="60" s="1"/>
  <c r="AH129" i="60" a="1"/>
  <c r="AH129" i="60" s="1"/>
  <c r="T129" i="60" a="1"/>
  <c r="T129" i="60" s="1"/>
  <c r="AA128" i="60" a="1"/>
  <c r="AA128" i="60" s="1"/>
  <c r="AH127" i="60" a="1"/>
  <c r="AH127" i="60" s="1"/>
  <c r="F148" i="60" a="1"/>
  <c r="F148" i="60" s="1"/>
  <c r="M145" i="60" a="1"/>
  <c r="M145" i="60" s="1"/>
  <c r="M138" i="60" a="1"/>
  <c r="M138" i="60" s="1"/>
  <c r="T132" i="60" a="1"/>
  <c r="T132" i="60" s="1"/>
  <c r="T130" i="60" a="1"/>
  <c r="T130" i="60" s="1"/>
  <c r="T128" i="60" a="1"/>
  <c r="T128" i="60" s="1"/>
  <c r="T127" i="60" a="1"/>
  <c r="T127" i="60" s="1"/>
  <c r="AA125" i="60" a="1"/>
  <c r="AA125" i="60" s="1"/>
  <c r="F124" i="60" a="1"/>
  <c r="F124" i="60" s="1"/>
  <c r="F121" i="60" a="1"/>
  <c r="F121" i="60" s="1"/>
  <c r="M120" i="60" a="1"/>
  <c r="M120" i="60" s="1"/>
  <c r="F119" i="60" a="1"/>
  <c r="F119" i="60" s="1"/>
  <c r="M118" i="60" a="1"/>
  <c r="M118" i="60" s="1"/>
  <c r="F117" i="60" a="1"/>
  <c r="F117" i="60" s="1"/>
  <c r="M116" i="60" a="1"/>
  <c r="M116" i="60" s="1"/>
  <c r="F115" i="60" a="1"/>
  <c r="F115" i="60" s="1"/>
  <c r="M114" i="60" a="1"/>
  <c r="M114" i="60" s="1"/>
  <c r="T113" i="60" a="1"/>
  <c r="T113" i="60" s="1"/>
  <c r="AA112" i="60" a="1"/>
  <c r="AA112" i="60" s="1"/>
  <c r="AH111" i="60" a="1"/>
  <c r="AH111" i="60" s="1"/>
  <c r="F111" i="60" a="1"/>
  <c r="F111" i="60" s="1"/>
  <c r="M110" i="60" a="1"/>
  <c r="M110" i="60" s="1"/>
  <c r="AA136" i="60" a="1"/>
  <c r="AA136" i="60" s="1"/>
  <c r="T134" i="60" a="1"/>
  <c r="T134" i="60" s="1"/>
  <c r="AA133" i="60" a="1"/>
  <c r="AA133" i="60" s="1"/>
  <c r="AA131" i="60" a="1"/>
  <c r="AA131" i="60" s="1"/>
  <c r="AA129" i="60" a="1"/>
  <c r="AA129" i="60" s="1"/>
  <c r="AA127" i="60" a="1"/>
  <c r="AA127" i="60" s="1"/>
  <c r="AA126" i="60" a="1"/>
  <c r="AA126" i="60" s="1"/>
  <c r="F125" i="60" a="1"/>
  <c r="F125" i="60" s="1"/>
  <c r="T123" i="60" a="1"/>
  <c r="T123" i="60" s="1"/>
  <c r="M121" i="60" a="1"/>
  <c r="M121" i="60" s="1"/>
  <c r="AH120" i="60" a="1"/>
  <c r="AH120" i="60" s="1"/>
  <c r="F120" i="60" a="1"/>
  <c r="F120" i="60" s="1"/>
  <c r="M119" i="60" a="1"/>
  <c r="M119" i="60" s="1"/>
  <c r="AH118" i="60" a="1"/>
  <c r="AH118" i="60" s="1"/>
  <c r="F118" i="60" a="1"/>
  <c r="F118" i="60" s="1"/>
  <c r="M117" i="60" a="1"/>
  <c r="M117" i="60" s="1"/>
  <c r="AH116" i="60" a="1"/>
  <c r="AH116" i="60" s="1"/>
  <c r="F116" i="60" a="1"/>
  <c r="F116" i="60" s="1"/>
  <c r="M115" i="60" a="1"/>
  <c r="M115" i="60" s="1"/>
  <c r="AH114" i="60" a="1"/>
  <c r="AH114" i="60" s="1"/>
  <c r="F114" i="60" a="1"/>
  <c r="F114" i="60" s="1"/>
  <c r="M113" i="60" a="1"/>
  <c r="M113" i="60" s="1"/>
  <c r="T112" i="60" a="1"/>
  <c r="T112" i="60" s="1"/>
  <c r="AA111" i="60" a="1"/>
  <c r="AA111" i="60" s="1"/>
  <c r="AH110" i="60" a="1"/>
  <c r="AH110" i="60" s="1"/>
  <c r="T110" i="60" a="1"/>
  <c r="T110" i="60" s="1"/>
  <c r="AH109" i="60" a="1"/>
  <c r="AH109" i="60" s="1"/>
  <c r="T109" i="60" a="1"/>
  <c r="T109" i="60" s="1"/>
  <c r="AA108" i="60" a="1"/>
  <c r="AA108" i="60" s="1"/>
  <c r="AH107" i="60" a="1"/>
  <c r="AH107" i="60" s="1"/>
  <c r="T107" i="60" a="1"/>
  <c r="T107" i="60" s="1"/>
  <c r="AH141" i="60" a="1"/>
  <c r="AH141" i="60" s="1"/>
  <c r="AQ141" i="60" s="1"/>
  <c r="AS141" i="60" s="1"/>
  <c r="F135" i="60" a="1"/>
  <c r="F135" i="60" s="1"/>
  <c r="T126" i="60" a="1"/>
  <c r="T126" i="60" s="1"/>
  <c r="AH124" i="60" a="1"/>
  <c r="AH124" i="60" s="1"/>
  <c r="M123" i="60" a="1"/>
  <c r="M123" i="60" s="1"/>
  <c r="F122" i="60" a="1"/>
  <c r="F122" i="60" s="1"/>
  <c r="AH121" i="60" a="1"/>
  <c r="AH121" i="60" s="1"/>
  <c r="T121" i="60" a="1"/>
  <c r="T121" i="60" s="1"/>
  <c r="AA120" i="60" a="1"/>
  <c r="AA120" i="60" s="1"/>
  <c r="AH119" i="60" a="1"/>
  <c r="AH119" i="60" s="1"/>
  <c r="T119" i="60" a="1"/>
  <c r="T119" i="60" s="1"/>
  <c r="AA118" i="60" a="1"/>
  <c r="AA118" i="60" s="1"/>
  <c r="AH117" i="60" a="1"/>
  <c r="AH117" i="60" s="1"/>
  <c r="T117" i="60" a="1"/>
  <c r="T117" i="60" s="1"/>
  <c r="AA116" i="60" a="1"/>
  <c r="AA116" i="60" s="1"/>
  <c r="AH115" i="60" a="1"/>
  <c r="AH115" i="60" s="1"/>
  <c r="T115" i="60" a="1"/>
  <c r="T115" i="60" s="1"/>
  <c r="AA114" i="60" a="1"/>
  <c r="AA114" i="60" s="1"/>
  <c r="AH113" i="60" a="1"/>
  <c r="AH113" i="60" s="1"/>
  <c r="F113" i="60" a="1"/>
  <c r="F113" i="60" s="1"/>
  <c r="M112" i="60" a="1"/>
  <c r="M112" i="60" s="1"/>
  <c r="T111" i="60" a="1"/>
  <c r="T111" i="60" s="1"/>
  <c r="AA110" i="60" a="1"/>
  <c r="AA110" i="60" s="1"/>
  <c r="AA109" i="60" a="1"/>
  <c r="AA109" i="60" s="1"/>
  <c r="T108" i="60" a="1"/>
  <c r="T108" i="60" s="1"/>
  <c r="AA107" i="60" a="1"/>
  <c r="AA107" i="60" s="1"/>
  <c r="T106" i="60" a="1"/>
  <c r="T106" i="60" s="1"/>
  <c r="AA105" i="60" a="1"/>
  <c r="AA105" i="60" s="1"/>
  <c r="T104" i="60" a="1"/>
  <c r="T104" i="60" s="1"/>
  <c r="AA103" i="60" a="1"/>
  <c r="AA103" i="60" s="1"/>
  <c r="T102" i="60" a="1"/>
  <c r="T102" i="60" s="1"/>
  <c r="AA101" i="60" a="1"/>
  <c r="AA101" i="60" s="1"/>
  <c r="AH100" i="60" a="1"/>
  <c r="AH100" i="60" s="1"/>
  <c r="F100" i="60" a="1"/>
  <c r="F100" i="60" s="1"/>
  <c r="M99" i="60" a="1"/>
  <c r="M99" i="60" s="1"/>
  <c r="T144" i="60" a="1"/>
  <c r="T144" i="60" s="1"/>
  <c r="AH125" i="60" a="1"/>
  <c r="AH125" i="60" s="1"/>
  <c r="AQ125" i="60" s="1"/>
  <c r="M124" i="60" a="1"/>
  <c r="M124" i="60" s="1"/>
  <c r="AA122" i="60" a="1"/>
  <c r="AA122" i="60" s="1"/>
  <c r="AH112" i="60" a="1"/>
  <c r="AH112" i="60" s="1"/>
  <c r="M108" i="60" a="1"/>
  <c r="M108" i="60" s="1"/>
  <c r="M106" i="60" a="1"/>
  <c r="M106" i="60" s="1"/>
  <c r="M105" i="60" a="1"/>
  <c r="M105" i="60" s="1"/>
  <c r="AH104" i="60" a="1"/>
  <c r="AH104" i="60" s="1"/>
  <c r="AH103" i="60" a="1"/>
  <c r="AH103" i="60" s="1"/>
  <c r="M102" i="60" a="1"/>
  <c r="M102" i="60" s="1"/>
  <c r="M101" i="60" a="1"/>
  <c r="M101" i="60" s="1"/>
  <c r="M100" i="60" a="1"/>
  <c r="M100" i="60" s="1"/>
  <c r="F99" i="60" a="1"/>
  <c r="F99" i="60" s="1"/>
  <c r="M98" i="60" a="1"/>
  <c r="M98" i="60" s="1"/>
  <c r="M97" i="60" a="1"/>
  <c r="M97" i="60" s="1"/>
  <c r="AH96" i="60" a="1"/>
  <c r="AH96" i="60" s="1"/>
  <c r="F96" i="60" a="1"/>
  <c r="F96" i="60" s="1"/>
  <c r="M95" i="60" a="1"/>
  <c r="M95" i="60" s="1"/>
  <c r="AH94" i="60" a="1"/>
  <c r="AH94" i="60" s="1"/>
  <c r="F94" i="60" a="1"/>
  <c r="F94" i="60" s="1"/>
  <c r="M93" i="60" a="1"/>
  <c r="M93" i="60" s="1"/>
  <c r="AH92" i="60" a="1"/>
  <c r="AH92" i="60" s="1"/>
  <c r="F92" i="60" a="1"/>
  <c r="F92" i="60" s="1"/>
  <c r="M91" i="60" a="1"/>
  <c r="M91" i="60" s="1"/>
  <c r="AH90" i="60" a="1"/>
  <c r="AH90" i="60" s="1"/>
  <c r="F90" i="60" a="1"/>
  <c r="F90" i="60" s="1"/>
  <c r="M89" i="60" a="1"/>
  <c r="M89" i="60" s="1"/>
  <c r="T88" i="60" a="1"/>
  <c r="T88" i="60" s="1"/>
  <c r="AA87" i="60" a="1"/>
  <c r="AA87" i="60" s="1"/>
  <c r="AH86" i="60" a="1"/>
  <c r="AH86" i="60" s="1"/>
  <c r="T86" i="60" a="1"/>
  <c r="T86" i="60" s="1"/>
  <c r="F112" i="60" a="1"/>
  <c r="F112" i="60" s="1"/>
  <c r="F110" i="60" a="1"/>
  <c r="F110" i="60" s="1"/>
  <c r="F108" i="60" a="1"/>
  <c r="F108" i="60" s="1"/>
  <c r="F107" i="60" a="1"/>
  <c r="F107" i="60" s="1"/>
  <c r="F106" i="60" a="1"/>
  <c r="F106" i="60" s="1"/>
  <c r="T105" i="60" a="1"/>
  <c r="T105" i="60" s="1"/>
  <c r="AA104" i="60" a="1"/>
  <c r="AA104" i="60" s="1"/>
  <c r="F103" i="60" a="1"/>
  <c r="F103" i="60" s="1"/>
  <c r="F102" i="60" a="1"/>
  <c r="F102" i="60" s="1"/>
  <c r="F101" i="60" a="1"/>
  <c r="F101" i="60" s="1"/>
  <c r="AH99" i="60" a="1"/>
  <c r="AH99" i="60" s="1"/>
  <c r="AH98" i="60" a="1"/>
  <c r="AH98" i="60" s="1"/>
  <c r="T98" i="60" a="1"/>
  <c r="T98" i="60" s="1"/>
  <c r="AH97" i="60" a="1"/>
  <c r="AH97" i="60" s="1"/>
  <c r="T97" i="60" a="1"/>
  <c r="T97" i="60" s="1"/>
  <c r="AA96" i="60" a="1"/>
  <c r="AA96" i="60" s="1"/>
  <c r="AH95" i="60" a="1"/>
  <c r="AH95" i="60" s="1"/>
  <c r="T95" i="60" a="1"/>
  <c r="T95" i="60" s="1"/>
  <c r="AA94" i="60" a="1"/>
  <c r="AA94" i="60" s="1"/>
  <c r="AH93" i="60" a="1"/>
  <c r="AH93" i="60" s="1"/>
  <c r="T93" i="60" a="1"/>
  <c r="T93" i="60" s="1"/>
  <c r="AA92" i="60" a="1"/>
  <c r="AA92" i="60" s="1"/>
  <c r="AH91" i="60" a="1"/>
  <c r="AH91" i="60" s="1"/>
  <c r="T91" i="60" a="1"/>
  <c r="T91" i="60" s="1"/>
  <c r="AA90" i="60" a="1"/>
  <c r="AA90" i="60" s="1"/>
  <c r="AH89" i="60" a="1"/>
  <c r="AH89" i="60" s="1"/>
  <c r="F89" i="60" a="1"/>
  <c r="F89" i="60" s="1"/>
  <c r="M88" i="60" a="1"/>
  <c r="M88" i="60" s="1"/>
  <c r="T87" i="60" a="1"/>
  <c r="T87" i="60" s="1"/>
  <c r="AA86" i="60" a="1"/>
  <c r="AA86" i="60" s="1"/>
  <c r="T120" i="60" a="1"/>
  <c r="T120" i="60" s="1"/>
  <c r="T118" i="60" a="1"/>
  <c r="T118" i="60" s="1"/>
  <c r="T116" i="60" a="1"/>
  <c r="T116" i="60" s="1"/>
  <c r="T114" i="60" a="1"/>
  <c r="T114" i="60" s="1"/>
  <c r="M111" i="60" a="1"/>
  <c r="M111" i="60" s="1"/>
  <c r="F109" i="60" a="1"/>
  <c r="F109" i="60" s="1"/>
  <c r="M107" i="60" a="1"/>
  <c r="M107" i="60" s="1"/>
  <c r="AH106" i="60" a="1"/>
  <c r="AH106" i="60" s="1"/>
  <c r="AH105" i="60" a="1"/>
  <c r="AH105" i="60" s="1"/>
  <c r="M104" i="60" a="1"/>
  <c r="M104" i="60" s="1"/>
  <c r="M103" i="60" a="1"/>
  <c r="M103" i="60" s="1"/>
  <c r="AH102" i="60" a="1"/>
  <c r="AH102" i="60" s="1"/>
  <c r="AH101" i="60" a="1"/>
  <c r="AH101" i="60" s="1"/>
  <c r="AA100" i="60" a="1"/>
  <c r="AA100" i="60" s="1"/>
  <c r="AA99" i="60" a="1"/>
  <c r="AA99" i="60" s="1"/>
  <c r="AA98" i="60" a="1"/>
  <c r="AA98" i="60" s="1"/>
  <c r="AA97" i="60" a="1"/>
  <c r="AA97" i="60" s="1"/>
  <c r="T96" i="60" a="1"/>
  <c r="T96" i="60" s="1"/>
  <c r="AA95" i="60" a="1"/>
  <c r="AA95" i="60" s="1"/>
  <c r="AA121" i="60" a="1"/>
  <c r="AA121" i="60" s="1"/>
  <c r="AA119" i="60" a="1"/>
  <c r="AA119" i="60" s="1"/>
  <c r="AA117" i="60" a="1"/>
  <c r="AA117" i="60" s="1"/>
  <c r="AA115" i="60" a="1"/>
  <c r="AA115" i="60" s="1"/>
  <c r="AA113" i="60" a="1"/>
  <c r="AA113" i="60" s="1"/>
  <c r="M109" i="60" a="1"/>
  <c r="M109" i="60" s="1"/>
  <c r="AH108" i="60" a="1"/>
  <c r="AH108" i="60" s="1"/>
  <c r="AA106" i="60" a="1"/>
  <c r="AA106" i="60" s="1"/>
  <c r="F105" i="60" a="1"/>
  <c r="F105" i="60" s="1"/>
  <c r="F104" i="60" a="1"/>
  <c r="F104" i="60" s="1"/>
  <c r="T103" i="60" a="1"/>
  <c r="T103" i="60" s="1"/>
  <c r="AA102" i="60" a="1"/>
  <c r="AA102" i="60" s="1"/>
  <c r="T101" i="60" a="1"/>
  <c r="T101" i="60" s="1"/>
  <c r="T100" i="60" a="1"/>
  <c r="T100" i="60" s="1"/>
  <c r="T99" i="60" a="1"/>
  <c r="T99" i="60" s="1"/>
  <c r="F98" i="60" a="1"/>
  <c r="F98" i="60" s="1"/>
  <c r="M94" i="60" a="1"/>
  <c r="M94" i="60" s="1"/>
  <c r="F93" i="60" a="1"/>
  <c r="F93" i="60" s="1"/>
  <c r="M90" i="60" a="1"/>
  <c r="M90" i="60" s="1"/>
  <c r="AA88" i="60" a="1"/>
  <c r="AA88" i="60" s="1"/>
  <c r="F87" i="60" a="1"/>
  <c r="F87" i="60" s="1"/>
  <c r="F86" i="60" a="1"/>
  <c r="F86" i="60" s="1"/>
  <c r="AA85" i="60" a="1"/>
  <c r="AA85" i="60" s="1"/>
  <c r="AH83" i="60" a="1"/>
  <c r="AH83" i="60" s="1"/>
  <c r="T83" i="60" a="1"/>
  <c r="T83" i="60" s="1"/>
  <c r="AA82" i="60" a="1"/>
  <c r="AA82" i="60" s="1"/>
  <c r="AH81" i="60" a="1"/>
  <c r="AH81" i="60" s="1"/>
  <c r="T81" i="60" a="1"/>
  <c r="T81" i="60" s="1"/>
  <c r="AA80" i="60" a="1"/>
  <c r="AA80" i="60" s="1"/>
  <c r="F80" i="60" a="1"/>
  <c r="F80" i="60" s="1"/>
  <c r="M79" i="60" a="1"/>
  <c r="M79" i="60" s="1"/>
  <c r="AH78" i="60" a="1"/>
  <c r="AH78" i="60" s="1"/>
  <c r="F78" i="60" a="1"/>
  <c r="F78" i="60" s="1"/>
  <c r="M77" i="60" a="1"/>
  <c r="M77" i="60" s="1"/>
  <c r="T76" i="60" a="1"/>
  <c r="T76" i="60" s="1"/>
  <c r="AH75" i="60" a="1"/>
  <c r="AH75" i="60" s="1"/>
  <c r="F75" i="60" a="1"/>
  <c r="F75" i="60" s="1"/>
  <c r="M74" i="60" a="1"/>
  <c r="M74" i="60" s="1"/>
  <c r="F73" i="60" a="1"/>
  <c r="F73" i="60" s="1"/>
  <c r="M72" i="60" a="1"/>
  <c r="M72" i="60" s="1"/>
  <c r="F71" i="60" a="1"/>
  <c r="F71" i="60" s="1"/>
  <c r="M70" i="60" a="1"/>
  <c r="M70" i="60" s="1"/>
  <c r="F69" i="60" a="1"/>
  <c r="F69" i="60" s="1"/>
  <c r="M68" i="60" a="1"/>
  <c r="M68" i="60" s="1"/>
  <c r="F67" i="60" a="1"/>
  <c r="F67" i="60" s="1"/>
  <c r="M66" i="60" a="1"/>
  <c r="M66" i="60" s="1"/>
  <c r="T65" i="60" a="1"/>
  <c r="T65" i="60" s="1"/>
  <c r="AA64" i="60" a="1"/>
  <c r="AA64" i="60" s="1"/>
  <c r="AH63" i="60" a="1"/>
  <c r="AH63" i="60" s="1"/>
  <c r="F63" i="60" a="1"/>
  <c r="F63" i="60" s="1"/>
  <c r="AA93" i="60" a="1"/>
  <c r="AA93" i="60" s="1"/>
  <c r="T92" i="60" a="1"/>
  <c r="T92" i="60" s="1"/>
  <c r="AA89" i="60" a="1"/>
  <c r="AA89" i="60" s="1"/>
  <c r="F88" i="60" a="1"/>
  <c r="F88" i="60" s="1"/>
  <c r="M86" i="60" a="1"/>
  <c r="M86" i="60" s="1"/>
  <c r="F85" i="60" a="1"/>
  <c r="F85" i="60" s="1"/>
  <c r="T84" i="60" a="1"/>
  <c r="T84" i="60" s="1"/>
  <c r="AA83" i="60" a="1"/>
  <c r="AA83" i="60" s="1"/>
  <c r="T82" i="60" a="1"/>
  <c r="T82" i="60" s="1"/>
  <c r="AA81" i="60" a="1"/>
  <c r="AA81" i="60" s="1"/>
  <c r="T80" i="60" a="1"/>
  <c r="T80" i="60" s="1"/>
  <c r="AH79" i="60" a="1"/>
  <c r="AH79" i="60" s="1"/>
  <c r="T79" i="60" a="1"/>
  <c r="T79" i="60" s="1"/>
  <c r="AA78" i="60" a="1"/>
  <c r="AA78" i="60" s="1"/>
  <c r="AH77" i="60" a="1"/>
  <c r="AH77" i="60" s="1"/>
  <c r="F77" i="60" a="1"/>
  <c r="F77" i="60" s="1"/>
  <c r="M76" i="60" a="1"/>
  <c r="M76" i="60" s="1"/>
  <c r="AA75" i="60" a="1"/>
  <c r="AA75" i="60" s="1"/>
  <c r="AH74" i="60" a="1"/>
  <c r="AH74" i="60" s="1"/>
  <c r="T74" i="60" a="1"/>
  <c r="T74" i="60" s="1"/>
  <c r="M73" i="60" a="1"/>
  <c r="M73" i="60" s="1"/>
  <c r="AH72" i="60" a="1"/>
  <c r="AH72" i="60" s="1"/>
  <c r="F72" i="60" a="1"/>
  <c r="F72" i="60" s="1"/>
  <c r="M71" i="60" a="1"/>
  <c r="M71" i="60" s="1"/>
  <c r="AH70" i="60" a="1"/>
  <c r="AH70" i="60" s="1"/>
  <c r="F70" i="60" a="1"/>
  <c r="F70" i="60" s="1"/>
  <c r="M69" i="60" a="1"/>
  <c r="M69" i="60" s="1"/>
  <c r="AH68" i="60" a="1"/>
  <c r="AH68" i="60" s="1"/>
  <c r="F68" i="60" a="1"/>
  <c r="F68" i="60" s="1"/>
  <c r="M67" i="60" a="1"/>
  <c r="M67" i="60" s="1"/>
  <c r="AH66" i="60" a="1"/>
  <c r="AH66" i="60" s="1"/>
  <c r="F66" i="60" a="1"/>
  <c r="F66" i="60" s="1"/>
  <c r="M65" i="60" a="1"/>
  <c r="M65" i="60" s="1"/>
  <c r="T64" i="60" a="1"/>
  <c r="T64" i="60" s="1"/>
  <c r="F97" i="60" a="1"/>
  <c r="F97" i="60" s="1"/>
  <c r="F95" i="60" a="1"/>
  <c r="F95" i="60" s="1"/>
  <c r="M92" i="60" a="1"/>
  <c r="M92" i="60" s="1"/>
  <c r="F91" i="60" a="1"/>
  <c r="F91" i="60" s="1"/>
  <c r="T89" i="60" a="1"/>
  <c r="T89" i="60" s="1"/>
  <c r="AH87" i="60" a="1"/>
  <c r="AH87" i="60" s="1"/>
  <c r="M85" i="60" a="1"/>
  <c r="M85" i="60" s="1"/>
  <c r="AH84" i="60" a="1"/>
  <c r="AH84" i="60" s="1"/>
  <c r="M84" i="60" a="1"/>
  <c r="M84" i="60" s="1"/>
  <c r="F83" i="60" a="1"/>
  <c r="F83" i="60" s="1"/>
  <c r="M82" i="60" a="1"/>
  <c r="M82" i="60" s="1"/>
  <c r="F81" i="60" a="1"/>
  <c r="F81" i="60" s="1"/>
  <c r="AA79" i="60" a="1"/>
  <c r="AA79" i="60" s="1"/>
  <c r="T78" i="60" a="1"/>
  <c r="T78" i="60" s="1"/>
  <c r="AA77" i="60" a="1"/>
  <c r="AA77" i="60" s="1"/>
  <c r="AH76" i="60" a="1"/>
  <c r="AH76" i="60" s="1"/>
  <c r="T75" i="60" a="1"/>
  <c r="T75" i="60" s="1"/>
  <c r="AA74" i="60" a="1"/>
  <c r="AA74" i="60" s="1"/>
  <c r="AH73" i="60" a="1"/>
  <c r="AH73" i="60" s="1"/>
  <c r="T73" i="60" a="1"/>
  <c r="T73" i="60" s="1"/>
  <c r="AA72" i="60" a="1"/>
  <c r="AA72" i="60" s="1"/>
  <c r="AH71" i="60" a="1"/>
  <c r="AH71" i="60" s="1"/>
  <c r="T71" i="60" a="1"/>
  <c r="T71" i="60" s="1"/>
  <c r="AA70" i="60" a="1"/>
  <c r="AA70" i="60" s="1"/>
  <c r="AH69" i="60" a="1"/>
  <c r="AH69" i="60" s="1"/>
  <c r="T69" i="60" a="1"/>
  <c r="T69" i="60" s="1"/>
  <c r="AA68" i="60" a="1"/>
  <c r="AA68" i="60" s="1"/>
  <c r="AH67" i="60" a="1"/>
  <c r="AH67" i="60" s="1"/>
  <c r="T67" i="60" a="1"/>
  <c r="T67" i="60" s="1"/>
  <c r="AA66" i="60" a="1"/>
  <c r="AA66" i="60" s="1"/>
  <c r="AH65" i="60" a="1"/>
  <c r="AH65" i="60" s="1"/>
  <c r="F65" i="60" a="1"/>
  <c r="F65" i="60" s="1"/>
  <c r="M64" i="60" a="1"/>
  <c r="M64" i="60" s="1"/>
  <c r="T63" i="60" a="1"/>
  <c r="T63" i="60" s="1"/>
  <c r="AA62" i="60" a="1"/>
  <c r="AA62" i="60" s="1"/>
  <c r="M96" i="60" a="1"/>
  <c r="M96" i="60" s="1"/>
  <c r="T94" i="60" a="1"/>
  <c r="T94" i="60" s="1"/>
  <c r="AA91" i="60" a="1"/>
  <c r="AA91" i="60" s="1"/>
  <c r="T90" i="60" a="1"/>
  <c r="T90" i="60" s="1"/>
  <c r="AH88" i="60" a="1"/>
  <c r="AH88" i="60" s="1"/>
  <c r="AQ88" i="60" s="1"/>
  <c r="M87" i="60" a="1"/>
  <c r="M87" i="60" s="1"/>
  <c r="AH85" i="60" a="1"/>
  <c r="AH85" i="60" s="1"/>
  <c r="T85" i="60" a="1"/>
  <c r="T85" i="60" s="1"/>
  <c r="AA84" i="60" a="1"/>
  <c r="AA84" i="60" s="1"/>
  <c r="F84" i="60" a="1"/>
  <c r="F84" i="60" s="1"/>
  <c r="M83" i="60" a="1"/>
  <c r="M83" i="60" s="1"/>
  <c r="AH82" i="60" a="1"/>
  <c r="AH82" i="60" s="1"/>
  <c r="F82" i="60" a="1"/>
  <c r="F82" i="60" s="1"/>
  <c r="M81" i="60" a="1"/>
  <c r="M81" i="60" s="1"/>
  <c r="AH80" i="60" a="1"/>
  <c r="AH80" i="60" s="1"/>
  <c r="M80" i="60" a="1"/>
  <c r="M80" i="60" s="1"/>
  <c r="F79" i="60" a="1"/>
  <c r="F79" i="60" s="1"/>
  <c r="M78" i="60" a="1"/>
  <c r="M78" i="60" s="1"/>
  <c r="T77" i="60" a="1"/>
  <c r="T77" i="60" s="1"/>
  <c r="AA76" i="60" a="1"/>
  <c r="AA76" i="60" s="1"/>
  <c r="F76" i="60" a="1"/>
  <c r="F76" i="60" s="1"/>
  <c r="M75" i="60" a="1"/>
  <c r="M75" i="60" s="1"/>
  <c r="F74" i="60" a="1"/>
  <c r="F74" i="60" s="1"/>
  <c r="T72" i="60" a="1"/>
  <c r="T72" i="60" s="1"/>
  <c r="T70" i="60" a="1"/>
  <c r="T70" i="60" s="1"/>
  <c r="T68" i="60" a="1"/>
  <c r="T68" i="60" s="1"/>
  <c r="T66" i="60" a="1"/>
  <c r="T66" i="60" s="1"/>
  <c r="AA63" i="60" a="1"/>
  <c r="AA63" i="60" s="1"/>
  <c r="M62" i="60" a="1"/>
  <c r="M62" i="60" s="1"/>
  <c r="M61" i="60" a="1"/>
  <c r="M61" i="60" s="1"/>
  <c r="AH60" i="60" a="1"/>
  <c r="AH60" i="60" s="1"/>
  <c r="F60" i="60" a="1"/>
  <c r="F60" i="60" s="1"/>
  <c r="M59" i="60" a="1"/>
  <c r="M59" i="60" s="1"/>
  <c r="AH58" i="60" a="1"/>
  <c r="AH58" i="60" s="1"/>
  <c r="F58" i="60" a="1"/>
  <c r="F58" i="60" s="1"/>
  <c r="M57" i="60" a="1"/>
  <c r="M57" i="60" s="1"/>
  <c r="AH56" i="60" a="1"/>
  <c r="AH56" i="60" s="1"/>
  <c r="F56" i="60" a="1"/>
  <c r="F56" i="60" s="1"/>
  <c r="M55" i="60" a="1"/>
  <c r="M55" i="60" s="1"/>
  <c r="AH54" i="60" a="1"/>
  <c r="AH54" i="60" s="1"/>
  <c r="F54" i="60" a="1"/>
  <c r="F54" i="60" s="1"/>
  <c r="M53" i="60" a="1"/>
  <c r="M53" i="60" s="1"/>
  <c r="T52" i="60" a="1"/>
  <c r="T52" i="60" s="1"/>
  <c r="AA51" i="60" a="1"/>
  <c r="AA51" i="60" s="1"/>
  <c r="AH50" i="60" a="1"/>
  <c r="AH50" i="60" s="1"/>
  <c r="T50" i="60" a="1"/>
  <c r="T50" i="60" s="1"/>
  <c r="AH49" i="60" a="1"/>
  <c r="AH49" i="60" s="1"/>
  <c r="T49" i="60" a="1"/>
  <c r="T49" i="60" s="1"/>
  <c r="AA48" i="60" a="1"/>
  <c r="AA48" i="60" s="1"/>
  <c r="AH47" i="60" a="1"/>
  <c r="AH47" i="60" s="1"/>
  <c r="T47" i="60" a="1"/>
  <c r="T47" i="60" s="1"/>
  <c r="AA46" i="60" a="1"/>
  <c r="AA46" i="60" s="1"/>
  <c r="AH45" i="60" a="1"/>
  <c r="AH45" i="60" s="1"/>
  <c r="T45" i="60" a="1"/>
  <c r="T45" i="60" s="1"/>
  <c r="AA44" i="60" a="1"/>
  <c r="AA44" i="60" s="1"/>
  <c r="AH43" i="60" a="1"/>
  <c r="AH43" i="60" s="1"/>
  <c r="T43" i="60" a="1"/>
  <c r="T43" i="60" s="1"/>
  <c r="AA42" i="60" a="1"/>
  <c r="AA42" i="60" s="1"/>
  <c r="AH41" i="60" a="1"/>
  <c r="AH41" i="60" s="1"/>
  <c r="F41" i="60" a="1"/>
  <c r="F41" i="60" s="1"/>
  <c r="M40" i="60" a="1"/>
  <c r="M40" i="60" s="1"/>
  <c r="T39" i="60" a="1"/>
  <c r="T39" i="60" s="1"/>
  <c r="AA38" i="60" a="1"/>
  <c r="AA38" i="60" s="1"/>
  <c r="AA73" i="60" a="1"/>
  <c r="AA73" i="60" s="1"/>
  <c r="AA71" i="60" a="1"/>
  <c r="AA71" i="60" s="1"/>
  <c r="AA69" i="60" a="1"/>
  <c r="AA69" i="60" s="1"/>
  <c r="AA67" i="60" a="1"/>
  <c r="AA67" i="60" s="1"/>
  <c r="AA65" i="60" a="1"/>
  <c r="AA65" i="60" s="1"/>
  <c r="M63" i="60" a="1"/>
  <c r="M63" i="60" s="1"/>
  <c r="T62" i="60" a="1"/>
  <c r="T62" i="60" s="1"/>
  <c r="AH61" i="60" a="1"/>
  <c r="AH61" i="60" s="1"/>
  <c r="T61" i="60" a="1"/>
  <c r="T61" i="60" s="1"/>
  <c r="AA60" i="60" a="1"/>
  <c r="AA60" i="60" s="1"/>
  <c r="AH59" i="60" a="1"/>
  <c r="AH59" i="60" s="1"/>
  <c r="T59" i="60" a="1"/>
  <c r="T59" i="60" s="1"/>
  <c r="AA58" i="60" a="1"/>
  <c r="AA58" i="60" s="1"/>
  <c r="AH57" i="60" a="1"/>
  <c r="AH57" i="60" s="1"/>
  <c r="T57" i="60" a="1"/>
  <c r="T57" i="60" s="1"/>
  <c r="AA56" i="60" a="1"/>
  <c r="AA56" i="60" s="1"/>
  <c r="AH55" i="60" a="1"/>
  <c r="AH55" i="60" s="1"/>
  <c r="T55" i="60" a="1"/>
  <c r="T55" i="60" s="1"/>
  <c r="AA54" i="60" a="1"/>
  <c r="AA54" i="60" s="1"/>
  <c r="AH53" i="60" a="1"/>
  <c r="AH53" i="60" s="1"/>
  <c r="F53" i="60" a="1"/>
  <c r="F53" i="60" s="1"/>
  <c r="M52" i="60" a="1"/>
  <c r="M52" i="60" s="1"/>
  <c r="T51" i="60" a="1"/>
  <c r="T51" i="60" s="1"/>
  <c r="AA50" i="60" a="1"/>
  <c r="AA50" i="60" s="1"/>
  <c r="AA49" i="60" a="1"/>
  <c r="AA49" i="60" s="1"/>
  <c r="T48" i="60" a="1"/>
  <c r="T48" i="60" s="1"/>
  <c r="AA47" i="60" a="1"/>
  <c r="AA47" i="60" s="1"/>
  <c r="T46" i="60" a="1"/>
  <c r="T46" i="60" s="1"/>
  <c r="AA45" i="60" a="1"/>
  <c r="AA45" i="60" s="1"/>
  <c r="T44" i="60" a="1"/>
  <c r="T44" i="60" s="1"/>
  <c r="AA43" i="60" a="1"/>
  <c r="AA43" i="60" s="1"/>
  <c r="T42" i="60" a="1"/>
  <c r="T42" i="60" s="1"/>
  <c r="AA41" i="60" a="1"/>
  <c r="AA41" i="60" s="1"/>
  <c r="AH40" i="60" a="1"/>
  <c r="AH40" i="60" s="1"/>
  <c r="F40" i="60" a="1"/>
  <c r="F40" i="60" s="1"/>
  <c r="M39" i="60" a="1"/>
  <c r="M39" i="60" s="1"/>
  <c r="F38" i="60" a="1"/>
  <c r="F38" i="60" s="1"/>
  <c r="AH64" i="60" a="1"/>
  <c r="AH64" i="60" s="1"/>
  <c r="AQ64" i="60" s="1"/>
  <c r="AH62" i="60" a="1"/>
  <c r="AH62" i="60" s="1"/>
  <c r="AA61" i="60" a="1"/>
  <c r="AA61" i="60" s="1"/>
  <c r="T60" i="60" a="1"/>
  <c r="T60" i="60" s="1"/>
  <c r="AA59" i="60" a="1"/>
  <c r="AA59" i="60" s="1"/>
  <c r="T58" i="60" a="1"/>
  <c r="T58" i="60" s="1"/>
  <c r="AA57" i="60" a="1"/>
  <c r="AA57" i="60" s="1"/>
  <c r="T56" i="60" a="1"/>
  <c r="T56" i="60" s="1"/>
  <c r="AA55" i="60" a="1"/>
  <c r="AA55" i="60" s="1"/>
  <c r="T54" i="60" a="1"/>
  <c r="T54" i="60" s="1"/>
  <c r="AA53" i="60" a="1"/>
  <c r="AA53" i="60" s="1"/>
  <c r="AH52" i="60" a="1"/>
  <c r="AH52" i="60" s="1"/>
  <c r="F52" i="60" a="1"/>
  <c r="F52" i="60" s="1"/>
  <c r="M51" i="60" a="1"/>
  <c r="M51" i="60" s="1"/>
  <c r="F50" i="60" a="1"/>
  <c r="F50" i="60" s="1"/>
  <c r="F49" i="60" a="1"/>
  <c r="F49" i="60" s="1"/>
  <c r="M48" i="60" a="1"/>
  <c r="M48" i="60" s="1"/>
  <c r="F47" i="60" a="1"/>
  <c r="F47" i="60" s="1"/>
  <c r="M46" i="60" a="1"/>
  <c r="M46" i="60" s="1"/>
  <c r="F45" i="60" a="1"/>
  <c r="F45" i="60" s="1"/>
  <c r="M44" i="60" a="1"/>
  <c r="M44" i="60" s="1"/>
  <c r="F43" i="60" a="1"/>
  <c r="F43" i="60" s="1"/>
  <c r="M42" i="60" a="1"/>
  <c r="M42" i="60" s="1"/>
  <c r="T41" i="60" a="1"/>
  <c r="T41" i="60" s="1"/>
  <c r="AA40" i="60" a="1"/>
  <c r="AA40" i="60" s="1"/>
  <c r="AH39" i="60" a="1"/>
  <c r="AH39" i="60" s="1"/>
  <c r="F39" i="60" a="1"/>
  <c r="F39" i="60" s="1"/>
  <c r="M38" i="60" a="1"/>
  <c r="M38" i="60" s="1"/>
  <c r="F64" i="60" a="1"/>
  <c r="F64" i="60" s="1"/>
  <c r="F62" i="60" a="1"/>
  <c r="F62" i="60" s="1"/>
  <c r="F61" i="60" a="1"/>
  <c r="F61" i="60" s="1"/>
  <c r="M60" i="60" a="1"/>
  <c r="M60" i="60" s="1"/>
  <c r="F59" i="60" a="1"/>
  <c r="F59" i="60" s="1"/>
  <c r="M58" i="60" a="1"/>
  <c r="M58" i="60" s="1"/>
  <c r="F57" i="60" a="1"/>
  <c r="F57" i="60" s="1"/>
  <c r="M56" i="60" a="1"/>
  <c r="M56" i="60" s="1"/>
  <c r="F55" i="60" a="1"/>
  <c r="F55" i="60" s="1"/>
  <c r="M54" i="60" a="1"/>
  <c r="M54" i="60" s="1"/>
  <c r="T53" i="60" a="1"/>
  <c r="T53" i="60" s="1"/>
  <c r="AA52" i="60" a="1"/>
  <c r="AA52" i="60" s="1"/>
  <c r="AH51" i="60" a="1"/>
  <c r="AH51" i="60" s="1"/>
  <c r="F51" i="60" a="1"/>
  <c r="F51" i="60" s="1"/>
  <c r="M50" i="60" a="1"/>
  <c r="M50" i="60" s="1"/>
  <c r="M49" i="60" a="1"/>
  <c r="M49" i="60" s="1"/>
  <c r="AH48" i="60" a="1"/>
  <c r="AH48" i="60" s="1"/>
  <c r="F48" i="60" a="1"/>
  <c r="F48" i="60" s="1"/>
  <c r="AH46" i="60" a="1"/>
  <c r="AH46" i="60" s="1"/>
  <c r="AQ46" i="60" s="1"/>
  <c r="M41" i="60" a="1"/>
  <c r="M41" i="60" s="1"/>
  <c r="F37" i="60" a="1"/>
  <c r="F37" i="60" s="1"/>
  <c r="M36" i="60" a="1"/>
  <c r="M36" i="60" s="1"/>
  <c r="F35" i="60" a="1"/>
  <c r="F35" i="60" s="1"/>
  <c r="M34" i="60" a="1"/>
  <c r="M34" i="60" s="1"/>
  <c r="F33" i="60" a="1"/>
  <c r="F33" i="60" s="1"/>
  <c r="M32" i="60" a="1"/>
  <c r="M32" i="60" s="1"/>
  <c r="F31" i="60" a="1"/>
  <c r="F31" i="60" s="1"/>
  <c r="M30" i="60" a="1"/>
  <c r="M30" i="60" s="1"/>
  <c r="T29" i="60" a="1"/>
  <c r="T29" i="60" s="1"/>
  <c r="AA28" i="60" a="1"/>
  <c r="AA28" i="60" s="1"/>
  <c r="AH27" i="60" a="1"/>
  <c r="AH27" i="60" s="1"/>
  <c r="F27" i="60" a="1"/>
  <c r="F27" i="60" s="1"/>
  <c r="M26" i="60" a="1"/>
  <c r="M26" i="60" s="1"/>
  <c r="M25" i="60" a="1"/>
  <c r="M25" i="60" s="1"/>
  <c r="AH24" i="60" a="1"/>
  <c r="AH24" i="60" s="1"/>
  <c r="F24" i="60" a="1"/>
  <c r="F24" i="60" s="1"/>
  <c r="M23" i="60" a="1"/>
  <c r="M23" i="60" s="1"/>
  <c r="AH22" i="60" a="1"/>
  <c r="AH22" i="60" s="1"/>
  <c r="F22" i="60" a="1"/>
  <c r="F22" i="60" s="1"/>
  <c r="M21" i="60" a="1"/>
  <c r="M21" i="60" s="1"/>
  <c r="AH20" i="60" a="1"/>
  <c r="AH20" i="60" s="1"/>
  <c r="F20" i="60" a="1"/>
  <c r="F20" i="60" s="1"/>
  <c r="M19" i="60" a="1"/>
  <c r="M19" i="60" s="1"/>
  <c r="AH18" i="60" a="1"/>
  <c r="AH18" i="60" s="1"/>
  <c r="F18" i="60" a="1"/>
  <c r="F18" i="60" s="1"/>
  <c r="M17" i="60" a="1"/>
  <c r="M17" i="60" s="1"/>
  <c r="T16" i="60" a="1"/>
  <c r="T16" i="60" s="1"/>
  <c r="AA15" i="60" a="1"/>
  <c r="AA15" i="60" s="1"/>
  <c r="AH14" i="60" a="1"/>
  <c r="AH14" i="60" s="1"/>
  <c r="T14" i="60" a="1"/>
  <c r="T14" i="60" s="1"/>
  <c r="T20" i="60" a="1"/>
  <c r="T20" i="60" s="1"/>
  <c r="AA19" i="60" a="1"/>
  <c r="AA19" i="60" s="1"/>
  <c r="F16" i="60" a="1"/>
  <c r="F16" i="60" s="1"/>
  <c r="M47" i="60" a="1"/>
  <c r="M47" i="60" s="1"/>
  <c r="F46" i="60" a="1"/>
  <c r="F46" i="60" s="1"/>
  <c r="AH44" i="60" a="1"/>
  <c r="AH44" i="60" s="1"/>
  <c r="T40" i="60" a="1"/>
  <c r="T40" i="60" s="1"/>
  <c r="M37" i="60" a="1"/>
  <c r="M37" i="60" s="1"/>
  <c r="AH36" i="60" a="1"/>
  <c r="AH36" i="60" s="1"/>
  <c r="F36" i="60" a="1"/>
  <c r="F36" i="60" s="1"/>
  <c r="M35" i="60" a="1"/>
  <c r="M35" i="60" s="1"/>
  <c r="AH34" i="60" a="1"/>
  <c r="AH34" i="60" s="1"/>
  <c r="F34" i="60" a="1"/>
  <c r="F34" i="60" s="1"/>
  <c r="M33" i="60" a="1"/>
  <c r="M33" i="60" s="1"/>
  <c r="AH32" i="60" a="1"/>
  <c r="AH32" i="60" s="1"/>
  <c r="F32" i="60" a="1"/>
  <c r="F32" i="60" s="1"/>
  <c r="M31" i="60" a="1"/>
  <c r="M31" i="60" s="1"/>
  <c r="AH30" i="60" a="1"/>
  <c r="AH30" i="60" s="1"/>
  <c r="F30" i="60" a="1"/>
  <c r="F30" i="60" s="1"/>
  <c r="M29" i="60" a="1"/>
  <c r="M29" i="60" s="1"/>
  <c r="T28" i="60" a="1"/>
  <c r="T28" i="60" s="1"/>
  <c r="AA27" i="60" a="1"/>
  <c r="AA27" i="60" s="1"/>
  <c r="AH26" i="60" a="1"/>
  <c r="AH26" i="60" s="1"/>
  <c r="T26" i="60" a="1"/>
  <c r="T26" i="60" s="1"/>
  <c r="AH25" i="60" a="1"/>
  <c r="AH25" i="60" s="1"/>
  <c r="T25" i="60" a="1"/>
  <c r="T25" i="60" s="1"/>
  <c r="AA24" i="60" a="1"/>
  <c r="AA24" i="60" s="1"/>
  <c r="AH23" i="60" a="1"/>
  <c r="AH23" i="60" s="1"/>
  <c r="T23" i="60" a="1"/>
  <c r="T23" i="60" s="1"/>
  <c r="AA22" i="60" a="1"/>
  <c r="AA22" i="60" s="1"/>
  <c r="AH21" i="60" a="1"/>
  <c r="AH21" i="60" s="1"/>
  <c r="T21" i="60" a="1"/>
  <c r="T21" i="60" s="1"/>
  <c r="AA20" i="60" a="1"/>
  <c r="AA20" i="60" s="1"/>
  <c r="AH19" i="60" a="1"/>
  <c r="AH19" i="60" s="1"/>
  <c r="T19" i="60" a="1"/>
  <c r="T19" i="60" s="1"/>
  <c r="AA18" i="60" a="1"/>
  <c r="AA18" i="60" s="1"/>
  <c r="AH17" i="60" a="1"/>
  <c r="AH17" i="60" s="1"/>
  <c r="F17" i="60" a="1"/>
  <c r="F17" i="60" s="1"/>
  <c r="M16" i="60" a="1"/>
  <c r="M16" i="60" s="1"/>
  <c r="T15" i="60" a="1"/>
  <c r="T15" i="60" s="1"/>
  <c r="AA14" i="60" a="1"/>
  <c r="AA14" i="60" s="1"/>
  <c r="AA25" i="60" a="1"/>
  <c r="AA25" i="60" s="1"/>
  <c r="AA23" i="60" a="1"/>
  <c r="AA23" i="60" s="1"/>
  <c r="AA21" i="60" a="1"/>
  <c r="AA21" i="60" s="1"/>
  <c r="T18" i="60" a="1"/>
  <c r="T18" i="60" s="1"/>
  <c r="AA17" i="60" a="1"/>
  <c r="AA17" i="60" s="1"/>
  <c r="AH16" i="60" a="1"/>
  <c r="AH16" i="60" s="1"/>
  <c r="M15" i="60" a="1"/>
  <c r="M15" i="60" s="1"/>
  <c r="F14" i="60" a="1"/>
  <c r="F14" i="60" s="1"/>
  <c r="M45" i="60" a="1"/>
  <c r="M45" i="60" s="1"/>
  <c r="F44" i="60" a="1"/>
  <c r="F44" i="60" s="1"/>
  <c r="AH42" i="60" a="1"/>
  <c r="AH42" i="60" s="1"/>
  <c r="AA39" i="60" a="1"/>
  <c r="AA39" i="60" s="1"/>
  <c r="T38" i="60" a="1"/>
  <c r="T38" i="60" s="1"/>
  <c r="AH37" i="60" a="1"/>
  <c r="AH37" i="60" s="1"/>
  <c r="T37" i="60" a="1"/>
  <c r="T37" i="60" s="1"/>
  <c r="AA36" i="60" a="1"/>
  <c r="AA36" i="60" s="1"/>
  <c r="AH35" i="60" a="1"/>
  <c r="AH35" i="60" s="1"/>
  <c r="T35" i="60" a="1"/>
  <c r="T35" i="60" s="1"/>
  <c r="AA34" i="60" a="1"/>
  <c r="AA34" i="60" s="1"/>
  <c r="AH33" i="60" a="1"/>
  <c r="AH33" i="60" s="1"/>
  <c r="T33" i="60" a="1"/>
  <c r="T33" i="60" s="1"/>
  <c r="AA32" i="60" a="1"/>
  <c r="AA32" i="60" s="1"/>
  <c r="AH31" i="60" a="1"/>
  <c r="AH31" i="60" s="1"/>
  <c r="T31" i="60" a="1"/>
  <c r="T31" i="60" s="1"/>
  <c r="AA30" i="60" a="1"/>
  <c r="AA30" i="60" s="1"/>
  <c r="AH29" i="60" a="1"/>
  <c r="AH29" i="60" s="1"/>
  <c r="F29" i="60" a="1"/>
  <c r="F29" i="60" s="1"/>
  <c r="M28" i="60" a="1"/>
  <c r="M28" i="60" s="1"/>
  <c r="T27" i="60" a="1"/>
  <c r="T27" i="60" s="1"/>
  <c r="AA26" i="60" a="1"/>
  <c r="AA26" i="60" s="1"/>
  <c r="T24" i="60" a="1"/>
  <c r="T24" i="60" s="1"/>
  <c r="T22" i="60" a="1"/>
  <c r="T22" i="60" s="1"/>
  <c r="M43" i="60" a="1"/>
  <c r="M43" i="60" s="1"/>
  <c r="F42" i="60" a="1"/>
  <c r="F42" i="60" s="1"/>
  <c r="AH38" i="60" a="1"/>
  <c r="AH38" i="60" s="1"/>
  <c r="AA37" i="60" a="1"/>
  <c r="AA37" i="60" s="1"/>
  <c r="T36" i="60" a="1"/>
  <c r="T36" i="60" s="1"/>
  <c r="AA35" i="60" a="1"/>
  <c r="AA35" i="60" s="1"/>
  <c r="T34" i="60" a="1"/>
  <c r="T34" i="60" s="1"/>
  <c r="AA33" i="60" a="1"/>
  <c r="AA33" i="60" s="1"/>
  <c r="T32" i="60" a="1"/>
  <c r="T32" i="60" s="1"/>
  <c r="AA31" i="60" a="1"/>
  <c r="AA31" i="60" s="1"/>
  <c r="T30" i="60" a="1"/>
  <c r="T30" i="60" s="1"/>
  <c r="AA29" i="60" a="1"/>
  <c r="AA29" i="60" s="1"/>
  <c r="AH28" i="60" a="1"/>
  <c r="AH28" i="60" s="1"/>
  <c r="F28" i="60" a="1"/>
  <c r="F28" i="60" s="1"/>
  <c r="M27" i="60" a="1"/>
  <c r="M27" i="60" s="1"/>
  <c r="F26" i="60" a="1"/>
  <c r="F26" i="60" s="1"/>
  <c r="F25" i="60" a="1"/>
  <c r="F25" i="60" s="1"/>
  <c r="M24" i="60" a="1"/>
  <c r="M24" i="60" s="1"/>
  <c r="F23" i="60" a="1"/>
  <c r="F23" i="60" s="1"/>
  <c r="M22" i="60" a="1"/>
  <c r="M22" i="60" s="1"/>
  <c r="F21" i="60" a="1"/>
  <c r="F21" i="60" s="1"/>
  <c r="M20" i="60" a="1"/>
  <c r="M20" i="60" s="1"/>
  <c r="F19" i="60" a="1"/>
  <c r="F19" i="60" s="1"/>
  <c r="M18" i="60" a="1"/>
  <c r="M18" i="60" s="1"/>
  <c r="T17" i="60" a="1"/>
  <c r="T17" i="60" s="1"/>
  <c r="AA16" i="60" a="1"/>
  <c r="AA16" i="60" s="1"/>
  <c r="AH15" i="60" a="1"/>
  <c r="AH15" i="60" s="1"/>
  <c r="F15" i="60" a="1"/>
  <c r="F15" i="60" s="1"/>
  <c r="M14" i="60" a="1"/>
  <c r="M14" i="60" s="1"/>
  <c r="T252" i="60" a="1"/>
  <c r="T252" i="60" s="1"/>
  <c r="T250" i="60" a="1"/>
  <c r="T250" i="60" s="1"/>
  <c r="T248" i="60" a="1"/>
  <c r="T248" i="60" s="1"/>
  <c r="T246" i="60" a="1"/>
  <c r="T246" i="60" s="1"/>
  <c r="AH244" i="60" a="1"/>
  <c r="AH244" i="60" s="1"/>
  <c r="M243" i="60" a="1"/>
  <c r="M243" i="60" s="1"/>
  <c r="AH241" i="60" a="1"/>
  <c r="AH241" i="60" s="1"/>
  <c r="T241" i="60" a="1"/>
  <c r="T241" i="60" s="1"/>
  <c r="AA240" i="60" a="1"/>
  <c r="AA240" i="60" s="1"/>
  <c r="AH239" i="60" a="1"/>
  <c r="AH239" i="60" s="1"/>
  <c r="T239" i="60" a="1"/>
  <c r="T239" i="60" s="1"/>
  <c r="AA238" i="60" a="1"/>
  <c r="AA238" i="60" s="1"/>
  <c r="AH237" i="60" a="1"/>
  <c r="AH237" i="60" s="1"/>
  <c r="T237" i="60" a="1"/>
  <c r="T237" i="60" s="1"/>
  <c r="AA236" i="60" a="1"/>
  <c r="AA236" i="60" s="1"/>
  <c r="AH235" i="60" a="1"/>
  <c r="AH235" i="60" s="1"/>
  <c r="T235" i="60" a="1"/>
  <c r="T235" i="60" s="1"/>
  <c r="AA234" i="60" a="1"/>
  <c r="AA234" i="60" s="1"/>
  <c r="AH233" i="60" a="1"/>
  <c r="AH233" i="60" s="1"/>
  <c r="F233" i="60" a="1"/>
  <c r="F233" i="60" s="1"/>
  <c r="M232" i="60" a="1"/>
  <c r="M232" i="60" s="1"/>
  <c r="T231" i="60" a="1"/>
  <c r="T231" i="60" s="1"/>
  <c r="AA230" i="60" a="1"/>
  <c r="AA230" i="60" s="1"/>
  <c r="AA251" i="60" a="1"/>
  <c r="AA251" i="60" s="1"/>
  <c r="AA249" i="60" a="1"/>
  <c r="AA249" i="60" s="1"/>
  <c r="AA247" i="60" a="1"/>
  <c r="AA247" i="60" s="1"/>
  <c r="AH245" i="60" a="1"/>
  <c r="AH245" i="60" s="1"/>
  <c r="M244" i="60" a="1"/>
  <c r="M244" i="60" s="1"/>
  <c r="AA242" i="60" a="1"/>
  <c r="AA242" i="60" s="1"/>
  <c r="F242" i="60" a="1"/>
  <c r="F242" i="60" s="1"/>
  <c r="AA241" i="60" a="1"/>
  <c r="AA241" i="60" s="1"/>
  <c r="T240" i="60" a="1"/>
  <c r="T240" i="60" s="1"/>
  <c r="AA239" i="60" a="1"/>
  <c r="AA239" i="60" s="1"/>
  <c r="T238" i="60" a="1"/>
  <c r="T238" i="60" s="1"/>
  <c r="AA237" i="60" a="1"/>
  <c r="AA237" i="60" s="1"/>
  <c r="T236" i="60" a="1"/>
  <c r="T236" i="60" s="1"/>
  <c r="AA235" i="60" a="1"/>
  <c r="AA235" i="60" s="1"/>
  <c r="T234" i="60" a="1"/>
  <c r="T234" i="60" s="1"/>
  <c r="AA233" i="60" a="1"/>
  <c r="AA233" i="60" s="1"/>
  <c r="AH232" i="60" a="1"/>
  <c r="AH232" i="60" s="1"/>
  <c r="F232" i="60" a="1"/>
  <c r="F232" i="60" s="1"/>
  <c r="M231" i="60" a="1"/>
  <c r="M231" i="60" s="1"/>
  <c r="F230" i="60" a="1"/>
  <c r="F230" i="60" s="1"/>
  <c r="AA245" i="60" a="1"/>
  <c r="AA245" i="60" s="1"/>
  <c r="F244" i="60" a="1"/>
  <c r="F244" i="60" s="1"/>
  <c r="M242" i="60" a="1"/>
  <c r="M242" i="60" s="1"/>
  <c r="F241" i="60" a="1"/>
  <c r="F241" i="60" s="1"/>
  <c r="M240" i="60" a="1"/>
  <c r="M240" i="60" s="1"/>
  <c r="F239" i="60" a="1"/>
  <c r="F239" i="60" s="1"/>
  <c r="M238" i="60" a="1"/>
  <c r="M238" i="60" s="1"/>
  <c r="F237" i="60" a="1"/>
  <c r="F237" i="60" s="1"/>
  <c r="M236" i="60" a="1"/>
  <c r="M236" i="60" s="1"/>
  <c r="F235" i="60" a="1"/>
  <c r="F235" i="60" s="1"/>
  <c r="M234" i="60" a="1"/>
  <c r="M234" i="60" s="1"/>
  <c r="T233" i="60" a="1"/>
  <c r="T233" i="60" s="1"/>
  <c r="AA232" i="60" a="1"/>
  <c r="AA232" i="60" s="1"/>
  <c r="AH231" i="60" a="1"/>
  <c r="AH231" i="60" s="1"/>
  <c r="F231" i="60" a="1"/>
  <c r="F231" i="60" s="1"/>
  <c r="M230" i="60" a="1"/>
  <c r="M230" i="60" s="1"/>
  <c r="F245" i="60" a="1"/>
  <c r="F245" i="60" s="1"/>
  <c r="T243" i="60" a="1"/>
  <c r="T243" i="60" s="1"/>
  <c r="M241" i="60" a="1"/>
  <c r="M241" i="60" s="1"/>
  <c r="F240" i="60" a="1"/>
  <c r="F240" i="60" s="1"/>
  <c r="AH238" i="60" a="1"/>
  <c r="AH238" i="60" s="1"/>
  <c r="M233" i="60" a="1"/>
  <c r="M233" i="60" s="1"/>
  <c r="F229" i="60" a="1"/>
  <c r="F229" i="60" s="1"/>
  <c r="M228" i="60" a="1"/>
  <c r="M228" i="60" s="1"/>
  <c r="F227" i="60" a="1"/>
  <c r="F227" i="60" s="1"/>
  <c r="M226" i="60" a="1"/>
  <c r="M226" i="60" s="1"/>
  <c r="F225" i="60" a="1"/>
  <c r="F225" i="60" s="1"/>
  <c r="M224" i="60" a="1"/>
  <c r="M224" i="60" s="1"/>
  <c r="F223" i="60" a="1"/>
  <c r="F223" i="60" s="1"/>
  <c r="M222" i="60" a="1"/>
  <c r="M222" i="60" s="1"/>
  <c r="T221" i="60" a="1"/>
  <c r="T221" i="60" s="1"/>
  <c r="AA220" i="60" a="1"/>
  <c r="AA220" i="60" s="1"/>
  <c r="AH219" i="60" a="1"/>
  <c r="AH219" i="60" s="1"/>
  <c r="F219" i="60" a="1"/>
  <c r="F219" i="60" s="1"/>
  <c r="M218" i="60" a="1"/>
  <c r="M218" i="60" s="1"/>
  <c r="M239" i="60" a="1"/>
  <c r="M239" i="60" s="1"/>
  <c r="F238" i="60" a="1"/>
  <c r="F238" i="60" s="1"/>
  <c r="AH236" i="60" a="1"/>
  <c r="AH236" i="60" s="1"/>
  <c r="T232" i="60" a="1"/>
  <c r="T232" i="60" s="1"/>
  <c r="M229" i="60" a="1"/>
  <c r="M229" i="60" s="1"/>
  <c r="AH228" i="60" a="1"/>
  <c r="AH228" i="60" s="1"/>
  <c r="F228" i="60" a="1"/>
  <c r="F228" i="60" s="1"/>
  <c r="M227" i="60" a="1"/>
  <c r="M227" i="60" s="1"/>
  <c r="AH226" i="60" a="1"/>
  <c r="AH226" i="60" s="1"/>
  <c r="F226" i="60" a="1"/>
  <c r="F226" i="60" s="1"/>
  <c r="M225" i="60" a="1"/>
  <c r="M225" i="60" s="1"/>
  <c r="AH224" i="60" a="1"/>
  <c r="AH224" i="60" s="1"/>
  <c r="F224" i="60" a="1"/>
  <c r="F224" i="60" s="1"/>
  <c r="M223" i="60" a="1"/>
  <c r="M223" i="60" s="1"/>
  <c r="AH222" i="60" a="1"/>
  <c r="AH222" i="60" s="1"/>
  <c r="F222" i="60" a="1"/>
  <c r="F222" i="60" s="1"/>
  <c r="M221" i="60" a="1"/>
  <c r="M221" i="60" s="1"/>
  <c r="T220" i="60" a="1"/>
  <c r="T220" i="60" s="1"/>
  <c r="AA219" i="60" a="1"/>
  <c r="AA219" i="60" s="1"/>
  <c r="AH218" i="60" a="1"/>
  <c r="AH218" i="60" s="1"/>
  <c r="T218" i="60" a="1"/>
  <c r="T218" i="60" s="1"/>
  <c r="M237" i="60" a="1"/>
  <c r="M237" i="60" s="1"/>
  <c r="F236" i="60" a="1"/>
  <c r="F236" i="60" s="1"/>
  <c r="AH234" i="60" a="1"/>
  <c r="AH234" i="60" s="1"/>
  <c r="AA231" i="60" a="1"/>
  <c r="AA231" i="60" s="1"/>
  <c r="T230" i="60" a="1"/>
  <c r="T230" i="60" s="1"/>
  <c r="AH229" i="60" a="1"/>
  <c r="AH229" i="60" s="1"/>
  <c r="T229" i="60" a="1"/>
  <c r="T229" i="60" s="1"/>
  <c r="AA228" i="60" a="1"/>
  <c r="AA228" i="60" s="1"/>
  <c r="AH227" i="60" a="1"/>
  <c r="AH227" i="60" s="1"/>
  <c r="AH225" i="60" a="1"/>
  <c r="AH225" i="60" s="1"/>
  <c r="T225" i="60" a="1"/>
  <c r="T225" i="60" s="1"/>
  <c r="AA223" i="60" a="1"/>
  <c r="AA223" i="60" s="1"/>
  <c r="AA222" i="60" a="1"/>
  <c r="AA222" i="60" s="1"/>
  <c r="F221" i="60" a="1"/>
  <c r="F221" i="60" s="1"/>
  <c r="T219" i="60" a="1"/>
  <c r="T219" i="60" s="1"/>
  <c r="M217" i="60" a="1"/>
  <c r="M217" i="60" s="1"/>
  <c r="AH216" i="60" a="1"/>
  <c r="AH216" i="60" s="1"/>
  <c r="F216" i="60" a="1"/>
  <c r="F216" i="60" s="1"/>
  <c r="M215" i="60" a="1"/>
  <c r="M215" i="60" s="1"/>
  <c r="T228" i="60" a="1"/>
  <c r="T228" i="60" s="1"/>
  <c r="T227" i="60" a="1"/>
  <c r="T227" i="60" s="1"/>
  <c r="AA225" i="60" a="1"/>
  <c r="AA225" i="60" s="1"/>
  <c r="AA224" i="60" a="1"/>
  <c r="AA224" i="60" s="1"/>
  <c r="T222" i="60" a="1"/>
  <c r="T222" i="60" s="1"/>
  <c r="AH220" i="60" a="1"/>
  <c r="AH220" i="60" s="1"/>
  <c r="M219" i="60" a="1"/>
  <c r="M219" i="60" s="1"/>
  <c r="F218" i="60" a="1"/>
  <c r="F218" i="60" s="1"/>
  <c r="AH240" i="60" a="1"/>
  <c r="AH240" i="60" s="1"/>
  <c r="F234" i="60" a="1"/>
  <c r="F234" i="60" s="1"/>
  <c r="AA229" i="60" a="1"/>
  <c r="AA229" i="60" s="1"/>
  <c r="AA227" i="60" a="1"/>
  <c r="AA227" i="60" s="1"/>
  <c r="AA226" i="60" a="1"/>
  <c r="AA226" i="60" s="1"/>
  <c r="T224" i="60" a="1"/>
  <c r="T224" i="60" s="1"/>
  <c r="AH221" i="60" a="1"/>
  <c r="AH221" i="60" s="1"/>
  <c r="M220" i="60" a="1"/>
  <c r="M220" i="60" s="1"/>
  <c r="AA218" i="60" a="1"/>
  <c r="AA218" i="60" s="1"/>
  <c r="AA217" i="60" a="1"/>
  <c r="AA217" i="60" s="1"/>
  <c r="T216" i="60" a="1"/>
  <c r="T216" i="60" s="1"/>
  <c r="AA215" i="60" a="1"/>
  <c r="AA215" i="60" s="1"/>
  <c r="T214" i="60" a="1"/>
  <c r="T214" i="60" s="1"/>
  <c r="AA213" i="60" a="1"/>
  <c r="AA213" i="60" s="1"/>
  <c r="T212" i="60" a="1"/>
  <c r="T212" i="60" s="1"/>
  <c r="AA211" i="60" a="1"/>
  <c r="AA211" i="60" s="1"/>
  <c r="T223" i="60" a="1"/>
  <c r="T223" i="60" s="1"/>
  <c r="AA216" i="60" a="1"/>
  <c r="AA216" i="60" s="1"/>
  <c r="AA214" i="60" a="1"/>
  <c r="AA214" i="60" s="1"/>
  <c r="F213" i="60" a="1"/>
  <c r="F213" i="60" s="1"/>
  <c r="F212" i="60" a="1"/>
  <c r="F212" i="60" s="1"/>
  <c r="T211" i="60" a="1"/>
  <c r="T211" i="60" s="1"/>
  <c r="AA210" i="60" a="1"/>
  <c r="AA210" i="60" s="1"/>
  <c r="AH209" i="60" a="1"/>
  <c r="AH209" i="60" s="1"/>
  <c r="F209" i="60" a="1"/>
  <c r="F209" i="60" s="1"/>
  <c r="M208" i="60" a="1"/>
  <c r="M208" i="60" s="1"/>
  <c r="T207" i="60" a="1"/>
  <c r="T207" i="60" s="1"/>
  <c r="AA206" i="60" a="1"/>
  <c r="AA206" i="60" s="1"/>
  <c r="AA205" i="60" a="1"/>
  <c r="AA205" i="60" s="1"/>
  <c r="T204" i="60" a="1"/>
  <c r="T204" i="60" s="1"/>
  <c r="AA203" i="60" a="1"/>
  <c r="AA203" i="60" s="1"/>
  <c r="T202" i="60" a="1"/>
  <c r="T202" i="60" s="1"/>
  <c r="AA201" i="60" a="1"/>
  <c r="AA201" i="60" s="1"/>
  <c r="T200" i="60" a="1"/>
  <c r="T200" i="60" s="1"/>
  <c r="AA199" i="60" a="1"/>
  <c r="AA199" i="60" s="1"/>
  <c r="T198" i="60" a="1"/>
  <c r="T198" i="60" s="1"/>
  <c r="AA197" i="60" a="1"/>
  <c r="AA197" i="60" s="1"/>
  <c r="AH196" i="60" a="1"/>
  <c r="AH196" i="60" s="1"/>
  <c r="F196" i="60" a="1"/>
  <c r="F196" i="60" s="1"/>
  <c r="M195" i="60" a="1"/>
  <c r="M195" i="60" s="1"/>
  <c r="F194" i="60" a="1"/>
  <c r="F194" i="60" s="1"/>
  <c r="F193" i="60" a="1"/>
  <c r="F193" i="60" s="1"/>
  <c r="M192" i="60" a="1"/>
  <c r="M192" i="60" s="1"/>
  <c r="F191" i="60" a="1"/>
  <c r="F191" i="60" s="1"/>
  <c r="M190" i="60" a="1"/>
  <c r="M190" i="60" s="1"/>
  <c r="AH230" i="60" a="1"/>
  <c r="AH230" i="60" s="1"/>
  <c r="AH223" i="60" a="1"/>
  <c r="AH223" i="60" s="1"/>
  <c r="AA221" i="60" a="1"/>
  <c r="AA221" i="60" s="1"/>
  <c r="M216" i="60" a="1"/>
  <c r="M216" i="60" s="1"/>
  <c r="T215" i="60" a="1"/>
  <c r="T215" i="60" s="1"/>
  <c r="M214" i="60" a="1"/>
  <c r="M214" i="60" s="1"/>
  <c r="M213" i="60" a="1"/>
  <c r="M213" i="60" s="1"/>
  <c r="AH212" i="60" a="1"/>
  <c r="AH212" i="60" s="1"/>
  <c r="AH211" i="60" a="1"/>
  <c r="AH211" i="60" s="1"/>
  <c r="T210" i="60" a="1"/>
  <c r="T210" i="60" s="1"/>
  <c r="AA209" i="60" a="1"/>
  <c r="AA209" i="60" s="1"/>
  <c r="AH208" i="60" a="1"/>
  <c r="AH208" i="60" s="1"/>
  <c r="F208" i="60" a="1"/>
  <c r="F208" i="60" s="1"/>
  <c r="M207" i="60" a="1"/>
  <c r="M207" i="60" s="1"/>
  <c r="F206" i="60" a="1"/>
  <c r="F206" i="60" s="1"/>
  <c r="F205" i="60" a="1"/>
  <c r="F205" i="60" s="1"/>
  <c r="M204" i="60" a="1"/>
  <c r="M204" i="60" s="1"/>
  <c r="F203" i="60" a="1"/>
  <c r="F203" i="60" s="1"/>
  <c r="M202" i="60" a="1"/>
  <c r="M202" i="60" s="1"/>
  <c r="F201" i="60" a="1"/>
  <c r="F201" i="60" s="1"/>
  <c r="M200" i="60" a="1"/>
  <c r="M200" i="60" s="1"/>
  <c r="F199" i="60" a="1"/>
  <c r="F199" i="60" s="1"/>
  <c r="M198" i="60" a="1"/>
  <c r="M198" i="60" s="1"/>
  <c r="T197" i="60" a="1"/>
  <c r="T197" i="60" s="1"/>
  <c r="AA196" i="60" a="1"/>
  <c r="AA196" i="60" s="1"/>
  <c r="AH195" i="60" a="1"/>
  <c r="AH195" i="60" s="1"/>
  <c r="F195" i="60" a="1"/>
  <c r="F195" i="60" s="1"/>
  <c r="M194" i="60" a="1"/>
  <c r="M194" i="60" s="1"/>
  <c r="M193" i="60" a="1"/>
  <c r="M193" i="60" s="1"/>
  <c r="AH192" i="60" a="1"/>
  <c r="AH192" i="60" s="1"/>
  <c r="F192" i="60" a="1"/>
  <c r="F192" i="60" s="1"/>
  <c r="M191" i="60" a="1"/>
  <c r="M191" i="60" s="1"/>
  <c r="AH190" i="60" a="1"/>
  <c r="AH190" i="60" s="1"/>
  <c r="M235" i="60" a="1"/>
  <c r="M235" i="60" s="1"/>
  <c r="T226" i="60" a="1"/>
  <c r="T226" i="60" s="1"/>
  <c r="F220" i="60" a="1"/>
  <c r="F220" i="60" s="1"/>
  <c r="T217" i="60" a="1"/>
  <c r="T217" i="60" s="1"/>
  <c r="AH215" i="60" a="1"/>
  <c r="AH215" i="60" s="1"/>
  <c r="F215" i="60" a="1"/>
  <c r="F215" i="60" s="1"/>
  <c r="F214" i="60" a="1"/>
  <c r="F214" i="60" s="1"/>
  <c r="T213" i="60" a="1"/>
  <c r="T213" i="60" s="1"/>
  <c r="AA212" i="60" a="1"/>
  <c r="AA212" i="60" s="1"/>
  <c r="F211" i="60" a="1"/>
  <c r="F211" i="60" s="1"/>
  <c r="M210" i="60" a="1"/>
  <c r="M210" i="60" s="1"/>
  <c r="T209" i="60" a="1"/>
  <c r="T209" i="60" s="1"/>
  <c r="AA208" i="60" a="1"/>
  <c r="AA208" i="60" s="1"/>
  <c r="AH207" i="60" a="1"/>
  <c r="AH207" i="60" s="1"/>
  <c r="F207" i="60" a="1"/>
  <c r="F207" i="60" s="1"/>
  <c r="M206" i="60" a="1"/>
  <c r="M206" i="60" s="1"/>
  <c r="M205" i="60" a="1"/>
  <c r="M205" i="60" s="1"/>
  <c r="AH204" i="60" a="1"/>
  <c r="AH204" i="60" s="1"/>
  <c r="F204" i="60" a="1"/>
  <c r="F204" i="60" s="1"/>
  <c r="M203" i="60" a="1"/>
  <c r="M203" i="60" s="1"/>
  <c r="AH202" i="60" a="1"/>
  <c r="AH202" i="60" s="1"/>
  <c r="F202" i="60" a="1"/>
  <c r="F202" i="60" s="1"/>
  <c r="M201" i="60" a="1"/>
  <c r="M201" i="60" s="1"/>
  <c r="AH200" i="60" a="1"/>
  <c r="AH200" i="60" s="1"/>
  <c r="F200" i="60" a="1"/>
  <c r="F200" i="60" s="1"/>
  <c r="M199" i="60" a="1"/>
  <c r="M199" i="60" s="1"/>
  <c r="AH198" i="60" a="1"/>
  <c r="AH198" i="60" s="1"/>
  <c r="F198" i="60" a="1"/>
  <c r="F198" i="60" s="1"/>
  <c r="M197" i="60" a="1"/>
  <c r="M197" i="60" s="1"/>
  <c r="T196" i="60" a="1"/>
  <c r="T196" i="60" s="1"/>
  <c r="AA195" i="60" a="1"/>
  <c r="AA195" i="60" s="1"/>
  <c r="AH194" i="60" a="1"/>
  <c r="AH194" i="60" s="1"/>
  <c r="T194" i="60" a="1"/>
  <c r="T194" i="60" s="1"/>
  <c r="AH214" i="60" a="1"/>
  <c r="AH214" i="60" s="1"/>
  <c r="M212" i="60" a="1"/>
  <c r="M212" i="60" s="1"/>
  <c r="AH210" i="60" a="1"/>
  <c r="AH210" i="60" s="1"/>
  <c r="AA207" i="60" a="1"/>
  <c r="AA207" i="60" s="1"/>
  <c r="T206" i="60" a="1"/>
  <c r="T206" i="60" s="1"/>
  <c r="AH205" i="60" a="1"/>
  <c r="AH205" i="60" s="1"/>
  <c r="AA204" i="60" a="1"/>
  <c r="AA204" i="60" s="1"/>
  <c r="T203" i="60" a="1"/>
  <c r="T203" i="60" s="1"/>
  <c r="AH197" i="60" a="1"/>
  <c r="AH197" i="60" s="1"/>
  <c r="AA194" i="60" a="1"/>
  <c r="AA194" i="60" s="1"/>
  <c r="T192" i="60" a="1"/>
  <c r="T192" i="60" s="1"/>
  <c r="F190" i="60" a="1"/>
  <c r="F190" i="60" s="1"/>
  <c r="M189" i="60" a="1"/>
  <c r="M189" i="60" s="1"/>
  <c r="AH188" i="60" a="1"/>
  <c r="AH188" i="60" s="1"/>
  <c r="F188" i="60" a="1"/>
  <c r="F188" i="60" s="1"/>
  <c r="M187" i="60" a="1"/>
  <c r="M187" i="60" s="1"/>
  <c r="AH186" i="60" a="1"/>
  <c r="AH186" i="60" s="1"/>
  <c r="F186" i="60" a="1"/>
  <c r="F186" i="60" s="1"/>
  <c r="M185" i="60" a="1"/>
  <c r="M185" i="60" s="1"/>
  <c r="T184" i="60" a="1"/>
  <c r="T184" i="60" s="1"/>
  <c r="AA183" i="60" a="1"/>
  <c r="AA183" i="60" s="1"/>
  <c r="AH182" i="60" a="1"/>
  <c r="AH182" i="60" s="1"/>
  <c r="T182" i="60" a="1"/>
  <c r="T182" i="60" s="1"/>
  <c r="AH181" i="60" a="1"/>
  <c r="AH181" i="60" s="1"/>
  <c r="T181" i="60" a="1"/>
  <c r="T181" i="60" s="1"/>
  <c r="AA180" i="60" a="1"/>
  <c r="AA180" i="60" s="1"/>
  <c r="AH179" i="60" a="1"/>
  <c r="AH179" i="60" s="1"/>
  <c r="T179" i="60" a="1"/>
  <c r="T179" i="60" s="1"/>
  <c r="AA178" i="60" a="1"/>
  <c r="AA178" i="60" s="1"/>
  <c r="AH177" i="60" a="1"/>
  <c r="AH177" i="60" s="1"/>
  <c r="T177" i="60" a="1"/>
  <c r="T177" i="60" s="1"/>
  <c r="AA176" i="60" a="1"/>
  <c r="AA176" i="60" s="1"/>
  <c r="AH175" i="60" a="1"/>
  <c r="AH175" i="60" s="1"/>
  <c r="T175" i="60" a="1"/>
  <c r="T175" i="60" s="1"/>
  <c r="AA174" i="60" a="1"/>
  <c r="AA174" i="60" s="1"/>
  <c r="AH173" i="60" a="1"/>
  <c r="AH173" i="60" s="1"/>
  <c r="F173" i="60" a="1"/>
  <c r="F173" i="60" s="1"/>
  <c r="M172" i="60" a="1"/>
  <c r="M172" i="60" s="1"/>
  <c r="T171" i="60" a="1"/>
  <c r="T171" i="60" s="1"/>
  <c r="AA170" i="60" a="1"/>
  <c r="AA170" i="60" s="1"/>
  <c r="F217" i="60" a="1"/>
  <c r="F217" i="60" s="1"/>
  <c r="AH213" i="60" a="1"/>
  <c r="AH213" i="60" s="1"/>
  <c r="M211" i="60" a="1"/>
  <c r="M211" i="60" s="1"/>
  <c r="F210" i="60" a="1"/>
  <c r="F210" i="60" s="1"/>
  <c r="AH206" i="60" a="1"/>
  <c r="AH206" i="60" s="1"/>
  <c r="AH203" i="60" a="1"/>
  <c r="AH203" i="60" s="1"/>
  <c r="AA202" i="60" a="1"/>
  <c r="AA202" i="60" s="1"/>
  <c r="T201" i="60" a="1"/>
  <c r="T201" i="60" s="1"/>
  <c r="F197" i="60" a="1"/>
  <c r="F197" i="60" s="1"/>
  <c r="AH191" i="60" a="1"/>
  <c r="AH191" i="60" s="1"/>
  <c r="T191" i="60" a="1"/>
  <c r="T191" i="60" s="1"/>
  <c r="AH189" i="60" a="1"/>
  <c r="AH189" i="60" s="1"/>
  <c r="T189" i="60" a="1"/>
  <c r="T189" i="60" s="1"/>
  <c r="AA188" i="60" a="1"/>
  <c r="AA188" i="60" s="1"/>
  <c r="AH187" i="60" a="1"/>
  <c r="AH187" i="60" s="1"/>
  <c r="T187" i="60" a="1"/>
  <c r="T187" i="60" s="1"/>
  <c r="AA186" i="60" a="1"/>
  <c r="AA186" i="60" s="1"/>
  <c r="AH185" i="60" a="1"/>
  <c r="AH185" i="60" s="1"/>
  <c r="F185" i="60" a="1"/>
  <c r="F185" i="60" s="1"/>
  <c r="M184" i="60" a="1"/>
  <c r="M184" i="60" s="1"/>
  <c r="T183" i="60" a="1"/>
  <c r="T183" i="60" s="1"/>
  <c r="AA182" i="60" a="1"/>
  <c r="AA182" i="60" s="1"/>
  <c r="AA181" i="60" a="1"/>
  <c r="AA181" i="60" s="1"/>
  <c r="T180" i="60" a="1"/>
  <c r="T180" i="60" s="1"/>
  <c r="AA179" i="60" a="1"/>
  <c r="AA179" i="60" s="1"/>
  <c r="T178" i="60" a="1"/>
  <c r="T178" i="60" s="1"/>
  <c r="AA177" i="60" a="1"/>
  <c r="AA177" i="60" s="1"/>
  <c r="T176" i="60" a="1"/>
  <c r="T176" i="60" s="1"/>
  <c r="AA175" i="60" a="1"/>
  <c r="AA175" i="60" s="1"/>
  <c r="T174" i="60" a="1"/>
  <c r="T174" i="60" s="1"/>
  <c r="AA173" i="60" a="1"/>
  <c r="AA173" i="60" s="1"/>
  <c r="AH172" i="60" a="1"/>
  <c r="AH172" i="60" s="1"/>
  <c r="F172" i="60" a="1"/>
  <c r="F172" i="60" s="1"/>
  <c r="M171" i="60" a="1"/>
  <c r="M171" i="60" s="1"/>
  <c r="F170" i="60" a="1"/>
  <c r="F170" i="60" s="1"/>
  <c r="AH217" i="60" a="1"/>
  <c r="AH217" i="60" s="1"/>
  <c r="M209" i="60" a="1"/>
  <c r="M209" i="60" s="1"/>
  <c r="AH201" i="60" a="1"/>
  <c r="AH201" i="60" s="1"/>
  <c r="AA200" i="60" a="1"/>
  <c r="AA200" i="60" s="1"/>
  <c r="T199" i="60" a="1"/>
  <c r="T199" i="60" s="1"/>
  <c r="M196" i="60" a="1"/>
  <c r="M196" i="60" s="1"/>
  <c r="AH193" i="60" a="1"/>
  <c r="AH193" i="60" s="1"/>
  <c r="T193" i="60" a="1"/>
  <c r="T193" i="60" s="1"/>
  <c r="AA191" i="60" a="1"/>
  <c r="AA191" i="60" s="1"/>
  <c r="AA190" i="60" a="1"/>
  <c r="AA190" i="60" s="1"/>
  <c r="AA189" i="60" a="1"/>
  <c r="AA189" i="60" s="1"/>
  <c r="T188" i="60" a="1"/>
  <c r="T188" i="60" s="1"/>
  <c r="AA187" i="60" a="1"/>
  <c r="AA187" i="60" s="1"/>
  <c r="T186" i="60" a="1"/>
  <c r="T186" i="60" s="1"/>
  <c r="AA185" i="60" a="1"/>
  <c r="AA185" i="60" s="1"/>
  <c r="AH184" i="60" a="1"/>
  <c r="AH184" i="60" s="1"/>
  <c r="F184" i="60" a="1"/>
  <c r="F184" i="60" s="1"/>
  <c r="M183" i="60" a="1"/>
  <c r="M183" i="60" s="1"/>
  <c r="F182" i="60" a="1"/>
  <c r="F182" i="60" s="1"/>
  <c r="F181" i="60" a="1"/>
  <c r="F181" i="60" s="1"/>
  <c r="M180" i="60" a="1"/>
  <c r="M180" i="60" s="1"/>
  <c r="F179" i="60" a="1"/>
  <c r="F179" i="60" s="1"/>
  <c r="M178" i="60" a="1"/>
  <c r="M178" i="60" s="1"/>
  <c r="F177" i="60" a="1"/>
  <c r="F177" i="60" s="1"/>
  <c r="M176" i="60" a="1"/>
  <c r="M176" i="60" s="1"/>
  <c r="F175" i="60" a="1"/>
  <c r="F175" i="60" s="1"/>
  <c r="M174" i="60" a="1"/>
  <c r="M174" i="60" s="1"/>
  <c r="T173" i="60" a="1"/>
  <c r="T173" i="60" s="1"/>
  <c r="AA172" i="60" a="1"/>
  <c r="AA172" i="60" s="1"/>
  <c r="AH171" i="60" a="1"/>
  <c r="AH171" i="60" s="1"/>
  <c r="F171" i="60" a="1"/>
  <c r="F171" i="60" s="1"/>
  <c r="M170" i="60" a="1"/>
  <c r="M170" i="60" s="1"/>
  <c r="AH199" i="60" a="1"/>
  <c r="AH199" i="60" s="1"/>
  <c r="T195" i="60" a="1"/>
  <c r="T195" i="60" s="1"/>
  <c r="AA192" i="60" a="1"/>
  <c r="AA192" i="60" s="1"/>
  <c r="T185" i="60" a="1"/>
  <c r="T185" i="60" s="1"/>
  <c r="M182" i="60" a="1"/>
  <c r="M182" i="60" s="1"/>
  <c r="M177" i="60" a="1"/>
  <c r="M177" i="60" s="1"/>
  <c r="F176" i="60" a="1"/>
  <c r="F176" i="60" s="1"/>
  <c r="AH174" i="60" a="1"/>
  <c r="AH174" i="60" s="1"/>
  <c r="AA171" i="60" a="1"/>
  <c r="AA171" i="60" s="1"/>
  <c r="T170" i="60" a="1"/>
  <c r="T170" i="60" s="1"/>
  <c r="AA169" i="60" a="1"/>
  <c r="AA169" i="60" s="1"/>
  <c r="T168" i="60" a="1"/>
  <c r="T168" i="60" s="1"/>
  <c r="AA167" i="60" a="1"/>
  <c r="AA167" i="60" s="1"/>
  <c r="T166" i="60" a="1"/>
  <c r="T166" i="60" s="1"/>
  <c r="AA165" i="60" a="1"/>
  <c r="AA165" i="60" s="1"/>
  <c r="T164" i="60" a="1"/>
  <c r="T164" i="60" s="1"/>
  <c r="AA163" i="60" a="1"/>
  <c r="AA163" i="60" s="1"/>
  <c r="T162" i="60" a="1"/>
  <c r="T162" i="60" s="1"/>
  <c r="AA161" i="60" a="1"/>
  <c r="AA161" i="60" s="1"/>
  <c r="AH160" i="60" a="1"/>
  <c r="AH160" i="60" s="1"/>
  <c r="F160" i="60" a="1"/>
  <c r="F160" i="60" s="1"/>
  <c r="M159" i="60" a="1"/>
  <c r="M159" i="60" s="1"/>
  <c r="F158" i="60" a="1"/>
  <c r="F158" i="60" s="1"/>
  <c r="F157" i="60" a="1"/>
  <c r="F157" i="60" s="1"/>
  <c r="M156" i="60" a="1"/>
  <c r="M156" i="60" s="1"/>
  <c r="F155" i="60" a="1"/>
  <c r="F155" i="60" s="1"/>
  <c r="M154" i="60" a="1"/>
  <c r="M154" i="60" s="1"/>
  <c r="F153" i="60" a="1"/>
  <c r="F153" i="60" s="1"/>
  <c r="M152" i="60" a="1"/>
  <c r="M152" i="60" s="1"/>
  <c r="F151" i="60" a="1"/>
  <c r="F151" i="60" s="1"/>
  <c r="M150" i="60" a="1"/>
  <c r="M150" i="60" s="1"/>
  <c r="T149" i="60" a="1"/>
  <c r="T149" i="60" s="1"/>
  <c r="AA148" i="60" a="1"/>
  <c r="AA148" i="60" s="1"/>
  <c r="AH147" i="60" a="1"/>
  <c r="AH147" i="60" s="1"/>
  <c r="F147" i="60" a="1"/>
  <c r="F147" i="60" s="1"/>
  <c r="M146" i="60" a="1"/>
  <c r="M146" i="60" s="1"/>
  <c r="T208" i="60" a="1"/>
  <c r="T208" i="60" s="1"/>
  <c r="AA193" i="60" a="1"/>
  <c r="AA193" i="60" s="1"/>
  <c r="AA184" i="60" a="1"/>
  <c r="AA184" i="60" s="1"/>
  <c r="AH180" i="60" a="1"/>
  <c r="AH180" i="60" s="1"/>
  <c r="M175" i="60" a="1"/>
  <c r="M175" i="60" s="1"/>
  <c r="F174" i="60" a="1"/>
  <c r="F174" i="60" s="1"/>
  <c r="AH170" i="60" a="1"/>
  <c r="AH170" i="60" s="1"/>
  <c r="F169" i="60" a="1"/>
  <c r="F169" i="60" s="1"/>
  <c r="M168" i="60" a="1"/>
  <c r="M168" i="60" s="1"/>
  <c r="F167" i="60" a="1"/>
  <c r="F167" i="60" s="1"/>
  <c r="M166" i="60" a="1"/>
  <c r="M166" i="60" s="1"/>
  <c r="F165" i="60" a="1"/>
  <c r="F165" i="60" s="1"/>
  <c r="M164" i="60" a="1"/>
  <c r="M164" i="60" s="1"/>
  <c r="F163" i="60" a="1"/>
  <c r="F163" i="60" s="1"/>
  <c r="M162" i="60" a="1"/>
  <c r="M162" i="60" s="1"/>
  <c r="T161" i="60" a="1"/>
  <c r="T161" i="60" s="1"/>
  <c r="AA160" i="60" a="1"/>
  <c r="AA160" i="60" s="1"/>
  <c r="AH159" i="60" a="1"/>
  <c r="AH159" i="60" s="1"/>
  <c r="F159" i="60" a="1"/>
  <c r="F159" i="60" s="1"/>
  <c r="M158" i="60" a="1"/>
  <c r="M158" i="60" s="1"/>
  <c r="M157" i="60" a="1"/>
  <c r="M157" i="60" s="1"/>
  <c r="AH156" i="60" a="1"/>
  <c r="AH156" i="60" s="1"/>
  <c r="F156" i="60" a="1"/>
  <c r="F156" i="60" s="1"/>
  <c r="M155" i="60" a="1"/>
  <c r="M155" i="60" s="1"/>
  <c r="AH154" i="60" a="1"/>
  <c r="AH154" i="60" s="1"/>
  <c r="F154" i="60" a="1"/>
  <c r="F154" i="60" s="1"/>
  <c r="M153" i="60" a="1"/>
  <c r="M153" i="60" s="1"/>
  <c r="AH152" i="60" a="1"/>
  <c r="AH152" i="60" s="1"/>
  <c r="F152" i="60" a="1"/>
  <c r="F152" i="60" s="1"/>
  <c r="M151" i="60" a="1"/>
  <c r="M151" i="60" s="1"/>
  <c r="AH150" i="60" a="1"/>
  <c r="AH150" i="60" s="1"/>
  <c r="F150" i="60" a="1"/>
  <c r="F150" i="60" s="1"/>
  <c r="M149" i="60" a="1"/>
  <c r="M149" i="60" s="1"/>
  <c r="T148" i="60" a="1"/>
  <c r="T148" i="60" s="1"/>
  <c r="AA147" i="60" a="1"/>
  <c r="AA147" i="60" s="1"/>
  <c r="AH146" i="60" a="1"/>
  <c r="AH146" i="60" s="1"/>
  <c r="T146" i="60" a="1"/>
  <c r="T146" i="60" s="1"/>
  <c r="F189" i="60" a="1"/>
  <c r="F189" i="60" s="1"/>
  <c r="F187" i="60" a="1"/>
  <c r="F187" i="60" s="1"/>
  <c r="AH183" i="60" a="1"/>
  <c r="AH183" i="60" s="1"/>
  <c r="M181" i="60" a="1"/>
  <c r="M181" i="60" s="1"/>
  <c r="F180" i="60" a="1"/>
  <c r="F180" i="60" s="1"/>
  <c r="AH178" i="60" a="1"/>
  <c r="AH178" i="60" s="1"/>
  <c r="M173" i="60" a="1"/>
  <c r="M173" i="60" s="1"/>
  <c r="M169" i="60" a="1"/>
  <c r="M169" i="60" s="1"/>
  <c r="AH168" i="60" a="1"/>
  <c r="AH168" i="60" s="1"/>
  <c r="F168" i="60" a="1"/>
  <c r="F168" i="60" s="1"/>
  <c r="M167" i="60" a="1"/>
  <c r="M167" i="60" s="1"/>
  <c r="AH166" i="60" a="1"/>
  <c r="AH166" i="60" s="1"/>
  <c r="F166" i="60" a="1"/>
  <c r="F166" i="60" s="1"/>
  <c r="M165" i="60" a="1"/>
  <c r="M165" i="60" s="1"/>
  <c r="AH164" i="60" a="1"/>
  <c r="AH164" i="60" s="1"/>
  <c r="F164" i="60" a="1"/>
  <c r="F164" i="60" s="1"/>
  <c r="M163" i="60" a="1"/>
  <c r="M163" i="60" s="1"/>
  <c r="AH162" i="60" a="1"/>
  <c r="AH162" i="60" s="1"/>
  <c r="F162" i="60" a="1"/>
  <c r="F162" i="60" s="1"/>
  <c r="M161" i="60" a="1"/>
  <c r="M161" i="60" s="1"/>
  <c r="T160" i="60" a="1"/>
  <c r="T160" i="60" s="1"/>
  <c r="AA159" i="60" a="1"/>
  <c r="AA159" i="60" s="1"/>
  <c r="AH158" i="60" a="1"/>
  <c r="AH158" i="60" s="1"/>
  <c r="T158" i="60" a="1"/>
  <c r="T158" i="60" s="1"/>
  <c r="AH157" i="60" a="1"/>
  <c r="AH157" i="60" s="1"/>
  <c r="T157" i="60" a="1"/>
  <c r="T157" i="60" s="1"/>
  <c r="AA156" i="60" a="1"/>
  <c r="AA156" i="60" s="1"/>
  <c r="AH155" i="60" a="1"/>
  <c r="AH155" i="60" s="1"/>
  <c r="T155" i="60" a="1"/>
  <c r="T155" i="60" s="1"/>
  <c r="AA154" i="60" a="1"/>
  <c r="AA154" i="60" s="1"/>
  <c r="AH153" i="60" a="1"/>
  <c r="AH153" i="60" s="1"/>
  <c r="T153" i="60" a="1"/>
  <c r="T153" i="60" s="1"/>
  <c r="AA152" i="60" a="1"/>
  <c r="AA152" i="60" s="1"/>
  <c r="AH151" i="60" a="1"/>
  <c r="AH151" i="60" s="1"/>
  <c r="T151" i="60" a="1"/>
  <c r="T151" i="60" s="1"/>
  <c r="AA150" i="60" a="1"/>
  <c r="AA150" i="60" s="1"/>
  <c r="AH149" i="60" a="1"/>
  <c r="AH149" i="60" s="1"/>
  <c r="F149" i="60" a="1"/>
  <c r="F149" i="60" s="1"/>
  <c r="M148" i="60" a="1"/>
  <c r="M148" i="60" s="1"/>
  <c r="T147" i="60" a="1"/>
  <c r="T147" i="60" s="1"/>
  <c r="AA146" i="60" a="1"/>
  <c r="AA146" i="60" s="1"/>
  <c r="T205" i="60" a="1"/>
  <c r="T205" i="60" s="1"/>
  <c r="AA198" i="60" a="1"/>
  <c r="AA198" i="60" s="1"/>
  <c r="T190" i="60" a="1"/>
  <c r="T190" i="60" s="1"/>
  <c r="M188" i="60" a="1"/>
  <c r="M188" i="60" s="1"/>
  <c r="M186" i="60" a="1"/>
  <c r="M186" i="60" s="1"/>
  <c r="F183" i="60" a="1"/>
  <c r="F183" i="60" s="1"/>
  <c r="M179" i="60" a="1"/>
  <c r="M179" i="60" s="1"/>
  <c r="F178" i="60" a="1"/>
  <c r="F178" i="60" s="1"/>
  <c r="AH176" i="60" a="1"/>
  <c r="AH176" i="60" s="1"/>
  <c r="T172" i="60" a="1"/>
  <c r="T172" i="60" s="1"/>
  <c r="AH169" i="60" a="1"/>
  <c r="AH169" i="60" s="1"/>
  <c r="T169" i="60" a="1"/>
  <c r="T169" i="60" s="1"/>
  <c r="AA168" i="60" a="1"/>
  <c r="AA168" i="60" s="1"/>
  <c r="AH167" i="60" a="1"/>
  <c r="AH167" i="60" s="1"/>
  <c r="T167" i="60" a="1"/>
  <c r="T167" i="60" s="1"/>
  <c r="AA166" i="60" a="1"/>
  <c r="AA166" i="60" s="1"/>
  <c r="AH165" i="60" a="1"/>
  <c r="AH165" i="60" s="1"/>
  <c r="T165" i="60" a="1"/>
  <c r="T165" i="60" s="1"/>
  <c r="AA164" i="60" a="1"/>
  <c r="AA164" i="60" s="1"/>
  <c r="AH163" i="60" a="1"/>
  <c r="AH163" i="60" s="1"/>
  <c r="T163" i="60" a="1"/>
  <c r="T163" i="60" s="1"/>
  <c r="AA162" i="60" a="1"/>
  <c r="AA162" i="60" s="1"/>
  <c r="AH161" i="60" a="1"/>
  <c r="AH161" i="60" s="1"/>
  <c r="F161" i="60" a="1"/>
  <c r="F161" i="60" s="1"/>
  <c r="M160" i="60" a="1"/>
  <c r="M160" i="60" s="1"/>
  <c r="T159" i="60" a="1"/>
  <c r="T159" i="60" s="1"/>
  <c r="AA158" i="60" a="1"/>
  <c r="AA158" i="60" s="1"/>
  <c r="AH401" i="60" a="1"/>
  <c r="AH401" i="60" s="1"/>
  <c r="AA400" i="60" a="1"/>
  <c r="AA400" i="60" s="1"/>
  <c r="AH403" i="60" a="1"/>
  <c r="AH403" i="60" s="1"/>
  <c r="AA403" i="60" a="1"/>
  <c r="AA403" i="60" s="1"/>
  <c r="T403" i="60" a="1"/>
  <c r="T403" i="60" s="1"/>
  <c r="M403" i="60" a="1"/>
  <c r="M403" i="60" s="1"/>
  <c r="F403" i="60" a="1"/>
  <c r="F403" i="60" s="1"/>
  <c r="AA401" i="60" a="1"/>
  <c r="AA401" i="60" s="1"/>
  <c r="T401" i="60" a="1"/>
  <c r="T401" i="60" s="1"/>
  <c r="M401" i="60" a="1"/>
  <c r="M401" i="60" s="1"/>
  <c r="F401" i="60" a="1"/>
  <c r="F401" i="60" s="1"/>
  <c r="AH402" i="60" a="1"/>
  <c r="AH402" i="60" s="1"/>
  <c r="M402" i="60" a="1"/>
  <c r="M402" i="60" s="1"/>
  <c r="AH400" i="60" a="1"/>
  <c r="AH400" i="60" s="1"/>
  <c r="M400" i="60" a="1"/>
  <c r="M400" i="60" s="1"/>
  <c r="T399" i="60" a="1"/>
  <c r="T399" i="60" s="1"/>
  <c r="T402" i="60" a="1"/>
  <c r="T402" i="60" s="1"/>
  <c r="T400" i="60" a="1"/>
  <c r="T400" i="60" s="1"/>
  <c r="AA399" i="60" a="1"/>
  <c r="AA399" i="60" s="1"/>
  <c r="AH398" i="60" a="1"/>
  <c r="AH398" i="60" s="1"/>
  <c r="F398" i="60" a="1"/>
  <c r="F398" i="60" s="1"/>
  <c r="AA402" i="60" a="1"/>
  <c r="AA402" i="60" s="1"/>
  <c r="AH399" i="60" a="1"/>
  <c r="AH399" i="60" s="1"/>
  <c r="F399" i="60" a="1"/>
  <c r="F399" i="60" s="1"/>
  <c r="M398" i="60" a="1"/>
  <c r="M398" i="60" s="1"/>
  <c r="F402" i="60" a="1"/>
  <c r="F402" i="60" s="1"/>
  <c r="F400" i="60" a="1"/>
  <c r="F400" i="60" s="1"/>
  <c r="M399" i="60" a="1"/>
  <c r="M399" i="60" s="1"/>
  <c r="AA398" i="60" a="1"/>
  <c r="AA398" i="60" s="1"/>
  <c r="T397" i="60" a="1"/>
  <c r="T397" i="60" s="1"/>
  <c r="M396" i="60" a="1"/>
  <c r="M396" i="60" s="1"/>
  <c r="T395" i="60" a="1"/>
  <c r="T395" i="60" s="1"/>
  <c r="M394" i="60" a="1"/>
  <c r="M394" i="60" s="1"/>
  <c r="AH397" i="60" a="1"/>
  <c r="AH397" i="60" s="1"/>
  <c r="AA397" i="60" a="1"/>
  <c r="AA397" i="60" s="1"/>
  <c r="T396" i="60" a="1"/>
  <c r="T396" i="60" s="1"/>
  <c r="AA395" i="60" a="1"/>
  <c r="AA395" i="60" s="1"/>
  <c r="T394" i="60" a="1"/>
  <c r="T394" i="60" s="1"/>
  <c r="F397" i="60" a="1"/>
  <c r="F397" i="60" s="1"/>
  <c r="AA396" i="60" a="1"/>
  <c r="AA396" i="60" s="1"/>
  <c r="AH395" i="60" a="1"/>
  <c r="AH395" i="60" s="1"/>
  <c r="F395" i="60" a="1"/>
  <c r="F395" i="60" s="1"/>
  <c r="AA394" i="60" a="1"/>
  <c r="AA394" i="60" s="1"/>
  <c r="T398" i="60" a="1"/>
  <c r="T398" i="60" s="1"/>
  <c r="M397" i="60" a="1"/>
  <c r="M397" i="60" s="1"/>
  <c r="AH396" i="60" a="1"/>
  <c r="AH396" i="60" s="1"/>
  <c r="F396" i="60" a="1"/>
  <c r="F396" i="60" s="1"/>
  <c r="M395" i="60" a="1"/>
  <c r="M395" i="60" s="1"/>
  <c r="AH394" i="60" a="1"/>
  <c r="AH394" i="60" s="1"/>
  <c r="F394" i="60" a="1"/>
  <c r="F394" i="60" s="1"/>
  <c r="AA393" i="60" a="1"/>
  <c r="AA393" i="60" s="1"/>
  <c r="T392" i="60" a="1"/>
  <c r="T392" i="60" s="1"/>
  <c r="M391" i="60" a="1"/>
  <c r="M391" i="60" s="1"/>
  <c r="AH390" i="60" a="1"/>
  <c r="AH390" i="60" s="1"/>
  <c r="F390" i="60" a="1"/>
  <c r="F390" i="60" s="1"/>
  <c r="AH389" i="60" a="1"/>
  <c r="AH389" i="60" s="1"/>
  <c r="AH388" i="60" a="1"/>
  <c r="AH388" i="60" s="1"/>
  <c r="F388" i="60" a="1"/>
  <c r="F388" i="60" s="1"/>
  <c r="AH387" i="60" a="1"/>
  <c r="AH387" i="60" s="1"/>
  <c r="AA387" i="60" a="1"/>
  <c r="AA387" i="60" s="1"/>
  <c r="M386" i="60" a="1"/>
  <c r="M386" i="60" s="1"/>
  <c r="AH393" i="60" a="1"/>
  <c r="AH393" i="60" s="1"/>
  <c r="F393" i="60" a="1"/>
  <c r="F393" i="60" s="1"/>
  <c r="AA392" i="60" a="1"/>
  <c r="AA392" i="60" s="1"/>
  <c r="T391" i="60" a="1"/>
  <c r="T391" i="60" s="1"/>
  <c r="M390" i="60" a="1"/>
  <c r="M390" i="60" s="1"/>
  <c r="F389" i="60" a="1"/>
  <c r="F389" i="60" s="1"/>
  <c r="M388" i="60" a="1"/>
  <c r="M388" i="60" s="1"/>
  <c r="F387" i="60" a="1"/>
  <c r="F387" i="60" s="1"/>
  <c r="T386" i="60" a="1"/>
  <c r="T386" i="60" s="1"/>
  <c r="M385" i="60" a="1"/>
  <c r="M385" i="60" s="1"/>
  <c r="M393" i="60" a="1"/>
  <c r="M393" i="60" s="1"/>
  <c r="AH392" i="60" a="1"/>
  <c r="AH392" i="60" s="1"/>
  <c r="F392" i="60" a="1"/>
  <c r="F392" i="60" s="1"/>
  <c r="AA391" i="60" a="1"/>
  <c r="AA391" i="60" s="1"/>
  <c r="T390" i="60" a="1"/>
  <c r="T390" i="60" s="1"/>
  <c r="M389" i="60" a="1"/>
  <c r="M389" i="60" s="1"/>
  <c r="T388" i="60" a="1"/>
  <c r="T388" i="60" s="1"/>
  <c r="M387" i="60" a="1"/>
  <c r="M387" i="60" s="1"/>
  <c r="AA386" i="60" a="1"/>
  <c r="AA386" i="60" s="1"/>
  <c r="T385" i="60" a="1"/>
  <c r="T385" i="60" s="1"/>
  <c r="T393" i="60" a="1"/>
  <c r="T393" i="60" s="1"/>
  <c r="M392" i="60" a="1"/>
  <c r="M392" i="60" s="1"/>
  <c r="AH391" i="60" a="1"/>
  <c r="AH391" i="60" s="1"/>
  <c r="F391" i="60" a="1"/>
  <c r="F391" i="60" s="1"/>
  <c r="AA390" i="60" a="1"/>
  <c r="AA390" i="60" s="1"/>
  <c r="AA389" i="60" a="1"/>
  <c r="AA389" i="60" s="1"/>
  <c r="T389" i="60" a="1"/>
  <c r="T389" i="60" s="1"/>
  <c r="AA388" i="60" a="1"/>
  <c r="AA388" i="60" s="1"/>
  <c r="T387" i="60" a="1"/>
  <c r="T387" i="60" s="1"/>
  <c r="AH386" i="60" a="1"/>
  <c r="AH386" i="60" s="1"/>
  <c r="F386" i="60" a="1"/>
  <c r="F386" i="60" s="1"/>
  <c r="AA385" i="60" a="1"/>
  <c r="AA385" i="60" s="1"/>
  <c r="F385" i="60" a="1"/>
  <c r="F385" i="60" s="1"/>
  <c r="T384" i="60" a="1"/>
  <c r="T384" i="60" s="1"/>
  <c r="AH383" i="60" a="1"/>
  <c r="AH383" i="60" s="1"/>
  <c r="T382" i="60" a="1"/>
  <c r="T382" i="60" s="1"/>
  <c r="T381" i="60" a="1"/>
  <c r="T381" i="60" s="1"/>
  <c r="M380" i="60" a="1"/>
  <c r="M380" i="60" s="1"/>
  <c r="AH379" i="60" a="1"/>
  <c r="AH379" i="60" s="1"/>
  <c r="AH384" i="60" a="1"/>
  <c r="AH384" i="60" s="1"/>
  <c r="AA384" i="60" a="1"/>
  <c r="AA384" i="60" s="1"/>
  <c r="AA383" i="60" a="1"/>
  <c r="AA383" i="60" s="1"/>
  <c r="T383" i="60" a="1"/>
  <c r="T383" i="60" s="1"/>
  <c r="M383" i="60" a="1"/>
  <c r="M383" i="60" s="1"/>
  <c r="F383" i="60" a="1"/>
  <c r="F383" i="60" s="1"/>
  <c r="AA382" i="60" a="1"/>
  <c r="AA382" i="60" s="1"/>
  <c r="AH381" i="60" a="1"/>
  <c r="AH381" i="60" s="1"/>
  <c r="AA381" i="60" a="1"/>
  <c r="AA381" i="60" s="1"/>
  <c r="T380" i="60" a="1"/>
  <c r="T380" i="60" s="1"/>
  <c r="F384" i="60" a="1"/>
  <c r="F384" i="60" s="1"/>
  <c r="AH382" i="60" a="1"/>
  <c r="AH382" i="60" s="1"/>
  <c r="F382" i="60" a="1"/>
  <c r="F382" i="60" s="1"/>
  <c r="F381" i="60" a="1"/>
  <c r="F381" i="60" s="1"/>
  <c r="AA380" i="60" a="1"/>
  <c r="AA380" i="60" s="1"/>
  <c r="T379" i="60" a="1"/>
  <c r="T379" i="60" s="1"/>
  <c r="AH385" i="60" a="1"/>
  <c r="AH385" i="60" s="1"/>
  <c r="M384" i="60" a="1"/>
  <c r="M384" i="60" s="1"/>
  <c r="M382" i="60" a="1"/>
  <c r="M382" i="60" s="1"/>
  <c r="M381" i="60" a="1"/>
  <c r="M381" i="60" s="1"/>
  <c r="AH380" i="60" a="1"/>
  <c r="AH380" i="60" s="1"/>
  <c r="F380" i="60" a="1"/>
  <c r="F380" i="60" s="1"/>
  <c r="AA379" i="60" a="1"/>
  <c r="AA379" i="60" s="1"/>
  <c r="M378" i="60" a="1"/>
  <c r="M378" i="60" s="1"/>
  <c r="AH377" i="60" a="1"/>
  <c r="AH377" i="60" s="1"/>
  <c r="F377" i="60" a="1"/>
  <c r="F377" i="60" s="1"/>
  <c r="F376" i="60" a="1"/>
  <c r="F376" i="60" s="1"/>
  <c r="F375" i="60" a="1"/>
  <c r="F375" i="60" s="1"/>
  <c r="F379" i="60" a="1"/>
  <c r="F379" i="60" s="1"/>
  <c r="T378" i="60" a="1"/>
  <c r="T378" i="60" s="1"/>
  <c r="M377" i="60" a="1"/>
  <c r="M377" i="60" s="1"/>
  <c r="M376" i="60" a="1"/>
  <c r="M376" i="60" s="1"/>
  <c r="M375" i="60" a="1"/>
  <c r="M375" i="60" s="1"/>
  <c r="M379" i="60" a="1"/>
  <c r="M379" i="60" s="1"/>
  <c r="AA378" i="60" a="1"/>
  <c r="AA378" i="60" s="1"/>
  <c r="T377" i="60" a="1"/>
  <c r="T377" i="60" s="1"/>
  <c r="T376" i="60" a="1"/>
  <c r="T376" i="60" s="1"/>
  <c r="T375" i="60" a="1"/>
  <c r="T375" i="60" s="1"/>
  <c r="AH378" i="60" a="1"/>
  <c r="AH378" i="60" s="1"/>
  <c r="F378" i="60" a="1"/>
  <c r="F378" i="60" s="1"/>
  <c r="AA377" i="60" a="1"/>
  <c r="AA377" i="60" s="1"/>
  <c r="AH376" i="60" a="1"/>
  <c r="AH376" i="60" s="1"/>
  <c r="AA376" i="60" a="1"/>
  <c r="AA376" i="60" s="1"/>
  <c r="AH375" i="60" a="1"/>
  <c r="AH375" i="60" s="1"/>
  <c r="AA375" i="60" a="1"/>
  <c r="AA375" i="60" s="1"/>
  <c r="AH374" i="60" a="1"/>
  <c r="AH374" i="60" s="1"/>
  <c r="AA374" i="60" a="1"/>
  <c r="AA374" i="60" s="1"/>
  <c r="AA372" i="60" a="1"/>
  <c r="AA372" i="60" s="1"/>
  <c r="AH371" i="60" a="1"/>
  <c r="AH371" i="60" s="1"/>
  <c r="AA370" i="60" a="1"/>
  <c r="AA370" i="60" s="1"/>
  <c r="AH369" i="60" a="1"/>
  <c r="AH369" i="60" s="1"/>
  <c r="T369" i="60" a="1"/>
  <c r="T369" i="60" s="1"/>
  <c r="AA368" i="60" a="1"/>
  <c r="AA368" i="60" s="1"/>
  <c r="AH367" i="60" a="1"/>
  <c r="AH367" i="60" s="1"/>
  <c r="T367" i="60" a="1"/>
  <c r="T367" i="60" s="1"/>
  <c r="AA366" i="60" a="1"/>
  <c r="AA366" i="60" s="1"/>
  <c r="AH365" i="60" a="1"/>
  <c r="AH365" i="60" s="1"/>
  <c r="F365" i="60" a="1"/>
  <c r="F365" i="60" s="1"/>
  <c r="M364" i="60" a="1"/>
  <c r="M364" i="60" s="1"/>
  <c r="T363" i="60" a="1"/>
  <c r="T363" i="60" s="1"/>
  <c r="AA362" i="60" a="1"/>
  <c r="AA362" i="60" s="1"/>
  <c r="AA361" i="60" a="1"/>
  <c r="AA361" i="60" s="1"/>
  <c r="T360" i="60" a="1"/>
  <c r="T360" i="60" s="1"/>
  <c r="AA359" i="60" a="1"/>
  <c r="AA359" i="60" s="1"/>
  <c r="T358" i="60" a="1"/>
  <c r="T358" i="60" s="1"/>
  <c r="AA357" i="60" a="1"/>
  <c r="AA357" i="60" s="1"/>
  <c r="T356" i="60" a="1"/>
  <c r="T356" i="60" s="1"/>
  <c r="AA355" i="60" a="1"/>
  <c r="AA355" i="60" s="1"/>
  <c r="T354" i="60" a="1"/>
  <c r="T354" i="60" s="1"/>
  <c r="AA353" i="60" a="1"/>
  <c r="AA353" i="60" s="1"/>
  <c r="AH352" i="60" a="1"/>
  <c r="AH352" i="60" s="1"/>
  <c r="F352" i="60" a="1"/>
  <c r="F352" i="60" s="1"/>
  <c r="M351" i="60" a="1"/>
  <c r="M351" i="60" s="1"/>
  <c r="F350" i="60" a="1"/>
  <c r="F350" i="60" s="1"/>
  <c r="F374" i="60" a="1"/>
  <c r="F374" i="60" s="1"/>
  <c r="AA373" i="60" a="1"/>
  <c r="AA373" i="60" s="1"/>
  <c r="T373" i="60" a="1"/>
  <c r="T373" i="60" s="1"/>
  <c r="M373" i="60" a="1"/>
  <c r="M373" i="60" s="1"/>
  <c r="F373" i="60" a="1"/>
  <c r="F373" i="60" s="1"/>
  <c r="T372" i="60" a="1"/>
  <c r="T372" i="60" s="1"/>
  <c r="AA371" i="60" a="1"/>
  <c r="AA371" i="60" s="1"/>
  <c r="T371" i="60" a="1"/>
  <c r="T371" i="60" s="1"/>
  <c r="M371" i="60" a="1"/>
  <c r="M371" i="60" s="1"/>
  <c r="F371" i="60" a="1"/>
  <c r="F371" i="60" s="1"/>
  <c r="T370" i="60" a="1"/>
  <c r="T370" i="60" s="1"/>
  <c r="AA369" i="60" a="1"/>
  <c r="AA369" i="60" s="1"/>
  <c r="T368" i="60" a="1"/>
  <c r="T368" i="60" s="1"/>
  <c r="AA367" i="60" a="1"/>
  <c r="AA367" i="60" s="1"/>
  <c r="T366" i="60" a="1"/>
  <c r="T366" i="60" s="1"/>
  <c r="AA365" i="60" a="1"/>
  <c r="AA365" i="60" s="1"/>
  <c r="AH364" i="60" a="1"/>
  <c r="AH364" i="60" s="1"/>
  <c r="F364" i="60" a="1"/>
  <c r="F364" i="60" s="1"/>
  <c r="M363" i="60" a="1"/>
  <c r="M363" i="60" s="1"/>
  <c r="F362" i="60" a="1"/>
  <c r="F362" i="60" s="1"/>
  <c r="F361" i="60" a="1"/>
  <c r="F361" i="60" s="1"/>
  <c r="M360" i="60" a="1"/>
  <c r="M360" i="60" s="1"/>
  <c r="F359" i="60" a="1"/>
  <c r="F359" i="60" s="1"/>
  <c r="M358" i="60" a="1"/>
  <c r="M358" i="60" s="1"/>
  <c r="F357" i="60" a="1"/>
  <c r="F357" i="60" s="1"/>
  <c r="M356" i="60" a="1"/>
  <c r="M356" i="60" s="1"/>
  <c r="F355" i="60" a="1"/>
  <c r="F355" i="60" s="1"/>
  <c r="M354" i="60" a="1"/>
  <c r="M354" i="60" s="1"/>
  <c r="T353" i="60" a="1"/>
  <c r="T353" i="60" s="1"/>
  <c r="AA352" i="60" a="1"/>
  <c r="AA352" i="60" s="1"/>
  <c r="AH351" i="60" a="1"/>
  <c r="AH351" i="60" s="1"/>
  <c r="F351" i="60" a="1"/>
  <c r="F351" i="60" s="1"/>
  <c r="M350" i="60" a="1"/>
  <c r="M350" i="60" s="1"/>
  <c r="M374" i="60" a="1"/>
  <c r="M374" i="60" s="1"/>
  <c r="M372" i="60" a="1"/>
  <c r="M372" i="60" s="1"/>
  <c r="M370" i="60" a="1"/>
  <c r="M370" i="60" s="1"/>
  <c r="F369" i="60" a="1"/>
  <c r="F369" i="60" s="1"/>
  <c r="M368" i="60" a="1"/>
  <c r="M368" i="60" s="1"/>
  <c r="F367" i="60" a="1"/>
  <c r="F367" i="60" s="1"/>
  <c r="M366" i="60" a="1"/>
  <c r="M366" i="60" s="1"/>
  <c r="T365" i="60" a="1"/>
  <c r="T365" i="60" s="1"/>
  <c r="AA364" i="60" a="1"/>
  <c r="AA364" i="60" s="1"/>
  <c r="AH363" i="60" a="1"/>
  <c r="AH363" i="60" s="1"/>
  <c r="F363" i="60" a="1"/>
  <c r="F363" i="60" s="1"/>
  <c r="M362" i="60" a="1"/>
  <c r="M362" i="60" s="1"/>
  <c r="M361" i="60" a="1"/>
  <c r="M361" i="60" s="1"/>
  <c r="AH360" i="60" a="1"/>
  <c r="AH360" i="60" s="1"/>
  <c r="F360" i="60" a="1"/>
  <c r="F360" i="60" s="1"/>
  <c r="M359" i="60" a="1"/>
  <c r="M359" i="60" s="1"/>
  <c r="AH358" i="60" a="1"/>
  <c r="AH358" i="60" s="1"/>
  <c r="F358" i="60" a="1"/>
  <c r="F358" i="60" s="1"/>
  <c r="M357" i="60" a="1"/>
  <c r="M357" i="60" s="1"/>
  <c r="AH356" i="60" a="1"/>
  <c r="AH356" i="60" s="1"/>
  <c r="F356" i="60" a="1"/>
  <c r="F356" i="60" s="1"/>
  <c r="M355" i="60" a="1"/>
  <c r="M355" i="60" s="1"/>
  <c r="AH354" i="60" a="1"/>
  <c r="AH354" i="60" s="1"/>
  <c r="F354" i="60" a="1"/>
  <c r="F354" i="60" s="1"/>
  <c r="M353" i="60" a="1"/>
  <c r="M353" i="60" s="1"/>
  <c r="T352" i="60" a="1"/>
  <c r="T352" i="60" s="1"/>
  <c r="AA351" i="60" a="1"/>
  <c r="AA351" i="60" s="1"/>
  <c r="AH350" i="60" a="1"/>
  <c r="AH350" i="60" s="1"/>
  <c r="T350" i="60" a="1"/>
  <c r="T350" i="60" s="1"/>
  <c r="T374" i="60" a="1"/>
  <c r="T374" i="60" s="1"/>
  <c r="AH373" i="60" a="1"/>
  <c r="AH373" i="60" s="1"/>
  <c r="AH372" i="60" a="1"/>
  <c r="AH372" i="60" s="1"/>
  <c r="F372" i="60" a="1"/>
  <c r="F372" i="60" s="1"/>
  <c r="AH370" i="60" a="1"/>
  <c r="AH370" i="60" s="1"/>
  <c r="F370" i="60" a="1"/>
  <c r="F370" i="60" s="1"/>
  <c r="M369" i="60" a="1"/>
  <c r="M369" i="60" s="1"/>
  <c r="AH368" i="60" a="1"/>
  <c r="AH368" i="60" s="1"/>
  <c r="F368" i="60" a="1"/>
  <c r="F368" i="60" s="1"/>
  <c r="M367" i="60" a="1"/>
  <c r="M367" i="60" s="1"/>
  <c r="AH366" i="60" a="1"/>
  <c r="AH366" i="60" s="1"/>
  <c r="F366" i="60" a="1"/>
  <c r="F366" i="60" s="1"/>
  <c r="M365" i="60" a="1"/>
  <c r="M365" i="60" s="1"/>
  <c r="T364" i="60" a="1"/>
  <c r="T364" i="60" s="1"/>
  <c r="AA363" i="60" a="1"/>
  <c r="AA363" i="60" s="1"/>
  <c r="AH362" i="60" a="1"/>
  <c r="AH362" i="60" s="1"/>
  <c r="T362" i="60" a="1"/>
  <c r="T362" i="60" s="1"/>
  <c r="AH361" i="60" a="1"/>
  <c r="AH361" i="60" s="1"/>
  <c r="T361" i="60" a="1"/>
  <c r="T361" i="60" s="1"/>
  <c r="AA360" i="60" a="1"/>
  <c r="AA360" i="60" s="1"/>
  <c r="AH359" i="60" a="1"/>
  <c r="AH359" i="60" s="1"/>
  <c r="T359" i="60" a="1"/>
  <c r="T359" i="60" s="1"/>
  <c r="AA358" i="60" a="1"/>
  <c r="AA358" i="60" s="1"/>
  <c r="AH357" i="60" a="1"/>
  <c r="AH357" i="60" s="1"/>
  <c r="T357" i="60" a="1"/>
  <c r="T357" i="60" s="1"/>
  <c r="AA356" i="60" a="1"/>
  <c r="AA356" i="60" s="1"/>
  <c r="AH355" i="60" a="1"/>
  <c r="AH355" i="60" s="1"/>
  <c r="T355" i="60" a="1"/>
  <c r="T355" i="60" s="1"/>
  <c r="AA354" i="60" a="1"/>
  <c r="AA354" i="60" s="1"/>
  <c r="AH353" i="60" a="1"/>
  <c r="AH353" i="60" s="1"/>
  <c r="F353" i="60" a="1"/>
  <c r="F353" i="60" s="1"/>
  <c r="M352" i="60" a="1"/>
  <c r="M352" i="60" s="1"/>
  <c r="T351" i="60" a="1"/>
  <c r="T351" i="60" s="1"/>
  <c r="AA350" i="60" a="1"/>
  <c r="AA350" i="60" s="1"/>
  <c r="AA349" i="60" a="1"/>
  <c r="AA349" i="60" s="1"/>
  <c r="T348" i="60" a="1"/>
  <c r="T348" i="60" s="1"/>
  <c r="AA347" i="60" a="1"/>
  <c r="AA347" i="60" s="1"/>
  <c r="T346" i="60" a="1"/>
  <c r="T346" i="60" s="1"/>
  <c r="AA345" i="60" a="1"/>
  <c r="AA345" i="60" s="1"/>
  <c r="T344" i="60" a="1"/>
  <c r="T344" i="60" s="1"/>
  <c r="AA343" i="60" a="1"/>
  <c r="AA343" i="60" s="1"/>
  <c r="T342" i="60" a="1"/>
  <c r="T342" i="60" s="1"/>
  <c r="AA341" i="60" a="1"/>
  <c r="AA341" i="60" s="1"/>
  <c r="AH340" i="60" a="1"/>
  <c r="AH340" i="60" s="1"/>
  <c r="F340" i="60" a="1"/>
  <c r="F340" i="60" s="1"/>
  <c r="M339" i="60" a="1"/>
  <c r="M339" i="60" s="1"/>
  <c r="F338" i="60" a="1"/>
  <c r="F338" i="60" s="1"/>
  <c r="F337" i="60" a="1"/>
  <c r="F337" i="60" s="1"/>
  <c r="M336" i="60" a="1"/>
  <c r="M336" i="60" s="1"/>
  <c r="F335" i="60" a="1"/>
  <c r="F335" i="60" s="1"/>
  <c r="M334" i="60" a="1"/>
  <c r="M334" i="60" s="1"/>
  <c r="F333" i="60" a="1"/>
  <c r="F333" i="60" s="1"/>
  <c r="M332" i="60" a="1"/>
  <c r="M332" i="60" s="1"/>
  <c r="F331" i="60" a="1"/>
  <c r="F331" i="60" s="1"/>
  <c r="M330" i="60" a="1"/>
  <c r="M330" i="60" s="1"/>
  <c r="T329" i="60" a="1"/>
  <c r="T329" i="60" s="1"/>
  <c r="AA328" i="60" a="1"/>
  <c r="AA328" i="60" s="1"/>
  <c r="AH327" i="60" a="1"/>
  <c r="AH327" i="60" s="1"/>
  <c r="F327" i="60" a="1"/>
  <c r="F327" i="60" s="1"/>
  <c r="M326" i="60" a="1"/>
  <c r="M326" i="60" s="1"/>
  <c r="AA325" i="60" a="1"/>
  <c r="AA325" i="60" s="1"/>
  <c r="T325" i="60" a="1"/>
  <c r="T325" i="60" s="1"/>
  <c r="M325" i="60" a="1"/>
  <c r="M325" i="60" s="1"/>
  <c r="F325" i="60" a="1"/>
  <c r="F325" i="60" s="1"/>
  <c r="T324" i="60" a="1"/>
  <c r="T324" i="60" s="1"/>
  <c r="AA322" i="60" a="1"/>
  <c r="AA322" i="60" s="1"/>
  <c r="AH321" i="60" a="1"/>
  <c r="AH321" i="60" s="1"/>
  <c r="AH320" i="60" a="1"/>
  <c r="AH320" i="60" s="1"/>
  <c r="F320" i="60" a="1"/>
  <c r="F320" i="60" s="1"/>
  <c r="M318" i="60" a="1"/>
  <c r="M318" i="60" s="1"/>
  <c r="AA317" i="60" a="1"/>
  <c r="AA317" i="60" s="1"/>
  <c r="M317" i="60" a="1"/>
  <c r="M317" i="60" s="1"/>
  <c r="AH316" i="60" a="1"/>
  <c r="AH316" i="60" s="1"/>
  <c r="F316" i="60" a="1"/>
  <c r="F316" i="60" s="1"/>
  <c r="AA314" i="60" a="1"/>
  <c r="AA314" i="60" s="1"/>
  <c r="AH313" i="60" a="1"/>
  <c r="AH313" i="60" s="1"/>
  <c r="T313" i="60" a="1"/>
  <c r="T313" i="60" s="1"/>
  <c r="AA312" i="60" a="1"/>
  <c r="AA312" i="60" s="1"/>
  <c r="AH311" i="60" a="1"/>
  <c r="AH311" i="60" s="1"/>
  <c r="T311" i="60" a="1"/>
  <c r="T311" i="60" s="1"/>
  <c r="AA310" i="60" a="1"/>
  <c r="AA310" i="60" s="1"/>
  <c r="AH309" i="60" a="1"/>
  <c r="AH309" i="60" s="1"/>
  <c r="T309" i="60" a="1"/>
  <c r="T309" i="60" s="1"/>
  <c r="AA308" i="60" a="1"/>
  <c r="AA308" i="60" s="1"/>
  <c r="AH307" i="60" a="1"/>
  <c r="AH307" i="60" s="1"/>
  <c r="T307" i="60" a="1"/>
  <c r="T307" i="60" s="1"/>
  <c r="AA306" i="60" a="1"/>
  <c r="AA306" i="60" s="1"/>
  <c r="AH305" i="60" a="1"/>
  <c r="AH305" i="60" s="1"/>
  <c r="F305" i="60" a="1"/>
  <c r="F305" i="60" s="1"/>
  <c r="M304" i="60" a="1"/>
  <c r="M304" i="60" s="1"/>
  <c r="T303" i="60" a="1"/>
  <c r="T303" i="60" s="1"/>
  <c r="AA302" i="60" a="1"/>
  <c r="AA302" i="60" s="1"/>
  <c r="F349" i="60" a="1"/>
  <c r="F349" i="60" s="1"/>
  <c r="M348" i="60" a="1"/>
  <c r="M348" i="60" s="1"/>
  <c r="F347" i="60" a="1"/>
  <c r="F347" i="60" s="1"/>
  <c r="M346" i="60" a="1"/>
  <c r="M346" i="60" s="1"/>
  <c r="F345" i="60" a="1"/>
  <c r="F345" i="60" s="1"/>
  <c r="M344" i="60" a="1"/>
  <c r="M344" i="60" s="1"/>
  <c r="F343" i="60" a="1"/>
  <c r="F343" i="60" s="1"/>
  <c r="M342" i="60" a="1"/>
  <c r="M342" i="60" s="1"/>
  <c r="T341" i="60" a="1"/>
  <c r="T341" i="60" s="1"/>
  <c r="AA340" i="60" a="1"/>
  <c r="AA340" i="60" s="1"/>
  <c r="AH339" i="60" a="1"/>
  <c r="AH339" i="60" s="1"/>
  <c r="F339" i="60" a="1"/>
  <c r="F339" i="60" s="1"/>
  <c r="M338" i="60" a="1"/>
  <c r="M338" i="60" s="1"/>
  <c r="M337" i="60" a="1"/>
  <c r="M337" i="60" s="1"/>
  <c r="AH336" i="60" a="1"/>
  <c r="AH336" i="60" s="1"/>
  <c r="F336" i="60" a="1"/>
  <c r="F336" i="60" s="1"/>
  <c r="M335" i="60" a="1"/>
  <c r="M335" i="60" s="1"/>
  <c r="AH334" i="60" a="1"/>
  <c r="AH334" i="60" s="1"/>
  <c r="F334" i="60" a="1"/>
  <c r="F334" i="60" s="1"/>
  <c r="M333" i="60" a="1"/>
  <c r="M333" i="60" s="1"/>
  <c r="AH332" i="60" a="1"/>
  <c r="AH332" i="60" s="1"/>
  <c r="F332" i="60" a="1"/>
  <c r="F332" i="60" s="1"/>
  <c r="M331" i="60" a="1"/>
  <c r="M331" i="60" s="1"/>
  <c r="AH330" i="60" a="1"/>
  <c r="AH330" i="60" s="1"/>
  <c r="F330" i="60" a="1"/>
  <c r="F330" i="60" s="1"/>
  <c r="M329" i="60" a="1"/>
  <c r="M329" i="60" s="1"/>
  <c r="T328" i="60" a="1"/>
  <c r="T328" i="60" s="1"/>
  <c r="AA327" i="60" a="1"/>
  <c r="AA327" i="60" s="1"/>
  <c r="AH326" i="60" a="1"/>
  <c r="AH326" i="60" s="1"/>
  <c r="T326" i="60" a="1"/>
  <c r="T326" i="60" s="1"/>
  <c r="M324" i="60" a="1"/>
  <c r="M324" i="60" s="1"/>
  <c r="AA323" i="60" a="1"/>
  <c r="AA323" i="60" s="1"/>
  <c r="T323" i="60" a="1"/>
  <c r="T323" i="60" s="1"/>
  <c r="M323" i="60" a="1"/>
  <c r="M323" i="60" s="1"/>
  <c r="F323" i="60" a="1"/>
  <c r="F323" i="60" s="1"/>
  <c r="T322" i="60" a="1"/>
  <c r="T322" i="60" s="1"/>
  <c r="AA320" i="60" a="1"/>
  <c r="AA320" i="60" s="1"/>
  <c r="AH319" i="60" a="1"/>
  <c r="AH319" i="60" s="1"/>
  <c r="AH318" i="60" a="1"/>
  <c r="AH318" i="60" s="1"/>
  <c r="F318" i="60" a="1"/>
  <c r="F318" i="60" s="1"/>
  <c r="AA316" i="60" a="1"/>
  <c r="AA316" i="60" s="1"/>
  <c r="AH315" i="60" a="1"/>
  <c r="AH315" i="60" s="1"/>
  <c r="T315" i="60" a="1"/>
  <c r="T315" i="60" s="1"/>
  <c r="F315" i="60" a="1"/>
  <c r="F315" i="60" s="1"/>
  <c r="F314" i="60" a="1"/>
  <c r="F314" i="60" s="1"/>
  <c r="AA313" i="60" a="1"/>
  <c r="AA313" i="60" s="1"/>
  <c r="T312" i="60" a="1"/>
  <c r="T312" i="60" s="1"/>
  <c r="AA311" i="60" a="1"/>
  <c r="AA311" i="60" s="1"/>
  <c r="T310" i="60" a="1"/>
  <c r="T310" i="60" s="1"/>
  <c r="AA309" i="60" a="1"/>
  <c r="AA309" i="60" s="1"/>
  <c r="T308" i="60" a="1"/>
  <c r="T308" i="60" s="1"/>
  <c r="AA307" i="60" a="1"/>
  <c r="AA307" i="60" s="1"/>
  <c r="T306" i="60" a="1"/>
  <c r="T306" i="60" s="1"/>
  <c r="AA305" i="60" a="1"/>
  <c r="AA305" i="60" s="1"/>
  <c r="AH304" i="60" a="1"/>
  <c r="AH304" i="60" s="1"/>
  <c r="F304" i="60" a="1"/>
  <c r="F304" i="60" s="1"/>
  <c r="M303" i="60" a="1"/>
  <c r="M303" i="60" s="1"/>
  <c r="F302" i="60" a="1"/>
  <c r="F302" i="60" s="1"/>
  <c r="M349" i="60" a="1"/>
  <c r="M349" i="60" s="1"/>
  <c r="AH348" i="60" a="1"/>
  <c r="AH348" i="60" s="1"/>
  <c r="F348" i="60" a="1"/>
  <c r="F348" i="60" s="1"/>
  <c r="M347" i="60" a="1"/>
  <c r="M347" i="60" s="1"/>
  <c r="AH346" i="60" a="1"/>
  <c r="AH346" i="60" s="1"/>
  <c r="F346" i="60" a="1"/>
  <c r="F346" i="60" s="1"/>
  <c r="M345" i="60" a="1"/>
  <c r="M345" i="60" s="1"/>
  <c r="AH344" i="60" a="1"/>
  <c r="AH344" i="60" s="1"/>
  <c r="F344" i="60" a="1"/>
  <c r="F344" i="60" s="1"/>
  <c r="M343" i="60" a="1"/>
  <c r="M343" i="60" s="1"/>
  <c r="AH342" i="60" a="1"/>
  <c r="AH342" i="60" s="1"/>
  <c r="F342" i="60" a="1"/>
  <c r="F342" i="60" s="1"/>
  <c r="M341" i="60" a="1"/>
  <c r="M341" i="60" s="1"/>
  <c r="T340" i="60" a="1"/>
  <c r="T340" i="60" s="1"/>
  <c r="AA339" i="60" a="1"/>
  <c r="AA339" i="60" s="1"/>
  <c r="AH338" i="60" a="1"/>
  <c r="AH338" i="60" s="1"/>
  <c r="T338" i="60" a="1"/>
  <c r="T338" i="60" s="1"/>
  <c r="AH337" i="60" a="1"/>
  <c r="AH337" i="60" s="1"/>
  <c r="T337" i="60" a="1"/>
  <c r="T337" i="60" s="1"/>
  <c r="AA336" i="60" a="1"/>
  <c r="AA336" i="60" s="1"/>
  <c r="AH335" i="60" a="1"/>
  <c r="AH335" i="60" s="1"/>
  <c r="T335" i="60" a="1"/>
  <c r="T335" i="60" s="1"/>
  <c r="AA334" i="60" a="1"/>
  <c r="AA334" i="60" s="1"/>
  <c r="AH333" i="60" a="1"/>
  <c r="AH333" i="60" s="1"/>
  <c r="T333" i="60" a="1"/>
  <c r="T333" i="60" s="1"/>
  <c r="AA332" i="60" a="1"/>
  <c r="AA332" i="60" s="1"/>
  <c r="AH331" i="60" a="1"/>
  <c r="AH331" i="60" s="1"/>
  <c r="T331" i="60" a="1"/>
  <c r="T331" i="60" s="1"/>
  <c r="AA330" i="60" a="1"/>
  <c r="AA330" i="60" s="1"/>
  <c r="AH329" i="60" a="1"/>
  <c r="AH329" i="60" s="1"/>
  <c r="F329" i="60" a="1"/>
  <c r="F329" i="60" s="1"/>
  <c r="M328" i="60" a="1"/>
  <c r="M328" i="60" s="1"/>
  <c r="T327" i="60" a="1"/>
  <c r="T327" i="60" s="1"/>
  <c r="AA326" i="60" a="1"/>
  <c r="AA326" i="60" s="1"/>
  <c r="AH325" i="60" a="1"/>
  <c r="AH325" i="60" s="1"/>
  <c r="AH324" i="60" a="1"/>
  <c r="AH324" i="60" s="1"/>
  <c r="F324" i="60" a="1"/>
  <c r="F324" i="60" s="1"/>
  <c r="M322" i="60" a="1"/>
  <c r="M322" i="60" s="1"/>
  <c r="AA321" i="60" a="1"/>
  <c r="AA321" i="60" s="1"/>
  <c r="T321" i="60" a="1"/>
  <c r="T321" i="60" s="1"/>
  <c r="M321" i="60" a="1"/>
  <c r="M321" i="60" s="1"/>
  <c r="F321" i="60" a="1"/>
  <c r="F321" i="60" s="1"/>
  <c r="T320" i="60" a="1"/>
  <c r="T320" i="60" s="1"/>
  <c r="AA318" i="60" a="1"/>
  <c r="AA318" i="60" s="1"/>
  <c r="AH317" i="60" a="1"/>
  <c r="AH317" i="60" s="1"/>
  <c r="T317" i="60" a="1"/>
  <c r="T317" i="60" s="1"/>
  <c r="F317" i="60" a="1"/>
  <c r="F317" i="60" s="1"/>
  <c r="T316" i="60" a="1"/>
  <c r="T316" i="60" s="1"/>
  <c r="M314" i="60" a="1"/>
  <c r="M314" i="60" s="1"/>
  <c r="F313" i="60" a="1"/>
  <c r="F313" i="60" s="1"/>
  <c r="M312" i="60" a="1"/>
  <c r="M312" i="60" s="1"/>
  <c r="F311" i="60" a="1"/>
  <c r="F311" i="60" s="1"/>
  <c r="M310" i="60" a="1"/>
  <c r="M310" i="60" s="1"/>
  <c r="F309" i="60" a="1"/>
  <c r="F309" i="60" s="1"/>
  <c r="M308" i="60" a="1"/>
  <c r="M308" i="60" s="1"/>
  <c r="F307" i="60" a="1"/>
  <c r="F307" i="60" s="1"/>
  <c r="M306" i="60" a="1"/>
  <c r="M306" i="60" s="1"/>
  <c r="T305" i="60" a="1"/>
  <c r="T305" i="60" s="1"/>
  <c r="AA304" i="60" a="1"/>
  <c r="AA304" i="60" s="1"/>
  <c r="AH303" i="60" a="1"/>
  <c r="AH303" i="60" s="1"/>
  <c r="F303" i="60" a="1"/>
  <c r="F303" i="60" s="1"/>
  <c r="M302" i="60" a="1"/>
  <c r="M302" i="60" s="1"/>
  <c r="AH349" i="60" a="1"/>
  <c r="AH349" i="60" s="1"/>
  <c r="T349" i="60" a="1"/>
  <c r="T349" i="60" s="1"/>
  <c r="AA348" i="60" a="1"/>
  <c r="AA348" i="60" s="1"/>
  <c r="AH347" i="60" a="1"/>
  <c r="AH347" i="60" s="1"/>
  <c r="T347" i="60" a="1"/>
  <c r="T347" i="60" s="1"/>
  <c r="AA346" i="60" a="1"/>
  <c r="AA346" i="60" s="1"/>
  <c r="AH345" i="60" a="1"/>
  <c r="AH345" i="60" s="1"/>
  <c r="T345" i="60" a="1"/>
  <c r="T345" i="60" s="1"/>
  <c r="AA344" i="60" a="1"/>
  <c r="AA344" i="60" s="1"/>
  <c r="AH343" i="60" a="1"/>
  <c r="AH343" i="60" s="1"/>
  <c r="T343" i="60" a="1"/>
  <c r="T343" i="60" s="1"/>
  <c r="AA342" i="60" a="1"/>
  <c r="AA342" i="60" s="1"/>
  <c r="AH341" i="60" a="1"/>
  <c r="AH341" i="60" s="1"/>
  <c r="AQ341" i="60" s="1"/>
  <c r="F341" i="60" a="1"/>
  <c r="F341" i="60" s="1"/>
  <c r="M340" i="60" a="1"/>
  <c r="M340" i="60" s="1"/>
  <c r="T339" i="60" a="1"/>
  <c r="T339" i="60" s="1"/>
  <c r="AA338" i="60" a="1"/>
  <c r="AA338" i="60" s="1"/>
  <c r="AA337" i="60" a="1"/>
  <c r="AA337" i="60" s="1"/>
  <c r="T336" i="60" a="1"/>
  <c r="T336" i="60" s="1"/>
  <c r="AA335" i="60" a="1"/>
  <c r="AA335" i="60" s="1"/>
  <c r="T334" i="60" a="1"/>
  <c r="T334" i="60" s="1"/>
  <c r="AA333" i="60" a="1"/>
  <c r="AA333" i="60" s="1"/>
  <c r="T332" i="60" a="1"/>
  <c r="T332" i="60" s="1"/>
  <c r="AA331" i="60" a="1"/>
  <c r="AA331" i="60" s="1"/>
  <c r="T330" i="60" a="1"/>
  <c r="T330" i="60" s="1"/>
  <c r="AA329" i="60" a="1"/>
  <c r="AA329" i="60" s="1"/>
  <c r="AH328" i="60" a="1"/>
  <c r="AH328" i="60" s="1"/>
  <c r="F328" i="60" a="1"/>
  <c r="F328" i="60" s="1"/>
  <c r="M327" i="60" a="1"/>
  <c r="M327" i="60" s="1"/>
  <c r="F326" i="60" a="1"/>
  <c r="F326" i="60" s="1"/>
  <c r="AA324" i="60" a="1"/>
  <c r="AA324" i="60" s="1"/>
  <c r="AH323" i="60" a="1"/>
  <c r="AH323" i="60" s="1"/>
  <c r="AH322" i="60" a="1"/>
  <c r="AH322" i="60" s="1"/>
  <c r="F322" i="60" a="1"/>
  <c r="F322" i="60" s="1"/>
  <c r="M320" i="60" a="1"/>
  <c r="M320" i="60" s="1"/>
  <c r="AA319" i="60" a="1"/>
  <c r="AA319" i="60" s="1"/>
  <c r="T319" i="60" a="1"/>
  <c r="T319" i="60" s="1"/>
  <c r="M319" i="60" a="1"/>
  <c r="M319" i="60" s="1"/>
  <c r="F319" i="60" a="1"/>
  <c r="F319" i="60" s="1"/>
  <c r="T318" i="60" a="1"/>
  <c r="T318" i="60" s="1"/>
  <c r="M316" i="60" a="1"/>
  <c r="M316" i="60" s="1"/>
  <c r="AA315" i="60" a="1"/>
  <c r="AA315" i="60" s="1"/>
  <c r="M315" i="60" a="1"/>
  <c r="M315" i="60" s="1"/>
  <c r="AH314" i="60" a="1"/>
  <c r="AH314" i="60" s="1"/>
  <c r="T314" i="60" a="1"/>
  <c r="T314" i="60" s="1"/>
  <c r="M313" i="60" a="1"/>
  <c r="M313" i="60" s="1"/>
  <c r="AH312" i="60" a="1"/>
  <c r="AH312" i="60" s="1"/>
  <c r="F312" i="60" a="1"/>
  <c r="F312" i="60" s="1"/>
  <c r="M311" i="60" a="1"/>
  <c r="M311" i="60" s="1"/>
  <c r="AH310" i="60" a="1"/>
  <c r="AH310" i="60" s="1"/>
  <c r="F310" i="60" a="1"/>
  <c r="F310" i="60" s="1"/>
  <c r="M309" i="60" a="1"/>
  <c r="M309" i="60" s="1"/>
  <c r="AH308" i="60" a="1"/>
  <c r="AH308" i="60" s="1"/>
  <c r="F308" i="60" a="1"/>
  <c r="F308" i="60" s="1"/>
  <c r="M307" i="60" a="1"/>
  <c r="M307" i="60" s="1"/>
  <c r="AH306" i="60" a="1"/>
  <c r="AH306" i="60" s="1"/>
  <c r="F306" i="60" a="1"/>
  <c r="F306" i="60" s="1"/>
  <c r="M305" i="60" a="1"/>
  <c r="M305" i="60" s="1"/>
  <c r="T304" i="60" a="1"/>
  <c r="T304" i="60" s="1"/>
  <c r="AA303" i="60" a="1"/>
  <c r="AA303" i="60" s="1"/>
  <c r="AH302" i="60" a="1"/>
  <c r="AH302" i="60" s="1"/>
  <c r="T302" i="60" a="1"/>
  <c r="T302" i="60" s="1"/>
  <c r="M301" i="60" a="1"/>
  <c r="M301" i="60" s="1"/>
  <c r="AH300" i="60" a="1"/>
  <c r="AH300" i="60" s="1"/>
  <c r="F300" i="60" a="1"/>
  <c r="F300" i="60" s="1"/>
  <c r="M299" i="60" a="1"/>
  <c r="M299" i="60" s="1"/>
  <c r="AH298" i="60" a="1"/>
  <c r="AH298" i="60" s="1"/>
  <c r="F298" i="60" a="1"/>
  <c r="F298" i="60" s="1"/>
  <c r="M297" i="60" a="1"/>
  <c r="M297" i="60" s="1"/>
  <c r="AH296" i="60" a="1"/>
  <c r="AH296" i="60" s="1"/>
  <c r="F296" i="60" a="1"/>
  <c r="F296" i="60" s="1"/>
  <c r="M295" i="60" a="1"/>
  <c r="M295" i="60" s="1"/>
  <c r="AH294" i="60" a="1"/>
  <c r="AH294" i="60" s="1"/>
  <c r="F294" i="60" a="1"/>
  <c r="F294" i="60" s="1"/>
  <c r="M293" i="60" a="1"/>
  <c r="M293" i="60" s="1"/>
  <c r="T292" i="60" a="1"/>
  <c r="T292" i="60" s="1"/>
  <c r="AA291" i="60" a="1"/>
  <c r="AA291" i="60" s="1"/>
  <c r="AH290" i="60" a="1"/>
  <c r="AH290" i="60" s="1"/>
  <c r="T290" i="60" a="1"/>
  <c r="T290" i="60" s="1"/>
  <c r="AA289" i="60" a="1"/>
  <c r="AA289" i="60" s="1"/>
  <c r="T288" i="60" a="1"/>
  <c r="T288" i="60" s="1"/>
  <c r="AA287" i="60" a="1"/>
  <c r="AA287" i="60" s="1"/>
  <c r="T286" i="60" a="1"/>
  <c r="T286" i="60" s="1"/>
  <c r="AA285" i="60" a="1"/>
  <c r="AA285" i="60" s="1"/>
  <c r="T284" i="60" a="1"/>
  <c r="T284" i="60" s="1"/>
  <c r="AA283" i="60" a="1"/>
  <c r="AA283" i="60" s="1"/>
  <c r="T282" i="60" a="1"/>
  <c r="T282" i="60" s="1"/>
  <c r="AA281" i="60" a="1"/>
  <c r="AA281" i="60" s="1"/>
  <c r="AH280" i="60" a="1"/>
  <c r="AH280" i="60" s="1"/>
  <c r="F280" i="60" a="1"/>
  <c r="F280" i="60" s="1"/>
  <c r="M279" i="60" a="1"/>
  <c r="M279" i="60" s="1"/>
  <c r="F278" i="60" a="1"/>
  <c r="F278" i="60" s="1"/>
  <c r="F277" i="60" a="1"/>
  <c r="F277" i="60" s="1"/>
  <c r="M276" i="60" a="1"/>
  <c r="M276" i="60" s="1"/>
  <c r="F275" i="60" a="1"/>
  <c r="F275" i="60" s="1"/>
  <c r="M274" i="60" a="1"/>
  <c r="M274" i="60" s="1"/>
  <c r="F273" i="60" a="1"/>
  <c r="F273" i="60" s="1"/>
  <c r="M272" i="60" a="1"/>
  <c r="M272" i="60" s="1"/>
  <c r="F271" i="60" a="1"/>
  <c r="F271" i="60" s="1"/>
  <c r="M270" i="60" a="1"/>
  <c r="M270" i="60" s="1"/>
  <c r="T269" i="60" a="1"/>
  <c r="T269" i="60" s="1"/>
  <c r="AA268" i="60" a="1"/>
  <c r="AA268" i="60" s="1"/>
  <c r="AH267" i="60" a="1"/>
  <c r="AH267" i="60" s="1"/>
  <c r="F267" i="60" a="1"/>
  <c r="F267" i="60" s="1"/>
  <c r="M266" i="60" a="1"/>
  <c r="M266" i="60" s="1"/>
  <c r="M265" i="60" a="1"/>
  <c r="M265" i="60" s="1"/>
  <c r="AH264" i="60" a="1"/>
  <c r="AH264" i="60" s="1"/>
  <c r="F264" i="60" a="1"/>
  <c r="F264" i="60" s="1"/>
  <c r="M263" i="60" a="1"/>
  <c r="M263" i="60" s="1"/>
  <c r="AH262" i="60" a="1"/>
  <c r="AH262" i="60" s="1"/>
  <c r="F262" i="60" a="1"/>
  <c r="F262" i="60" s="1"/>
  <c r="M261" i="60" a="1"/>
  <c r="M261" i="60" s="1"/>
  <c r="AH260" i="60" a="1"/>
  <c r="AH260" i="60" s="1"/>
  <c r="F260" i="60" a="1"/>
  <c r="F260" i="60" s="1"/>
  <c r="M259" i="60" a="1"/>
  <c r="M259" i="60" s="1"/>
  <c r="AH258" i="60" a="1"/>
  <c r="AH258" i="60" s="1"/>
  <c r="F258" i="60" a="1"/>
  <c r="F258" i="60" s="1"/>
  <c r="M257" i="60" a="1"/>
  <c r="M257" i="60" s="1"/>
  <c r="T256" i="60" a="1"/>
  <c r="T256" i="60" s="1"/>
  <c r="AA255" i="60" a="1"/>
  <c r="AA255" i="60" s="1"/>
  <c r="AH254" i="60" a="1"/>
  <c r="AH254" i="60" s="1"/>
  <c r="T254" i="60" a="1"/>
  <c r="T254" i="60" s="1"/>
  <c r="AA253" i="60" a="1"/>
  <c r="AA253" i="60" s="1"/>
  <c r="AH301" i="60" a="1"/>
  <c r="AH301" i="60" s="1"/>
  <c r="T301" i="60" a="1"/>
  <c r="T301" i="60" s="1"/>
  <c r="AA300" i="60" a="1"/>
  <c r="AA300" i="60" s="1"/>
  <c r="AH299" i="60" a="1"/>
  <c r="AH299" i="60" s="1"/>
  <c r="T299" i="60" a="1"/>
  <c r="T299" i="60" s="1"/>
  <c r="AA298" i="60" a="1"/>
  <c r="AA298" i="60" s="1"/>
  <c r="AH297" i="60" a="1"/>
  <c r="AH297" i="60" s="1"/>
  <c r="T297" i="60" a="1"/>
  <c r="T297" i="60" s="1"/>
  <c r="AA296" i="60" a="1"/>
  <c r="AA296" i="60" s="1"/>
  <c r="AH295" i="60" a="1"/>
  <c r="AH295" i="60" s="1"/>
  <c r="T295" i="60" a="1"/>
  <c r="T295" i="60" s="1"/>
  <c r="AA294" i="60" a="1"/>
  <c r="AA294" i="60" s="1"/>
  <c r="AH293" i="60" a="1"/>
  <c r="AH293" i="60" s="1"/>
  <c r="F293" i="60" a="1"/>
  <c r="F293" i="60" s="1"/>
  <c r="M292" i="60" a="1"/>
  <c r="M292" i="60" s="1"/>
  <c r="T291" i="60" a="1"/>
  <c r="T291" i="60" s="1"/>
  <c r="AA290" i="60" a="1"/>
  <c r="AA290" i="60" s="1"/>
  <c r="F289" i="60" a="1"/>
  <c r="F289" i="60" s="1"/>
  <c r="M288" i="60" a="1"/>
  <c r="M288" i="60" s="1"/>
  <c r="F287" i="60" a="1"/>
  <c r="F287" i="60" s="1"/>
  <c r="M286" i="60" a="1"/>
  <c r="M286" i="60" s="1"/>
  <c r="F285" i="60" a="1"/>
  <c r="F285" i="60" s="1"/>
  <c r="M284" i="60" a="1"/>
  <c r="M284" i="60" s="1"/>
  <c r="F283" i="60" a="1"/>
  <c r="F283" i="60" s="1"/>
  <c r="M282" i="60" a="1"/>
  <c r="M282" i="60" s="1"/>
  <c r="T281" i="60" a="1"/>
  <c r="T281" i="60" s="1"/>
  <c r="AA280" i="60" a="1"/>
  <c r="AA280" i="60" s="1"/>
  <c r="AH279" i="60" a="1"/>
  <c r="AH279" i="60" s="1"/>
  <c r="F279" i="60" a="1"/>
  <c r="F279" i="60" s="1"/>
  <c r="M278" i="60" a="1"/>
  <c r="M278" i="60" s="1"/>
  <c r="M277" i="60" a="1"/>
  <c r="M277" i="60" s="1"/>
  <c r="AH276" i="60" a="1"/>
  <c r="AH276" i="60" s="1"/>
  <c r="F276" i="60" a="1"/>
  <c r="F276" i="60" s="1"/>
  <c r="M275" i="60" a="1"/>
  <c r="M275" i="60" s="1"/>
  <c r="AH274" i="60" a="1"/>
  <c r="AH274" i="60" s="1"/>
  <c r="F274" i="60" a="1"/>
  <c r="F274" i="60" s="1"/>
  <c r="M273" i="60" a="1"/>
  <c r="M273" i="60" s="1"/>
  <c r="AH272" i="60" a="1"/>
  <c r="AH272" i="60" s="1"/>
  <c r="F272" i="60" a="1"/>
  <c r="F272" i="60" s="1"/>
  <c r="M271" i="60" a="1"/>
  <c r="M271" i="60" s="1"/>
  <c r="AH270" i="60" a="1"/>
  <c r="AH270" i="60" s="1"/>
  <c r="F270" i="60" a="1"/>
  <c r="F270" i="60" s="1"/>
  <c r="M269" i="60" a="1"/>
  <c r="M269" i="60" s="1"/>
  <c r="T268" i="60" a="1"/>
  <c r="T268" i="60" s="1"/>
  <c r="AA267" i="60" a="1"/>
  <c r="AA267" i="60" s="1"/>
  <c r="AH266" i="60" a="1"/>
  <c r="AH266" i="60" s="1"/>
  <c r="T266" i="60" a="1"/>
  <c r="T266" i="60" s="1"/>
  <c r="AH265" i="60" a="1"/>
  <c r="AH265" i="60" s="1"/>
  <c r="T265" i="60" a="1"/>
  <c r="T265" i="60" s="1"/>
  <c r="AA264" i="60" a="1"/>
  <c r="AA264" i="60" s="1"/>
  <c r="AH263" i="60" a="1"/>
  <c r="AH263" i="60" s="1"/>
  <c r="T263" i="60" a="1"/>
  <c r="T263" i="60" s="1"/>
  <c r="AA262" i="60" a="1"/>
  <c r="AA262" i="60" s="1"/>
  <c r="AH261" i="60" a="1"/>
  <c r="AH261" i="60" s="1"/>
  <c r="T261" i="60" a="1"/>
  <c r="T261" i="60" s="1"/>
  <c r="AA260" i="60" a="1"/>
  <c r="AA260" i="60" s="1"/>
  <c r="AH259" i="60" a="1"/>
  <c r="AH259" i="60" s="1"/>
  <c r="T259" i="60" a="1"/>
  <c r="T259" i="60" s="1"/>
  <c r="AA258" i="60" a="1"/>
  <c r="AA258" i="60" s="1"/>
  <c r="AH257" i="60" a="1"/>
  <c r="AH257" i="60" s="1"/>
  <c r="F257" i="60" a="1"/>
  <c r="F257" i="60" s="1"/>
  <c r="M256" i="60" a="1"/>
  <c r="M256" i="60" s="1"/>
  <c r="T255" i="60" a="1"/>
  <c r="T255" i="60" s="1"/>
  <c r="AA254" i="60" a="1"/>
  <c r="AA254" i="60" s="1"/>
  <c r="F253" i="60" a="1"/>
  <c r="F253" i="60" s="1"/>
  <c r="M252" i="60" a="1"/>
  <c r="M252" i="60" s="1"/>
  <c r="F251" i="60" a="1"/>
  <c r="F251" i="60" s="1"/>
  <c r="M250" i="60" a="1"/>
  <c r="M250" i="60" s="1"/>
  <c r="F249" i="60" a="1"/>
  <c r="F249" i="60" s="1"/>
  <c r="M248" i="60" a="1"/>
  <c r="M248" i="60" s="1"/>
  <c r="F247" i="60" a="1"/>
  <c r="F247" i="60" s="1"/>
  <c r="M246" i="60" a="1"/>
  <c r="M246" i="60" s="1"/>
  <c r="T245" i="60" a="1"/>
  <c r="T245" i="60" s="1"/>
  <c r="AA244" i="60" a="1"/>
  <c r="AA244" i="60" s="1"/>
  <c r="AH243" i="60" a="1"/>
  <c r="AH243" i="60" s="1"/>
  <c r="F243" i="60" a="1"/>
  <c r="F243" i="60" s="1"/>
  <c r="AA301" i="60" a="1"/>
  <c r="AA301" i="60" s="1"/>
  <c r="T300" i="60" a="1"/>
  <c r="T300" i="60" s="1"/>
  <c r="AA299" i="60" a="1"/>
  <c r="AA299" i="60" s="1"/>
  <c r="T298" i="60" a="1"/>
  <c r="T298" i="60" s="1"/>
  <c r="AA297" i="60" a="1"/>
  <c r="AA297" i="60" s="1"/>
  <c r="T296" i="60" a="1"/>
  <c r="T296" i="60" s="1"/>
  <c r="AA295" i="60" a="1"/>
  <c r="AA295" i="60" s="1"/>
  <c r="T294" i="60" a="1"/>
  <c r="T294" i="60" s="1"/>
  <c r="AA293" i="60" a="1"/>
  <c r="AA293" i="60" s="1"/>
  <c r="AH292" i="60" a="1"/>
  <c r="AH292" i="60" s="1"/>
  <c r="F292" i="60" a="1"/>
  <c r="F292" i="60" s="1"/>
  <c r="M291" i="60" a="1"/>
  <c r="M291" i="60" s="1"/>
  <c r="F290" i="60" a="1"/>
  <c r="F290" i="60" s="1"/>
  <c r="M289" i="60" a="1"/>
  <c r="M289" i="60" s="1"/>
  <c r="AH288" i="60" a="1"/>
  <c r="AH288" i="60" s="1"/>
  <c r="F288" i="60" a="1"/>
  <c r="F288" i="60" s="1"/>
  <c r="M287" i="60" a="1"/>
  <c r="M287" i="60" s="1"/>
  <c r="AH286" i="60" a="1"/>
  <c r="AH286" i="60" s="1"/>
  <c r="F286" i="60" a="1"/>
  <c r="F286" i="60" s="1"/>
  <c r="M285" i="60" a="1"/>
  <c r="M285" i="60" s="1"/>
  <c r="AH284" i="60" a="1"/>
  <c r="AH284" i="60" s="1"/>
  <c r="F284" i="60" a="1"/>
  <c r="F284" i="60" s="1"/>
  <c r="M283" i="60" a="1"/>
  <c r="M283" i="60" s="1"/>
  <c r="AH282" i="60" a="1"/>
  <c r="AH282" i="60" s="1"/>
  <c r="F282" i="60" a="1"/>
  <c r="F282" i="60" s="1"/>
  <c r="M281" i="60" a="1"/>
  <c r="M281" i="60" s="1"/>
  <c r="T280" i="60" a="1"/>
  <c r="T280" i="60" s="1"/>
  <c r="AA279" i="60" a="1"/>
  <c r="AA279" i="60" s="1"/>
  <c r="AH278" i="60" a="1"/>
  <c r="AH278" i="60" s="1"/>
  <c r="T278" i="60" a="1"/>
  <c r="T278" i="60" s="1"/>
  <c r="AH277" i="60" a="1"/>
  <c r="AH277" i="60" s="1"/>
  <c r="T277" i="60" a="1"/>
  <c r="T277" i="60" s="1"/>
  <c r="AA276" i="60" a="1"/>
  <c r="AA276" i="60" s="1"/>
  <c r="AH275" i="60" a="1"/>
  <c r="AH275" i="60" s="1"/>
  <c r="T275" i="60" a="1"/>
  <c r="T275" i="60" s="1"/>
  <c r="AA274" i="60" a="1"/>
  <c r="AA274" i="60" s="1"/>
  <c r="AH273" i="60" a="1"/>
  <c r="AH273" i="60" s="1"/>
  <c r="T273" i="60" a="1"/>
  <c r="T273" i="60" s="1"/>
  <c r="AA272" i="60" a="1"/>
  <c r="AA272" i="60" s="1"/>
  <c r="AH271" i="60" a="1"/>
  <c r="AH271" i="60" s="1"/>
  <c r="T271" i="60" a="1"/>
  <c r="T271" i="60" s="1"/>
  <c r="AA270" i="60" a="1"/>
  <c r="AA270" i="60" s="1"/>
  <c r="AH269" i="60" a="1"/>
  <c r="AH269" i="60" s="1"/>
  <c r="F269" i="60" a="1"/>
  <c r="F269" i="60" s="1"/>
  <c r="M268" i="60" a="1"/>
  <c r="M268" i="60" s="1"/>
  <c r="T267" i="60" a="1"/>
  <c r="T267" i="60" s="1"/>
  <c r="AA266" i="60" a="1"/>
  <c r="AA266" i="60" s="1"/>
  <c r="AA265" i="60" a="1"/>
  <c r="AA265" i="60" s="1"/>
  <c r="T264" i="60" a="1"/>
  <c r="T264" i="60" s="1"/>
  <c r="AA263" i="60" a="1"/>
  <c r="AA263" i="60" s="1"/>
  <c r="T262" i="60" a="1"/>
  <c r="T262" i="60" s="1"/>
  <c r="AA261" i="60" a="1"/>
  <c r="AA261" i="60" s="1"/>
  <c r="T260" i="60" a="1"/>
  <c r="T260" i="60" s="1"/>
  <c r="AA259" i="60" a="1"/>
  <c r="AA259" i="60" s="1"/>
  <c r="T258" i="60" a="1"/>
  <c r="T258" i="60" s="1"/>
  <c r="AA257" i="60" a="1"/>
  <c r="AA257" i="60" s="1"/>
  <c r="AH256" i="60" a="1"/>
  <c r="AH256" i="60" s="1"/>
  <c r="F256" i="60" a="1"/>
  <c r="F256" i="60" s="1"/>
  <c r="M255" i="60" a="1"/>
  <c r="M255" i="60" s="1"/>
  <c r="F254" i="60" a="1"/>
  <c r="F254" i="60" s="1"/>
  <c r="M253" i="60" a="1"/>
  <c r="M253" i="60" s="1"/>
  <c r="AH252" i="60" a="1"/>
  <c r="AH252" i="60" s="1"/>
  <c r="F252" i="60" a="1"/>
  <c r="F252" i="60" s="1"/>
  <c r="M251" i="60" a="1"/>
  <c r="M251" i="60" s="1"/>
  <c r="AH250" i="60" a="1"/>
  <c r="AH250" i="60" s="1"/>
  <c r="F250" i="60" a="1"/>
  <c r="F250" i="60" s="1"/>
  <c r="M249" i="60" a="1"/>
  <c r="M249" i="60" s="1"/>
  <c r="AH248" i="60" a="1"/>
  <c r="AH248" i="60" s="1"/>
  <c r="F248" i="60" a="1"/>
  <c r="F248" i="60" s="1"/>
  <c r="M247" i="60" a="1"/>
  <c r="M247" i="60" s="1"/>
  <c r="AH246" i="60" a="1"/>
  <c r="AH246" i="60" s="1"/>
  <c r="F246" i="60" a="1"/>
  <c r="F246" i="60" s="1"/>
  <c r="M245" i="60" a="1"/>
  <c r="M245" i="60" s="1"/>
  <c r="T244" i="60" a="1"/>
  <c r="T244" i="60" s="1"/>
  <c r="AA243" i="60" a="1"/>
  <c r="AA243" i="60" s="1"/>
  <c r="AH242" i="60" a="1"/>
  <c r="AH242" i="60" s="1"/>
  <c r="T242" i="60" a="1"/>
  <c r="T242" i="60" s="1"/>
  <c r="F301" i="60" a="1"/>
  <c r="F301" i="60" s="1"/>
  <c r="M300" i="60" a="1"/>
  <c r="M300" i="60" s="1"/>
  <c r="F299" i="60" a="1"/>
  <c r="F299" i="60" s="1"/>
  <c r="M298" i="60" a="1"/>
  <c r="M298" i="60" s="1"/>
  <c r="F297" i="60" a="1"/>
  <c r="F297" i="60" s="1"/>
  <c r="M296" i="60" a="1"/>
  <c r="M296" i="60" s="1"/>
  <c r="F295" i="60" a="1"/>
  <c r="F295" i="60" s="1"/>
  <c r="M294" i="60" a="1"/>
  <c r="M294" i="60" s="1"/>
  <c r="T293" i="60" a="1"/>
  <c r="T293" i="60" s="1"/>
  <c r="AA292" i="60" a="1"/>
  <c r="AA292" i="60" s="1"/>
  <c r="AH291" i="60" a="1"/>
  <c r="AH291" i="60" s="1"/>
  <c r="F291" i="60" a="1"/>
  <c r="F291" i="60" s="1"/>
  <c r="M290" i="60" a="1"/>
  <c r="M290" i="60" s="1"/>
  <c r="AH289" i="60" a="1"/>
  <c r="AH289" i="60" s="1"/>
  <c r="T289" i="60" a="1"/>
  <c r="T289" i="60" s="1"/>
  <c r="AA288" i="60" a="1"/>
  <c r="AA288" i="60" s="1"/>
  <c r="AH287" i="60" a="1"/>
  <c r="AH287" i="60" s="1"/>
  <c r="T287" i="60" a="1"/>
  <c r="T287" i="60" s="1"/>
  <c r="AA286" i="60" a="1"/>
  <c r="AA286" i="60" s="1"/>
  <c r="AH285" i="60" a="1"/>
  <c r="AH285" i="60" s="1"/>
  <c r="T285" i="60" a="1"/>
  <c r="T285" i="60" s="1"/>
  <c r="AA284" i="60" a="1"/>
  <c r="AA284" i="60" s="1"/>
  <c r="AH283" i="60" a="1"/>
  <c r="AH283" i="60" s="1"/>
  <c r="T283" i="60" a="1"/>
  <c r="T283" i="60" s="1"/>
  <c r="AA282" i="60" a="1"/>
  <c r="AA282" i="60" s="1"/>
  <c r="AH281" i="60" a="1"/>
  <c r="AH281" i="60" s="1"/>
  <c r="F281" i="60" a="1"/>
  <c r="F281" i="60" s="1"/>
  <c r="M280" i="60" a="1"/>
  <c r="M280" i="60" s="1"/>
  <c r="T279" i="60" a="1"/>
  <c r="T279" i="60" s="1"/>
  <c r="AA278" i="60" a="1"/>
  <c r="AA278" i="60" s="1"/>
  <c r="AA277" i="60" a="1"/>
  <c r="AA277" i="60" s="1"/>
  <c r="T276" i="60" a="1"/>
  <c r="T276" i="60" s="1"/>
  <c r="AA275" i="60" a="1"/>
  <c r="AA275" i="60" s="1"/>
  <c r="T274" i="60" a="1"/>
  <c r="T274" i="60" s="1"/>
  <c r="AA273" i="60" a="1"/>
  <c r="AA273" i="60" s="1"/>
  <c r="T272" i="60" a="1"/>
  <c r="T272" i="60" s="1"/>
  <c r="AA271" i="60" a="1"/>
  <c r="AA271" i="60" s="1"/>
  <c r="T270" i="60" a="1"/>
  <c r="T270" i="60" s="1"/>
  <c r="AA269" i="60" a="1"/>
  <c r="AA269" i="60" s="1"/>
  <c r="AH268" i="60" a="1"/>
  <c r="AH268" i="60" s="1"/>
  <c r="F268" i="60" a="1"/>
  <c r="F268" i="60" s="1"/>
  <c r="M267" i="60" a="1"/>
  <c r="M267" i="60" s="1"/>
  <c r="F266" i="60" a="1"/>
  <c r="F266" i="60" s="1"/>
  <c r="F265" i="60" a="1"/>
  <c r="F265" i="60" s="1"/>
  <c r="M264" i="60" a="1"/>
  <c r="M264" i="60" s="1"/>
  <c r="F263" i="60" a="1"/>
  <c r="F263" i="60" s="1"/>
  <c r="M262" i="60" a="1"/>
  <c r="M262" i="60" s="1"/>
  <c r="F261" i="60" a="1"/>
  <c r="F261" i="60" s="1"/>
  <c r="M260" i="60" a="1"/>
  <c r="M260" i="60" s="1"/>
  <c r="F259" i="60" a="1"/>
  <c r="F259" i="60" s="1"/>
  <c r="M258" i="60" a="1"/>
  <c r="M258" i="60" s="1"/>
  <c r="T257" i="60" a="1"/>
  <c r="T257" i="60" s="1"/>
  <c r="AA256" i="60" a="1"/>
  <c r="AA256" i="60" s="1"/>
  <c r="AH255" i="60" a="1"/>
  <c r="AH255" i="60" s="1"/>
  <c r="F255" i="60" a="1"/>
  <c r="F255" i="60" s="1"/>
  <c r="M254" i="60" a="1"/>
  <c r="M254" i="60" s="1"/>
  <c r="AH253" i="60" a="1"/>
  <c r="AH253" i="60" s="1"/>
  <c r="T253" i="60" a="1"/>
  <c r="T253" i="60" s="1"/>
  <c r="AA252" i="60" a="1"/>
  <c r="AA252" i="60" s="1"/>
  <c r="AH251" i="60" a="1"/>
  <c r="AH251" i="60" s="1"/>
  <c r="T251" i="60" a="1"/>
  <c r="T251" i="60" s="1"/>
  <c r="AA250" i="60" a="1"/>
  <c r="AA250" i="60" s="1"/>
  <c r="AH249" i="60" a="1"/>
  <c r="AH249" i="60" s="1"/>
  <c r="T249" i="60" a="1"/>
  <c r="T249" i="60" s="1"/>
  <c r="AA248" i="60" a="1"/>
  <c r="AA248" i="60" s="1"/>
  <c r="AH247" i="60" a="1"/>
  <c r="AH247" i="60" s="1"/>
  <c r="T247" i="60" a="1"/>
  <c r="T247" i="60" s="1"/>
  <c r="AA246" i="60" a="1"/>
  <c r="AA246" i="60" s="1"/>
  <c r="AH251" i="56" a="1"/>
  <c r="AH251" i="56" s="1"/>
  <c r="AH244" i="56" a="1"/>
  <c r="AH244" i="56" s="1"/>
  <c r="AH240" i="56" a="1"/>
  <c r="AH240" i="56" s="1"/>
  <c r="AH239" i="56" a="1"/>
  <c r="AH239" i="56" s="1"/>
  <c r="AH235" i="56" a="1"/>
  <c r="AH235" i="56" s="1"/>
  <c r="AH231" i="56" a="1"/>
  <c r="AH231" i="56" s="1"/>
  <c r="AH227" i="56" a="1"/>
  <c r="AH227" i="56" s="1"/>
  <c r="AH218" i="56" a="1"/>
  <c r="AH218" i="56" s="1"/>
  <c r="AH213" i="56" a="1"/>
  <c r="AH213" i="56" s="1"/>
  <c r="AH209" i="56" a="1"/>
  <c r="AH209" i="56" s="1"/>
  <c r="AH207" i="56" a="1"/>
  <c r="AH207" i="56" s="1"/>
  <c r="AH203" i="56" a="1"/>
  <c r="AH203" i="56" s="1"/>
  <c r="AH200" i="56" a="1"/>
  <c r="AH200" i="56" s="1"/>
  <c r="AH197" i="56" a="1"/>
  <c r="AH197" i="56" s="1"/>
  <c r="AH194" i="56" a="1"/>
  <c r="AH194" i="56" s="1"/>
  <c r="AH189" i="56" a="1"/>
  <c r="AH189" i="56" s="1"/>
  <c r="AH186" i="56" a="1"/>
  <c r="AH186" i="56" s="1"/>
  <c r="AH180" i="56" a="1"/>
  <c r="AH180" i="56" s="1"/>
  <c r="AH177" i="56" a="1"/>
  <c r="AH177" i="56" s="1"/>
  <c r="AH173" i="56" a="1"/>
  <c r="AH173" i="56" s="1"/>
  <c r="AH169" i="56" a="1"/>
  <c r="AH169" i="56" s="1"/>
  <c r="AH163" i="56" a="1"/>
  <c r="AH163" i="56" s="1"/>
  <c r="AH158" i="56" a="1"/>
  <c r="AH158" i="56" s="1"/>
  <c r="AH150" i="56" a="1"/>
  <c r="AH150" i="56" s="1"/>
  <c r="AH147" i="56" a="1"/>
  <c r="AH147" i="56" s="1"/>
  <c r="AH144" i="56" a="1"/>
  <c r="AH144" i="56" s="1"/>
  <c r="AH141" i="56" a="1"/>
  <c r="AH141" i="56" s="1"/>
  <c r="AH137" i="56" a="1"/>
  <c r="AH137" i="56" s="1"/>
  <c r="AH132" i="56" a="1"/>
  <c r="AH132" i="56" s="1"/>
  <c r="AH128" i="56" a="1"/>
  <c r="AH128" i="56" s="1"/>
  <c r="AH126" i="56" a="1"/>
  <c r="AH126" i="56" s="1"/>
  <c r="AH123" i="56" a="1"/>
  <c r="AH123" i="56" s="1"/>
  <c r="AH254" i="56" a="1"/>
  <c r="AH254" i="56" s="1"/>
  <c r="AH250" i="56" a="1"/>
  <c r="AH250" i="56" s="1"/>
  <c r="AH247" i="56" a="1"/>
  <c r="AH247" i="56" s="1"/>
  <c r="AH243" i="56" a="1"/>
  <c r="AH243" i="56" s="1"/>
  <c r="AH238" i="56" a="1"/>
  <c r="AH238" i="56" s="1"/>
  <c r="AH234" i="56" a="1"/>
  <c r="AH234" i="56" s="1"/>
  <c r="AH230" i="56" a="1"/>
  <c r="AH230" i="56" s="1"/>
  <c r="AH226" i="56" a="1"/>
  <c r="AH226" i="56" s="1"/>
  <c r="AH221" i="56" a="1"/>
  <c r="AH221" i="56" s="1"/>
  <c r="AH217" i="56" a="1"/>
  <c r="AH217" i="56" s="1"/>
  <c r="AH212" i="56" a="1"/>
  <c r="AH212" i="56" s="1"/>
  <c r="AH208" i="56" a="1"/>
  <c r="AH208" i="56" s="1"/>
  <c r="AH206" i="56" a="1"/>
  <c r="AH206" i="56" s="1"/>
  <c r="AH193" i="56" a="1"/>
  <c r="AH193" i="56" s="1"/>
  <c r="AH185" i="56" a="1"/>
  <c r="AH185" i="56" s="1"/>
  <c r="AH183" i="56" a="1"/>
  <c r="AH183" i="56" s="1"/>
  <c r="AH179" i="56" a="1"/>
  <c r="AH179" i="56" s="1"/>
  <c r="AH176" i="56" a="1"/>
  <c r="AH176" i="56" s="1"/>
  <c r="AH175" i="56" a="1"/>
  <c r="AH175" i="56" s="1"/>
  <c r="AH172" i="56" a="1"/>
  <c r="AH172" i="56" s="1"/>
  <c r="AH168" i="56" a="1"/>
  <c r="AH168" i="56" s="1"/>
  <c r="AH166" i="56" a="1"/>
  <c r="AH166" i="56" s="1"/>
  <c r="AH162" i="56" a="1"/>
  <c r="AH162" i="56" s="1"/>
  <c r="AH157" i="56" a="1"/>
  <c r="AH157" i="56" s="1"/>
  <c r="AH154" i="56" a="1"/>
  <c r="AH154" i="56" s="1"/>
  <c r="AH149" i="56" a="1"/>
  <c r="AH149" i="56" s="1"/>
  <c r="AH140" i="56" a="1"/>
  <c r="AH140" i="56" s="1"/>
  <c r="AH136" i="56" a="1"/>
  <c r="AH136" i="56" s="1"/>
  <c r="AH135" i="56" a="1"/>
  <c r="AH135" i="56" s="1"/>
  <c r="AH131" i="56" a="1"/>
  <c r="AH131" i="56" s="1"/>
  <c r="AH122" i="56" a="1"/>
  <c r="AH122" i="56" s="1"/>
  <c r="AH249" i="56" a="1"/>
  <c r="AH249" i="56" s="1"/>
  <c r="AH242" i="56" a="1"/>
  <c r="AH242" i="56" s="1"/>
  <c r="AH233" i="56" a="1"/>
  <c r="AH233" i="56" s="1"/>
  <c r="AH225" i="56" a="1"/>
  <c r="AH225" i="56" s="1"/>
  <c r="AH220" i="56" a="1"/>
  <c r="AH220" i="56" s="1"/>
  <c r="AH211" i="56" a="1"/>
  <c r="AH211" i="56" s="1"/>
  <c r="AH202" i="56" a="1"/>
  <c r="AH202" i="56" s="1"/>
  <c r="AH196" i="56" a="1"/>
  <c r="AH196" i="56" s="1"/>
  <c r="AH188" i="56" a="1"/>
  <c r="AH188" i="56" s="1"/>
  <c r="AH182" i="56" a="1"/>
  <c r="AH182" i="56" s="1"/>
  <c r="AH255" i="56" a="1"/>
  <c r="AH255" i="56" s="1"/>
  <c r="AH248" i="56" a="1"/>
  <c r="AH248" i="56" s="1"/>
  <c r="AH241" i="56" a="1"/>
  <c r="AH241" i="56" s="1"/>
  <c r="AH232" i="56" a="1"/>
  <c r="AH232" i="56" s="1"/>
  <c r="AH224" i="56" a="1"/>
  <c r="AH224" i="56" s="1"/>
  <c r="AH219" i="56" a="1"/>
  <c r="AH219" i="56" s="1"/>
  <c r="AH210" i="56" a="1"/>
  <c r="AH210" i="56" s="1"/>
  <c r="AH201" i="56" a="1"/>
  <c r="AH201" i="56" s="1"/>
  <c r="AH195" i="56" a="1"/>
  <c r="AH195" i="56" s="1"/>
  <c r="AH187" i="56" a="1"/>
  <c r="AH187" i="56" s="1"/>
  <c r="AH253" i="56" a="1"/>
  <c r="AH253" i="56" s="1"/>
  <c r="AH246" i="56" a="1"/>
  <c r="AH246" i="56" s="1"/>
  <c r="AH237" i="56" a="1"/>
  <c r="AH237" i="56" s="1"/>
  <c r="AH229" i="56" a="1"/>
  <c r="AH229" i="56" s="1"/>
  <c r="AH223" i="56" a="1"/>
  <c r="AH223" i="56" s="1"/>
  <c r="AH216" i="56" a="1"/>
  <c r="AH216" i="56" s="1"/>
  <c r="AH215" i="56" a="1"/>
  <c r="AH215" i="56" s="1"/>
  <c r="AH205" i="56" a="1"/>
  <c r="AH205" i="56" s="1"/>
  <c r="AH199" i="56" a="1"/>
  <c r="AH199" i="56" s="1"/>
  <c r="AH192" i="56" a="1"/>
  <c r="AH192" i="56" s="1"/>
  <c r="AH191" i="56" a="1"/>
  <c r="AH191" i="56" s="1"/>
  <c r="AH184" i="56" a="1"/>
  <c r="AH184" i="56" s="1"/>
  <c r="AH245" i="56" a="1"/>
  <c r="AH245" i="56" s="1"/>
  <c r="AH228" i="56" a="1"/>
  <c r="AH228" i="56" s="1"/>
  <c r="AH214" i="56" a="1"/>
  <c r="AH214" i="56" s="1"/>
  <c r="AH178" i="56" a="1"/>
  <c r="AH178" i="56" s="1"/>
  <c r="AH170" i="56" a="1"/>
  <c r="AH170" i="56" s="1"/>
  <c r="AH164" i="56" a="1"/>
  <c r="AH164" i="56" s="1"/>
  <c r="AH155" i="56" a="1"/>
  <c r="AH155" i="56" s="1"/>
  <c r="AH151" i="56" a="1"/>
  <c r="AH151" i="56" s="1"/>
  <c r="AH145" i="56" a="1"/>
  <c r="AH145" i="56" s="1"/>
  <c r="AH138" i="56" a="1"/>
  <c r="AH138" i="56" s="1"/>
  <c r="AH133" i="56" a="1"/>
  <c r="AH133" i="56" s="1"/>
  <c r="AH127" i="56" a="1"/>
  <c r="AH127" i="56" s="1"/>
  <c r="AH120" i="56" a="1"/>
  <c r="AH120" i="56" s="1"/>
  <c r="AH118" i="56" a="1"/>
  <c r="AH118" i="56" s="1"/>
  <c r="AH115" i="56" a="1"/>
  <c r="AH115" i="56" s="1"/>
  <c r="AH109" i="56" a="1"/>
  <c r="AH109" i="56" s="1"/>
  <c r="AH103" i="56" a="1"/>
  <c r="AH103" i="56" s="1"/>
  <c r="AH99" i="56" a="1"/>
  <c r="AH99" i="56" s="1"/>
  <c r="AH90" i="56" a="1"/>
  <c r="AH90" i="56" s="1"/>
  <c r="AH84" i="56" a="1"/>
  <c r="AH84" i="56" s="1"/>
  <c r="AH80" i="56" a="1"/>
  <c r="AH80" i="56" s="1"/>
  <c r="AH78" i="56" a="1"/>
  <c r="AH78" i="56" s="1"/>
  <c r="AH74" i="56" a="1"/>
  <c r="AH74" i="56" s="1"/>
  <c r="AH69" i="56" a="1"/>
  <c r="AH69" i="56" s="1"/>
  <c r="AH65" i="56" a="1"/>
  <c r="AH65" i="56" s="1"/>
  <c r="AH62" i="56" a="1"/>
  <c r="AH62" i="56" s="1"/>
  <c r="AH59" i="56" a="1"/>
  <c r="AH59" i="56" s="1"/>
  <c r="AH53" i="56" a="1"/>
  <c r="AH53" i="56" s="1"/>
  <c r="AH50" i="56" a="1"/>
  <c r="AH50" i="56" s="1"/>
  <c r="AH198" i="56" a="1"/>
  <c r="AH198" i="56" s="1"/>
  <c r="AH161" i="56" a="1"/>
  <c r="AH161" i="56" s="1"/>
  <c r="AH153" i="56" a="1"/>
  <c r="AH153" i="56" s="1"/>
  <c r="AH143" i="56" a="1"/>
  <c r="AH143" i="56" s="1"/>
  <c r="AH130" i="56" a="1"/>
  <c r="AH130" i="56" s="1"/>
  <c r="AH125" i="56" a="1"/>
  <c r="AH125" i="56" s="1"/>
  <c r="AH117" i="56" a="1"/>
  <c r="AH117" i="56" s="1"/>
  <c r="AH114" i="56" a="1"/>
  <c r="AH114" i="56" s="1"/>
  <c r="AH108" i="56" a="1"/>
  <c r="AH108" i="56" s="1"/>
  <c r="AH105" i="56" a="1"/>
  <c r="AH105" i="56" s="1"/>
  <c r="AH102" i="56" a="1"/>
  <c r="AH102" i="56" s="1"/>
  <c r="AH98" i="56" a="1"/>
  <c r="AH98" i="56" s="1"/>
  <c r="AH93" i="56" a="1"/>
  <c r="AH93" i="56" s="1"/>
  <c r="AH89" i="56" a="1"/>
  <c r="AH89" i="56" s="1"/>
  <c r="AH87" i="56" a="1"/>
  <c r="AH87" i="56" s="1"/>
  <c r="AH83" i="56" a="1"/>
  <c r="AH83" i="56" s="1"/>
  <c r="AH77" i="56" a="1"/>
  <c r="AH77" i="56" s="1"/>
  <c r="AH68" i="56" a="1"/>
  <c r="AH68" i="56" s="1"/>
  <c r="AH64" i="56" a="1"/>
  <c r="AH64" i="56" s="1"/>
  <c r="AH58" i="56" a="1"/>
  <c r="AH58" i="56" s="1"/>
  <c r="AH52" i="56" a="1"/>
  <c r="AH52" i="56" s="1"/>
  <c r="AH49" i="56" a="1"/>
  <c r="AH49" i="56" s="1"/>
  <c r="AH46" i="56" a="1"/>
  <c r="AH46" i="56" s="1"/>
  <c r="AH42" i="56" a="1"/>
  <c r="AH42" i="56" s="1"/>
  <c r="AH252" i="56" a="1"/>
  <c r="AH252" i="56" s="1"/>
  <c r="AH236" i="56" a="1"/>
  <c r="AH236" i="56" s="1"/>
  <c r="AH222" i="56" a="1"/>
  <c r="AH222" i="56" s="1"/>
  <c r="AH174" i="56" a="1"/>
  <c r="AH174" i="56" s="1"/>
  <c r="AH167" i="56" a="1"/>
  <c r="AH167" i="56" s="1"/>
  <c r="AH160" i="56" a="1"/>
  <c r="AH160" i="56" s="1"/>
  <c r="AH159" i="56" a="1"/>
  <c r="AH159" i="56" s="1"/>
  <c r="AH152" i="56" a="1"/>
  <c r="AH152" i="56" s="1"/>
  <c r="AH148" i="56" a="1"/>
  <c r="AH148" i="56" s="1"/>
  <c r="AH142" i="56" a="1"/>
  <c r="AH142" i="56" s="1"/>
  <c r="AH129" i="56" a="1"/>
  <c r="AH129" i="56" s="1"/>
  <c r="AH124" i="56" a="1"/>
  <c r="AH124" i="56" s="1"/>
  <c r="AH116" i="56" a="1"/>
  <c r="AH116" i="56" s="1"/>
  <c r="AH113" i="56" a="1"/>
  <c r="AH113" i="56" s="1"/>
  <c r="AH111" i="56" a="1"/>
  <c r="AH111" i="56" s="1"/>
  <c r="AH107" i="56" a="1"/>
  <c r="AH107" i="56" s="1"/>
  <c r="AH104" i="56" a="1"/>
  <c r="AH104" i="56" s="1"/>
  <c r="AH101" i="56" a="1"/>
  <c r="AH101" i="56" s="1"/>
  <c r="AH97" i="56" a="1"/>
  <c r="AH97" i="56" s="1"/>
  <c r="AH95" i="56" a="1"/>
  <c r="AH95" i="56" s="1"/>
  <c r="AH92" i="56" a="1"/>
  <c r="AH92" i="56" s="1"/>
  <c r="AH88" i="56" a="1"/>
  <c r="AH88" i="56" s="1"/>
  <c r="AH86" i="56" a="1"/>
  <c r="AH86" i="56" s="1"/>
  <c r="AH82" i="56" a="1"/>
  <c r="AH82" i="56" s="1"/>
  <c r="AH76" i="56" a="1"/>
  <c r="AH76" i="56" s="1"/>
  <c r="AH73" i="56" a="1"/>
  <c r="AH73" i="56" s="1"/>
  <c r="AH71" i="56" a="1"/>
  <c r="AH71" i="56" s="1"/>
  <c r="AH67" i="56" a="1"/>
  <c r="AH67" i="56" s="1"/>
  <c r="AH61" i="56" a="1"/>
  <c r="AH61" i="56" s="1"/>
  <c r="AH57" i="56" a="1"/>
  <c r="AH57" i="56" s="1"/>
  <c r="AH55" i="56" a="1"/>
  <c r="AH55" i="56" s="1"/>
  <c r="AH48" i="56" a="1"/>
  <c r="AH48" i="56" s="1"/>
  <c r="AH45" i="56" a="1"/>
  <c r="AH45" i="56" s="1"/>
  <c r="AH37" i="56" a="1"/>
  <c r="AH37" i="56" s="1"/>
  <c r="AH33" i="56" a="1"/>
  <c r="AH33" i="56" s="1"/>
  <c r="AH29" i="56" a="1"/>
  <c r="AH29" i="56" s="1"/>
  <c r="AH25" i="56" a="1"/>
  <c r="AH25" i="56" s="1"/>
  <c r="AH20" i="56" a="1"/>
  <c r="AH20" i="56" s="1"/>
  <c r="AH17" i="56" a="1"/>
  <c r="AH17" i="56" s="1"/>
  <c r="AH204" i="56" a="1"/>
  <c r="AH204" i="56" s="1"/>
  <c r="AH190" i="56" a="1"/>
  <c r="AH190" i="56" s="1"/>
  <c r="AH181" i="56" a="1"/>
  <c r="AH181" i="56" s="1"/>
  <c r="AH165" i="56" a="1"/>
  <c r="AH165" i="56" s="1"/>
  <c r="AH139" i="56" a="1"/>
  <c r="AH139" i="56" s="1"/>
  <c r="AH112" i="56" a="1"/>
  <c r="AH112" i="56" s="1"/>
  <c r="AH106" i="56" a="1"/>
  <c r="AH106" i="56" s="1"/>
  <c r="AH100" i="56" a="1"/>
  <c r="AH100" i="56" s="1"/>
  <c r="AH94" i="56" a="1"/>
  <c r="AH94" i="56" s="1"/>
  <c r="AH56" i="56" a="1"/>
  <c r="AH56" i="56" s="1"/>
  <c r="AH51" i="56" a="1"/>
  <c r="AH51" i="56" s="1"/>
  <c r="AH47" i="56" a="1"/>
  <c r="AH47" i="56" s="1"/>
  <c r="AH40" i="56" a="1"/>
  <c r="AH40" i="56" s="1"/>
  <c r="AH39" i="56" a="1"/>
  <c r="AH39" i="56" s="1"/>
  <c r="AH34" i="56" a="1"/>
  <c r="AH34" i="56" s="1"/>
  <c r="AH31" i="56" a="1"/>
  <c r="AH31" i="56" s="1"/>
  <c r="AH26" i="56" a="1"/>
  <c r="AH26" i="56" s="1"/>
  <c r="AH22" i="56" a="1"/>
  <c r="AH22" i="56" s="1"/>
  <c r="AH18" i="56" a="1"/>
  <c r="AH18" i="56" s="1"/>
  <c r="AH146" i="56" a="1"/>
  <c r="AH146" i="56" s="1"/>
  <c r="AH121" i="56" a="1"/>
  <c r="AH121" i="56" s="1"/>
  <c r="AH96" i="56" a="1"/>
  <c r="AH96" i="56" s="1"/>
  <c r="AH91" i="56" a="1"/>
  <c r="AH91" i="56" s="1"/>
  <c r="AH85" i="56" a="1"/>
  <c r="AH85" i="56" s="1"/>
  <c r="AH79" i="56" a="1"/>
  <c r="AH79" i="56" s="1"/>
  <c r="AH44" i="56" a="1"/>
  <c r="AH44" i="56" s="1"/>
  <c r="AH38" i="56" a="1"/>
  <c r="AH38" i="56" s="1"/>
  <c r="AH32" i="56" a="1"/>
  <c r="AH32" i="56" s="1"/>
  <c r="AH30" i="56" a="1"/>
  <c r="AH30" i="56" s="1"/>
  <c r="AH24" i="56" a="1"/>
  <c r="AH24" i="56" s="1"/>
  <c r="AH21" i="56" a="1"/>
  <c r="AH21" i="56" s="1"/>
  <c r="AH16" i="56" a="1"/>
  <c r="AH16" i="56" s="1"/>
  <c r="AH171" i="56" a="1"/>
  <c r="AH171" i="56" s="1"/>
  <c r="AH156" i="56" a="1"/>
  <c r="AH156" i="56" s="1"/>
  <c r="AH134" i="56" a="1"/>
  <c r="AH134" i="56" s="1"/>
  <c r="AH119" i="56" a="1"/>
  <c r="AH119" i="56" s="1"/>
  <c r="AH81" i="56" a="1"/>
  <c r="AH81" i="56" s="1"/>
  <c r="AH75" i="56" a="1"/>
  <c r="AH75" i="56" s="1"/>
  <c r="AH70" i="56" a="1"/>
  <c r="AH70" i="56" s="1"/>
  <c r="AH63" i="56" a="1"/>
  <c r="AH63" i="56" s="1"/>
  <c r="AH43" i="56" a="1"/>
  <c r="AH43" i="56" s="1"/>
  <c r="AH36" i="56" a="1"/>
  <c r="AH36" i="56" s="1"/>
  <c r="AH28" i="56" a="1"/>
  <c r="AH28" i="56" s="1"/>
  <c r="AH110" i="56" a="1"/>
  <c r="AH110" i="56" s="1"/>
  <c r="AH66" i="56" a="1"/>
  <c r="AH66" i="56" s="1"/>
  <c r="AH35" i="56" a="1"/>
  <c r="AH35" i="56" s="1"/>
  <c r="V253" i="56" a="1"/>
  <c r="V253" i="56" s="1"/>
  <c r="V249" i="56" a="1"/>
  <c r="V249" i="56" s="1"/>
  <c r="V247" i="56" a="1"/>
  <c r="V247" i="56" s="1"/>
  <c r="V243" i="56" a="1"/>
  <c r="V243" i="56" s="1"/>
  <c r="V237" i="56" a="1"/>
  <c r="V237" i="56" s="1"/>
  <c r="V233" i="56" a="1"/>
  <c r="V233" i="56" s="1"/>
  <c r="V228" i="56" a="1"/>
  <c r="V228" i="56" s="1"/>
  <c r="V224" i="56" a="1"/>
  <c r="V224" i="56" s="1"/>
  <c r="V220" i="56" a="1"/>
  <c r="V220" i="56" s="1"/>
  <c r="V216" i="56" a="1"/>
  <c r="V216" i="56" s="1"/>
  <c r="V212" i="56" a="1"/>
  <c r="V212" i="56" s="1"/>
  <c r="V208" i="56" a="1"/>
  <c r="V208" i="56" s="1"/>
  <c r="V204" i="56" a="1"/>
  <c r="V204" i="56" s="1"/>
  <c r="V200" i="56" a="1"/>
  <c r="V200" i="56" s="1"/>
  <c r="V199" i="56" a="1"/>
  <c r="V199" i="56" s="1"/>
  <c r="V195" i="56" a="1"/>
  <c r="V195" i="56" s="1"/>
  <c r="V192" i="56" a="1"/>
  <c r="V192" i="56" s="1"/>
  <c r="V190" i="56" a="1"/>
  <c r="V190" i="56" s="1"/>
  <c r="V186" i="56" a="1"/>
  <c r="V186" i="56" s="1"/>
  <c r="V182" i="56" a="1"/>
  <c r="V182" i="56" s="1"/>
  <c r="V178" i="56" a="1"/>
  <c r="V178" i="56" s="1"/>
  <c r="V174" i="56" a="1"/>
  <c r="V174" i="56" s="1"/>
  <c r="V170" i="56" a="1"/>
  <c r="V170" i="56" s="1"/>
  <c r="V166" i="56" a="1"/>
  <c r="V166" i="56" s="1"/>
  <c r="V162" i="56" a="1"/>
  <c r="V162" i="56" s="1"/>
  <c r="V156" i="56" a="1"/>
  <c r="V156" i="56" s="1"/>
  <c r="V152" i="56" a="1"/>
  <c r="V152" i="56" s="1"/>
  <c r="V151" i="56" a="1"/>
  <c r="V151" i="56" s="1"/>
  <c r="V147" i="56" a="1"/>
  <c r="V147" i="56" s="1"/>
  <c r="V144" i="56" a="1"/>
  <c r="V144" i="56" s="1"/>
  <c r="V142" i="56" a="1"/>
  <c r="V142" i="56" s="1"/>
  <c r="V138" i="56" a="1"/>
  <c r="V138" i="56" s="1"/>
  <c r="V133" i="56" a="1"/>
  <c r="V133" i="56" s="1"/>
  <c r="V129" i="56" a="1"/>
  <c r="V129" i="56" s="1"/>
  <c r="V125" i="56" a="1"/>
  <c r="V125" i="56" s="1"/>
  <c r="V121" i="56" a="1"/>
  <c r="V121" i="56" s="1"/>
  <c r="V116" i="56" a="1"/>
  <c r="V116" i="56" s="1"/>
  <c r="V112" i="56" a="1"/>
  <c r="V112" i="56" s="1"/>
  <c r="V111" i="56" a="1"/>
  <c r="V111" i="56" s="1"/>
  <c r="V107" i="56" a="1"/>
  <c r="V107" i="56" s="1"/>
  <c r="V102" i="56" a="1"/>
  <c r="V102" i="56" s="1"/>
  <c r="V98" i="56" a="1"/>
  <c r="V98" i="56" s="1"/>
  <c r="V94" i="56" a="1"/>
  <c r="V94" i="56" s="1"/>
  <c r="V90" i="56" a="1"/>
  <c r="V90" i="56" s="1"/>
  <c r="V85" i="56" a="1"/>
  <c r="V85" i="56" s="1"/>
  <c r="V81" i="56" a="1"/>
  <c r="V81" i="56" s="1"/>
  <c r="V78" i="56" a="1"/>
  <c r="V78" i="56" s="1"/>
  <c r="V74" i="56" a="1"/>
  <c r="V74" i="56" s="1"/>
  <c r="V70" i="56" a="1"/>
  <c r="V70" i="56" s="1"/>
  <c r="V66" i="56" a="1"/>
  <c r="V66" i="56" s="1"/>
  <c r="V62" i="56" a="1"/>
  <c r="V62" i="56" s="1"/>
  <c r="V58" i="56" a="1"/>
  <c r="V58" i="56" s="1"/>
  <c r="V53" i="56" a="1"/>
  <c r="V53" i="56" s="1"/>
  <c r="V49" i="56" a="1"/>
  <c r="V49" i="56" s="1"/>
  <c r="V45" i="56" a="1"/>
  <c r="V45" i="56" s="1"/>
  <c r="V42" i="56" a="1"/>
  <c r="V42" i="56" s="1"/>
  <c r="V37" i="56" a="1"/>
  <c r="V37" i="56" s="1"/>
  <c r="V33" i="56" a="1"/>
  <c r="V33" i="56" s="1"/>
  <c r="V31" i="56" a="1"/>
  <c r="V31" i="56" s="1"/>
  <c r="V27" i="56" a="1"/>
  <c r="V27" i="56" s="1"/>
  <c r="V21" i="56" a="1"/>
  <c r="V21" i="56" s="1"/>
  <c r="V17" i="56" a="1"/>
  <c r="V17" i="56" s="1"/>
  <c r="AH72" i="56" a="1"/>
  <c r="AH72" i="56" s="1"/>
  <c r="AH27" i="56" a="1"/>
  <c r="AH27" i="56" s="1"/>
  <c r="AH23" i="56" a="1"/>
  <c r="AH23" i="56" s="1"/>
  <c r="V252" i="56" a="1"/>
  <c r="V252" i="56" s="1"/>
  <c r="V248" i="56" a="1"/>
  <c r="V248" i="56" s="1"/>
  <c r="V246" i="56" a="1"/>
  <c r="V246" i="56" s="1"/>
  <c r="V242" i="56" a="1"/>
  <c r="V242" i="56" s="1"/>
  <c r="V236" i="56" a="1"/>
  <c r="V236" i="56" s="1"/>
  <c r="V232" i="56" a="1"/>
  <c r="V232" i="56" s="1"/>
  <c r="V231" i="56" a="1"/>
  <c r="V231" i="56" s="1"/>
  <c r="V227" i="56" a="1"/>
  <c r="V227" i="56" s="1"/>
  <c r="V223" i="56" a="1"/>
  <c r="V223" i="56" s="1"/>
  <c r="V219" i="56" a="1"/>
  <c r="V219" i="56" s="1"/>
  <c r="V215" i="56" a="1"/>
  <c r="V215" i="56" s="1"/>
  <c r="V211" i="56" a="1"/>
  <c r="V211" i="56" s="1"/>
  <c r="V207" i="56" a="1"/>
  <c r="V207" i="56" s="1"/>
  <c r="V203" i="56" a="1"/>
  <c r="V203" i="56" s="1"/>
  <c r="V198" i="56" a="1"/>
  <c r="V198" i="56" s="1"/>
  <c r="V194" i="56" a="1"/>
  <c r="V194" i="56" s="1"/>
  <c r="V189" i="56" a="1"/>
  <c r="V189" i="56" s="1"/>
  <c r="V185" i="56" a="1"/>
  <c r="V185" i="56" s="1"/>
  <c r="V181" i="56" a="1"/>
  <c r="V181" i="56" s="1"/>
  <c r="V177" i="56" a="1"/>
  <c r="V177" i="56" s="1"/>
  <c r="V173" i="56" a="1"/>
  <c r="V173" i="56" s="1"/>
  <c r="V169" i="56" a="1"/>
  <c r="V169" i="56" s="1"/>
  <c r="V165" i="56" a="1"/>
  <c r="V165" i="56" s="1"/>
  <c r="V161" i="56" a="1"/>
  <c r="V161" i="56" s="1"/>
  <c r="V159" i="56" a="1"/>
  <c r="V159" i="56" s="1"/>
  <c r="V155" i="56" a="1"/>
  <c r="V155" i="56" s="1"/>
  <c r="V150" i="56" a="1"/>
  <c r="V150" i="56" s="1"/>
  <c r="V141" i="56" a="1"/>
  <c r="V141" i="56" s="1"/>
  <c r="V137" i="56" a="1"/>
  <c r="V137" i="56" s="1"/>
  <c r="V132" i="56" a="1"/>
  <c r="V132" i="56" s="1"/>
  <c r="V128" i="56" a="1"/>
  <c r="V128" i="56" s="1"/>
  <c r="V124" i="56" a="1"/>
  <c r="V124" i="56" s="1"/>
  <c r="V120" i="56" a="1"/>
  <c r="V120" i="56" s="1"/>
  <c r="V119" i="56" a="1"/>
  <c r="V119" i="56" s="1"/>
  <c r="V115" i="56" a="1"/>
  <c r="V115" i="56" s="1"/>
  <c r="V110" i="56" a="1"/>
  <c r="V110" i="56" s="1"/>
  <c r="V106" i="56" a="1"/>
  <c r="V106" i="56" s="1"/>
  <c r="V101" i="56" a="1"/>
  <c r="V101" i="56" s="1"/>
  <c r="V97" i="56" a="1"/>
  <c r="V97" i="56" s="1"/>
  <c r="V93" i="56" a="1"/>
  <c r="V93" i="56" s="1"/>
  <c r="V89" i="56" a="1"/>
  <c r="V89" i="56" s="1"/>
  <c r="V84" i="56" a="1"/>
  <c r="V84" i="56" s="1"/>
  <c r="V80" i="56" a="1"/>
  <c r="V80" i="56" s="1"/>
  <c r="V77" i="56" a="1"/>
  <c r="V77" i="56" s="1"/>
  <c r="V73" i="56" a="1"/>
  <c r="V73" i="56" s="1"/>
  <c r="V69" i="56" a="1"/>
  <c r="V69" i="56" s="1"/>
  <c r="V65" i="56" a="1"/>
  <c r="V65" i="56" s="1"/>
  <c r="V61" i="56" a="1"/>
  <c r="V61" i="56" s="1"/>
  <c r="V57" i="56" a="1"/>
  <c r="V57" i="56" s="1"/>
  <c r="V52" i="56" a="1"/>
  <c r="V52" i="56" s="1"/>
  <c r="V48" i="56" a="1"/>
  <c r="V48" i="56" s="1"/>
  <c r="V41" i="56" a="1"/>
  <c r="V41" i="56" s="1"/>
  <c r="V36" i="56" a="1"/>
  <c r="V36" i="56" s="1"/>
  <c r="V32" i="56" a="1"/>
  <c r="V32" i="56" s="1"/>
  <c r="AH54" i="56" a="1"/>
  <c r="AH54" i="56" s="1"/>
  <c r="AH41" i="56" a="1"/>
  <c r="AH41" i="56" s="1"/>
  <c r="AH19" i="56" a="1"/>
  <c r="AH19" i="56" s="1"/>
  <c r="V255" i="56" a="1"/>
  <c r="V255" i="56" s="1"/>
  <c r="V251" i="56" a="1"/>
  <c r="V251" i="56" s="1"/>
  <c r="V245" i="56" a="1"/>
  <c r="V245" i="56" s="1"/>
  <c r="V241" i="56" a="1"/>
  <c r="V241" i="56" s="1"/>
  <c r="V239" i="56" a="1"/>
  <c r="V239" i="56" s="1"/>
  <c r="V235" i="56" a="1"/>
  <c r="V235" i="56" s="1"/>
  <c r="V230" i="56" a="1"/>
  <c r="V230" i="56" s="1"/>
  <c r="V226" i="56" a="1"/>
  <c r="V226" i="56" s="1"/>
  <c r="V222" i="56" a="1"/>
  <c r="V222" i="56" s="1"/>
  <c r="V218" i="56" a="1"/>
  <c r="V218" i="56" s="1"/>
  <c r="V214" i="56" a="1"/>
  <c r="V214" i="56" s="1"/>
  <c r="V210" i="56" a="1"/>
  <c r="V210" i="56" s="1"/>
  <c r="V206" i="56" a="1"/>
  <c r="V206" i="56" s="1"/>
  <c r="V202" i="56" a="1"/>
  <c r="V202" i="56" s="1"/>
  <c r="V197" i="56" a="1"/>
  <c r="V197" i="56" s="1"/>
  <c r="V188" i="56" a="1"/>
  <c r="V188" i="56" s="1"/>
  <c r="V184" i="56" a="1"/>
  <c r="V184" i="56" s="1"/>
  <c r="V180" i="56" a="1"/>
  <c r="V180" i="56" s="1"/>
  <c r="V176" i="56" a="1"/>
  <c r="V176" i="56" s="1"/>
  <c r="V172" i="56" a="1"/>
  <c r="V172" i="56" s="1"/>
  <c r="V168" i="56" a="1"/>
  <c r="V168" i="56" s="1"/>
  <c r="V164" i="56" a="1"/>
  <c r="V164" i="56" s="1"/>
  <c r="V160" i="56" a="1"/>
  <c r="V160" i="56" s="1"/>
  <c r="V158" i="56" a="1"/>
  <c r="V158" i="56" s="1"/>
  <c r="V154" i="56" a="1"/>
  <c r="V154" i="56" s="1"/>
  <c r="V149" i="56" a="1"/>
  <c r="V149" i="56" s="1"/>
  <c r="V146" i="56" a="1"/>
  <c r="V146" i="56" s="1"/>
  <c r="V140" i="56" a="1"/>
  <c r="V140" i="56" s="1"/>
  <c r="V135" i="56" a="1"/>
  <c r="V135" i="56" s="1"/>
  <c r="V131" i="56" a="1"/>
  <c r="V131" i="56" s="1"/>
  <c r="V127" i="56" a="1"/>
  <c r="V127" i="56" s="1"/>
  <c r="V123" i="56" a="1"/>
  <c r="V123" i="56" s="1"/>
  <c r="V118" i="56" a="1"/>
  <c r="V118" i="56" s="1"/>
  <c r="V114" i="56" a="1"/>
  <c r="V114" i="56" s="1"/>
  <c r="V109" i="56" a="1"/>
  <c r="V109" i="56" s="1"/>
  <c r="V105" i="56" a="1"/>
  <c r="V105" i="56" s="1"/>
  <c r="V100" i="56" a="1"/>
  <c r="V100" i="56" s="1"/>
  <c r="V96" i="56" a="1"/>
  <c r="V96" i="56" s="1"/>
  <c r="V95" i="56" a="1"/>
  <c r="V95" i="56" s="1"/>
  <c r="V92" i="56" a="1"/>
  <c r="V92" i="56" s="1"/>
  <c r="V88" i="56" a="1"/>
  <c r="V88" i="56" s="1"/>
  <c r="V87" i="56" a="1"/>
  <c r="V87" i="56" s="1"/>
  <c r="V83" i="56" a="1"/>
  <c r="V83" i="56" s="1"/>
  <c r="V76" i="56" a="1"/>
  <c r="V76" i="56" s="1"/>
  <c r="V72" i="56" a="1"/>
  <c r="V72" i="56" s="1"/>
  <c r="V68" i="56" a="1"/>
  <c r="V68" i="56" s="1"/>
  <c r="V64" i="56" a="1"/>
  <c r="V64" i="56" s="1"/>
  <c r="V60" i="56" a="1"/>
  <c r="V60" i="56" s="1"/>
  <c r="V56" i="56" a="1"/>
  <c r="V56" i="56" s="1"/>
  <c r="V55" i="56" a="1"/>
  <c r="V55" i="56" s="1"/>
  <c r="V51" i="56" a="1"/>
  <c r="V51" i="56" s="1"/>
  <c r="V47" i="56" a="1"/>
  <c r="V47" i="56" s="1"/>
  <c r="V44" i="56" a="1"/>
  <c r="V44" i="56" s="1"/>
  <c r="V40" i="56" a="1"/>
  <c r="V40" i="56" s="1"/>
  <c r="V39" i="56" a="1"/>
  <c r="V39" i="56" s="1"/>
  <c r="V35" i="56" a="1"/>
  <c r="V35" i="56" s="1"/>
  <c r="V29" i="56" a="1"/>
  <c r="V29" i="56" s="1"/>
  <c r="V25" i="56" a="1"/>
  <c r="V25" i="56" s="1"/>
  <c r="V23" i="56" a="1"/>
  <c r="V23" i="56" s="1"/>
  <c r="V19" i="56" a="1"/>
  <c r="V19" i="56" s="1"/>
  <c r="AH60" i="56" a="1"/>
  <c r="AH60" i="56" s="1"/>
  <c r="V250" i="56" a="1"/>
  <c r="V250" i="56" s="1"/>
  <c r="V240" i="56" a="1"/>
  <c r="V240" i="56" s="1"/>
  <c r="V143" i="56" a="1"/>
  <c r="V143" i="56" s="1"/>
  <c r="V134" i="56" a="1"/>
  <c r="V134" i="56" s="1"/>
  <c r="V126" i="56" a="1"/>
  <c r="V126" i="56" s="1"/>
  <c r="V117" i="56" a="1"/>
  <c r="V117" i="56" s="1"/>
  <c r="V108" i="56" a="1"/>
  <c r="V108" i="56" s="1"/>
  <c r="V99" i="56" a="1"/>
  <c r="V99" i="56" s="1"/>
  <c r="V91" i="56" a="1"/>
  <c r="V91" i="56" s="1"/>
  <c r="V82" i="56" a="1"/>
  <c r="V82" i="56" s="1"/>
  <c r="V75" i="56" a="1"/>
  <c r="V75" i="56" s="1"/>
  <c r="V67" i="56" a="1"/>
  <c r="V67" i="56" s="1"/>
  <c r="V59" i="56" a="1"/>
  <c r="V59" i="56" s="1"/>
  <c r="V50" i="56" a="1"/>
  <c r="V50" i="56" s="1"/>
  <c r="V43" i="56" a="1"/>
  <c r="V43" i="56" s="1"/>
  <c r="V34" i="56" a="1"/>
  <c r="V34" i="56" s="1"/>
  <c r="V28" i="56" a="1"/>
  <c r="V28" i="56" s="1"/>
  <c r="V18" i="56" a="1"/>
  <c r="V18" i="56" s="1"/>
  <c r="V191" i="56" a="1"/>
  <c r="V191" i="56" s="1"/>
  <c r="V183" i="56" a="1"/>
  <c r="V183" i="56" s="1"/>
  <c r="V175" i="56" a="1"/>
  <c r="V175" i="56" s="1"/>
  <c r="V167" i="56" a="1"/>
  <c r="V167" i="56" s="1"/>
  <c r="V157" i="56" a="1"/>
  <c r="V157" i="56" s="1"/>
  <c r="V148" i="56" a="1"/>
  <c r="V148" i="56" s="1"/>
  <c r="V139" i="56" a="1"/>
  <c r="V139" i="56" s="1"/>
  <c r="V130" i="56" a="1"/>
  <c r="V130" i="56" s="1"/>
  <c r="V122" i="56" a="1"/>
  <c r="V122" i="56" s="1"/>
  <c r="V113" i="56" a="1"/>
  <c r="V113" i="56" s="1"/>
  <c r="V104" i="56" a="1"/>
  <c r="V104" i="56" s="1"/>
  <c r="V26" i="56" a="1"/>
  <c r="V26" i="56" s="1"/>
  <c r="V16" i="56" a="1"/>
  <c r="V16" i="56" s="1"/>
  <c r="V238" i="56" a="1"/>
  <c r="V238" i="56" s="1"/>
  <c r="V229" i="56" a="1"/>
  <c r="V229" i="56" s="1"/>
  <c r="V221" i="56" a="1"/>
  <c r="V221" i="56" s="1"/>
  <c r="V213" i="56" a="1"/>
  <c r="V213" i="56" s="1"/>
  <c r="V205" i="56" a="1"/>
  <c r="V205" i="56" s="1"/>
  <c r="V196" i="56" a="1"/>
  <c r="V196" i="56" s="1"/>
  <c r="V187" i="56" a="1"/>
  <c r="V187" i="56" s="1"/>
  <c r="V179" i="56" a="1"/>
  <c r="V179" i="56" s="1"/>
  <c r="V171" i="56" a="1"/>
  <c r="V171" i="56" s="1"/>
  <c r="V163" i="56" a="1"/>
  <c r="V163" i="56" s="1"/>
  <c r="V153" i="56" a="1"/>
  <c r="V153" i="56" s="1"/>
  <c r="V145" i="56" a="1"/>
  <c r="V145" i="56" s="1"/>
  <c r="V136" i="56" a="1"/>
  <c r="V136" i="56" s="1"/>
  <c r="V24" i="56" a="1"/>
  <c r="V24" i="56" s="1"/>
  <c r="V22" i="56" a="1"/>
  <c r="V22" i="56" s="1"/>
  <c r="V225" i="56" a="1"/>
  <c r="V225" i="56" s="1"/>
  <c r="V193" i="56" a="1"/>
  <c r="V193" i="56" s="1"/>
  <c r="V79" i="56" a="1"/>
  <c r="V79" i="56" s="1"/>
  <c r="V46" i="56" a="1"/>
  <c r="V46" i="56" s="1"/>
  <c r="V30" i="56" a="1"/>
  <c r="V30" i="56" s="1"/>
  <c r="V254" i="56" a="1"/>
  <c r="V254" i="56" s="1"/>
  <c r="V217" i="56" a="1"/>
  <c r="V217" i="56" s="1"/>
  <c r="V234" i="56" a="1"/>
  <c r="V234" i="56" s="1"/>
  <c r="V201" i="56" a="1"/>
  <c r="V201" i="56" s="1"/>
  <c r="V86" i="56" a="1"/>
  <c r="V86" i="56" s="1"/>
  <c r="V54" i="56" a="1"/>
  <c r="V54" i="56" s="1"/>
  <c r="V103" i="56" a="1"/>
  <c r="V103" i="56" s="1"/>
  <c r="V38" i="56" a="1"/>
  <c r="V38" i="56" s="1"/>
  <c r="V244" i="56" a="1"/>
  <c r="V244" i="56" s="1"/>
  <c r="V209" i="56" a="1"/>
  <c r="V209" i="56" s="1"/>
  <c r="V63" i="56" a="1"/>
  <c r="V63" i="56" s="1"/>
  <c r="V20" i="56" a="1"/>
  <c r="V20" i="56" s="1"/>
  <c r="V71" i="56" a="1"/>
  <c r="V71" i="56" s="1"/>
  <c r="J253" i="56" a="1"/>
  <c r="J253" i="56" s="1"/>
  <c r="J249" i="56" a="1"/>
  <c r="J249" i="56" s="1"/>
  <c r="J247" i="56" a="1"/>
  <c r="J247" i="56" s="1"/>
  <c r="J243" i="56" a="1"/>
  <c r="J243" i="56" s="1"/>
  <c r="J237" i="56" a="1"/>
  <c r="J237" i="56" s="1"/>
  <c r="J233" i="56" a="1"/>
  <c r="J233" i="56" s="1"/>
  <c r="J228" i="56" a="1"/>
  <c r="J228" i="56" s="1"/>
  <c r="J224" i="56" a="1"/>
  <c r="J224" i="56" s="1"/>
  <c r="J223" i="56" a="1"/>
  <c r="J223" i="56" s="1"/>
  <c r="J219" i="56" a="1"/>
  <c r="J219" i="56" s="1"/>
  <c r="J216" i="56" a="1"/>
  <c r="J216" i="56" s="1"/>
  <c r="J215" i="56" a="1"/>
  <c r="J215" i="56" s="1"/>
  <c r="J211" i="56" a="1"/>
  <c r="J211" i="56" s="1"/>
  <c r="J205" i="56" a="1"/>
  <c r="J205" i="56" s="1"/>
  <c r="J201" i="56" a="1"/>
  <c r="J201" i="56" s="1"/>
  <c r="J196" i="56" a="1"/>
  <c r="J196" i="56" s="1"/>
  <c r="J189" i="56" a="1"/>
  <c r="J189" i="56" s="1"/>
  <c r="J185" i="56" a="1"/>
  <c r="J185" i="56" s="1"/>
  <c r="J252" i="56" a="1"/>
  <c r="J252" i="56" s="1"/>
  <c r="J248" i="56" a="1"/>
  <c r="J248" i="56" s="1"/>
  <c r="J246" i="56" a="1"/>
  <c r="J246" i="56" s="1"/>
  <c r="J242" i="56" a="1"/>
  <c r="J242" i="56" s="1"/>
  <c r="J236" i="56" a="1"/>
  <c r="J236" i="56" s="1"/>
  <c r="J232" i="56" a="1"/>
  <c r="J232" i="56" s="1"/>
  <c r="J231" i="56" a="1"/>
  <c r="J231" i="56" s="1"/>
  <c r="J227" i="56" a="1"/>
  <c r="J227" i="56" s="1"/>
  <c r="J222" i="56" a="1"/>
  <c r="J222" i="56" s="1"/>
  <c r="J218" i="56" a="1"/>
  <c r="J218" i="56" s="1"/>
  <c r="J214" i="56" a="1"/>
  <c r="J214" i="56" s="1"/>
  <c r="J210" i="56" a="1"/>
  <c r="J210" i="56" s="1"/>
  <c r="J204" i="56" a="1"/>
  <c r="J204" i="56" s="1"/>
  <c r="J200" i="56" a="1"/>
  <c r="J200" i="56" s="1"/>
  <c r="J199" i="56" a="1"/>
  <c r="J199" i="56" s="1"/>
  <c r="J195" i="56" a="1"/>
  <c r="J195" i="56" s="1"/>
  <c r="J192" i="56" a="1"/>
  <c r="J192" i="56" s="1"/>
  <c r="J188" i="56" a="1"/>
  <c r="J188" i="56" s="1"/>
  <c r="J184" i="56" a="1"/>
  <c r="J184" i="56" s="1"/>
  <c r="J255" i="56" a="1"/>
  <c r="J255" i="56" s="1"/>
  <c r="J251" i="56" a="1"/>
  <c r="J251" i="56" s="1"/>
  <c r="J245" i="56" a="1"/>
  <c r="J245" i="56" s="1"/>
  <c r="J241" i="56" a="1"/>
  <c r="J241" i="56" s="1"/>
  <c r="J239" i="56" a="1"/>
  <c r="J239" i="56" s="1"/>
  <c r="J235" i="56" a="1"/>
  <c r="J235" i="56" s="1"/>
  <c r="J230" i="56" a="1"/>
  <c r="J230" i="56" s="1"/>
  <c r="J226" i="56" a="1"/>
  <c r="J226" i="56" s="1"/>
  <c r="J221" i="56" a="1"/>
  <c r="J221" i="56" s="1"/>
  <c r="J217" i="56" a="1"/>
  <c r="J217" i="56" s="1"/>
  <c r="J213" i="56" a="1"/>
  <c r="J213" i="56" s="1"/>
  <c r="J209" i="56" a="1"/>
  <c r="J209" i="56" s="1"/>
  <c r="J207" i="56" a="1"/>
  <c r="J207" i="56" s="1"/>
  <c r="J203" i="56" a="1"/>
  <c r="J203" i="56" s="1"/>
  <c r="J198" i="56" a="1"/>
  <c r="J198" i="56" s="1"/>
  <c r="J194" i="56" a="1"/>
  <c r="J194" i="56" s="1"/>
  <c r="J191" i="56" a="1"/>
  <c r="J191" i="56" s="1"/>
  <c r="J187" i="56" a="1"/>
  <c r="J187" i="56" s="1"/>
  <c r="J254" i="56" a="1"/>
  <c r="J254" i="56" s="1"/>
  <c r="J250" i="56" a="1"/>
  <c r="J250" i="56" s="1"/>
  <c r="J244" i="56" a="1"/>
  <c r="J244" i="56" s="1"/>
  <c r="J240" i="56" a="1"/>
  <c r="J240" i="56" s="1"/>
  <c r="J238" i="56" a="1"/>
  <c r="J238" i="56" s="1"/>
  <c r="J234" i="56" a="1"/>
  <c r="J234" i="56" s="1"/>
  <c r="J229" i="56" a="1"/>
  <c r="J229" i="56" s="1"/>
  <c r="J225" i="56" a="1"/>
  <c r="J225" i="56" s="1"/>
  <c r="J220" i="56" a="1"/>
  <c r="J220" i="56" s="1"/>
  <c r="J212" i="56" a="1"/>
  <c r="J212" i="56" s="1"/>
  <c r="J208" i="56" a="1"/>
  <c r="J208" i="56" s="1"/>
  <c r="J206" i="56" a="1"/>
  <c r="J206" i="56" s="1"/>
  <c r="J202" i="56" a="1"/>
  <c r="J202" i="56" s="1"/>
  <c r="J197" i="56" a="1"/>
  <c r="J197" i="56" s="1"/>
  <c r="J193" i="56" a="1"/>
  <c r="J193" i="56" s="1"/>
  <c r="J190" i="56" a="1"/>
  <c r="J190" i="56" s="1"/>
  <c r="J186" i="56" a="1"/>
  <c r="J186" i="56" s="1"/>
  <c r="J180" i="56" a="1"/>
  <c r="J180" i="56" s="1"/>
  <c r="J176" i="56" a="1"/>
  <c r="J176" i="56" s="1"/>
  <c r="J172" i="56" a="1"/>
  <c r="J172" i="56" s="1"/>
  <c r="J168" i="56" a="1"/>
  <c r="J168" i="56" s="1"/>
  <c r="J164" i="56" a="1"/>
  <c r="J164" i="56" s="1"/>
  <c r="J160" i="56" a="1"/>
  <c r="J160" i="56" s="1"/>
  <c r="J156" i="56" a="1"/>
  <c r="J156" i="56" s="1"/>
  <c r="J152" i="56" a="1"/>
  <c r="J152" i="56" s="1"/>
  <c r="J148" i="56" a="1"/>
  <c r="J148" i="56" s="1"/>
  <c r="J137" i="56" a="1"/>
  <c r="J137" i="56" s="1"/>
  <c r="J132" i="56" a="1"/>
  <c r="J132" i="56" s="1"/>
  <c r="J128" i="56" a="1"/>
  <c r="J128" i="56" s="1"/>
  <c r="J124" i="56" a="1"/>
  <c r="J124" i="56" s="1"/>
  <c r="J121" i="56" a="1"/>
  <c r="J121" i="56" s="1"/>
  <c r="J116" i="56" a="1"/>
  <c r="J116" i="56" s="1"/>
  <c r="J112" i="56" a="1"/>
  <c r="J112" i="56" s="1"/>
  <c r="J108" i="56" a="1"/>
  <c r="J108" i="56" s="1"/>
  <c r="J104" i="56" a="1"/>
  <c r="J104" i="56" s="1"/>
  <c r="J103" i="56" a="1"/>
  <c r="J103" i="56" s="1"/>
  <c r="J99" i="56" a="1"/>
  <c r="J99" i="56" s="1"/>
  <c r="J95" i="56" a="1"/>
  <c r="J95" i="56" s="1"/>
  <c r="J91" i="56" a="1"/>
  <c r="J91" i="56" s="1"/>
  <c r="J86" i="56" a="1"/>
  <c r="J86" i="56" s="1"/>
  <c r="J82" i="56" a="1"/>
  <c r="J82" i="56" s="1"/>
  <c r="J77" i="56" a="1"/>
  <c r="J77" i="56" s="1"/>
  <c r="J73" i="56" a="1"/>
  <c r="J73" i="56" s="1"/>
  <c r="J183" i="56" a="1"/>
  <c r="J183" i="56" s="1"/>
  <c r="J179" i="56" a="1"/>
  <c r="J179" i="56" s="1"/>
  <c r="J175" i="56" a="1"/>
  <c r="J175" i="56" s="1"/>
  <c r="J171" i="56" a="1"/>
  <c r="J171" i="56" s="1"/>
  <c r="J167" i="56" a="1"/>
  <c r="J167" i="56" s="1"/>
  <c r="J163" i="56" a="1"/>
  <c r="J163" i="56" s="1"/>
  <c r="J159" i="56" a="1"/>
  <c r="J159" i="56" s="1"/>
  <c r="J155" i="56" a="1"/>
  <c r="J155" i="56" s="1"/>
  <c r="J151" i="56" a="1"/>
  <c r="J151" i="56" s="1"/>
  <c r="J147" i="56" a="1"/>
  <c r="J147" i="56" s="1"/>
  <c r="J144" i="56" a="1"/>
  <c r="J144" i="56" s="1"/>
  <c r="J143" i="56" a="1"/>
  <c r="J143" i="56" s="1"/>
  <c r="J140" i="56" a="1"/>
  <c r="J140" i="56" s="1"/>
  <c r="J136" i="56" a="1"/>
  <c r="J136" i="56" s="1"/>
  <c r="J135" i="56" a="1"/>
  <c r="J135" i="56" s="1"/>
  <c r="J131" i="56" a="1"/>
  <c r="J131" i="56" s="1"/>
  <c r="J127" i="56" a="1"/>
  <c r="J127" i="56" s="1"/>
  <c r="J123" i="56" a="1"/>
  <c r="J123" i="56" s="1"/>
  <c r="J120" i="56" a="1"/>
  <c r="J120" i="56" s="1"/>
  <c r="J119" i="56" a="1"/>
  <c r="J119" i="56" s="1"/>
  <c r="J115" i="56" a="1"/>
  <c r="J115" i="56" s="1"/>
  <c r="J111" i="56" a="1"/>
  <c r="J111" i="56" s="1"/>
  <c r="J107" i="56" a="1"/>
  <c r="J107" i="56" s="1"/>
  <c r="J102" i="56" a="1"/>
  <c r="J102" i="56" s="1"/>
  <c r="J98" i="56" a="1"/>
  <c r="J98" i="56" s="1"/>
  <c r="J94" i="56" a="1"/>
  <c r="J94" i="56" s="1"/>
  <c r="J90" i="56" a="1"/>
  <c r="J90" i="56" s="1"/>
  <c r="J85" i="56" a="1"/>
  <c r="J85" i="56" s="1"/>
  <c r="J81" i="56" a="1"/>
  <c r="J81" i="56" s="1"/>
  <c r="J76" i="56" a="1"/>
  <c r="J76" i="56" s="1"/>
  <c r="J72" i="56" a="1"/>
  <c r="J72" i="56" s="1"/>
  <c r="J71" i="56" a="1"/>
  <c r="J71" i="56" s="1"/>
  <c r="J182" i="56" a="1"/>
  <c r="J182" i="56" s="1"/>
  <c r="J178" i="56" a="1"/>
  <c r="J178" i="56" s="1"/>
  <c r="J174" i="56" a="1"/>
  <c r="J174" i="56" s="1"/>
  <c r="J170" i="56" a="1"/>
  <c r="J170" i="56" s="1"/>
  <c r="J166" i="56" a="1"/>
  <c r="J166" i="56" s="1"/>
  <c r="J162" i="56" a="1"/>
  <c r="J162" i="56" s="1"/>
  <c r="J158" i="56" a="1"/>
  <c r="J158" i="56" s="1"/>
  <c r="J154" i="56" a="1"/>
  <c r="J154" i="56" s="1"/>
  <c r="J150" i="56" a="1"/>
  <c r="J150" i="56" s="1"/>
  <c r="J146" i="56" a="1"/>
  <c r="J146" i="56" s="1"/>
  <c r="J142" i="56" a="1"/>
  <c r="J142" i="56" s="1"/>
  <c r="J139" i="56" a="1"/>
  <c r="J139" i="56" s="1"/>
  <c r="J134" i="56" a="1"/>
  <c r="J134" i="56" s="1"/>
  <c r="J130" i="56" a="1"/>
  <c r="J130" i="56" s="1"/>
  <c r="J126" i="56" a="1"/>
  <c r="J126" i="56" s="1"/>
  <c r="J122" i="56" a="1"/>
  <c r="J122" i="56" s="1"/>
  <c r="J118" i="56" a="1"/>
  <c r="J118" i="56" s="1"/>
  <c r="J114" i="56" a="1"/>
  <c r="J114" i="56" s="1"/>
  <c r="J110" i="56" a="1"/>
  <c r="J110" i="56" s="1"/>
  <c r="J106" i="56" a="1"/>
  <c r="J106" i="56" s="1"/>
  <c r="J101" i="56" a="1"/>
  <c r="J101" i="56" s="1"/>
  <c r="J97" i="56" a="1"/>
  <c r="J97" i="56" s="1"/>
  <c r="J93" i="56" a="1"/>
  <c r="J93" i="56" s="1"/>
  <c r="J89" i="56" a="1"/>
  <c r="J89" i="56" s="1"/>
  <c r="J181" i="56" a="1"/>
  <c r="J181" i="56" s="1"/>
  <c r="J177" i="56" a="1"/>
  <c r="J177" i="56" s="1"/>
  <c r="J173" i="56" a="1"/>
  <c r="J173" i="56" s="1"/>
  <c r="J169" i="56" a="1"/>
  <c r="J169" i="56" s="1"/>
  <c r="J165" i="56" a="1"/>
  <c r="J165" i="56" s="1"/>
  <c r="J161" i="56" a="1"/>
  <c r="J161" i="56" s="1"/>
  <c r="J157" i="56" a="1"/>
  <c r="J157" i="56" s="1"/>
  <c r="J153" i="56" a="1"/>
  <c r="J153" i="56" s="1"/>
  <c r="J149" i="56" a="1"/>
  <c r="J149" i="56" s="1"/>
  <c r="J145" i="56" a="1"/>
  <c r="J145" i="56" s="1"/>
  <c r="J141" i="56" a="1"/>
  <c r="J141" i="56" s="1"/>
  <c r="J138" i="56" a="1"/>
  <c r="J138" i="56" s="1"/>
  <c r="J133" i="56" a="1"/>
  <c r="J133" i="56" s="1"/>
  <c r="J129" i="56" a="1"/>
  <c r="J129" i="56" s="1"/>
  <c r="J125" i="56" a="1"/>
  <c r="J125" i="56" s="1"/>
  <c r="J117" i="56" a="1"/>
  <c r="J117" i="56" s="1"/>
  <c r="J113" i="56" a="1"/>
  <c r="J113" i="56" s="1"/>
  <c r="J109" i="56" a="1"/>
  <c r="J109" i="56" s="1"/>
  <c r="J105" i="56" a="1"/>
  <c r="J105" i="56" s="1"/>
  <c r="J100" i="56" a="1"/>
  <c r="J100" i="56" s="1"/>
  <c r="J96" i="56" a="1"/>
  <c r="J96" i="56" s="1"/>
  <c r="J92" i="56" a="1"/>
  <c r="J92" i="56" s="1"/>
  <c r="J88" i="56" a="1"/>
  <c r="J88" i="56" s="1"/>
  <c r="J87" i="56" a="1"/>
  <c r="J87" i="56" s="1"/>
  <c r="J83" i="56" a="1"/>
  <c r="J83" i="56" s="1"/>
  <c r="J84" i="56" a="1"/>
  <c r="J84" i="56" s="1"/>
  <c r="J79" i="56" a="1"/>
  <c r="J79" i="56" s="1"/>
  <c r="J70" i="56" a="1"/>
  <c r="J70" i="56" s="1"/>
  <c r="J66" i="56" a="1"/>
  <c r="J66" i="56" s="1"/>
  <c r="J61" i="56" a="1"/>
  <c r="J61" i="56" s="1"/>
  <c r="J57" i="56" a="1"/>
  <c r="J57" i="56" s="1"/>
  <c r="J55" i="56" a="1"/>
  <c r="J55" i="56" s="1"/>
  <c r="J51" i="56" a="1"/>
  <c r="J51" i="56" s="1"/>
  <c r="J46" i="56" a="1"/>
  <c r="J46" i="56" s="1"/>
  <c r="J42" i="56" a="1"/>
  <c r="J42" i="56" s="1"/>
  <c r="J37" i="56" a="1"/>
  <c r="J37" i="56" s="1"/>
  <c r="J33" i="56" a="1"/>
  <c r="J33" i="56" s="1"/>
  <c r="J31" i="56" a="1"/>
  <c r="J31" i="56" s="1"/>
  <c r="J27" i="56" a="1"/>
  <c r="J27" i="56" s="1"/>
  <c r="J24" i="56" a="1"/>
  <c r="J24" i="56" s="1"/>
  <c r="J22" i="56" a="1"/>
  <c r="J22" i="56" s="1"/>
  <c r="J18" i="56" a="1"/>
  <c r="J18" i="56" s="1"/>
  <c r="J80" i="56" a="1"/>
  <c r="J80" i="56" s="1"/>
  <c r="J78" i="56" a="1"/>
  <c r="J78" i="56" s="1"/>
  <c r="J69" i="56" a="1"/>
  <c r="J69" i="56" s="1"/>
  <c r="J65" i="56" a="1"/>
  <c r="J65" i="56" s="1"/>
  <c r="J60" i="56" a="1"/>
  <c r="J60" i="56" s="1"/>
  <c r="J56" i="56" a="1"/>
  <c r="J56" i="56" s="1"/>
  <c r="J54" i="56" a="1"/>
  <c r="J54" i="56" s="1"/>
  <c r="J50" i="56" a="1"/>
  <c r="J50" i="56" s="1"/>
  <c r="J45" i="56" a="1"/>
  <c r="J45" i="56" s="1"/>
  <c r="J41" i="56" a="1"/>
  <c r="J41" i="56" s="1"/>
  <c r="J36" i="56" a="1"/>
  <c r="J36" i="56" s="1"/>
  <c r="J32" i="56" a="1"/>
  <c r="J32" i="56" s="1"/>
  <c r="J30" i="56" a="1"/>
  <c r="J30" i="56" s="1"/>
  <c r="J26" i="56" a="1"/>
  <c r="J26" i="56" s="1"/>
  <c r="J21" i="56" a="1"/>
  <c r="J21" i="56" s="1"/>
  <c r="J17" i="56" a="1"/>
  <c r="J17" i="56" s="1"/>
  <c r="J75" i="56" a="1"/>
  <c r="J75" i="56" s="1"/>
  <c r="J68" i="56" a="1"/>
  <c r="J68" i="56" s="1"/>
  <c r="J64" i="56" a="1"/>
  <c r="J64" i="56" s="1"/>
  <c r="J63" i="56" a="1"/>
  <c r="J63" i="56" s="1"/>
  <c r="J59" i="56" a="1"/>
  <c r="J59" i="56" s="1"/>
  <c r="J53" i="56" a="1"/>
  <c r="J53" i="56" s="1"/>
  <c r="J49" i="56" a="1"/>
  <c r="J49" i="56" s="1"/>
  <c r="J44" i="56" a="1"/>
  <c r="J44" i="56" s="1"/>
  <c r="J40" i="56" a="1"/>
  <c r="J40" i="56" s="1"/>
  <c r="J39" i="56" a="1"/>
  <c r="J39" i="56" s="1"/>
  <c r="J35" i="56" a="1"/>
  <c r="J35" i="56" s="1"/>
  <c r="J29" i="56" a="1"/>
  <c r="J29" i="56" s="1"/>
  <c r="J20" i="56" a="1"/>
  <c r="J20" i="56" s="1"/>
  <c r="J16" i="56" a="1"/>
  <c r="J16" i="56" s="1"/>
  <c r="J74" i="56" a="1"/>
  <c r="J74" i="56" s="1"/>
  <c r="J67" i="56" a="1"/>
  <c r="J67" i="56" s="1"/>
  <c r="J62" i="56" a="1"/>
  <c r="J62" i="56" s="1"/>
  <c r="J58" i="56" a="1"/>
  <c r="J58" i="56" s="1"/>
  <c r="J52" i="56" a="1"/>
  <c r="J52" i="56" s="1"/>
  <c r="J48" i="56" a="1"/>
  <c r="J48" i="56" s="1"/>
  <c r="J47" i="56" a="1"/>
  <c r="J47" i="56" s="1"/>
  <c r="J43" i="56" a="1"/>
  <c r="J43" i="56" s="1"/>
  <c r="J38" i="56" a="1"/>
  <c r="J38" i="56" s="1"/>
  <c r="J34" i="56" a="1"/>
  <c r="J34" i="56" s="1"/>
  <c r="J28" i="56" a="1"/>
  <c r="J28" i="56" s="1"/>
  <c r="J25" i="56" a="1"/>
  <c r="J25" i="56" s="1"/>
  <c r="J23" i="56" a="1"/>
  <c r="J23" i="56" s="1"/>
  <c r="J19" i="56" a="1"/>
  <c r="J19" i="56" s="1"/>
  <c r="AW371" i="54" a="1"/>
  <c r="AW371" i="54" s="1"/>
  <c r="AW367" i="54" a="1"/>
  <c r="AW367" i="54" s="1"/>
  <c r="AW362" i="54" a="1"/>
  <c r="AW362" i="54" s="1"/>
  <c r="AW358" i="54" a="1"/>
  <c r="AW358" i="54" s="1"/>
  <c r="AW355" i="54" a="1"/>
  <c r="AW355" i="54" s="1"/>
  <c r="AW350" i="54" a="1"/>
  <c r="AW350" i="54" s="1"/>
  <c r="AW346" i="54" a="1"/>
  <c r="AW346" i="54" s="1"/>
  <c r="AW342" i="54" a="1"/>
  <c r="AW342" i="54" s="1"/>
  <c r="AW339" i="54" a="1"/>
  <c r="AW339" i="54" s="1"/>
  <c r="AW335" i="54" a="1"/>
  <c r="AW335" i="54" s="1"/>
  <c r="AW332" i="54" a="1"/>
  <c r="AW332" i="54" s="1"/>
  <c r="AW328" i="54" a="1"/>
  <c r="AW328" i="54" s="1"/>
  <c r="AW326" i="54" a="1"/>
  <c r="AW326" i="54" s="1"/>
  <c r="AW322" i="54" a="1"/>
  <c r="AW322" i="54" s="1"/>
  <c r="AW318" i="54" a="1"/>
  <c r="AW318" i="54" s="1"/>
  <c r="AW313" i="54" a="1"/>
  <c r="AW313" i="54" s="1"/>
  <c r="AW309" i="54" a="1"/>
  <c r="AW309" i="54" s="1"/>
  <c r="AW305" i="54" a="1"/>
  <c r="AW305" i="54" s="1"/>
  <c r="AW374" i="54" a="1"/>
  <c r="AW374" i="54" s="1"/>
  <c r="AW370" i="54" a="1"/>
  <c r="AW370" i="54" s="1"/>
  <c r="AW366" i="54" a="1"/>
  <c r="AW366" i="54" s="1"/>
  <c r="AW361" i="54" a="1"/>
  <c r="AW361" i="54" s="1"/>
  <c r="AW354" i="54" a="1"/>
  <c r="AW354" i="54" s="1"/>
  <c r="AW349" i="54" a="1"/>
  <c r="AW349" i="54" s="1"/>
  <c r="AW345" i="54" a="1"/>
  <c r="AW345" i="54" s="1"/>
  <c r="AW341" i="54" a="1"/>
  <c r="AW341" i="54" s="1"/>
  <c r="AW338" i="54" a="1"/>
  <c r="AW338" i="54" s="1"/>
  <c r="AW334" i="54" a="1"/>
  <c r="AW334" i="54" s="1"/>
  <c r="AW331" i="54" a="1"/>
  <c r="AW331" i="54" s="1"/>
  <c r="AW325" i="54" a="1"/>
  <c r="AW325" i="54" s="1"/>
  <c r="AW321" i="54" a="1"/>
  <c r="AW321" i="54" s="1"/>
  <c r="AW317" i="54" a="1"/>
  <c r="AW317" i="54" s="1"/>
  <c r="AW312" i="54" a="1"/>
  <c r="AW312" i="54" s="1"/>
  <c r="AW308" i="54" a="1"/>
  <c r="AW308" i="54" s="1"/>
  <c r="AW304" i="54" a="1"/>
  <c r="AW304" i="54" s="1"/>
  <c r="AW373" i="54" a="1"/>
  <c r="AW373" i="54" s="1"/>
  <c r="AW369" i="54" a="1"/>
  <c r="AW369" i="54" s="1"/>
  <c r="AW365" i="54" a="1"/>
  <c r="AW365" i="54" s="1"/>
  <c r="AW360" i="54" a="1"/>
  <c r="AW360" i="54" s="1"/>
  <c r="AW357" i="54" a="1"/>
  <c r="AW357" i="54" s="1"/>
  <c r="AW353" i="54" a="1"/>
  <c r="AW353" i="54" s="1"/>
  <c r="AW348" i="54" a="1"/>
  <c r="AW348" i="54" s="1"/>
  <c r="AW344" i="54" a="1"/>
  <c r="AW344" i="54" s="1"/>
  <c r="AW337" i="54" a="1"/>
  <c r="AW337" i="54" s="1"/>
  <c r="AW330" i="54" a="1"/>
  <c r="AW330" i="54" s="1"/>
  <c r="AW324" i="54" a="1"/>
  <c r="AW324" i="54" s="1"/>
  <c r="AW320" i="54" a="1"/>
  <c r="AW320" i="54" s="1"/>
  <c r="AW315" i="54" a="1"/>
  <c r="AW315" i="54" s="1"/>
  <c r="AW311" i="54" a="1"/>
  <c r="AW311" i="54" s="1"/>
  <c r="AW307" i="54" a="1"/>
  <c r="AW307" i="54" s="1"/>
  <c r="AW368" i="54" a="1"/>
  <c r="AW368" i="54" s="1"/>
  <c r="AW352" i="54" a="1"/>
  <c r="AW352" i="54" s="1"/>
  <c r="AW351" i="54" a="1"/>
  <c r="AW351" i="54" s="1"/>
  <c r="AW336" i="54" a="1"/>
  <c r="AW336" i="54" s="1"/>
  <c r="AW323" i="54" a="1"/>
  <c r="AW323" i="54" s="1"/>
  <c r="AW310" i="54" a="1"/>
  <c r="AW310" i="54" s="1"/>
  <c r="AW297" i="54" a="1"/>
  <c r="AW297" i="54" s="1"/>
  <c r="AW293" i="54" a="1"/>
  <c r="AW293" i="54" s="1"/>
  <c r="AW291" i="54" a="1"/>
  <c r="AW291" i="54" s="1"/>
  <c r="AW287" i="54" a="1"/>
  <c r="AW287" i="54" s="1"/>
  <c r="AW280" i="54" a="1"/>
  <c r="AW280" i="54" s="1"/>
  <c r="AW278" i="54" a="1"/>
  <c r="AW278" i="54" s="1"/>
  <c r="AW274" i="54" a="1"/>
  <c r="AW274" i="54" s="1"/>
  <c r="AW270" i="54" a="1"/>
  <c r="AW270" i="54" s="1"/>
  <c r="AW265" i="54" a="1"/>
  <c r="AW265" i="54" s="1"/>
  <c r="AW261" i="54" a="1"/>
  <c r="AW261" i="54" s="1"/>
  <c r="AW257" i="54" a="1"/>
  <c r="AW257" i="54" s="1"/>
  <c r="AW252" i="54" a="1"/>
  <c r="AW252" i="54" s="1"/>
  <c r="AW248" i="54" a="1"/>
  <c r="AW248" i="54" s="1"/>
  <c r="AW244" i="54" a="1"/>
  <c r="AW244" i="54" s="1"/>
  <c r="AW243" i="54" a="1"/>
  <c r="AW243" i="54" s="1"/>
  <c r="AW239" i="54" a="1"/>
  <c r="AW239" i="54" s="1"/>
  <c r="AW235" i="54" a="1"/>
  <c r="AW235" i="54" s="1"/>
  <c r="AW232" i="54" a="1"/>
  <c r="AW232" i="54" s="1"/>
  <c r="AW228" i="54" a="1"/>
  <c r="AW228" i="54" s="1"/>
  <c r="AW224" i="54" a="1"/>
  <c r="AW224" i="54" s="1"/>
  <c r="AW221" i="54" a="1"/>
  <c r="AW221" i="54" s="1"/>
  <c r="AW217" i="54" a="1"/>
  <c r="AW217" i="54" s="1"/>
  <c r="AW213" i="54" a="1"/>
  <c r="AW213" i="54" s="1"/>
  <c r="AW209" i="54" a="1"/>
  <c r="AW209" i="54" s="1"/>
  <c r="AW206" i="54" a="1"/>
  <c r="AW206" i="54" s="1"/>
  <c r="AW202" i="54" a="1"/>
  <c r="AW202" i="54" s="1"/>
  <c r="AW198" i="54" a="1"/>
  <c r="AW198" i="54" s="1"/>
  <c r="AW193" i="54" a="1"/>
  <c r="AW193" i="54" s="1"/>
  <c r="AW189" i="54" a="1"/>
  <c r="AW189" i="54" s="1"/>
  <c r="AW185" i="54" a="1"/>
  <c r="AW185" i="54" s="1"/>
  <c r="AW182" i="54" a="1"/>
  <c r="AW182" i="54" s="1"/>
  <c r="AW178" i="54" a="1"/>
  <c r="AW178" i="54" s="1"/>
  <c r="AW174" i="54" a="1"/>
  <c r="AW174" i="54" s="1"/>
  <c r="AW171" i="54" a="1"/>
  <c r="AW171" i="54" s="1"/>
  <c r="AW167" i="54" a="1"/>
  <c r="AW167" i="54" s="1"/>
  <c r="AW163" i="54" a="1"/>
  <c r="AW163" i="54" s="1"/>
  <c r="AW156" i="54" a="1"/>
  <c r="AW156" i="54" s="1"/>
  <c r="AW152" i="54" a="1"/>
  <c r="AW152" i="54" s="1"/>
  <c r="AW148" i="54" a="1"/>
  <c r="AW148" i="54" s="1"/>
  <c r="AW145" i="54" a="1"/>
  <c r="AW145" i="54" s="1"/>
  <c r="AW141" i="54" a="1"/>
  <c r="AW141" i="54" s="1"/>
  <c r="AW137" i="54" a="1"/>
  <c r="AW137" i="54" s="1"/>
  <c r="AW134" i="54" a="1"/>
  <c r="AW134" i="54" s="1"/>
  <c r="AW130" i="54" a="1"/>
  <c r="AW130" i="54" s="1"/>
  <c r="AW126" i="54" a="1"/>
  <c r="AW126" i="54" s="1"/>
  <c r="AW123" i="54" a="1"/>
  <c r="AW123" i="54" s="1"/>
  <c r="AW117" i="54" a="1"/>
  <c r="AW117" i="54" s="1"/>
  <c r="AW114" i="54" a="1"/>
  <c r="AW114" i="54" s="1"/>
  <c r="AW109" i="54" a="1"/>
  <c r="AW109" i="54" s="1"/>
  <c r="AW106" i="54" a="1"/>
  <c r="AW106" i="54" s="1"/>
  <c r="AW102" i="54" a="1"/>
  <c r="AW102" i="54" s="1"/>
  <c r="AW96" i="54" a="1"/>
  <c r="AW96" i="54" s="1"/>
  <c r="AW92" i="54" a="1"/>
  <c r="AW92" i="54" s="1"/>
  <c r="AW89" i="54" a="1"/>
  <c r="AW89" i="54" s="1"/>
  <c r="AW87" i="54" a="1"/>
  <c r="AW87" i="54" s="1"/>
  <c r="AW83" i="54" a="1"/>
  <c r="AW83" i="54" s="1"/>
  <c r="AW79" i="54" a="1"/>
  <c r="AW79" i="54" s="1"/>
  <c r="AW364" i="54" a="1"/>
  <c r="AW364" i="54" s="1"/>
  <c r="AW363" i="54" a="1"/>
  <c r="AW363" i="54" s="1"/>
  <c r="AW347" i="54" a="1"/>
  <c r="AW347" i="54" s="1"/>
  <c r="AW333" i="54" a="1"/>
  <c r="AW333" i="54" s="1"/>
  <c r="AW319" i="54" a="1"/>
  <c r="AW319" i="54" s="1"/>
  <c r="AW306" i="54" a="1"/>
  <c r="AW306" i="54" s="1"/>
  <c r="AW303" i="54" a="1"/>
  <c r="AW303" i="54" s="1"/>
  <c r="AW300" i="54" a="1"/>
  <c r="AW300" i="54" s="1"/>
  <c r="AW296" i="54" a="1"/>
  <c r="AW296" i="54" s="1"/>
  <c r="AW290" i="54" a="1"/>
  <c r="AW290" i="54" s="1"/>
  <c r="AW286" i="54" a="1"/>
  <c r="AW286" i="54" s="1"/>
  <c r="AW283" i="54" a="1"/>
  <c r="AW283" i="54" s="1"/>
  <c r="AW277" i="54" a="1"/>
  <c r="AW277" i="54" s="1"/>
  <c r="AW273" i="54" a="1"/>
  <c r="AW273" i="54" s="1"/>
  <c r="AW269" i="54" a="1"/>
  <c r="AW269" i="54" s="1"/>
  <c r="AW264" i="54" a="1"/>
  <c r="AW264" i="54" s="1"/>
  <c r="AW260" i="54" a="1"/>
  <c r="AW260" i="54" s="1"/>
  <c r="AW256" i="54" a="1"/>
  <c r="AW256" i="54" s="1"/>
  <c r="AW255" i="54" a="1"/>
  <c r="AW255" i="54" s="1"/>
  <c r="AW251" i="54" a="1"/>
  <c r="AW251" i="54" s="1"/>
  <c r="AW247" i="54" a="1"/>
  <c r="AW247" i="54" s="1"/>
  <c r="AW242" i="54" a="1"/>
  <c r="AW242" i="54" s="1"/>
  <c r="AW238" i="54" a="1"/>
  <c r="AW238" i="54" s="1"/>
  <c r="AW234" i="54" a="1"/>
  <c r="AW234" i="54" s="1"/>
  <c r="AW231" i="54" a="1"/>
  <c r="AW231" i="54" s="1"/>
  <c r="AW227" i="54" a="1"/>
  <c r="AW227" i="54" s="1"/>
  <c r="AW220" i="54" a="1"/>
  <c r="AW220" i="54" s="1"/>
  <c r="AW216" i="54" a="1"/>
  <c r="AW216" i="54" s="1"/>
  <c r="AW212" i="54" a="1"/>
  <c r="AW212" i="54" s="1"/>
  <c r="AW208" i="54" a="1"/>
  <c r="AW208" i="54" s="1"/>
  <c r="AW205" i="54" a="1"/>
  <c r="AW205" i="54" s="1"/>
  <c r="AW201" i="54" a="1"/>
  <c r="AW201" i="54" s="1"/>
  <c r="AW192" i="54" a="1"/>
  <c r="AW192" i="54" s="1"/>
  <c r="AW188" i="54" a="1"/>
  <c r="AW188" i="54" s="1"/>
  <c r="AW184" i="54" a="1"/>
  <c r="AW184" i="54" s="1"/>
  <c r="AW181" i="54" a="1"/>
  <c r="AW181" i="54" s="1"/>
  <c r="AW177" i="54" a="1"/>
  <c r="AW177" i="54" s="1"/>
  <c r="AW173" i="54" a="1"/>
  <c r="AW173" i="54" s="1"/>
  <c r="AW170" i="54" a="1"/>
  <c r="AW170" i="54" s="1"/>
  <c r="AW166" i="54" a="1"/>
  <c r="AW166" i="54" s="1"/>
  <c r="AW162" i="54" a="1"/>
  <c r="AW162" i="54" s="1"/>
  <c r="AW159" i="54" a="1"/>
  <c r="AW159" i="54" s="1"/>
  <c r="AW155" i="54" a="1"/>
  <c r="AW155" i="54" s="1"/>
  <c r="AW151" i="54" a="1"/>
  <c r="AW151" i="54" s="1"/>
  <c r="AW144" i="54" a="1"/>
  <c r="AW144" i="54" s="1"/>
  <c r="AW140" i="54" a="1"/>
  <c r="AW140" i="54" s="1"/>
  <c r="AW136" i="54" a="1"/>
  <c r="AW136" i="54" s="1"/>
  <c r="AW133" i="54" a="1"/>
  <c r="AW133" i="54" s="1"/>
  <c r="AW129" i="54" a="1"/>
  <c r="AW129" i="54" s="1"/>
  <c r="AW125" i="54" a="1"/>
  <c r="AW125" i="54" s="1"/>
  <c r="AW120" i="54" a="1"/>
  <c r="AW120" i="54" s="1"/>
  <c r="AW116" i="54" a="1"/>
  <c r="AW116" i="54" s="1"/>
  <c r="AW113" i="54" a="1"/>
  <c r="AW113" i="54" s="1"/>
  <c r="AW105" i="54" a="1"/>
  <c r="AW105" i="54" s="1"/>
  <c r="AW101" i="54" a="1"/>
  <c r="AW101" i="54" s="1"/>
  <c r="AW99" i="54" a="1"/>
  <c r="AW99" i="54" s="1"/>
  <c r="AW95" i="54" a="1"/>
  <c r="AW95" i="54" s="1"/>
  <c r="AW88" i="54" a="1"/>
  <c r="AW88" i="54" s="1"/>
  <c r="AW86" i="54" a="1"/>
  <c r="AW86" i="54" s="1"/>
  <c r="AW82" i="54" a="1"/>
  <c r="AW82" i="54" s="1"/>
  <c r="AW78" i="54" a="1"/>
  <c r="AW78" i="54" s="1"/>
  <c r="AW375" i="54" a="1"/>
  <c r="AW375" i="54" s="1"/>
  <c r="AW359" i="54" a="1"/>
  <c r="AW359" i="54" s="1"/>
  <c r="AW343" i="54" a="1"/>
  <c r="AW343" i="54" s="1"/>
  <c r="AW329" i="54" a="1"/>
  <c r="AW329" i="54" s="1"/>
  <c r="AW316" i="54" a="1"/>
  <c r="AW316" i="54" s="1"/>
  <c r="AW302" i="54" a="1"/>
  <c r="AW302" i="54" s="1"/>
  <c r="AW299" i="54" a="1"/>
  <c r="AW299" i="54" s="1"/>
  <c r="AW295" i="54" a="1"/>
  <c r="AW295" i="54" s="1"/>
  <c r="AW292" i="54" a="1"/>
  <c r="AW292" i="54" s="1"/>
  <c r="AW289" i="54" a="1"/>
  <c r="AW289" i="54" s="1"/>
  <c r="AW285" i="54" a="1"/>
  <c r="AW285" i="54" s="1"/>
  <c r="AW282" i="54" a="1"/>
  <c r="AW282" i="54" s="1"/>
  <c r="AW276" i="54" a="1"/>
  <c r="AW276" i="54" s="1"/>
  <c r="AW272" i="54" a="1"/>
  <c r="AW272" i="54" s="1"/>
  <c r="AW268" i="54" a="1"/>
  <c r="AW268" i="54" s="1"/>
  <c r="AW267" i="54" a="1"/>
  <c r="AW267" i="54" s="1"/>
  <c r="AW263" i="54" a="1"/>
  <c r="AW263" i="54" s="1"/>
  <c r="AW259" i="54" a="1"/>
  <c r="AW259" i="54" s="1"/>
  <c r="AW254" i="54" a="1"/>
  <c r="AW254" i="54" s="1"/>
  <c r="AW250" i="54" a="1"/>
  <c r="AW250" i="54" s="1"/>
  <c r="AW246" i="54" a="1"/>
  <c r="AW246" i="54" s="1"/>
  <c r="AW241" i="54" a="1"/>
  <c r="AW241" i="54" s="1"/>
  <c r="AW237" i="54" a="1"/>
  <c r="AW237" i="54" s="1"/>
  <c r="AW233" i="54" a="1"/>
  <c r="AW233" i="54" s="1"/>
  <c r="AW230" i="54" a="1"/>
  <c r="AW230" i="54" s="1"/>
  <c r="AW226" i="54" a="1"/>
  <c r="AW226" i="54" s="1"/>
  <c r="AW223" i="54" a="1"/>
  <c r="AW223" i="54" s="1"/>
  <c r="AW219" i="54" a="1"/>
  <c r="AW219" i="54" s="1"/>
  <c r="AW215" i="54" a="1"/>
  <c r="AW215" i="54" s="1"/>
  <c r="AW211" i="54" a="1"/>
  <c r="AW211" i="54" s="1"/>
  <c r="AW204" i="54" a="1"/>
  <c r="AW204" i="54" s="1"/>
  <c r="AW200" i="54" a="1"/>
  <c r="AW200" i="54" s="1"/>
  <c r="AW197" i="54" a="1"/>
  <c r="AW197" i="54" s="1"/>
  <c r="AW195" i="54" a="1"/>
  <c r="AW195" i="54" s="1"/>
  <c r="AW191" i="54" a="1"/>
  <c r="AW191" i="54" s="1"/>
  <c r="AW187" i="54" a="1"/>
  <c r="AW187" i="54" s="1"/>
  <c r="AW180" i="54" a="1"/>
  <c r="AW180" i="54" s="1"/>
  <c r="AW176" i="54" a="1"/>
  <c r="AW176" i="54" s="1"/>
  <c r="AW172" i="54" a="1"/>
  <c r="AW172" i="54" s="1"/>
  <c r="AW169" i="54" a="1"/>
  <c r="AW169" i="54" s="1"/>
  <c r="AW165" i="54" a="1"/>
  <c r="AW165" i="54" s="1"/>
  <c r="AW161" i="54" a="1"/>
  <c r="AW161" i="54" s="1"/>
  <c r="AW158" i="54" a="1"/>
  <c r="AW158" i="54" s="1"/>
  <c r="AW154" i="54" a="1"/>
  <c r="AW154" i="54" s="1"/>
  <c r="AW150" i="54" a="1"/>
  <c r="AW150" i="54" s="1"/>
  <c r="AW147" i="54" a="1"/>
  <c r="AW147" i="54" s="1"/>
  <c r="AW143" i="54" a="1"/>
  <c r="AW143" i="54" s="1"/>
  <c r="AW139" i="54" a="1"/>
  <c r="AW139" i="54" s="1"/>
  <c r="AW132" i="54" a="1"/>
  <c r="AW132" i="54" s="1"/>
  <c r="AW128" i="54" a="1"/>
  <c r="AW128" i="54" s="1"/>
  <c r="AW124" i="54" a="1"/>
  <c r="AW124" i="54" s="1"/>
  <c r="AW122" i="54" a="1"/>
  <c r="AW122" i="54" s="1"/>
  <c r="AW119" i="54" a="1"/>
  <c r="AW119" i="54" s="1"/>
  <c r="AW115" i="54" a="1"/>
  <c r="AW115" i="54" s="1"/>
  <c r="AW111" i="54" a="1"/>
  <c r="AW111" i="54" s="1"/>
  <c r="AW108" i="54" a="1"/>
  <c r="AW108" i="54" s="1"/>
  <c r="AW104" i="54" a="1"/>
  <c r="AW104" i="54" s="1"/>
  <c r="AW98" i="54" a="1"/>
  <c r="AW98" i="54" s="1"/>
  <c r="AW94" i="54" a="1"/>
  <c r="AW94" i="54" s="1"/>
  <c r="AW91" i="54" a="1"/>
  <c r="AW91" i="54" s="1"/>
  <c r="AW372" i="54" a="1"/>
  <c r="AW372" i="54" s="1"/>
  <c r="AW356" i="54" a="1"/>
  <c r="AW356" i="54" s="1"/>
  <c r="AW340" i="54" a="1"/>
  <c r="AW340" i="54" s="1"/>
  <c r="AW301" i="54" a="1"/>
  <c r="AW301" i="54" s="1"/>
  <c r="AW288" i="54" a="1"/>
  <c r="AW288" i="54" s="1"/>
  <c r="AW275" i="54" a="1"/>
  <c r="AW275" i="54" s="1"/>
  <c r="AW262" i="54" a="1"/>
  <c r="AW262" i="54" s="1"/>
  <c r="AW249" i="54" a="1"/>
  <c r="AW249" i="54" s="1"/>
  <c r="AW236" i="54" a="1"/>
  <c r="AW236" i="54" s="1"/>
  <c r="AW222" i="54" a="1"/>
  <c r="AW222" i="54" s="1"/>
  <c r="AW207" i="54" a="1"/>
  <c r="AW207" i="54" s="1"/>
  <c r="AW194" i="54" a="1"/>
  <c r="AW194" i="54" s="1"/>
  <c r="AW179" i="54" a="1"/>
  <c r="AW179" i="54" s="1"/>
  <c r="AW164" i="54" a="1"/>
  <c r="AW164" i="54" s="1"/>
  <c r="AW149" i="54" a="1"/>
  <c r="AW149" i="54" s="1"/>
  <c r="AW135" i="54" a="1"/>
  <c r="AW135" i="54" s="1"/>
  <c r="AW112" i="54" a="1"/>
  <c r="AW112" i="54" s="1"/>
  <c r="AW100" i="54" a="1"/>
  <c r="AW100" i="54" s="1"/>
  <c r="AW81" i="54" a="1"/>
  <c r="AW81" i="54" s="1"/>
  <c r="AW75" i="54" a="1"/>
  <c r="AW75" i="54" s="1"/>
  <c r="AW72" i="54" a="1"/>
  <c r="AW72" i="54" s="1"/>
  <c r="AW68" i="54" a="1"/>
  <c r="AW68" i="54" s="1"/>
  <c r="AW64" i="54" a="1"/>
  <c r="AW64" i="54" s="1"/>
  <c r="AW60" i="54" a="1"/>
  <c r="AW60" i="54" s="1"/>
  <c r="AW53" i="54" a="1"/>
  <c r="AW53" i="54" s="1"/>
  <c r="AW49" i="54" a="1"/>
  <c r="AW49" i="54" s="1"/>
  <c r="AW45" i="54" a="1"/>
  <c r="AW45" i="54" s="1"/>
  <c r="AW41" i="54" a="1"/>
  <c r="AW41" i="54" s="1"/>
  <c r="AW38" i="54" a="1"/>
  <c r="AW38" i="54" s="1"/>
  <c r="AW35" i="54" a="1"/>
  <c r="AW35" i="54" s="1"/>
  <c r="AW32" i="54" a="1"/>
  <c r="AW32" i="54" s="1"/>
  <c r="AW27" i="54" a="1"/>
  <c r="AW27" i="54" s="1"/>
  <c r="AW23" i="54" a="1"/>
  <c r="AW23" i="54" s="1"/>
  <c r="AW19" i="54" a="1"/>
  <c r="AW19" i="54" s="1"/>
  <c r="AM20" i="54" a="1"/>
  <c r="AM20" i="54" s="1"/>
  <c r="AM23" i="54" a="1"/>
  <c r="AM23" i="54" s="1"/>
  <c r="AM27" i="54" a="1"/>
  <c r="AM27" i="54" s="1"/>
  <c r="AM31" i="54" a="1"/>
  <c r="AM31" i="54" s="1"/>
  <c r="AM38" i="54" a="1"/>
  <c r="AM38" i="54" s="1"/>
  <c r="AM43" i="54" a="1"/>
  <c r="AM43" i="54" s="1"/>
  <c r="AM48" i="54" a="1"/>
  <c r="AM48" i="54" s="1"/>
  <c r="AM54" i="54" a="1"/>
  <c r="AM54" i="54" s="1"/>
  <c r="AM60" i="54" a="1"/>
  <c r="AM60" i="54" s="1"/>
  <c r="AM67" i="54" a="1"/>
  <c r="AM67" i="54" s="1"/>
  <c r="AM70" i="54" a="1"/>
  <c r="AM70" i="54" s="1"/>
  <c r="AM74" i="54" a="1"/>
  <c r="AM74" i="54" s="1"/>
  <c r="AM76" i="54" a="1"/>
  <c r="AM76" i="54" s="1"/>
  <c r="AM80" i="54" a="1"/>
  <c r="AM80" i="54" s="1"/>
  <c r="AM83" i="54" a="1"/>
  <c r="AM83" i="54" s="1"/>
  <c r="AM88" i="54" a="1"/>
  <c r="AM88" i="54" s="1"/>
  <c r="AM95" i="54" a="1"/>
  <c r="AM95" i="54" s="1"/>
  <c r="AM98" i="54" a="1"/>
  <c r="AM98" i="54" s="1"/>
  <c r="AM100" i="54" a="1"/>
  <c r="AM100" i="54" s="1"/>
  <c r="AM104" i="54" a="1"/>
  <c r="AM104" i="54" s="1"/>
  <c r="AM108" i="54" a="1"/>
  <c r="AM108" i="54" s="1"/>
  <c r="AW298" i="54" a="1"/>
  <c r="AW298" i="54" s="1"/>
  <c r="AW284" i="54" a="1"/>
  <c r="AW284" i="54" s="1"/>
  <c r="AW271" i="54" a="1"/>
  <c r="AW271" i="54" s="1"/>
  <c r="AW258" i="54" a="1"/>
  <c r="AW258" i="54" s="1"/>
  <c r="AW245" i="54" a="1"/>
  <c r="AW245" i="54" s="1"/>
  <c r="AW218" i="54" a="1"/>
  <c r="AW218" i="54" s="1"/>
  <c r="AW203" i="54" a="1"/>
  <c r="AW203" i="54" s="1"/>
  <c r="AW190" i="54" a="1"/>
  <c r="AW190" i="54" s="1"/>
  <c r="AW175" i="54" a="1"/>
  <c r="AW175" i="54" s="1"/>
  <c r="AW160" i="54" a="1"/>
  <c r="AW160" i="54" s="1"/>
  <c r="AW146" i="54" a="1"/>
  <c r="AW146" i="54" s="1"/>
  <c r="AW131" i="54" a="1"/>
  <c r="AW131" i="54" s="1"/>
  <c r="AW121" i="54" a="1"/>
  <c r="AW121" i="54" s="1"/>
  <c r="AW110" i="54" a="1"/>
  <c r="AW110" i="54" s="1"/>
  <c r="AW97" i="54" a="1"/>
  <c r="AW97" i="54" s="1"/>
  <c r="AW80" i="54" a="1"/>
  <c r="AW80" i="54" s="1"/>
  <c r="AW74" i="54" a="1"/>
  <c r="AW74" i="54" s="1"/>
  <c r="AW71" i="54" a="1"/>
  <c r="AW71" i="54" s="1"/>
  <c r="AW67" i="54" a="1"/>
  <c r="AW67" i="54" s="1"/>
  <c r="AW63" i="54" a="1"/>
  <c r="AW63" i="54" s="1"/>
  <c r="AW59" i="54" a="1"/>
  <c r="AW59" i="54" s="1"/>
  <c r="AW56" i="54" a="1"/>
  <c r="AW56" i="54" s="1"/>
  <c r="AW52" i="54" a="1"/>
  <c r="AW52" i="54" s="1"/>
  <c r="AW48" i="54" a="1"/>
  <c r="AW48" i="54" s="1"/>
  <c r="AW44" i="54" a="1"/>
  <c r="AW44" i="54" s="1"/>
  <c r="AW40" i="54" a="1"/>
  <c r="AW40" i="54" s="1"/>
  <c r="AW37" i="54" a="1"/>
  <c r="AW37" i="54" s="1"/>
  <c r="AW31" i="54" a="1"/>
  <c r="AW31" i="54" s="1"/>
  <c r="AW28" i="54" a="1"/>
  <c r="AW28" i="54" s="1"/>
  <c r="AW26" i="54" a="1"/>
  <c r="AW26" i="54" s="1"/>
  <c r="AW22" i="54" a="1"/>
  <c r="AW22" i="54" s="1"/>
  <c r="AW18" i="54" a="1"/>
  <c r="AW18" i="54" s="1"/>
  <c r="AM18" i="54" a="1"/>
  <c r="AM18" i="54" s="1"/>
  <c r="AM21" i="54" a="1"/>
  <c r="AM21" i="54" s="1"/>
  <c r="AM24" i="54" a="1"/>
  <c r="AM24" i="54" s="1"/>
  <c r="AM29" i="54" a="1"/>
  <c r="AM29" i="54" s="1"/>
  <c r="AM32" i="54" a="1"/>
  <c r="AM32" i="54" s="1"/>
  <c r="AM35" i="54" a="1"/>
  <c r="AM35" i="54" s="1"/>
  <c r="AM40" i="54" a="1"/>
  <c r="AM40" i="54" s="1"/>
  <c r="AM46" i="54" a="1"/>
  <c r="AM46" i="54" s="1"/>
  <c r="AM49" i="54" a="1"/>
  <c r="AM49" i="54" s="1"/>
  <c r="AM57" i="54" a="1"/>
  <c r="AM57" i="54" s="1"/>
  <c r="AM63" i="54" a="1"/>
  <c r="AM63" i="54" s="1"/>
  <c r="AM64" i="54" a="1"/>
  <c r="AM64" i="54" s="1"/>
  <c r="AM68" i="54" a="1"/>
  <c r="AM68" i="54" s="1"/>
  <c r="AM71" i="54" a="1"/>
  <c r="AM71" i="54" s="1"/>
  <c r="AM75" i="54" a="1"/>
  <c r="AM75" i="54" s="1"/>
  <c r="AM77" i="54" a="1"/>
  <c r="AM77" i="54" s="1"/>
  <c r="AM84" i="54" a="1"/>
  <c r="AM84" i="54" s="1"/>
  <c r="AM87" i="54" a="1"/>
  <c r="AM87" i="54" s="1"/>
  <c r="AM89" i="54" a="1"/>
  <c r="AM89" i="54" s="1"/>
  <c r="AM92" i="54" a="1"/>
  <c r="AM92" i="54" s="1"/>
  <c r="AM96" i="54" a="1"/>
  <c r="AM96" i="54" s="1"/>
  <c r="AM99" i="54" a="1"/>
  <c r="AM99" i="54" s="1"/>
  <c r="AM101" i="54" a="1"/>
  <c r="AM101" i="54" s="1"/>
  <c r="AM105" i="54" a="1"/>
  <c r="AM105" i="54" s="1"/>
  <c r="AM109" i="54" a="1"/>
  <c r="AM109" i="54" s="1"/>
  <c r="AM113" i="54" a="1"/>
  <c r="AM113" i="54" s="1"/>
  <c r="AM116" i="54" a="1"/>
  <c r="AM116" i="54" s="1"/>
  <c r="AM120" i="54" a="1"/>
  <c r="AM120" i="54" s="1"/>
  <c r="AW294" i="54" a="1"/>
  <c r="AW294" i="54" s="1"/>
  <c r="AW281" i="54" a="1"/>
  <c r="AW281" i="54" s="1"/>
  <c r="AW229" i="54" a="1"/>
  <c r="AW229" i="54" s="1"/>
  <c r="AW214" i="54" a="1"/>
  <c r="AW214" i="54" s="1"/>
  <c r="AW199" i="54" a="1"/>
  <c r="AW199" i="54" s="1"/>
  <c r="AW186" i="54" a="1"/>
  <c r="AW186" i="54" s="1"/>
  <c r="AW157" i="54" a="1"/>
  <c r="AW157" i="54" s="1"/>
  <c r="AW142" i="54" a="1"/>
  <c r="AW142" i="54" s="1"/>
  <c r="AW127" i="54" a="1"/>
  <c r="AW127" i="54" s="1"/>
  <c r="AW118" i="54" a="1"/>
  <c r="AW118" i="54" s="1"/>
  <c r="AW107" i="54" a="1"/>
  <c r="AW107" i="54" s="1"/>
  <c r="AW93" i="54" a="1"/>
  <c r="AW93" i="54" s="1"/>
  <c r="AW85" i="54" a="1"/>
  <c r="AW85" i="54" s="1"/>
  <c r="AW77" i="54" a="1"/>
  <c r="AW77" i="54" s="1"/>
  <c r="AW70" i="54" a="1"/>
  <c r="AW70" i="54" s="1"/>
  <c r="AW66" i="54" a="1"/>
  <c r="AW66" i="54" s="1"/>
  <c r="AW62" i="54" a="1"/>
  <c r="AW62" i="54" s="1"/>
  <c r="AW58" i="54" a="1"/>
  <c r="AW58" i="54" s="1"/>
  <c r="AW55" i="54" a="1"/>
  <c r="AW55" i="54" s="1"/>
  <c r="AW51" i="54" a="1"/>
  <c r="AW51" i="54" s="1"/>
  <c r="AW47" i="54" a="1"/>
  <c r="AW47" i="54" s="1"/>
  <c r="AW43" i="54" a="1"/>
  <c r="AW43" i="54" s="1"/>
  <c r="AW34" i="54" a="1"/>
  <c r="AW34" i="54" s="1"/>
  <c r="AW30" i="54" a="1"/>
  <c r="AW30" i="54" s="1"/>
  <c r="AW25" i="54" a="1"/>
  <c r="AW25" i="54" s="1"/>
  <c r="AW21" i="54" a="1"/>
  <c r="AW21" i="54" s="1"/>
  <c r="AW17" i="54" a="1"/>
  <c r="AW17" i="54" s="1"/>
  <c r="AM16" i="54" a="1"/>
  <c r="AM16" i="54" s="1"/>
  <c r="AM19" i="54" a="1"/>
  <c r="AM19" i="54" s="1"/>
  <c r="AM25" i="54" a="1"/>
  <c r="AM25" i="54" s="1"/>
  <c r="AM30" i="54" a="1"/>
  <c r="AM30" i="54" s="1"/>
  <c r="AM33" i="54" a="1"/>
  <c r="AM33" i="54" s="1"/>
  <c r="AM36" i="54" a="1"/>
  <c r="AM36" i="54" s="1"/>
  <c r="AM39" i="54" a="1"/>
  <c r="AM39" i="54" s="1"/>
  <c r="AM41" i="54" a="1"/>
  <c r="AM41" i="54" s="1"/>
  <c r="AM44" i="54" a="1"/>
  <c r="AM44" i="54" s="1"/>
  <c r="AM47" i="54" a="1"/>
  <c r="AM47" i="54" s="1"/>
  <c r="AM50" i="54" a="1"/>
  <c r="AM50" i="54" s="1"/>
  <c r="AM52" i="54" a="1"/>
  <c r="AM52" i="54" s="1"/>
  <c r="AM55" i="54" a="1"/>
  <c r="AM55" i="54" s="1"/>
  <c r="AM58" i="54" a="1"/>
  <c r="AM58" i="54" s="1"/>
  <c r="AM61" i="54" a="1"/>
  <c r="AM61" i="54" s="1"/>
  <c r="AM65" i="54" a="1"/>
  <c r="AM65" i="54" s="1"/>
  <c r="AM69" i="54" a="1"/>
  <c r="AM69" i="54" s="1"/>
  <c r="AM72" i="54" a="1"/>
  <c r="AM72" i="54" s="1"/>
  <c r="AM78" i="54" a="1"/>
  <c r="AM78" i="54" s="1"/>
  <c r="AM81" i="54" a="1"/>
  <c r="AM81" i="54" s="1"/>
  <c r="AM85" i="54" a="1"/>
  <c r="AM85" i="54" s="1"/>
  <c r="AM90" i="54" a="1"/>
  <c r="AM90" i="54" s="1"/>
  <c r="AM93" i="54" a="1"/>
  <c r="AM93" i="54" s="1"/>
  <c r="AM97" i="54" a="1"/>
  <c r="AM97" i="54" s="1"/>
  <c r="AM102" i="54" a="1"/>
  <c r="AM102" i="54" s="1"/>
  <c r="AM106" i="54" a="1"/>
  <c r="AM106" i="54" s="1"/>
  <c r="AM110" i="54" a="1"/>
  <c r="AM110" i="54" s="1"/>
  <c r="AM114" i="54" a="1"/>
  <c r="AM114" i="54" s="1"/>
  <c r="AM117" i="54" a="1"/>
  <c r="AM117" i="54" s="1"/>
  <c r="AM121" i="54" a="1"/>
  <c r="AM121" i="54" s="1"/>
  <c r="AM129" i="54" a="1"/>
  <c r="AM129" i="54" s="1"/>
  <c r="AM138" i="54" a="1"/>
  <c r="AM138" i="54" s="1"/>
  <c r="AM142" i="54" a="1"/>
  <c r="AM142" i="54" s="1"/>
  <c r="AM146" i="54" a="1"/>
  <c r="AM146" i="54" s="1"/>
  <c r="AW327" i="54" a="1"/>
  <c r="AW327" i="54" s="1"/>
  <c r="AW61" i="54" a="1"/>
  <c r="AW61" i="54" s="1"/>
  <c r="AW46" i="54" a="1"/>
  <c r="AW46" i="54" s="1"/>
  <c r="AW36" i="54" a="1"/>
  <c r="AW36" i="54" s="1"/>
  <c r="AM26" i="54" a="1"/>
  <c r="AM26" i="54" s="1"/>
  <c r="AM28" i="54" a="1"/>
  <c r="AM28" i="54" s="1"/>
  <c r="AM45" i="54" a="1"/>
  <c r="AM45" i="54" s="1"/>
  <c r="AM62" i="54" a="1"/>
  <c r="AM62" i="54" s="1"/>
  <c r="AM66" i="54" a="1"/>
  <c r="AM66" i="54" s="1"/>
  <c r="AM79" i="54" a="1"/>
  <c r="AM79" i="54" s="1"/>
  <c r="AM91" i="54" a="1"/>
  <c r="AM91" i="54" s="1"/>
  <c r="AM123" i="54" a="1"/>
  <c r="AM123" i="54" s="1"/>
  <c r="AM127" i="54" a="1"/>
  <c r="AM127" i="54" s="1"/>
  <c r="AM131" i="54" a="1"/>
  <c r="AM131" i="54" s="1"/>
  <c r="AM135" i="54" a="1"/>
  <c r="AM135" i="54" s="1"/>
  <c r="AM139" i="54" a="1"/>
  <c r="AM139" i="54" s="1"/>
  <c r="AM144" i="54" a="1"/>
  <c r="AM144" i="54" s="1"/>
  <c r="AM149" i="54" a="1"/>
  <c r="AM149" i="54" s="1"/>
  <c r="AM153" i="54" a="1"/>
  <c r="AM153" i="54" s="1"/>
  <c r="AM157" i="54" a="1"/>
  <c r="AM157" i="54" s="1"/>
  <c r="AM161" i="54" a="1"/>
  <c r="AM161" i="54" s="1"/>
  <c r="AM168" i="54" a="1"/>
  <c r="AM168" i="54" s="1"/>
  <c r="AM175" i="54" a="1"/>
  <c r="AM175" i="54" s="1"/>
  <c r="AM178" i="54" a="1"/>
  <c r="AM178" i="54" s="1"/>
  <c r="AM182" i="54" a="1"/>
  <c r="AM182" i="54" s="1"/>
  <c r="AM184" i="54" a="1"/>
  <c r="AM184" i="54" s="1"/>
  <c r="AM188" i="54" a="1"/>
  <c r="AM188" i="54" s="1"/>
  <c r="AM192" i="54" a="1"/>
  <c r="AM192" i="54" s="1"/>
  <c r="AM195" i="54" a="1"/>
  <c r="AM195" i="54" s="1"/>
  <c r="AM198" i="54" a="1"/>
  <c r="AM198" i="54" s="1"/>
  <c r="AM202" i="54" a="1"/>
  <c r="AM202" i="54" s="1"/>
  <c r="AM206" i="54" a="1"/>
  <c r="AM206" i="54" s="1"/>
  <c r="AM209" i="54" a="1"/>
  <c r="AM209" i="54" s="1"/>
  <c r="AM213" i="54" a="1"/>
  <c r="AM213" i="54" s="1"/>
  <c r="AM217" i="54" a="1"/>
  <c r="AM217" i="54" s="1"/>
  <c r="AM221" i="54" a="1"/>
  <c r="AM221" i="54" s="1"/>
  <c r="AM225" i="54" a="1"/>
  <c r="AM225" i="54" s="1"/>
  <c r="AM229" i="54" a="1"/>
  <c r="AM229" i="54" s="1"/>
  <c r="AM234" i="54" a="1"/>
  <c r="AM234" i="54" s="1"/>
  <c r="AM238" i="54" a="1"/>
  <c r="AM238" i="54" s="1"/>
  <c r="AM242" i="54" a="1"/>
  <c r="AM242" i="54" s="1"/>
  <c r="AM247" i="54" a="1"/>
  <c r="AM247" i="54" s="1"/>
  <c r="AM251" i="54" a="1"/>
  <c r="AM251" i="54" s="1"/>
  <c r="AM255" i="54" a="1"/>
  <c r="AM255" i="54" s="1"/>
  <c r="AM259" i="54" a="1"/>
  <c r="AM259" i="54" s="1"/>
  <c r="AM263" i="54" a="1"/>
  <c r="AM263" i="54" s="1"/>
  <c r="AM267" i="54" a="1"/>
  <c r="AM267" i="54" s="1"/>
  <c r="AM270" i="54" a="1"/>
  <c r="AM270" i="54" s="1"/>
  <c r="AM274" i="54" a="1"/>
  <c r="AM274" i="54" s="1"/>
  <c r="AM278" i="54" a="1"/>
  <c r="AM278" i="54" s="1"/>
  <c r="AM281" i="54" a="1"/>
  <c r="AM281" i="54" s="1"/>
  <c r="AM285" i="54" a="1"/>
  <c r="AM285" i="54" s="1"/>
  <c r="AM289" i="54" a="1"/>
  <c r="AM289" i="54" s="1"/>
  <c r="AW314" i="54" a="1"/>
  <c r="AW314" i="54" s="1"/>
  <c r="AW73" i="54" a="1"/>
  <c r="AW73" i="54" s="1"/>
  <c r="AW57" i="54" a="1"/>
  <c r="AW57" i="54" s="1"/>
  <c r="AW42" i="54" a="1"/>
  <c r="AW42" i="54" s="1"/>
  <c r="AW33" i="54" a="1"/>
  <c r="AW33" i="54" s="1"/>
  <c r="AW24" i="54" a="1"/>
  <c r="AW24" i="54" s="1"/>
  <c r="AM17" i="54" a="1"/>
  <c r="AM17" i="54" s="1"/>
  <c r="AM53" i="54" a="1"/>
  <c r="AM53" i="54" s="1"/>
  <c r="AM82" i="54" a="1"/>
  <c r="AM82" i="54" s="1"/>
  <c r="AM94" i="54" a="1"/>
  <c r="AM94" i="54" s="1"/>
  <c r="AM103" i="54" a="1"/>
  <c r="AM103" i="54" s="1"/>
  <c r="AM118" i="54" a="1"/>
  <c r="AM118" i="54" s="1"/>
  <c r="AM124" i="54" a="1"/>
  <c r="AM124" i="54" s="1"/>
  <c r="AM128" i="54" a="1"/>
  <c r="AM128" i="54" s="1"/>
  <c r="AM132" i="54" a="1"/>
  <c r="AM132" i="54" s="1"/>
  <c r="AM140" i="54" a="1"/>
  <c r="AM140" i="54" s="1"/>
  <c r="AM145" i="54" a="1"/>
  <c r="AM145" i="54" s="1"/>
  <c r="AM150" i="54" a="1"/>
  <c r="AM150" i="54" s="1"/>
  <c r="AM154" i="54" a="1"/>
  <c r="AM154" i="54" s="1"/>
  <c r="AM158" i="54" a="1"/>
  <c r="AM158" i="54" s="1"/>
  <c r="AM162" i="54" a="1"/>
  <c r="AM162" i="54" s="1"/>
  <c r="AM165" i="54" a="1"/>
  <c r="AM165" i="54" s="1"/>
  <c r="AM169" i="54" a="1"/>
  <c r="AM169" i="54" s="1"/>
  <c r="AM172" i="54" a="1"/>
  <c r="AM172" i="54" s="1"/>
  <c r="AM176" i="54" a="1"/>
  <c r="AM176" i="54" s="1"/>
  <c r="AM179" i="54" a="1"/>
  <c r="AM179" i="54" s="1"/>
  <c r="AM183" i="54" a="1"/>
  <c r="AM183" i="54" s="1"/>
  <c r="AM185" i="54" a="1"/>
  <c r="AM185" i="54" s="1"/>
  <c r="AM189" i="54" a="1"/>
  <c r="AM189" i="54" s="1"/>
  <c r="AM193" i="54" a="1"/>
  <c r="AM193" i="54" s="1"/>
  <c r="AM199" i="54" a="1"/>
  <c r="AM199" i="54" s="1"/>
  <c r="AM203" i="54" a="1"/>
  <c r="AM203" i="54" s="1"/>
  <c r="AM207" i="54" a="1"/>
  <c r="AM207" i="54" s="1"/>
  <c r="AM210" i="54" a="1"/>
  <c r="AM210" i="54" s="1"/>
  <c r="AM214" i="54" a="1"/>
  <c r="AM214" i="54" s="1"/>
  <c r="AM218" i="54" a="1"/>
  <c r="AM218" i="54" s="1"/>
  <c r="AM222" i="54" a="1"/>
  <c r="AM222" i="54" s="1"/>
  <c r="AM226" i="54" a="1"/>
  <c r="AM226" i="54" s="1"/>
  <c r="AM235" i="54" a="1"/>
  <c r="AM235" i="54" s="1"/>
  <c r="AM239" i="54" a="1"/>
  <c r="AM239" i="54" s="1"/>
  <c r="AM243" i="54" a="1"/>
  <c r="AM243" i="54" s="1"/>
  <c r="AM244" i="54" a="1"/>
  <c r="AM244" i="54" s="1"/>
  <c r="AM248" i="54" a="1"/>
  <c r="AM248" i="54" s="1"/>
  <c r="AM252" i="54" a="1"/>
  <c r="AM252" i="54" s="1"/>
  <c r="AM256" i="54" a="1"/>
  <c r="AM256" i="54" s="1"/>
  <c r="AM260" i="54" a="1"/>
  <c r="AM260" i="54" s="1"/>
  <c r="AM264" i="54" a="1"/>
  <c r="AM264" i="54" s="1"/>
  <c r="AM271" i="54" a="1"/>
  <c r="AM271" i="54" s="1"/>
  <c r="AM275" i="54" a="1"/>
  <c r="AM275" i="54" s="1"/>
  <c r="AM279" i="54" a="1"/>
  <c r="AM279" i="54" s="1"/>
  <c r="AM282" i="54" a="1"/>
  <c r="AM282" i="54" s="1"/>
  <c r="AM286" i="54" a="1"/>
  <c r="AM286" i="54" s="1"/>
  <c r="AM290" i="54" a="1"/>
  <c r="AM290" i="54" s="1"/>
  <c r="AM293" i="54" a="1"/>
  <c r="AM293" i="54" s="1"/>
  <c r="AM297" i="54" a="1"/>
  <c r="AM297" i="54" s="1"/>
  <c r="AM301" i="54" a="1"/>
  <c r="AM301" i="54" s="1"/>
  <c r="AM308" i="54" a="1"/>
  <c r="AM308" i="54" s="1"/>
  <c r="AM312" i="54" a="1"/>
  <c r="AM312" i="54" s="1"/>
  <c r="AM316" i="54" a="1"/>
  <c r="AM316" i="54" s="1"/>
  <c r="AM320" i="54" a="1"/>
  <c r="AM320" i="54" s="1"/>
  <c r="AM324" i="54" a="1"/>
  <c r="AM324" i="54" s="1"/>
  <c r="AW183" i="54" a="1"/>
  <c r="AW183" i="54" s="1"/>
  <c r="AW168" i="54" a="1"/>
  <c r="AW168" i="54" s="1"/>
  <c r="AW153" i="54" a="1"/>
  <c r="AW153" i="54" s="1"/>
  <c r="AW138" i="54" a="1"/>
  <c r="AW138" i="54" s="1"/>
  <c r="AW103" i="54" a="1"/>
  <c r="AW103" i="54" s="1"/>
  <c r="AW90" i="54" a="1"/>
  <c r="AW90" i="54" s="1"/>
  <c r="AW84" i="54" a="1"/>
  <c r="AW84" i="54" s="1"/>
  <c r="AW69" i="54" a="1"/>
  <c r="AW69" i="54" s="1"/>
  <c r="AW54" i="54" a="1"/>
  <c r="AW54" i="54" s="1"/>
  <c r="AW29" i="54" a="1"/>
  <c r="AW29" i="54" s="1"/>
  <c r="AW20" i="54" a="1"/>
  <c r="AW20" i="54" s="1"/>
  <c r="AM34" i="54" a="1"/>
  <c r="AM34" i="54" s="1"/>
  <c r="AM51" i="54" a="1"/>
  <c r="AM51" i="54" s="1"/>
  <c r="AM56" i="54" a="1"/>
  <c r="AM56" i="54" s="1"/>
  <c r="AM73" i="54" a="1"/>
  <c r="AM73" i="54" s="1"/>
  <c r="AM86" i="54" a="1"/>
  <c r="AM86" i="54" s="1"/>
  <c r="AM107" i="54" a="1"/>
  <c r="AM107" i="54" s="1"/>
  <c r="AM112" i="54" a="1"/>
  <c r="AM112" i="54" s="1"/>
  <c r="AM119" i="54" a="1"/>
  <c r="AM119" i="54" s="1"/>
  <c r="AM125" i="54" a="1"/>
  <c r="AM125" i="54" s="1"/>
  <c r="AM133" i="54" a="1"/>
  <c r="AM133" i="54" s="1"/>
  <c r="AM136" i="54" a="1"/>
  <c r="AM136" i="54" s="1"/>
  <c r="AM141" i="54" a="1"/>
  <c r="AM141" i="54" s="1"/>
  <c r="AM147" i="54" a="1"/>
  <c r="AM147" i="54" s="1"/>
  <c r="AM151" i="54" a="1"/>
  <c r="AM151" i="54" s="1"/>
  <c r="AM155" i="54" a="1"/>
  <c r="AM155" i="54" s="1"/>
  <c r="AM159" i="54" a="1"/>
  <c r="AM159" i="54" s="1"/>
  <c r="AM163" i="54" a="1"/>
  <c r="AM163" i="54" s="1"/>
  <c r="AM166" i="54" a="1"/>
  <c r="AM166" i="54" s="1"/>
  <c r="AM170" i="54" a="1"/>
  <c r="AM170" i="54" s="1"/>
  <c r="AM173" i="54" a="1"/>
  <c r="AM173" i="54" s="1"/>
  <c r="AM177" i="54" a="1"/>
  <c r="AM177" i="54" s="1"/>
  <c r="AM180" i="54" a="1"/>
  <c r="AM180" i="54" s="1"/>
  <c r="AM186" i="54" a="1"/>
  <c r="AM186" i="54" s="1"/>
  <c r="AM190" i="54" a="1"/>
  <c r="AM190" i="54" s="1"/>
  <c r="AM194" i="54" a="1"/>
  <c r="AM194" i="54" s="1"/>
  <c r="AM196" i="54" a="1"/>
  <c r="AM196" i="54" s="1"/>
  <c r="AM200" i="54" a="1"/>
  <c r="AM200" i="54" s="1"/>
  <c r="AM204" i="54" a="1"/>
  <c r="AM204" i="54" s="1"/>
  <c r="AM211" i="54" a="1"/>
  <c r="AM211" i="54" s="1"/>
  <c r="AM215" i="54" a="1"/>
  <c r="AM215" i="54" s="1"/>
  <c r="AM219" i="54" a="1"/>
  <c r="AM219" i="54" s="1"/>
  <c r="AM223" i="54" a="1"/>
  <c r="AM223" i="54" s="1"/>
  <c r="AM227" i="54" a="1"/>
  <c r="AM227" i="54" s="1"/>
  <c r="AM230" i="54" a="1"/>
  <c r="AM230" i="54" s="1"/>
  <c r="AM232" i="54" a="1"/>
  <c r="AM232" i="54" s="1"/>
  <c r="AM236" i="54" a="1"/>
  <c r="AM236" i="54" s="1"/>
  <c r="AM240" i="54" a="1"/>
  <c r="AM240" i="54" s="1"/>
  <c r="AM245" i="54" a="1"/>
  <c r="AM245" i="54" s="1"/>
  <c r="AM249" i="54" a="1"/>
  <c r="AM249" i="54" s="1"/>
  <c r="AM253" i="54" a="1"/>
  <c r="AM253" i="54" s="1"/>
  <c r="AM257" i="54" a="1"/>
  <c r="AM257" i="54" s="1"/>
  <c r="AM261" i="54" a="1"/>
  <c r="AM261" i="54" s="1"/>
  <c r="AM265" i="54" a="1"/>
  <c r="AM265" i="54" s="1"/>
  <c r="AM268" i="54" a="1"/>
  <c r="AM268" i="54" s="1"/>
  <c r="AM272" i="54" a="1"/>
  <c r="AM272" i="54" s="1"/>
  <c r="AM276" i="54" a="1"/>
  <c r="AM276" i="54" s="1"/>
  <c r="AM283" i="54" a="1"/>
  <c r="AM283" i="54" s="1"/>
  <c r="AM287" i="54" a="1"/>
  <c r="AM287" i="54" s="1"/>
  <c r="AM291" i="54" a="1"/>
  <c r="AM291" i="54" s="1"/>
  <c r="AW279" i="54" a="1"/>
  <c r="AW279" i="54" s="1"/>
  <c r="AW225" i="54" a="1"/>
  <c r="AW225" i="54" s="1"/>
  <c r="AW76" i="54" a="1"/>
  <c r="AW76" i="54" s="1"/>
  <c r="AM111" i="54" a="1"/>
  <c r="AM111" i="54" s="1"/>
  <c r="AM115" i="54" a="1"/>
  <c r="AM115" i="54" s="1"/>
  <c r="AM134" i="54" a="1"/>
  <c r="AM134" i="54" s="1"/>
  <c r="AM148" i="54" a="1"/>
  <c r="AM148" i="54" s="1"/>
  <c r="AM164" i="54" a="1"/>
  <c r="AM164" i="54" s="1"/>
  <c r="AM191" i="54" a="1"/>
  <c r="AM191" i="54" s="1"/>
  <c r="AM205" i="54" a="1"/>
  <c r="AM205" i="54" s="1"/>
  <c r="AM220" i="54" a="1"/>
  <c r="AM220" i="54" s="1"/>
  <c r="AM233" i="54" a="1"/>
  <c r="AM233" i="54" s="1"/>
  <c r="AM246" i="54" a="1"/>
  <c r="AM246" i="54" s="1"/>
  <c r="AM262" i="54" a="1"/>
  <c r="AM262" i="54" s="1"/>
  <c r="AM277" i="54" a="1"/>
  <c r="AM277" i="54" s="1"/>
  <c r="AM292" i="54" a="1"/>
  <c r="AM292" i="54" s="1"/>
  <c r="AM298" i="54" a="1"/>
  <c r="AM298" i="54" s="1"/>
  <c r="AM303" i="54" a="1"/>
  <c r="AM303" i="54" s="1"/>
  <c r="AM307" i="54" a="1"/>
  <c r="AM307" i="54" s="1"/>
  <c r="AM313" i="54" a="1"/>
  <c r="AM313" i="54" s="1"/>
  <c r="AM318" i="54" a="1"/>
  <c r="AM318" i="54" s="1"/>
  <c r="AM323" i="54" a="1"/>
  <c r="AM323" i="54" s="1"/>
  <c r="AM328" i="54" a="1"/>
  <c r="AM328" i="54" s="1"/>
  <c r="AM332" i="54" a="1"/>
  <c r="AM332" i="54" s="1"/>
  <c r="AM336" i="54" a="1"/>
  <c r="AM336" i="54" s="1"/>
  <c r="AM340" i="54" a="1"/>
  <c r="AM340" i="54" s="1"/>
  <c r="AM344" i="54" a="1"/>
  <c r="AM344" i="54" s="1"/>
  <c r="AM348" i="54" a="1"/>
  <c r="AM348" i="54" s="1"/>
  <c r="AM355" i="54" a="1"/>
  <c r="AM355" i="54" s="1"/>
  <c r="AM358" i="54" a="1"/>
  <c r="AM358" i="54" s="1"/>
  <c r="AM362" i="54" a="1"/>
  <c r="AM362" i="54" s="1"/>
  <c r="AM364" i="54" a="1"/>
  <c r="AM364" i="54" s="1"/>
  <c r="AM368" i="54" a="1"/>
  <c r="AM368" i="54" s="1"/>
  <c r="AM372" i="54" a="1"/>
  <c r="AM372" i="54" s="1"/>
  <c r="AM375" i="54" a="1"/>
  <c r="AM375" i="54" s="1"/>
  <c r="AW266" i="54" a="1"/>
  <c r="AW266" i="54" s="1"/>
  <c r="AW210" i="54" a="1"/>
  <c r="AW210" i="54" s="1"/>
  <c r="AM22" i="54" a="1"/>
  <c r="AM22" i="54" s="1"/>
  <c r="AM122" i="54" a="1"/>
  <c r="AM122" i="54" s="1"/>
  <c r="AM152" i="54" a="1"/>
  <c r="AM152" i="54" s="1"/>
  <c r="AM167" i="54" a="1"/>
  <c r="AM167" i="54" s="1"/>
  <c r="AM181" i="54" a="1"/>
  <c r="AM181" i="54" s="1"/>
  <c r="AM208" i="54" a="1"/>
  <c r="AM208" i="54" s="1"/>
  <c r="AM224" i="54" a="1"/>
  <c r="AM224" i="54" s="1"/>
  <c r="AM237" i="54" a="1"/>
  <c r="AM237" i="54" s="1"/>
  <c r="AM250" i="54" a="1"/>
  <c r="AM250" i="54" s="1"/>
  <c r="AM266" i="54" a="1"/>
  <c r="AM266" i="54" s="1"/>
  <c r="AM280" i="54" a="1"/>
  <c r="AM280" i="54" s="1"/>
  <c r="AM294" i="54" a="1"/>
  <c r="AM294" i="54" s="1"/>
  <c r="AM299" i="54" a="1"/>
  <c r="AM299" i="54" s="1"/>
  <c r="AM304" i="54" a="1"/>
  <c r="AM304" i="54" s="1"/>
  <c r="AM309" i="54" a="1"/>
  <c r="AM309" i="54" s="1"/>
  <c r="AM314" i="54" a="1"/>
  <c r="AM314" i="54" s="1"/>
  <c r="AM319" i="54" a="1"/>
  <c r="AM319" i="54" s="1"/>
  <c r="AM325" i="54" a="1"/>
  <c r="AM325" i="54" s="1"/>
  <c r="AM329" i="54" a="1"/>
  <c r="AM329" i="54" s="1"/>
  <c r="AM333" i="54" a="1"/>
  <c r="AM333" i="54" s="1"/>
  <c r="AM337" i="54" a="1"/>
  <c r="AM337" i="54" s="1"/>
  <c r="AM341" i="54" a="1"/>
  <c r="AM341" i="54" s="1"/>
  <c r="AM345" i="54" a="1"/>
  <c r="AM345" i="54" s="1"/>
  <c r="AM349" i="54" a="1"/>
  <c r="AM349" i="54" s="1"/>
  <c r="AM352" i="54" a="1"/>
  <c r="AM352" i="54" s="1"/>
  <c r="AM356" i="54" a="1"/>
  <c r="AM356" i="54" s="1"/>
  <c r="AM359" i="54" a="1"/>
  <c r="AM359" i="54" s="1"/>
  <c r="AM365" i="54" a="1"/>
  <c r="AM365" i="54" s="1"/>
  <c r="AM369" i="54" a="1"/>
  <c r="AM369" i="54" s="1"/>
  <c r="AM373" i="54" a="1"/>
  <c r="AM373" i="54" s="1"/>
  <c r="AW253" i="54" a="1"/>
  <c r="AW253" i="54" s="1"/>
  <c r="AW196" i="54" a="1"/>
  <c r="AW196" i="54" s="1"/>
  <c r="AW50" i="54" a="1"/>
  <c r="AW50" i="54" s="1"/>
  <c r="AW39" i="54" a="1"/>
  <c r="AW39" i="54" s="1"/>
  <c r="AM37" i="54" a="1"/>
  <c r="AM37" i="54" s="1"/>
  <c r="AM42" i="54" a="1"/>
  <c r="AM42" i="54" s="1"/>
  <c r="AM126" i="54" a="1"/>
  <c r="AM126" i="54" s="1"/>
  <c r="AM137" i="54" a="1"/>
  <c r="AM137" i="54" s="1"/>
  <c r="AM156" i="54" a="1"/>
  <c r="AM156" i="54" s="1"/>
  <c r="AM171" i="54" a="1"/>
  <c r="AM171" i="54" s="1"/>
  <c r="AM197" i="54" a="1"/>
  <c r="AM197" i="54" s="1"/>
  <c r="AM212" i="54" a="1"/>
  <c r="AM212" i="54" s="1"/>
  <c r="AM228" i="54" a="1"/>
  <c r="AM228" i="54" s="1"/>
  <c r="AM241" i="54" a="1"/>
  <c r="AM241" i="54" s="1"/>
  <c r="AM254" i="54" a="1"/>
  <c r="AM254" i="54" s="1"/>
  <c r="AM269" i="54" a="1"/>
  <c r="AM269" i="54" s="1"/>
  <c r="AM284" i="54" a="1"/>
  <c r="AM284" i="54" s="1"/>
  <c r="AM295" i="54" a="1"/>
  <c r="AM295" i="54" s="1"/>
  <c r="AM300" i="54" a="1"/>
  <c r="AM300" i="54" s="1"/>
  <c r="AM305" i="54" a="1"/>
  <c r="AM305" i="54" s="1"/>
  <c r="AM310" i="54" a="1"/>
  <c r="AM310" i="54" s="1"/>
  <c r="AM315" i="54" a="1"/>
  <c r="AM315" i="54" s="1"/>
  <c r="AM321" i="54" a="1"/>
  <c r="AM321" i="54" s="1"/>
  <c r="AM326" i="54" a="1"/>
  <c r="AM326" i="54" s="1"/>
  <c r="AM330" i="54" a="1"/>
  <c r="AM330" i="54" s="1"/>
  <c r="AM334" i="54" a="1"/>
  <c r="AM334" i="54" s="1"/>
  <c r="AM338" i="54" a="1"/>
  <c r="AM338" i="54" s="1"/>
  <c r="AM342" i="54" a="1"/>
  <c r="AM342" i="54" s="1"/>
  <c r="AM346" i="54" a="1"/>
  <c r="AM346" i="54" s="1"/>
  <c r="AM350" i="54" a="1"/>
  <c r="AM350" i="54" s="1"/>
  <c r="AM353" i="54" a="1"/>
  <c r="AM353" i="54" s="1"/>
  <c r="AM360" i="54" a="1"/>
  <c r="AM360" i="54" s="1"/>
  <c r="AM363" i="54" a="1"/>
  <c r="AM363" i="54" s="1"/>
  <c r="AM366" i="54" a="1"/>
  <c r="AM366" i="54" s="1"/>
  <c r="AM370" i="54" a="1"/>
  <c r="AM370" i="54" s="1"/>
  <c r="AC375" i="54" a="1"/>
  <c r="AC375" i="54" s="1"/>
  <c r="AC373" i="54" a="1"/>
  <c r="AC373" i="54" s="1"/>
  <c r="AC371" i="54" a="1"/>
  <c r="AC371" i="54" s="1"/>
  <c r="AC369" i="54" a="1"/>
  <c r="AC369" i="54" s="1"/>
  <c r="AC367" i="54" a="1"/>
  <c r="AC367" i="54" s="1"/>
  <c r="AC365" i="54" a="1"/>
  <c r="AC365" i="54" s="1"/>
  <c r="AM143" i="54" a="1"/>
  <c r="AM143" i="54" s="1"/>
  <c r="AM302" i="54" a="1"/>
  <c r="AM302" i="54" s="1"/>
  <c r="AM339" i="54" a="1"/>
  <c r="AM339" i="54" s="1"/>
  <c r="AM351" i="54" a="1"/>
  <c r="AM351" i="54" s="1"/>
  <c r="AM361" i="54" a="1"/>
  <c r="AM361" i="54" s="1"/>
  <c r="AM371" i="54" a="1"/>
  <c r="AM371" i="54" s="1"/>
  <c r="AC363" i="54" a="1"/>
  <c r="AC363" i="54" s="1"/>
  <c r="AC360" i="54" a="1"/>
  <c r="AC360" i="54" s="1"/>
  <c r="AC355" i="54" a="1"/>
  <c r="AC355" i="54" s="1"/>
  <c r="AC350" i="54" a="1"/>
  <c r="AC350" i="54" s="1"/>
  <c r="AC348" i="54" a="1"/>
  <c r="AC348" i="54" s="1"/>
  <c r="AC346" i="54" a="1"/>
  <c r="AC346" i="54" s="1"/>
  <c r="AC344" i="54" a="1"/>
  <c r="AC344" i="54" s="1"/>
  <c r="AC342" i="54" a="1"/>
  <c r="AC342" i="54" s="1"/>
  <c r="AC340" i="54" a="1"/>
  <c r="AC340" i="54" s="1"/>
  <c r="AC339" i="54" a="1"/>
  <c r="AC339" i="54" s="1"/>
  <c r="AC337" i="54" a="1"/>
  <c r="AC337" i="54" s="1"/>
  <c r="AC335" i="54" a="1"/>
  <c r="AC335" i="54" s="1"/>
  <c r="AC333" i="54" a="1"/>
  <c r="AC333" i="54" s="1"/>
  <c r="AC331" i="54" a="1"/>
  <c r="AC331" i="54" s="1"/>
  <c r="AC329" i="54" a="1"/>
  <c r="AC329" i="54" s="1"/>
  <c r="AC327" i="54" a="1"/>
  <c r="AC327" i="54" s="1"/>
  <c r="AC325" i="54" a="1"/>
  <c r="AC325" i="54" s="1"/>
  <c r="AC323" i="54" a="1"/>
  <c r="AC323" i="54" s="1"/>
  <c r="AC321" i="54" a="1"/>
  <c r="AC321" i="54" s="1"/>
  <c r="AC319" i="54" a="1"/>
  <c r="AC319" i="54" s="1"/>
  <c r="AC317" i="54" a="1"/>
  <c r="AC317" i="54" s="1"/>
  <c r="AC314" i="54" a="1"/>
  <c r="AC314" i="54" s="1"/>
  <c r="AC312" i="54" a="1"/>
  <c r="AC312" i="54" s="1"/>
  <c r="AC310" i="54" a="1"/>
  <c r="AC310" i="54" s="1"/>
  <c r="AC308" i="54" a="1"/>
  <c r="AC308" i="54" s="1"/>
  <c r="AC306" i="54" a="1"/>
  <c r="AC306" i="54" s="1"/>
  <c r="AC304" i="54" a="1"/>
  <c r="AC304" i="54" s="1"/>
  <c r="AC303" i="54" a="1"/>
  <c r="AC303" i="54" s="1"/>
  <c r="AC301" i="54" a="1"/>
  <c r="AC301" i="54" s="1"/>
  <c r="AC299" i="54" a="1"/>
  <c r="AC299" i="54" s="1"/>
  <c r="AC297" i="54" a="1"/>
  <c r="AC297" i="54" s="1"/>
  <c r="AC295" i="54" a="1"/>
  <c r="AC295" i="54" s="1"/>
  <c r="AC293" i="54" a="1"/>
  <c r="AC293" i="54" s="1"/>
  <c r="AC278" i="54" a="1"/>
  <c r="AC278" i="54" s="1"/>
  <c r="AC276" i="54" a="1"/>
  <c r="AC276" i="54" s="1"/>
  <c r="AC274" i="54" a="1"/>
  <c r="AC274" i="54" s="1"/>
  <c r="AC272" i="54" a="1"/>
  <c r="AC272" i="54" s="1"/>
  <c r="AC270" i="54" a="1"/>
  <c r="AC270" i="54" s="1"/>
  <c r="AC268" i="54" a="1"/>
  <c r="AC268" i="54" s="1"/>
  <c r="AC266" i="54" a="1"/>
  <c r="AC266" i="54" s="1"/>
  <c r="AC264" i="54" a="1"/>
  <c r="AC264" i="54" s="1"/>
  <c r="AC262" i="54" a="1"/>
  <c r="AC262" i="54" s="1"/>
  <c r="AW240" i="54" a="1"/>
  <c r="AW240" i="54" s="1"/>
  <c r="AW65" i="54" a="1"/>
  <c r="AW65" i="54" s="1"/>
  <c r="AW16" i="54" a="1"/>
  <c r="AW16" i="54" s="1"/>
  <c r="AM59" i="54" a="1"/>
  <c r="AM59" i="54" s="1"/>
  <c r="AM130" i="54" a="1"/>
  <c r="AM130" i="54" s="1"/>
  <c r="AM317" i="54" a="1"/>
  <c r="AM317" i="54" s="1"/>
  <c r="AM374" i="54" a="1"/>
  <c r="AM374" i="54" s="1"/>
  <c r="AC374" i="54" a="1"/>
  <c r="AC374" i="54" s="1"/>
  <c r="AC370" i="54" a="1"/>
  <c r="AC370" i="54" s="1"/>
  <c r="AC366" i="54" a="1"/>
  <c r="AC366" i="54" s="1"/>
  <c r="AC362" i="54" a="1"/>
  <c r="AC362" i="54" s="1"/>
  <c r="AC357" i="54" a="1"/>
  <c r="AC357" i="54" s="1"/>
  <c r="AC354" i="54" a="1"/>
  <c r="AC354" i="54" s="1"/>
  <c r="AC352" i="54" a="1"/>
  <c r="AC352" i="54" s="1"/>
  <c r="AC290" i="54" a="1"/>
  <c r="AC290" i="54" s="1"/>
  <c r="AC288" i="54" a="1"/>
  <c r="AC288" i="54" s="1"/>
  <c r="AC286" i="54" a="1"/>
  <c r="AC286" i="54" s="1"/>
  <c r="AC284" i="54" a="1"/>
  <c r="AC284" i="54" s="1"/>
  <c r="AC282" i="54" a="1"/>
  <c r="AC282" i="54" s="1"/>
  <c r="AC280" i="54" a="1"/>
  <c r="AC280" i="54" s="1"/>
  <c r="AC243" i="54" a="1"/>
  <c r="AC243" i="54" s="1"/>
  <c r="AC241" i="54" a="1"/>
  <c r="AC241" i="54" s="1"/>
  <c r="AC239" i="54" a="1"/>
  <c r="AC239" i="54" s="1"/>
  <c r="AC237" i="54" a="1"/>
  <c r="AC237" i="54" s="1"/>
  <c r="AC235" i="54" a="1"/>
  <c r="AC235" i="54" s="1"/>
  <c r="AC233" i="54" a="1"/>
  <c r="AC233" i="54" s="1"/>
  <c r="AC231" i="54" a="1"/>
  <c r="AC231" i="54" s="1"/>
  <c r="AC229" i="54" a="1"/>
  <c r="AC229" i="54" s="1"/>
  <c r="AC227" i="54" a="1"/>
  <c r="AC227" i="54" s="1"/>
  <c r="AC225" i="54" a="1"/>
  <c r="AC225" i="54" s="1"/>
  <c r="AC223" i="54" a="1"/>
  <c r="AC223" i="54" s="1"/>
  <c r="AC221" i="54" a="1"/>
  <c r="AC221" i="54" s="1"/>
  <c r="AC206" i="54" a="1"/>
  <c r="AC206" i="54" s="1"/>
  <c r="AC204" i="54" a="1"/>
  <c r="AC204" i="54" s="1"/>
  <c r="AC202" i="54" a="1"/>
  <c r="AC202" i="54" s="1"/>
  <c r="AC200" i="54" a="1"/>
  <c r="AC200" i="54" s="1"/>
  <c r="AC198" i="54" a="1"/>
  <c r="AC198" i="54" s="1"/>
  <c r="AC196" i="54" a="1"/>
  <c r="AC196" i="54" s="1"/>
  <c r="AC194" i="54" a="1"/>
  <c r="AC194" i="54" s="1"/>
  <c r="AC192" i="54" a="1"/>
  <c r="AC192" i="54" s="1"/>
  <c r="AC190" i="54" a="1"/>
  <c r="AC190" i="54" s="1"/>
  <c r="AC188" i="54" a="1"/>
  <c r="AC188" i="54" s="1"/>
  <c r="AC186" i="54" a="1"/>
  <c r="AC186" i="54" s="1"/>
  <c r="AM258" i="54" a="1"/>
  <c r="AM258" i="54" s="1"/>
  <c r="AM273" i="54" a="1"/>
  <c r="AM273" i="54" s="1"/>
  <c r="AM288" i="54" a="1"/>
  <c r="AM288" i="54" s="1"/>
  <c r="AM306" i="54" a="1"/>
  <c r="AM306" i="54" s="1"/>
  <c r="AM322" i="54" a="1"/>
  <c r="AM322" i="54" s="1"/>
  <c r="AM331" i="54" a="1"/>
  <c r="AM331" i="54" s="1"/>
  <c r="AM343" i="54" a="1"/>
  <c r="AM343" i="54" s="1"/>
  <c r="AM354" i="54" a="1"/>
  <c r="AM354" i="54" s="1"/>
  <c r="AC359" i="54" a="1"/>
  <c r="AC359" i="54" s="1"/>
  <c r="AC356" i="54" a="1"/>
  <c r="AC356" i="54" s="1"/>
  <c r="AC351" i="54" a="1"/>
  <c r="AC351" i="54" s="1"/>
  <c r="AC349" i="54" a="1"/>
  <c r="AC349" i="54" s="1"/>
  <c r="AC347" i="54" a="1"/>
  <c r="AC347" i="54" s="1"/>
  <c r="AC345" i="54" a="1"/>
  <c r="AC345" i="54" s="1"/>
  <c r="AC343" i="54" a="1"/>
  <c r="AC343" i="54" s="1"/>
  <c r="AC341" i="54" a="1"/>
  <c r="AC341" i="54" s="1"/>
  <c r="AC338" i="54" a="1"/>
  <c r="AC338" i="54" s="1"/>
  <c r="AC336" i="54" a="1"/>
  <c r="AC336" i="54" s="1"/>
  <c r="AC334" i="54" a="1"/>
  <c r="AC334" i="54" s="1"/>
  <c r="AC332" i="54" a="1"/>
  <c r="AC332" i="54" s="1"/>
  <c r="AC330" i="54" a="1"/>
  <c r="AC330" i="54" s="1"/>
  <c r="AC328" i="54" a="1"/>
  <c r="AC328" i="54" s="1"/>
  <c r="AC326" i="54" a="1"/>
  <c r="AC326" i="54" s="1"/>
  <c r="AC324" i="54" a="1"/>
  <c r="AC324" i="54" s="1"/>
  <c r="AC322" i="54" a="1"/>
  <c r="AC322" i="54" s="1"/>
  <c r="AC320" i="54" a="1"/>
  <c r="AC320" i="54" s="1"/>
  <c r="AC318" i="54" a="1"/>
  <c r="AC318" i="54" s="1"/>
  <c r="AC316" i="54" a="1"/>
  <c r="AC316" i="54" s="1"/>
  <c r="AC315" i="54" a="1"/>
  <c r="AC315" i="54" s="1"/>
  <c r="AC313" i="54" a="1"/>
  <c r="AC313" i="54" s="1"/>
  <c r="AC311" i="54" a="1"/>
  <c r="AC311" i="54" s="1"/>
  <c r="AC309" i="54" a="1"/>
  <c r="AC309" i="54" s="1"/>
  <c r="AC307" i="54" a="1"/>
  <c r="AC307" i="54" s="1"/>
  <c r="AC305" i="54" a="1"/>
  <c r="AC305" i="54" s="1"/>
  <c r="AC302" i="54" a="1"/>
  <c r="AC302" i="54" s="1"/>
  <c r="AC300" i="54" a="1"/>
  <c r="AC300" i="54" s="1"/>
  <c r="AC298" i="54" a="1"/>
  <c r="AC298" i="54" s="1"/>
  <c r="AC296" i="54" a="1"/>
  <c r="AC296" i="54" s="1"/>
  <c r="AC294" i="54" a="1"/>
  <c r="AC294" i="54" s="1"/>
  <c r="AC292" i="54" a="1"/>
  <c r="AC292" i="54" s="1"/>
  <c r="AC279" i="54" a="1"/>
  <c r="AC279" i="54" s="1"/>
  <c r="AC277" i="54" a="1"/>
  <c r="AC277" i="54" s="1"/>
  <c r="AC275" i="54" a="1"/>
  <c r="AC275" i="54" s="1"/>
  <c r="AC273" i="54" a="1"/>
  <c r="AC273" i="54" s="1"/>
  <c r="AC271" i="54" a="1"/>
  <c r="AC271" i="54" s="1"/>
  <c r="AC269" i="54" a="1"/>
  <c r="AC269" i="54" s="1"/>
  <c r="AM160" i="54" a="1"/>
  <c r="AM160" i="54" s="1"/>
  <c r="AM174" i="54" a="1"/>
  <c r="AM174" i="54" s="1"/>
  <c r="AM187" i="54" a="1"/>
  <c r="AM187" i="54" s="1"/>
  <c r="AM201" i="54" a="1"/>
  <c r="AM201" i="54" s="1"/>
  <c r="AM216" i="54" a="1"/>
  <c r="AM216" i="54" s="1"/>
  <c r="AM231" i="54" a="1"/>
  <c r="AM231" i="54" s="1"/>
  <c r="AM296" i="54" a="1"/>
  <c r="AM296" i="54" s="1"/>
  <c r="AM311" i="54" a="1"/>
  <c r="AM311" i="54" s="1"/>
  <c r="AM327" i="54" a="1"/>
  <c r="AM327" i="54" s="1"/>
  <c r="AM335" i="54" a="1"/>
  <c r="AM335" i="54" s="1"/>
  <c r="AM347" i="54" a="1"/>
  <c r="AM347" i="54" s="1"/>
  <c r="AM357" i="54" a="1"/>
  <c r="AM357" i="54" s="1"/>
  <c r="AM367" i="54" a="1"/>
  <c r="AM367" i="54" s="1"/>
  <c r="AC368" i="54" a="1"/>
  <c r="AC368" i="54" s="1"/>
  <c r="AC289" i="54" a="1"/>
  <c r="AC289" i="54" s="1"/>
  <c r="AC281" i="54" a="1"/>
  <c r="AC281" i="54" s="1"/>
  <c r="AC258" i="54" a="1"/>
  <c r="AC258" i="54" s="1"/>
  <c r="AC255" i="54" a="1"/>
  <c r="AC255" i="54" s="1"/>
  <c r="AC250" i="54" a="1"/>
  <c r="AC250" i="54" s="1"/>
  <c r="AC247" i="54" a="1"/>
  <c r="AC247" i="54" s="1"/>
  <c r="AC236" i="54" a="1"/>
  <c r="AC236" i="54" s="1"/>
  <c r="AC364" i="54" a="1"/>
  <c r="AC364" i="54" s="1"/>
  <c r="AC353" i="54" a="1"/>
  <c r="AC353" i="54" s="1"/>
  <c r="AC287" i="54" a="1"/>
  <c r="AC287" i="54" s="1"/>
  <c r="AC267" i="54" a="1"/>
  <c r="AC267" i="54" s="1"/>
  <c r="AC263" i="54" a="1"/>
  <c r="AC263" i="54" s="1"/>
  <c r="AC260" i="54" a="1"/>
  <c r="AC260" i="54" s="1"/>
  <c r="AC257" i="54" a="1"/>
  <c r="AC257" i="54" s="1"/>
  <c r="AC252" i="54" a="1"/>
  <c r="AC252" i="54" s="1"/>
  <c r="AC249" i="54" a="1"/>
  <c r="AC249" i="54" s="1"/>
  <c r="AC244" i="54" a="1"/>
  <c r="AC244" i="54" s="1"/>
  <c r="AC238" i="54" a="1"/>
  <c r="AC238" i="54" s="1"/>
  <c r="AC230" i="54" a="1"/>
  <c r="AC230" i="54" s="1"/>
  <c r="AC222" i="54" a="1"/>
  <c r="AC222" i="54" s="1"/>
  <c r="AC361" i="54" a="1"/>
  <c r="AC361" i="54" s="1"/>
  <c r="AC285" i="54" a="1"/>
  <c r="AC285" i="54" s="1"/>
  <c r="AC259" i="54" a="1"/>
  <c r="AC259" i="54" s="1"/>
  <c r="AC254" i="54" a="1"/>
  <c r="AC254" i="54" s="1"/>
  <c r="AC251" i="54" a="1"/>
  <c r="AC251" i="54" s="1"/>
  <c r="AC246" i="54" a="1"/>
  <c r="AC246" i="54" s="1"/>
  <c r="AC240" i="54" a="1"/>
  <c r="AC240" i="54" s="1"/>
  <c r="AC232" i="54" a="1"/>
  <c r="AC232" i="54" s="1"/>
  <c r="AC224" i="54" a="1"/>
  <c r="AC224" i="54" s="1"/>
  <c r="AC218" i="54" a="1"/>
  <c r="AC218" i="54" s="1"/>
  <c r="AC213" i="54" a="1"/>
  <c r="AC213" i="54" s="1"/>
  <c r="AC210" i="54" a="1"/>
  <c r="AC210" i="54" s="1"/>
  <c r="AC207" i="54" a="1"/>
  <c r="AC207" i="54" s="1"/>
  <c r="AC372" i="54" a="1"/>
  <c r="AC372" i="54" s="1"/>
  <c r="AC358" i="54" a="1"/>
  <c r="AC358" i="54" s="1"/>
  <c r="AC291" i="54" a="1"/>
  <c r="AC291" i="54" s="1"/>
  <c r="AC283" i="54" a="1"/>
  <c r="AC283" i="54" s="1"/>
  <c r="AC265" i="54" a="1"/>
  <c r="AC265" i="54" s="1"/>
  <c r="AC261" i="54" a="1"/>
  <c r="AC261" i="54" s="1"/>
  <c r="AC256" i="54" a="1"/>
  <c r="AC256" i="54" s="1"/>
  <c r="AC253" i="54" a="1"/>
  <c r="AC253" i="54" s="1"/>
  <c r="AC248" i="54" a="1"/>
  <c r="AC248" i="54" s="1"/>
  <c r="AC245" i="54" a="1"/>
  <c r="AC245" i="54" s="1"/>
  <c r="AC242" i="54" a="1"/>
  <c r="AC242" i="54" s="1"/>
  <c r="AC234" i="54" a="1"/>
  <c r="AC234" i="54" s="1"/>
  <c r="AC226" i="54" a="1"/>
  <c r="AC226" i="54" s="1"/>
  <c r="AC214" i="54" a="1"/>
  <c r="AC214" i="54" s="1"/>
  <c r="AC211" i="54" a="1"/>
  <c r="AC211" i="54" s="1"/>
  <c r="AC205" i="54" a="1"/>
  <c r="AC205" i="54" s="1"/>
  <c r="AC197" i="54" a="1"/>
  <c r="AC197" i="54" s="1"/>
  <c r="AC189" i="54" a="1"/>
  <c r="AC189" i="54" s="1"/>
  <c r="AC184" i="54" a="1"/>
  <c r="AC184" i="54" s="1"/>
  <c r="AC220" i="54" a="1"/>
  <c r="AC220" i="54" s="1"/>
  <c r="AC217" i="54" a="1"/>
  <c r="AC217" i="54" s="1"/>
  <c r="AC199" i="54" a="1"/>
  <c r="AC199" i="54" s="1"/>
  <c r="AC191" i="54" a="1"/>
  <c r="AC191" i="54" s="1"/>
  <c r="AC183" i="54" a="1"/>
  <c r="AC183" i="54" s="1"/>
  <c r="AC181" i="54" a="1"/>
  <c r="AC181" i="54" s="1"/>
  <c r="AC179" i="54" a="1"/>
  <c r="AC179" i="54" s="1"/>
  <c r="AC177" i="54" a="1"/>
  <c r="AC177" i="54" s="1"/>
  <c r="AC175" i="54" a="1"/>
  <c r="AC175" i="54" s="1"/>
  <c r="AC173" i="54" a="1"/>
  <c r="AC173" i="54" s="1"/>
  <c r="AC163" i="54" a="1"/>
  <c r="AC163" i="54" s="1"/>
  <c r="AC161" i="54" a="1"/>
  <c r="AC161" i="54" s="1"/>
  <c r="AC134" i="54" a="1"/>
  <c r="AC134" i="54" s="1"/>
  <c r="AC132" i="54" a="1"/>
  <c r="AC132" i="54" s="1"/>
  <c r="AC130" i="54" a="1"/>
  <c r="AC130" i="54" s="1"/>
  <c r="AC122" i="54" a="1"/>
  <c r="AC122" i="54" s="1"/>
  <c r="AC120" i="54" a="1"/>
  <c r="AC120" i="54" s="1"/>
  <c r="AC118" i="54" a="1"/>
  <c r="AC118" i="54" s="1"/>
  <c r="AC116" i="54" a="1"/>
  <c r="AC116" i="54" s="1"/>
  <c r="AC114" i="54" a="1"/>
  <c r="AC114" i="54" s="1"/>
  <c r="AC110" i="54" a="1"/>
  <c r="AC110" i="54" s="1"/>
  <c r="AC108" i="54" a="1"/>
  <c r="AC108" i="54" s="1"/>
  <c r="AC106" i="54" a="1"/>
  <c r="AC106" i="54" s="1"/>
  <c r="AC104" i="54" a="1"/>
  <c r="AC104" i="54" s="1"/>
  <c r="AC102" i="54" a="1"/>
  <c r="AC102" i="54" s="1"/>
  <c r="AC100" i="54" a="1"/>
  <c r="AC100" i="54" s="1"/>
  <c r="AC86" i="54" a="1"/>
  <c r="AC86" i="54" s="1"/>
  <c r="AC84" i="54" a="1"/>
  <c r="AC84" i="54" s="1"/>
  <c r="AC82" i="54" a="1"/>
  <c r="AC82" i="54" s="1"/>
  <c r="AC80" i="54" a="1"/>
  <c r="AC80" i="54" s="1"/>
  <c r="AC78" i="54" a="1"/>
  <c r="AC78" i="54" s="1"/>
  <c r="AC76" i="54" a="1"/>
  <c r="AC76" i="54" s="1"/>
  <c r="AC228" i="54" a="1"/>
  <c r="AC228" i="54" s="1"/>
  <c r="AC216" i="54" a="1"/>
  <c r="AC216" i="54" s="1"/>
  <c r="AC212" i="54" a="1"/>
  <c r="AC212" i="54" s="1"/>
  <c r="AC209" i="54" a="1"/>
  <c r="AC209" i="54" s="1"/>
  <c r="AC201" i="54" a="1"/>
  <c r="AC201" i="54" s="1"/>
  <c r="AC193" i="54" a="1"/>
  <c r="AC193" i="54" s="1"/>
  <c r="AC185" i="54" a="1"/>
  <c r="AC185" i="54" s="1"/>
  <c r="AC170" i="54" a="1"/>
  <c r="AC170" i="54" s="1"/>
  <c r="AC168" i="54" a="1"/>
  <c r="AC168" i="54" s="1"/>
  <c r="AC166" i="54" a="1"/>
  <c r="AC166" i="54" s="1"/>
  <c r="AC158" i="54" a="1"/>
  <c r="AC158" i="54" s="1"/>
  <c r="AC156" i="54" a="1"/>
  <c r="AC156" i="54" s="1"/>
  <c r="AC154" i="54" a="1"/>
  <c r="AC154" i="54" s="1"/>
  <c r="AC152" i="54" a="1"/>
  <c r="AC152" i="54" s="1"/>
  <c r="AC150" i="54" a="1"/>
  <c r="AC150" i="54" s="1"/>
  <c r="AC148" i="54" a="1"/>
  <c r="AC148" i="54" s="1"/>
  <c r="AC146" i="54" a="1"/>
  <c r="AC146" i="54" s="1"/>
  <c r="AC144" i="54" a="1"/>
  <c r="AC144" i="54" s="1"/>
  <c r="AC142" i="54" a="1"/>
  <c r="AC142" i="54" s="1"/>
  <c r="AC140" i="54" a="1"/>
  <c r="AC140" i="54" s="1"/>
  <c r="AC138" i="54" a="1"/>
  <c r="AC138" i="54" s="1"/>
  <c r="AC136" i="54" a="1"/>
  <c r="AC136" i="54" s="1"/>
  <c r="AC128" i="54" a="1"/>
  <c r="AC128" i="54" s="1"/>
  <c r="AC126" i="54" a="1"/>
  <c r="AC126" i="54" s="1"/>
  <c r="AC124" i="54" a="1"/>
  <c r="AC124" i="54" s="1"/>
  <c r="AC112" i="54" a="1"/>
  <c r="AC112" i="54" s="1"/>
  <c r="AC98" i="54" a="1"/>
  <c r="AC98" i="54" s="1"/>
  <c r="AC96" i="54" a="1"/>
  <c r="AC96" i="54" s="1"/>
  <c r="AC94" i="54" a="1"/>
  <c r="AC94" i="54" s="1"/>
  <c r="AC92" i="54" a="1"/>
  <c r="AC92" i="54" s="1"/>
  <c r="AC90" i="54" a="1"/>
  <c r="AC90" i="54" s="1"/>
  <c r="AC88" i="54" a="1"/>
  <c r="AC88" i="54" s="1"/>
  <c r="AC219" i="54" a="1"/>
  <c r="AC219" i="54" s="1"/>
  <c r="AC215" i="54" a="1"/>
  <c r="AC215" i="54" s="1"/>
  <c r="AC208" i="54" a="1"/>
  <c r="AC208" i="54" s="1"/>
  <c r="AC203" i="54" a="1"/>
  <c r="AC203" i="54" s="1"/>
  <c r="AC195" i="54" a="1"/>
  <c r="AC195" i="54" s="1"/>
  <c r="AC187" i="54" a="1"/>
  <c r="AC187" i="54" s="1"/>
  <c r="AC182" i="54" a="1"/>
  <c r="AC182" i="54" s="1"/>
  <c r="AC180" i="54" a="1"/>
  <c r="AC180" i="54" s="1"/>
  <c r="AC178" i="54" a="1"/>
  <c r="AC178" i="54" s="1"/>
  <c r="AC176" i="54" a="1"/>
  <c r="AC176" i="54" s="1"/>
  <c r="AC174" i="54" a="1"/>
  <c r="AC174" i="54" s="1"/>
  <c r="AC172" i="54" a="1"/>
  <c r="AC172" i="54" s="1"/>
  <c r="AC164" i="54" a="1"/>
  <c r="AC164" i="54" s="1"/>
  <c r="AC162" i="54" a="1"/>
  <c r="AC162" i="54" s="1"/>
  <c r="AC160" i="54" a="1"/>
  <c r="AC160" i="54" s="1"/>
  <c r="AC147" i="54" a="1"/>
  <c r="AC147" i="54" s="1"/>
  <c r="AC135" i="54" a="1"/>
  <c r="AC135" i="54" s="1"/>
  <c r="AC133" i="54" a="1"/>
  <c r="AC133" i="54" s="1"/>
  <c r="AC131" i="54" a="1"/>
  <c r="AC131" i="54" s="1"/>
  <c r="AC123" i="54" a="1"/>
  <c r="AC123" i="54" s="1"/>
  <c r="AC121" i="54" a="1"/>
  <c r="AC121" i="54" s="1"/>
  <c r="AC119" i="54" a="1"/>
  <c r="AC119" i="54" s="1"/>
  <c r="AC117" i="54" a="1"/>
  <c r="AC117" i="54" s="1"/>
  <c r="AC115" i="54" a="1"/>
  <c r="AC115" i="54" s="1"/>
  <c r="AC113" i="54" a="1"/>
  <c r="AC113" i="54" s="1"/>
  <c r="AC111" i="54" a="1"/>
  <c r="AC111" i="54" s="1"/>
  <c r="AC109" i="54" a="1"/>
  <c r="AC109" i="54" s="1"/>
  <c r="AC107" i="54" a="1"/>
  <c r="AC107" i="54" s="1"/>
  <c r="AC105" i="54" a="1"/>
  <c r="AC105" i="54" s="1"/>
  <c r="AC103" i="54" a="1"/>
  <c r="AC103" i="54" s="1"/>
  <c r="AC101" i="54" a="1"/>
  <c r="AC101" i="54" s="1"/>
  <c r="AC87" i="54" a="1"/>
  <c r="AC87" i="54" s="1"/>
  <c r="AC85" i="54" a="1"/>
  <c r="AC85" i="54" s="1"/>
  <c r="AC83" i="54" a="1"/>
  <c r="AC83" i="54" s="1"/>
  <c r="AC81" i="54" a="1"/>
  <c r="AC81" i="54" s="1"/>
  <c r="AC79" i="54" a="1"/>
  <c r="AC79" i="54" s="1"/>
  <c r="AC77" i="54" a="1"/>
  <c r="AC77" i="54" s="1"/>
  <c r="AC165" i="54" a="1"/>
  <c r="AC165" i="54" s="1"/>
  <c r="AC157" i="54" a="1"/>
  <c r="AC157" i="54" s="1"/>
  <c r="AC149" i="54" a="1"/>
  <c r="AC149" i="54" s="1"/>
  <c r="AC141" i="54" a="1"/>
  <c r="AC141" i="54" s="1"/>
  <c r="AC125" i="54" a="1"/>
  <c r="AC125" i="54" s="1"/>
  <c r="AC93" i="54" a="1"/>
  <c r="AC93" i="54" s="1"/>
  <c r="AC75" i="54" a="1"/>
  <c r="AC75" i="54" s="1"/>
  <c r="AC73" i="54" a="1"/>
  <c r="AC73" i="54" s="1"/>
  <c r="AC71" i="54" a="1"/>
  <c r="AC71" i="54" s="1"/>
  <c r="AC69" i="54" a="1"/>
  <c r="AC69" i="54" s="1"/>
  <c r="AC67" i="54" a="1"/>
  <c r="AC67" i="54" s="1"/>
  <c r="AC65" i="54" a="1"/>
  <c r="AC65" i="54" s="1"/>
  <c r="AC62" i="54" a="1"/>
  <c r="AC62" i="54" s="1"/>
  <c r="AC60" i="54" a="1"/>
  <c r="AC60" i="54" s="1"/>
  <c r="AC58" i="54" a="1"/>
  <c r="AC58" i="54" s="1"/>
  <c r="AC56" i="54" a="1"/>
  <c r="AC56" i="54" s="1"/>
  <c r="AC54" i="54" a="1"/>
  <c r="AC54" i="54" s="1"/>
  <c r="AC52" i="54" a="1"/>
  <c r="AC52" i="54" s="1"/>
  <c r="AC47" i="54" a="1"/>
  <c r="AC47" i="54" s="1"/>
  <c r="AC45" i="54" a="1"/>
  <c r="AC45" i="54" s="1"/>
  <c r="AC43" i="54" a="1"/>
  <c r="AC43" i="54" s="1"/>
  <c r="AC28" i="54" a="1"/>
  <c r="AC28" i="54" s="1"/>
  <c r="AC24" i="54" a="1"/>
  <c r="AC24" i="54" s="1"/>
  <c r="AC20" i="54" a="1"/>
  <c r="AC20" i="54" s="1"/>
  <c r="AC16" i="54" a="1"/>
  <c r="AC16" i="54" s="1"/>
  <c r="AC171" i="54" a="1"/>
  <c r="AC171" i="54" s="1"/>
  <c r="AC155" i="54" a="1"/>
  <c r="AC155" i="54" s="1"/>
  <c r="AC139" i="54" a="1"/>
  <c r="AC139" i="54" s="1"/>
  <c r="AC99" i="54" a="1"/>
  <c r="AC99" i="54" s="1"/>
  <c r="AC91" i="54" a="1"/>
  <c r="AC91" i="54" s="1"/>
  <c r="AC50" i="54" a="1"/>
  <c r="AC50" i="54" s="1"/>
  <c r="AC39" i="54" a="1"/>
  <c r="AC39" i="54" s="1"/>
  <c r="AC37" i="54" a="1"/>
  <c r="AC37" i="54" s="1"/>
  <c r="AC35" i="54" a="1"/>
  <c r="AC35" i="54" s="1"/>
  <c r="AC33" i="54" a="1"/>
  <c r="AC33" i="54" s="1"/>
  <c r="AC46" i="54" a="1"/>
  <c r="AC46" i="54" s="1"/>
  <c r="AC42" i="54" a="1"/>
  <c r="AC42" i="54" s="1"/>
  <c r="AC29" i="54" a="1"/>
  <c r="AC29" i="54" s="1"/>
  <c r="AC27" i="54" a="1"/>
  <c r="AC27" i="54" s="1"/>
  <c r="AC23" i="54" a="1"/>
  <c r="AC23" i="54" s="1"/>
  <c r="AC19" i="54" a="1"/>
  <c r="AC19" i="54" s="1"/>
  <c r="AC169" i="54" a="1"/>
  <c r="AC169" i="54" s="1"/>
  <c r="AC153" i="54" a="1"/>
  <c r="AC153" i="54" s="1"/>
  <c r="AC145" i="54" a="1"/>
  <c r="AC145" i="54" s="1"/>
  <c r="AC137" i="54" a="1"/>
  <c r="AC137" i="54" s="1"/>
  <c r="AC129" i="54" a="1"/>
  <c r="AC129" i="54" s="1"/>
  <c r="AC97" i="54" a="1"/>
  <c r="AC97" i="54" s="1"/>
  <c r="AC89" i="54" a="1"/>
  <c r="AC89" i="54" s="1"/>
  <c r="AC74" i="54" a="1"/>
  <c r="AC74" i="54" s="1"/>
  <c r="AC72" i="54" a="1"/>
  <c r="AC72" i="54" s="1"/>
  <c r="AC70" i="54" a="1"/>
  <c r="AC70" i="54" s="1"/>
  <c r="AC68" i="54" a="1"/>
  <c r="AC68" i="54" s="1"/>
  <c r="AC66" i="54" a="1"/>
  <c r="AC66" i="54" s="1"/>
  <c r="AC64" i="54" a="1"/>
  <c r="AC64" i="54" s="1"/>
  <c r="AC63" i="54" a="1"/>
  <c r="AC63" i="54" s="1"/>
  <c r="AC61" i="54" a="1"/>
  <c r="AC61" i="54" s="1"/>
  <c r="AC59" i="54" a="1"/>
  <c r="AC59" i="54" s="1"/>
  <c r="AC57" i="54" a="1"/>
  <c r="AC57" i="54" s="1"/>
  <c r="AC55" i="54" a="1"/>
  <c r="AC55" i="54" s="1"/>
  <c r="AC53" i="54" a="1"/>
  <c r="AC53" i="54" s="1"/>
  <c r="AC48" i="54" a="1"/>
  <c r="AC48" i="54" s="1"/>
  <c r="AC44" i="54" a="1"/>
  <c r="AC44" i="54" s="1"/>
  <c r="AC40" i="54" a="1"/>
  <c r="AC40" i="54" s="1"/>
  <c r="AC31" i="54" a="1"/>
  <c r="AC31" i="54" s="1"/>
  <c r="AC25" i="54" a="1"/>
  <c r="AC25" i="54" s="1"/>
  <c r="AC21" i="54" a="1"/>
  <c r="AC21" i="54" s="1"/>
  <c r="AC17" i="54" a="1"/>
  <c r="AC17" i="54" s="1"/>
  <c r="AC167" i="54" a="1"/>
  <c r="AC167" i="54" s="1"/>
  <c r="AC159" i="54" a="1"/>
  <c r="AC159" i="54" s="1"/>
  <c r="AC151" i="54" a="1"/>
  <c r="AC151" i="54" s="1"/>
  <c r="AC143" i="54" a="1"/>
  <c r="AC143" i="54" s="1"/>
  <c r="AC127" i="54" a="1"/>
  <c r="AC127" i="54" s="1"/>
  <c r="AC95" i="54" a="1"/>
  <c r="AC95" i="54" s="1"/>
  <c r="AC51" i="54" a="1"/>
  <c r="AC51" i="54" s="1"/>
  <c r="AC49" i="54" a="1"/>
  <c r="AC49" i="54" s="1"/>
  <c r="AC38" i="54" a="1"/>
  <c r="AC38" i="54" s="1"/>
  <c r="AC36" i="54" a="1"/>
  <c r="AC36" i="54" s="1"/>
  <c r="AC34" i="54" a="1"/>
  <c r="AC34" i="54" s="1"/>
  <c r="AC32" i="54" a="1"/>
  <c r="AC32" i="54" s="1"/>
  <c r="AC41" i="54" a="1"/>
  <c r="AC41" i="54" s="1"/>
  <c r="AC30" i="54" a="1"/>
  <c r="AC30" i="54" s="1"/>
  <c r="AC26" i="54" a="1"/>
  <c r="AC26" i="54" s="1"/>
  <c r="AC22" i="54" a="1"/>
  <c r="AC22" i="54" s="1"/>
  <c r="AC18" i="54" a="1"/>
  <c r="AC18" i="54" s="1"/>
  <c r="S16" i="54" a="1"/>
  <c r="S16" i="54" s="1"/>
  <c r="S20" i="54" a="1"/>
  <c r="S20" i="54" s="1"/>
  <c r="S24" i="54" a="1"/>
  <c r="S24" i="54" s="1"/>
  <c r="S29" i="54" a="1"/>
  <c r="S29" i="54" s="1"/>
  <c r="S33" i="54" a="1"/>
  <c r="S33" i="54" s="1"/>
  <c r="S37" i="54" a="1"/>
  <c r="S37" i="54" s="1"/>
  <c r="S42" i="54" a="1"/>
  <c r="S42" i="54" s="1"/>
  <c r="S46" i="54" a="1"/>
  <c r="S46" i="54" s="1"/>
  <c r="S50" i="54" a="1"/>
  <c r="S50" i="54" s="1"/>
  <c r="S53" i="54" a="1"/>
  <c r="S53" i="54" s="1"/>
  <c r="S56" i="54" a="1"/>
  <c r="S56" i="54" s="1"/>
  <c r="S61" i="54" a="1"/>
  <c r="S61" i="54" s="1"/>
  <c r="S66" i="54" a="1"/>
  <c r="S66" i="54" s="1"/>
  <c r="S73" i="54" a="1"/>
  <c r="S73" i="54" s="1"/>
  <c r="S76" i="54" a="1"/>
  <c r="S76" i="54" s="1"/>
  <c r="S79" i="54" a="1"/>
  <c r="S79" i="54" s="1"/>
  <c r="S83" i="54" a="1"/>
  <c r="S83" i="54" s="1"/>
  <c r="S89" i="54" a="1"/>
  <c r="S89" i="54" s="1"/>
  <c r="S96" i="54" a="1"/>
  <c r="S96" i="54" s="1"/>
  <c r="S101" i="54" a="1"/>
  <c r="S101" i="54" s="1"/>
  <c r="S104" i="54" a="1"/>
  <c r="S104" i="54" s="1"/>
  <c r="S110" i="54" a="1"/>
  <c r="S110" i="54" s="1"/>
  <c r="S112" i="54" a="1"/>
  <c r="S112" i="54" s="1"/>
  <c r="S115" i="54" a="1"/>
  <c r="S115" i="54" s="1"/>
  <c r="S118" i="54" a="1"/>
  <c r="S118" i="54" s="1"/>
  <c r="S121" i="54" a="1"/>
  <c r="S121" i="54" s="1"/>
  <c r="S129" i="54" a="1"/>
  <c r="S129" i="54" s="1"/>
  <c r="S132" i="54" a="1"/>
  <c r="S132" i="54" s="1"/>
  <c r="S135" i="54" a="1"/>
  <c r="S135" i="54" s="1"/>
  <c r="S136" i="54" a="1"/>
  <c r="S136" i="54" s="1"/>
  <c r="S139" i="54" a="1"/>
  <c r="S139" i="54" s="1"/>
  <c r="S146" i="54" a="1"/>
  <c r="S146" i="54" s="1"/>
  <c r="S151" i="54" a="1"/>
  <c r="S151" i="54" s="1"/>
  <c r="S154" i="54" a="1"/>
  <c r="S154" i="54" s="1"/>
  <c r="S157" i="54" a="1"/>
  <c r="S157" i="54" s="1"/>
  <c r="S162" i="54" a="1"/>
  <c r="S162" i="54" s="1"/>
  <c r="S165" i="54" a="1"/>
  <c r="S165" i="54" s="1"/>
  <c r="S169" i="54" a="1"/>
  <c r="S169" i="54" s="1"/>
  <c r="S172" i="54" a="1"/>
  <c r="S172" i="54" s="1"/>
  <c r="S175" i="54" a="1"/>
  <c r="S175" i="54" s="1"/>
  <c r="S179" i="54" a="1"/>
  <c r="S179" i="54" s="1"/>
  <c r="S182" i="54" a="1"/>
  <c r="S182" i="54" s="1"/>
  <c r="S17" i="54" a="1"/>
  <c r="S17" i="54" s="1"/>
  <c r="S21" i="54" a="1"/>
  <c r="S21" i="54" s="1"/>
  <c r="S25" i="54" a="1"/>
  <c r="S25" i="54" s="1"/>
  <c r="S30" i="54" a="1"/>
  <c r="S30" i="54" s="1"/>
  <c r="S34" i="54" a="1"/>
  <c r="S34" i="54" s="1"/>
  <c r="S38" i="54" a="1"/>
  <c r="S38" i="54" s="1"/>
  <c r="S43" i="54" a="1"/>
  <c r="S43" i="54" s="1"/>
  <c r="S47" i="54" a="1"/>
  <c r="S47" i="54" s="1"/>
  <c r="S51" i="54" a="1"/>
  <c r="S51" i="54" s="1"/>
  <c r="S54" i="54" a="1"/>
  <c r="S54" i="54" s="1"/>
  <c r="S59" i="54" a="1"/>
  <c r="S59" i="54" s="1"/>
  <c r="S62" i="54" a="1"/>
  <c r="S62" i="54" s="1"/>
  <c r="S67" i="54" a="1"/>
  <c r="S67" i="54" s="1"/>
  <c r="S70" i="54" a="1"/>
  <c r="S70" i="54" s="1"/>
  <c r="S74" i="54" a="1"/>
  <c r="S74" i="54" s="1"/>
  <c r="S77" i="54" a="1"/>
  <c r="S77" i="54" s="1"/>
  <c r="S80" i="54" a="1"/>
  <c r="S80" i="54" s="1"/>
  <c r="S84" i="54" a="1"/>
  <c r="S84" i="54" s="1"/>
  <c r="S87" i="54" a="1"/>
  <c r="S87" i="54" s="1"/>
  <c r="S90" i="54" a="1"/>
  <c r="S90" i="54" s="1"/>
  <c r="S93" i="54" a="1"/>
  <c r="S93" i="54" s="1"/>
  <c r="S97" i="54" a="1"/>
  <c r="S97" i="54" s="1"/>
  <c r="S105" i="54" a="1"/>
  <c r="S105" i="54" s="1"/>
  <c r="S108" i="54" a="1"/>
  <c r="S108" i="54" s="1"/>
  <c r="S111" i="54" a="1"/>
  <c r="S111" i="54" s="1"/>
  <c r="S116" i="54" a="1"/>
  <c r="S116" i="54" s="1"/>
  <c r="S119" i="54" a="1"/>
  <c r="S119" i="54" s="1"/>
  <c r="S122" i="54" a="1"/>
  <c r="S122" i="54" s="1"/>
  <c r="S126" i="54" a="1"/>
  <c r="S126" i="54" s="1"/>
  <c r="S133" i="54" a="1"/>
  <c r="S133" i="54" s="1"/>
  <c r="S137" i="54" a="1"/>
  <c r="S137" i="54" s="1"/>
  <c r="S140" i="54" a="1"/>
  <c r="S140" i="54" s="1"/>
  <c r="S143" i="54" a="1"/>
  <c r="S143" i="54" s="1"/>
  <c r="S148" i="54" a="1"/>
  <c r="S148" i="54" s="1"/>
  <c r="S155" i="54" a="1"/>
  <c r="S155" i="54" s="1"/>
  <c r="S158" i="54" a="1"/>
  <c r="S158" i="54" s="1"/>
  <c r="S163" i="54" a="1"/>
  <c r="S163" i="54" s="1"/>
  <c r="S166" i="54" a="1"/>
  <c r="S166" i="54" s="1"/>
  <c r="S170" i="54" a="1"/>
  <c r="S170" i="54" s="1"/>
  <c r="S173" i="54" a="1"/>
  <c r="S173" i="54" s="1"/>
  <c r="S176" i="54" a="1"/>
  <c r="S176" i="54" s="1"/>
  <c r="S180" i="54" a="1"/>
  <c r="S180" i="54" s="1"/>
  <c r="S183" i="54" a="1"/>
  <c r="S183" i="54" s="1"/>
  <c r="S18" i="54" a="1"/>
  <c r="S18" i="54" s="1"/>
  <c r="S22" i="54" a="1"/>
  <c r="S22" i="54" s="1"/>
  <c r="S26" i="54" a="1"/>
  <c r="S26" i="54" s="1"/>
  <c r="S31" i="54" a="1"/>
  <c r="S31" i="54" s="1"/>
  <c r="S35" i="54" a="1"/>
  <c r="S35" i="54" s="1"/>
  <c r="S39" i="54" a="1"/>
  <c r="S39" i="54" s="1"/>
  <c r="S40" i="54" a="1"/>
  <c r="S40" i="54" s="1"/>
  <c r="S44" i="54" a="1"/>
  <c r="S44" i="54" s="1"/>
  <c r="S48" i="54" a="1"/>
  <c r="S48" i="54" s="1"/>
  <c r="S52" i="54" a="1"/>
  <c r="S52" i="54" s="1"/>
  <c r="S57" i="54" a="1"/>
  <c r="S57" i="54" s="1"/>
  <c r="S60" i="54" a="1"/>
  <c r="S60" i="54" s="1"/>
  <c r="S64" i="54" a="1"/>
  <c r="S64" i="54" s="1"/>
  <c r="S68" i="54" a="1"/>
  <c r="S68" i="54" s="1"/>
  <c r="S71" i="54" a="1"/>
  <c r="S71" i="54" s="1"/>
  <c r="S75" i="54" a="1"/>
  <c r="S75" i="54" s="1"/>
  <c r="S78" i="54" a="1"/>
  <c r="S78" i="54" s="1"/>
  <c r="S81" i="54" a="1"/>
  <c r="S81" i="54" s="1"/>
  <c r="S85" i="54" a="1"/>
  <c r="S85" i="54" s="1"/>
  <c r="S91" i="54" a="1"/>
  <c r="S91" i="54" s="1"/>
  <c r="S94" i="54" a="1"/>
  <c r="S94" i="54" s="1"/>
  <c r="S98" i="54" a="1"/>
  <c r="S98" i="54" s="1"/>
  <c r="S102" i="54" a="1"/>
  <c r="S102" i="54" s="1"/>
  <c r="S106" i="54" a="1"/>
  <c r="S106" i="54" s="1"/>
  <c r="S109" i="54" a="1"/>
  <c r="S109" i="54" s="1"/>
  <c r="S113" i="54" a="1"/>
  <c r="S113" i="54" s="1"/>
  <c r="S120" i="54" a="1"/>
  <c r="S120" i="54" s="1"/>
  <c r="S123" i="54" a="1"/>
  <c r="S123" i="54" s="1"/>
  <c r="S124" i="54" a="1"/>
  <c r="S124" i="54" s="1"/>
  <c r="S127" i="54" a="1"/>
  <c r="S127" i="54" s="1"/>
  <c r="S130" i="54" a="1"/>
  <c r="S130" i="54" s="1"/>
  <c r="S138" i="54" a="1"/>
  <c r="S138" i="54" s="1"/>
  <c r="S141" i="54" a="1"/>
  <c r="S141" i="54" s="1"/>
  <c r="S144" i="54" a="1"/>
  <c r="S144" i="54" s="1"/>
  <c r="S147" i="54" a="1"/>
  <c r="S147" i="54" s="1"/>
  <c r="S149" i="54" a="1"/>
  <c r="S149" i="54" s="1"/>
  <c r="S152" i="54" a="1"/>
  <c r="S152" i="54" s="1"/>
  <c r="S159" i="54" a="1"/>
  <c r="S159" i="54" s="1"/>
  <c r="S160" i="54" a="1"/>
  <c r="S160" i="54" s="1"/>
  <c r="S164" i="54" a="1"/>
  <c r="S164" i="54" s="1"/>
  <c r="S167" i="54" a="1"/>
  <c r="S167" i="54" s="1"/>
  <c r="S171" i="54" a="1"/>
  <c r="S171" i="54" s="1"/>
  <c r="S177" i="54" a="1"/>
  <c r="S177" i="54" s="1"/>
  <c r="S181" i="54" a="1"/>
  <c r="S181" i="54" s="1"/>
  <c r="S186" i="54" a="1"/>
  <c r="S186" i="54" s="1"/>
  <c r="S189" i="54" a="1"/>
  <c r="S189" i="54" s="1"/>
  <c r="S192" i="54" a="1"/>
  <c r="S192" i="54" s="1"/>
  <c r="S199" i="54" a="1"/>
  <c r="S199" i="54" s="1"/>
  <c r="S202" i="54" a="1"/>
  <c r="S202" i="54" s="1"/>
  <c r="S206" i="54" a="1"/>
  <c r="S206" i="54" s="1"/>
  <c r="S209" i="54" a="1"/>
  <c r="S209" i="54" s="1"/>
  <c r="S216" i="54" a="1"/>
  <c r="S216" i="54" s="1"/>
  <c r="S219" i="54" a="1"/>
  <c r="S219" i="54" s="1"/>
  <c r="S19" i="54" a="1"/>
  <c r="S19" i="54" s="1"/>
  <c r="S36" i="54" a="1"/>
  <c r="S36" i="54" s="1"/>
  <c r="S58" i="54" a="1"/>
  <c r="S58" i="54" s="1"/>
  <c r="S86" i="54" a="1"/>
  <c r="S86" i="54" s="1"/>
  <c r="S92" i="54" a="1"/>
  <c r="S92" i="54" s="1"/>
  <c r="S114" i="54" a="1"/>
  <c r="S114" i="54" s="1"/>
  <c r="S131" i="54" a="1"/>
  <c r="S131" i="54" s="1"/>
  <c r="S150" i="54" a="1"/>
  <c r="S150" i="54" s="1"/>
  <c r="S168" i="54" a="1"/>
  <c r="S168" i="54" s="1"/>
  <c r="S178" i="54" a="1"/>
  <c r="S178" i="54" s="1"/>
  <c r="S187" i="54" a="1"/>
  <c r="S187" i="54" s="1"/>
  <c r="S195" i="54" a="1"/>
  <c r="S195" i="54" s="1"/>
  <c r="S197" i="54" a="1"/>
  <c r="S197" i="54" s="1"/>
  <c r="S201" i="54" a="1"/>
  <c r="S201" i="54" s="1"/>
  <c r="S207" i="54" a="1"/>
  <c r="S207" i="54" s="1"/>
  <c r="S210" i="54" a="1"/>
  <c r="S210" i="54" s="1"/>
  <c r="S214" i="54" a="1"/>
  <c r="S214" i="54" s="1"/>
  <c r="S220" i="54" a="1"/>
  <c r="S220" i="54" s="1"/>
  <c r="S223" i="54" a="1"/>
  <c r="S223" i="54" s="1"/>
  <c r="S227" i="54" a="1"/>
  <c r="S227" i="54" s="1"/>
  <c r="S234" i="54" a="1"/>
  <c r="S234" i="54" s="1"/>
  <c r="S237" i="54" a="1"/>
  <c r="S237" i="54" s="1"/>
  <c r="S240" i="54" a="1"/>
  <c r="S240" i="54" s="1"/>
  <c r="S245" i="54" a="1"/>
  <c r="S245" i="54" s="1"/>
  <c r="S251" i="54" a="1"/>
  <c r="S251" i="54" s="1"/>
  <c r="S254" i="54" a="1"/>
  <c r="S254" i="54" s="1"/>
  <c r="S23" i="54" a="1"/>
  <c r="S23" i="54" s="1"/>
  <c r="S41" i="54" a="1"/>
  <c r="S41" i="54" s="1"/>
  <c r="S65" i="54" a="1"/>
  <c r="S65" i="54" s="1"/>
  <c r="S95" i="54" a="1"/>
  <c r="S95" i="54" s="1"/>
  <c r="S100" i="54" a="1"/>
  <c r="S100" i="54" s="1"/>
  <c r="S117" i="54" a="1"/>
  <c r="S117" i="54" s="1"/>
  <c r="S134" i="54" a="1"/>
  <c r="S134" i="54" s="1"/>
  <c r="S153" i="54" a="1"/>
  <c r="S153" i="54" s="1"/>
  <c r="S188" i="54" a="1"/>
  <c r="S188" i="54" s="1"/>
  <c r="S191" i="54" a="1"/>
  <c r="S191" i="54" s="1"/>
  <c r="S198" i="54" a="1"/>
  <c r="S198" i="54" s="1"/>
  <c r="S203" i="54" a="1"/>
  <c r="S203" i="54" s="1"/>
  <c r="S211" i="54" a="1"/>
  <c r="S211" i="54" s="1"/>
  <c r="S215" i="54" a="1"/>
  <c r="S215" i="54" s="1"/>
  <c r="S221" i="54" a="1"/>
  <c r="S221" i="54" s="1"/>
  <c r="S224" i="54" a="1"/>
  <c r="S224" i="54" s="1"/>
  <c r="S230" i="54" a="1"/>
  <c r="S230" i="54" s="1"/>
  <c r="S235" i="54" a="1"/>
  <c r="S235" i="54" s="1"/>
  <c r="S238" i="54" a="1"/>
  <c r="S238" i="54" s="1"/>
  <c r="S241" i="54" a="1"/>
  <c r="S241" i="54" s="1"/>
  <c r="S248" i="54" a="1"/>
  <c r="S248" i="54" s="1"/>
  <c r="S27" i="54" a="1"/>
  <c r="S27" i="54" s="1"/>
  <c r="S28" i="54" a="1"/>
  <c r="S28" i="54" s="1"/>
  <c r="S45" i="54" a="1"/>
  <c r="S45" i="54" s="1"/>
  <c r="S63" i="54" a="1"/>
  <c r="S63" i="54" s="1"/>
  <c r="S69" i="54" a="1"/>
  <c r="S69" i="54" s="1"/>
  <c r="S99" i="54" a="1"/>
  <c r="S99" i="54" s="1"/>
  <c r="S103" i="54" a="1"/>
  <c r="S103" i="54" s="1"/>
  <c r="S125" i="54" a="1"/>
  <c r="S125" i="54" s="1"/>
  <c r="S142" i="54" a="1"/>
  <c r="S142" i="54" s="1"/>
  <c r="S156" i="54" a="1"/>
  <c r="S156" i="54" s="1"/>
  <c r="S161" i="54" a="1"/>
  <c r="S161" i="54" s="1"/>
  <c r="S184" i="54" a="1"/>
  <c r="S184" i="54" s="1"/>
  <c r="S193" i="54" a="1"/>
  <c r="S193" i="54" s="1"/>
  <c r="S204" i="54" a="1"/>
  <c r="S204" i="54" s="1"/>
  <c r="S208" i="54" a="1"/>
  <c r="S208" i="54" s="1"/>
  <c r="S212" i="54" a="1"/>
  <c r="S212" i="54" s="1"/>
  <c r="S217" i="54" a="1"/>
  <c r="S217" i="54" s="1"/>
  <c r="S225" i="54" a="1"/>
  <c r="S225" i="54" s="1"/>
  <c r="S228" i="54" a="1"/>
  <c r="S228" i="54" s="1"/>
  <c r="S231" i="54" a="1"/>
  <c r="S231" i="54" s="1"/>
  <c r="S232" i="54" a="1"/>
  <c r="S232" i="54" s="1"/>
  <c r="S236" i="54" a="1"/>
  <c r="S236" i="54" s="1"/>
  <c r="S242" i="54" a="1"/>
  <c r="S242" i="54" s="1"/>
  <c r="S246" i="54" a="1"/>
  <c r="S246" i="54" s="1"/>
  <c r="S249" i="54" a="1"/>
  <c r="S249" i="54" s="1"/>
  <c r="S253" i="54" a="1"/>
  <c r="S253" i="54" s="1"/>
  <c r="S32" i="54" a="1"/>
  <c r="S32" i="54" s="1"/>
  <c r="S49" i="54" a="1"/>
  <c r="S49" i="54" s="1"/>
  <c r="S55" i="54" a="1"/>
  <c r="S55" i="54" s="1"/>
  <c r="S72" i="54" a="1"/>
  <c r="S72" i="54" s="1"/>
  <c r="S82" i="54" a="1"/>
  <c r="S82" i="54" s="1"/>
  <c r="S88" i="54" a="1"/>
  <c r="S88" i="54" s="1"/>
  <c r="S107" i="54" a="1"/>
  <c r="S107" i="54" s="1"/>
  <c r="S128" i="54" a="1"/>
  <c r="S128" i="54" s="1"/>
  <c r="S145" i="54" a="1"/>
  <c r="S145" i="54" s="1"/>
  <c r="S174" i="54" a="1"/>
  <c r="S174" i="54" s="1"/>
  <c r="S185" i="54" a="1"/>
  <c r="S185" i="54" s="1"/>
  <c r="S190" i="54" a="1"/>
  <c r="S190" i="54" s="1"/>
  <c r="S194" i="54" a="1"/>
  <c r="S194" i="54" s="1"/>
  <c r="S196" i="54" a="1"/>
  <c r="S196" i="54" s="1"/>
  <c r="S200" i="54" a="1"/>
  <c r="S200" i="54" s="1"/>
  <c r="S205" i="54" a="1"/>
  <c r="S205" i="54" s="1"/>
  <c r="S213" i="54" a="1"/>
  <c r="S213" i="54" s="1"/>
  <c r="S218" i="54" a="1"/>
  <c r="S218" i="54" s="1"/>
  <c r="S222" i="54" a="1"/>
  <c r="S222" i="54" s="1"/>
  <c r="S226" i="54" a="1"/>
  <c r="S226" i="54" s="1"/>
  <c r="S229" i="54" a="1"/>
  <c r="S229" i="54" s="1"/>
  <c r="S233" i="54" a="1"/>
  <c r="S233" i="54" s="1"/>
  <c r="S239" i="54" a="1"/>
  <c r="S239" i="54" s="1"/>
  <c r="S243" i="54" a="1"/>
  <c r="S243" i="54" s="1"/>
  <c r="S244" i="54" a="1"/>
  <c r="S244" i="54" s="1"/>
  <c r="S247" i="54" a="1"/>
  <c r="S247" i="54" s="1"/>
  <c r="S250" i="54" a="1"/>
  <c r="S250" i="54" s="1"/>
  <c r="S252" i="54" a="1"/>
  <c r="S252" i="54" s="1"/>
  <c r="S256" i="54" a="1"/>
  <c r="S256" i="54" s="1"/>
  <c r="S259" i="54" a="1"/>
  <c r="S259" i="54" s="1"/>
  <c r="S265" i="54" a="1"/>
  <c r="S265" i="54" s="1"/>
  <c r="S270" i="54" a="1"/>
  <c r="S270" i="54" s="1"/>
  <c r="S273" i="54" a="1"/>
  <c r="S273" i="54" s="1"/>
  <c r="S276" i="54" a="1"/>
  <c r="S276" i="54" s="1"/>
  <c r="S283" i="54" a="1"/>
  <c r="S283" i="54" s="1"/>
  <c r="S287" i="54" a="1"/>
  <c r="S287" i="54" s="1"/>
  <c r="S290" i="54" a="1"/>
  <c r="S290" i="54" s="1"/>
  <c r="S294" i="54" a="1"/>
  <c r="S294" i="54" s="1"/>
  <c r="S300" i="54" a="1"/>
  <c r="S300" i="54" s="1"/>
  <c r="S305" i="54" a="1"/>
  <c r="S305" i="54" s="1"/>
  <c r="S308" i="54" a="1"/>
  <c r="S308" i="54" s="1"/>
  <c r="S311" i="54" a="1"/>
  <c r="S311" i="54" s="1"/>
  <c r="S318" i="54" a="1"/>
  <c r="S318" i="54" s="1"/>
  <c r="S322" i="54" a="1"/>
  <c r="S322" i="54" s="1"/>
  <c r="S325" i="54" a="1"/>
  <c r="S325" i="54" s="1"/>
  <c r="S329" i="54" a="1"/>
  <c r="S329" i="54" s="1"/>
  <c r="S335" i="54" a="1"/>
  <c r="S335" i="54" s="1"/>
  <c r="S339" i="54" a="1"/>
  <c r="S339" i="54" s="1"/>
  <c r="S340" i="54" a="1"/>
  <c r="S340" i="54" s="1"/>
  <c r="S345" i="54" a="1"/>
  <c r="S345" i="54" s="1"/>
  <c r="S348" i="54" a="1"/>
  <c r="S348" i="54" s="1"/>
  <c r="S354" i="54" a="1"/>
  <c r="S354" i="54" s="1"/>
  <c r="S357" i="54" a="1"/>
  <c r="S357" i="54" s="1"/>
  <c r="S362" i="54" a="1"/>
  <c r="S362" i="54" s="1"/>
  <c r="S366" i="54" a="1"/>
  <c r="S366" i="54" s="1"/>
  <c r="S370" i="54" a="1"/>
  <c r="S370" i="54" s="1"/>
  <c r="S374" i="54" a="1"/>
  <c r="S374" i="54" s="1"/>
  <c r="S255" i="54" a="1"/>
  <c r="S255" i="54" s="1"/>
  <c r="S260" i="54" a="1"/>
  <c r="S260" i="54" s="1"/>
  <c r="S263" i="54" a="1"/>
  <c r="S263" i="54" s="1"/>
  <c r="S266" i="54" a="1"/>
  <c r="S266" i="54" s="1"/>
  <c r="S271" i="54" a="1"/>
  <c r="S271" i="54" s="1"/>
  <c r="S277" i="54" a="1"/>
  <c r="S277" i="54" s="1"/>
  <c r="S281" i="54" a="1"/>
  <c r="S281" i="54" s="1"/>
  <c r="S284" i="54" a="1"/>
  <c r="S284" i="54" s="1"/>
  <c r="S288" i="54" a="1"/>
  <c r="S288" i="54" s="1"/>
  <c r="S295" i="54" a="1"/>
  <c r="S295" i="54" s="1"/>
  <c r="S298" i="54" a="1"/>
  <c r="S298" i="54" s="1"/>
  <c r="S301" i="54" a="1"/>
  <c r="S301" i="54" s="1"/>
  <c r="S306" i="54" a="1"/>
  <c r="S306" i="54" s="1"/>
  <c r="S312" i="54" a="1"/>
  <c r="S312" i="54" s="1"/>
  <c r="S315" i="54" a="1"/>
  <c r="S315" i="54" s="1"/>
  <c r="S316" i="54" a="1"/>
  <c r="S316" i="54" s="1"/>
  <c r="S319" i="54" a="1"/>
  <c r="S319" i="54" s="1"/>
  <c r="S323" i="54" a="1"/>
  <c r="S323" i="54" s="1"/>
  <c r="S330" i="54" a="1"/>
  <c r="S330" i="54" s="1"/>
  <c r="S333" i="54" a="1"/>
  <c r="S333" i="54" s="1"/>
  <c r="S336" i="54" a="1"/>
  <c r="S336" i="54" s="1"/>
  <c r="S343" i="54" a="1"/>
  <c r="S343" i="54" s="1"/>
  <c r="S346" i="54" a="1"/>
  <c r="S346" i="54" s="1"/>
  <c r="S351" i="54" a="1"/>
  <c r="S351" i="54" s="1"/>
  <c r="S352" i="54" a="1"/>
  <c r="S352" i="54" s="1"/>
  <c r="S355" i="54" a="1"/>
  <c r="S355" i="54" s="1"/>
  <c r="S360" i="54" a="1"/>
  <c r="S360" i="54" s="1"/>
  <c r="S363" i="54" a="1"/>
  <c r="S363" i="54" s="1"/>
  <c r="S367" i="54" a="1"/>
  <c r="S367" i="54" s="1"/>
  <c r="S371" i="54" a="1"/>
  <c r="S371" i="54" s="1"/>
  <c r="S375" i="54" a="1"/>
  <c r="S375" i="54" s="1"/>
  <c r="S257" i="54" a="1"/>
  <c r="S257" i="54" s="1"/>
  <c r="S261" i="54" a="1"/>
  <c r="S261" i="54" s="1"/>
  <c r="S264" i="54" a="1"/>
  <c r="S264" i="54" s="1"/>
  <c r="S267" i="54" a="1"/>
  <c r="S267" i="54" s="1"/>
  <c r="S268" i="54" a="1"/>
  <c r="S268" i="54" s="1"/>
  <c r="S274" i="54" a="1"/>
  <c r="S274" i="54" s="1"/>
  <c r="S278" i="54" a="1"/>
  <c r="S278" i="54" s="1"/>
  <c r="S282" i="54" a="1"/>
  <c r="S282" i="54" s="1"/>
  <c r="S285" i="54" a="1"/>
  <c r="S285" i="54" s="1"/>
  <c r="S291" i="54" a="1"/>
  <c r="S291" i="54" s="1"/>
  <c r="S292" i="54" a="1"/>
  <c r="S292" i="54" s="1"/>
  <c r="S296" i="54" a="1"/>
  <c r="S296" i="54" s="1"/>
  <c r="S299" i="54" a="1"/>
  <c r="S299" i="54" s="1"/>
  <c r="S302" i="54" a="1"/>
  <c r="S302" i="54" s="1"/>
  <c r="S309" i="54" a="1"/>
  <c r="S309" i="54" s="1"/>
  <c r="S313" i="54" a="1"/>
  <c r="S313" i="54" s="1"/>
  <c r="S317" i="54" a="1"/>
  <c r="S317" i="54" s="1"/>
  <c r="S320" i="54" a="1"/>
  <c r="S320" i="54" s="1"/>
  <c r="S326" i="54" a="1"/>
  <c r="S326" i="54" s="1"/>
  <c r="S331" i="54" a="1"/>
  <c r="S331" i="54" s="1"/>
  <c r="S334" i="54" a="1"/>
  <c r="S334" i="54" s="1"/>
  <c r="S337" i="54" a="1"/>
  <c r="S337" i="54" s="1"/>
  <c r="S341" i="54" a="1"/>
  <c r="S341" i="54" s="1"/>
  <c r="S344" i="54" a="1"/>
  <c r="S344" i="54" s="1"/>
  <c r="S349" i="54" a="1"/>
  <c r="S349" i="54" s="1"/>
  <c r="S353" i="54" a="1"/>
  <c r="S353" i="54" s="1"/>
  <c r="S358" i="54" a="1"/>
  <c r="S358" i="54" s="1"/>
  <c r="S361" i="54" a="1"/>
  <c r="S361" i="54" s="1"/>
  <c r="S364" i="54" a="1"/>
  <c r="S364" i="54" s="1"/>
  <c r="S368" i="54" a="1"/>
  <c r="S368" i="54" s="1"/>
  <c r="S372" i="54" a="1"/>
  <c r="S372" i="54" s="1"/>
  <c r="S258" i="54" a="1"/>
  <c r="S258" i="54" s="1"/>
  <c r="S262" i="54" a="1"/>
  <c r="S262" i="54" s="1"/>
  <c r="S269" i="54" a="1"/>
  <c r="S269" i="54" s="1"/>
  <c r="S272" i="54" a="1"/>
  <c r="S272" i="54" s="1"/>
  <c r="S275" i="54" a="1"/>
  <c r="S275" i="54" s="1"/>
  <c r="S279" i="54" a="1"/>
  <c r="S279" i="54" s="1"/>
  <c r="S280" i="54" a="1"/>
  <c r="S280" i="54" s="1"/>
  <c r="S286" i="54" a="1"/>
  <c r="S286" i="54" s="1"/>
  <c r="S289" i="54" a="1"/>
  <c r="S289" i="54" s="1"/>
  <c r="S293" i="54" a="1"/>
  <c r="S293" i="54" s="1"/>
  <c r="S297" i="54" a="1"/>
  <c r="S297" i="54" s="1"/>
  <c r="S303" i="54" a="1"/>
  <c r="S303" i="54" s="1"/>
  <c r="S304" i="54" a="1"/>
  <c r="S304" i="54" s="1"/>
  <c r="S307" i="54" a="1"/>
  <c r="S307" i="54" s="1"/>
  <c r="S310" i="54" a="1"/>
  <c r="S310" i="54" s="1"/>
  <c r="S314" i="54" a="1"/>
  <c r="S314" i="54" s="1"/>
  <c r="S321" i="54" a="1"/>
  <c r="S321" i="54" s="1"/>
  <c r="S324" i="54" a="1"/>
  <c r="S324" i="54" s="1"/>
  <c r="S327" i="54" a="1"/>
  <c r="S327" i="54" s="1"/>
  <c r="S328" i="54" a="1"/>
  <c r="S328" i="54" s="1"/>
  <c r="S332" i="54" a="1"/>
  <c r="S332" i="54" s="1"/>
  <c r="S338" i="54" a="1"/>
  <c r="S338" i="54" s="1"/>
  <c r="S342" i="54" a="1"/>
  <c r="S342" i="54" s="1"/>
  <c r="S347" i="54" a="1"/>
  <c r="S347" i="54" s="1"/>
  <c r="S350" i="54" a="1"/>
  <c r="S350" i="54" s="1"/>
  <c r="S356" i="54" a="1"/>
  <c r="S356" i="54" s="1"/>
  <c r="S359" i="54" a="1"/>
  <c r="S359" i="54" s="1"/>
  <c r="S365" i="54" a="1"/>
  <c r="S365" i="54" s="1"/>
  <c r="S369" i="54" a="1"/>
  <c r="S369" i="54" s="1"/>
  <c r="S373" i="54" a="1"/>
  <c r="S373" i="54" s="1"/>
  <c r="I19" i="54" a="1"/>
  <c r="I19" i="54" s="1"/>
  <c r="I26" i="54" a="1"/>
  <c r="I26" i="54" s="1"/>
  <c r="I28" i="54" a="1"/>
  <c r="I28" i="54" s="1"/>
  <c r="I32" i="54" a="1"/>
  <c r="I32" i="54" s="1"/>
  <c r="I36" i="54" a="1"/>
  <c r="I36" i="54" s="1"/>
  <c r="I41" i="54" a="1"/>
  <c r="I41" i="54" s="1"/>
  <c r="I45" i="54" a="1"/>
  <c r="I45" i="54" s="1"/>
  <c r="I49" i="54" a="1"/>
  <c r="I49" i="54" s="1"/>
  <c r="I54" i="54" a="1"/>
  <c r="I54" i="54" s="1"/>
  <c r="I58" i="54" a="1"/>
  <c r="I58" i="54" s="1"/>
  <c r="I62" i="54" a="1"/>
  <c r="I62" i="54" s="1"/>
  <c r="I67" i="54" a="1"/>
  <c r="I67" i="54" s="1"/>
  <c r="I71" i="54" a="1"/>
  <c r="I71" i="54" s="1"/>
  <c r="I75" i="54" a="1"/>
  <c r="I75" i="54" s="1"/>
  <c r="I76" i="54" a="1"/>
  <c r="I76" i="54" s="1"/>
  <c r="I80" i="54" a="1"/>
  <c r="I80" i="54" s="1"/>
  <c r="I83" i="54" a="1"/>
  <c r="I83" i="54" s="1"/>
  <c r="I87" i="54" a="1"/>
  <c r="I87" i="54" s="1"/>
  <c r="I93" i="54" a="1"/>
  <c r="I93" i="54" s="1"/>
  <c r="I97" i="54" a="1"/>
  <c r="I97" i="54" s="1"/>
  <c r="I103" i="54" a="1"/>
  <c r="I103" i="54" s="1"/>
  <c r="I110" i="54" a="1"/>
  <c r="I110" i="54" s="1"/>
  <c r="I113" i="54" a="1"/>
  <c r="I113" i="54" s="1"/>
  <c r="I116" i="54" a="1"/>
  <c r="I116" i="54" s="1"/>
  <c r="I120" i="54" a="1"/>
  <c r="I120" i="54" s="1"/>
  <c r="I126" i="54" a="1"/>
  <c r="I126" i="54" s="1"/>
  <c r="I130" i="54" a="1"/>
  <c r="I130" i="54" s="1"/>
  <c r="I133" i="54" a="1"/>
  <c r="I133" i="54" s="1"/>
  <c r="I136" i="54" a="1"/>
  <c r="I136" i="54" s="1"/>
  <c r="I140" i="54" a="1"/>
  <c r="I140" i="54" s="1"/>
  <c r="I143" i="54" a="1"/>
  <c r="I143" i="54" s="1"/>
  <c r="I147" i="54" a="1"/>
  <c r="I147" i="54" s="1"/>
  <c r="I150" i="54" a="1"/>
  <c r="I150" i="54" s="1"/>
  <c r="I154" i="54" a="1"/>
  <c r="I154" i="54" s="1"/>
  <c r="I157" i="54" a="1"/>
  <c r="I157" i="54" s="1"/>
  <c r="I160" i="54" a="1"/>
  <c r="I160" i="54" s="1"/>
  <c r="I164" i="54" a="1"/>
  <c r="I164" i="54" s="1"/>
  <c r="I167" i="54" a="1"/>
  <c r="I167" i="54" s="1"/>
  <c r="I171" i="54" a="1"/>
  <c r="I171" i="54" s="1"/>
  <c r="I177" i="54" a="1"/>
  <c r="I177" i="54" s="1"/>
  <c r="I181" i="54" a="1"/>
  <c r="I181" i="54" s="1"/>
  <c r="I187" i="54" a="1"/>
  <c r="I187" i="54" s="1"/>
  <c r="I194" i="54" a="1"/>
  <c r="I194" i="54" s="1"/>
  <c r="I197" i="54" a="1"/>
  <c r="I197" i="54" s="1"/>
  <c r="I200" i="54" a="1"/>
  <c r="I200" i="54" s="1"/>
  <c r="I204" i="54" a="1"/>
  <c r="I204" i="54" s="1"/>
  <c r="I210" i="54" a="1"/>
  <c r="I210" i="54" s="1"/>
  <c r="I214" i="54" a="1"/>
  <c r="I214" i="54" s="1"/>
  <c r="I217" i="54" a="1"/>
  <c r="I217" i="54" s="1"/>
  <c r="I220" i="54" a="1"/>
  <c r="I220" i="54" s="1"/>
  <c r="I224" i="54" a="1"/>
  <c r="I224" i="54" s="1"/>
  <c r="I227" i="54" a="1"/>
  <c r="I227" i="54" s="1"/>
  <c r="I231" i="54" a="1"/>
  <c r="I231" i="54" s="1"/>
  <c r="I234" i="54" a="1"/>
  <c r="I234" i="54" s="1"/>
  <c r="I237" i="54" a="1"/>
  <c r="I237" i="54" s="1"/>
  <c r="I241" i="54" a="1"/>
  <c r="I241" i="54" s="1"/>
  <c r="I247" i="54" a="1"/>
  <c r="I247" i="54" s="1"/>
  <c r="I251" i="54" a="1"/>
  <c r="I251" i="54" s="1"/>
  <c r="I254" i="54" a="1"/>
  <c r="I254" i="54" s="1"/>
  <c r="I257" i="54" a="1"/>
  <c r="I257" i="54" s="1"/>
  <c r="I264" i="54" a="1"/>
  <c r="I264" i="54" s="1"/>
  <c r="I270" i="54" a="1"/>
  <c r="I270" i="54" s="1"/>
  <c r="I274" i="54" a="1"/>
  <c r="I274" i="54" s="1"/>
  <c r="I280" i="54" a="1"/>
  <c r="I280" i="54" s="1"/>
  <c r="I284" i="54" a="1"/>
  <c r="I284" i="54" s="1"/>
  <c r="I288" i="54" a="1"/>
  <c r="I288" i="54" s="1"/>
  <c r="I291" i="54" a="1"/>
  <c r="I291" i="54" s="1"/>
  <c r="I294" i="54" a="1"/>
  <c r="I294" i="54" s="1"/>
  <c r="I298" i="54" a="1"/>
  <c r="I298" i="54" s="1"/>
  <c r="I302" i="54" a="1"/>
  <c r="I302" i="54" s="1"/>
  <c r="I305" i="54" a="1"/>
  <c r="I305" i="54" s="1"/>
  <c r="I308" i="54" a="1"/>
  <c r="I308" i="54" s="1"/>
  <c r="I315" i="54" a="1"/>
  <c r="I315" i="54" s="1"/>
  <c r="I316" i="54" a="1"/>
  <c r="I316" i="54" s="1"/>
  <c r="I319" i="54" a="1"/>
  <c r="I319" i="54" s="1"/>
  <c r="I322" i="54" a="1"/>
  <c r="I322" i="54" s="1"/>
  <c r="I325" i="54" a="1"/>
  <c r="I325" i="54" s="1"/>
  <c r="I331" i="54" a="1"/>
  <c r="I331" i="54" s="1"/>
  <c r="I334" i="54" a="1"/>
  <c r="I334" i="54" s="1"/>
  <c r="I342" i="54" a="1"/>
  <c r="I342" i="54" s="1"/>
  <c r="I345" i="54" a="1"/>
  <c r="I345" i="54" s="1"/>
  <c r="I352" i="54" a="1"/>
  <c r="I352" i="54" s="1"/>
  <c r="I359" i="54" a="1"/>
  <c r="I359" i="54" s="1"/>
  <c r="I362" i="54" a="1"/>
  <c r="I362" i="54" s="1"/>
  <c r="I366" i="54" a="1"/>
  <c r="I366" i="54" s="1"/>
  <c r="I369" i="54" a="1"/>
  <c r="I369" i="54" s="1"/>
  <c r="I16" i="54" a="1"/>
  <c r="I16" i="54" s="1"/>
  <c r="I20" i="54" a="1"/>
  <c r="I20" i="54" s="1"/>
  <c r="I23" i="54" a="1"/>
  <c r="I23" i="54" s="1"/>
  <c r="I27" i="54" a="1"/>
  <c r="I27" i="54" s="1"/>
  <c r="I29" i="54" a="1"/>
  <c r="I29" i="54" s="1"/>
  <c r="I33" i="54" a="1"/>
  <c r="I33" i="54" s="1"/>
  <c r="I37" i="54" a="1"/>
  <c r="I37" i="54" s="1"/>
  <c r="I42" i="54" a="1"/>
  <c r="I42" i="54" s="1"/>
  <c r="I46" i="54" a="1"/>
  <c r="I46" i="54" s="1"/>
  <c r="I50" i="54" a="1"/>
  <c r="I50" i="54" s="1"/>
  <c r="I55" i="54" a="1"/>
  <c r="I55" i="54" s="1"/>
  <c r="I59" i="54" a="1"/>
  <c r="I59" i="54" s="1"/>
  <c r="I64" i="54" a="1"/>
  <c r="I64" i="54" s="1"/>
  <c r="I68" i="54" a="1"/>
  <c r="I68" i="54" s="1"/>
  <c r="I72" i="54" a="1"/>
  <c r="I72" i="54" s="1"/>
  <c r="I77" i="54" a="1"/>
  <c r="I77" i="54" s="1"/>
  <c r="I84" i="54" a="1"/>
  <c r="I84" i="54" s="1"/>
  <c r="I90" i="54" a="1"/>
  <c r="I90" i="54" s="1"/>
  <c r="I94" i="54" a="1"/>
  <c r="I94" i="54" s="1"/>
  <c r="I100" i="54" a="1"/>
  <c r="I100" i="54" s="1"/>
  <c r="I104" i="54" a="1"/>
  <c r="I104" i="54" s="1"/>
  <c r="I107" i="54" a="1"/>
  <c r="I107" i="54" s="1"/>
  <c r="I111" i="54" a="1"/>
  <c r="I111" i="54" s="1"/>
  <c r="I114" i="54" a="1"/>
  <c r="I114" i="54" s="1"/>
  <c r="I117" i="54" a="1"/>
  <c r="I117" i="54" s="1"/>
  <c r="I121" i="54" a="1"/>
  <c r="I121" i="54" s="1"/>
  <c r="I124" i="54" a="1"/>
  <c r="I124" i="54" s="1"/>
  <c r="I127" i="54" a="1"/>
  <c r="I127" i="54" s="1"/>
  <c r="I131" i="54" a="1"/>
  <c r="I131" i="54" s="1"/>
  <c r="I134" i="54" a="1"/>
  <c r="I134" i="54" s="1"/>
  <c r="I137" i="54" a="1"/>
  <c r="I137" i="54" s="1"/>
  <c r="I141" i="54" a="1"/>
  <c r="I141" i="54" s="1"/>
  <c r="I144" i="54" a="1"/>
  <c r="I144" i="54" s="1"/>
  <c r="I151" i="54" a="1"/>
  <c r="I151" i="54" s="1"/>
  <c r="I155" i="54" a="1"/>
  <c r="I155" i="54" s="1"/>
  <c r="I158" i="54" a="1"/>
  <c r="I158" i="54" s="1"/>
  <c r="I161" i="54" a="1"/>
  <c r="I161" i="54" s="1"/>
  <c r="I168" i="54" a="1"/>
  <c r="I168" i="54" s="1"/>
  <c r="I174" i="54" a="1"/>
  <c r="I174" i="54" s="1"/>
  <c r="I178" i="54" a="1"/>
  <c r="I178" i="54" s="1"/>
  <c r="I184" i="54" a="1"/>
  <c r="I184" i="54" s="1"/>
  <c r="I188" i="54" a="1"/>
  <c r="I188" i="54" s="1"/>
  <c r="I191" i="54" a="1"/>
  <c r="I191" i="54" s="1"/>
  <c r="I195" i="54" a="1"/>
  <c r="I195" i="54" s="1"/>
  <c r="I198" i="54" a="1"/>
  <c r="I198" i="54" s="1"/>
  <c r="I201" i="54" a="1"/>
  <c r="I201" i="54" s="1"/>
  <c r="I205" i="54" a="1"/>
  <c r="I205" i="54" s="1"/>
  <c r="I208" i="54" a="1"/>
  <c r="I208" i="54" s="1"/>
  <c r="I211" i="54" a="1"/>
  <c r="I211" i="54" s="1"/>
  <c r="I215" i="54" a="1"/>
  <c r="I215" i="54" s="1"/>
  <c r="I218" i="54" a="1"/>
  <c r="I218" i="54" s="1"/>
  <c r="I221" i="54" a="1"/>
  <c r="I221" i="54" s="1"/>
  <c r="I225" i="54" a="1"/>
  <c r="I225" i="54" s="1"/>
  <c r="I228" i="54" a="1"/>
  <c r="I228" i="54" s="1"/>
  <c r="I238" i="54" a="1"/>
  <c r="I238" i="54" s="1"/>
  <c r="I242" i="54" a="1"/>
  <c r="I242" i="54" s="1"/>
  <c r="I244" i="54" a="1"/>
  <c r="I244" i="54" s="1"/>
  <c r="I248" i="54" a="1"/>
  <c r="I248" i="54" s="1"/>
  <c r="I255" i="54" a="1"/>
  <c r="I255" i="54" s="1"/>
  <c r="I258" i="54" a="1"/>
  <c r="I258" i="54" s="1"/>
  <c r="I261" i="54" a="1"/>
  <c r="I261" i="54" s="1"/>
  <c r="I265" i="54" a="1"/>
  <c r="I265" i="54" s="1"/>
  <c r="I271" i="54" a="1"/>
  <c r="I271" i="54" s="1"/>
  <c r="I275" i="54" a="1"/>
  <c r="I275" i="54" s="1"/>
  <c r="I278" i="54" a="1"/>
  <c r="I278" i="54" s="1"/>
  <c r="I281" i="54" a="1"/>
  <c r="I281" i="54" s="1"/>
  <c r="I285" i="54" a="1"/>
  <c r="I285" i="54" s="1"/>
  <c r="I289" i="54" a="1"/>
  <c r="I289" i="54" s="1"/>
  <c r="I295" i="54" a="1"/>
  <c r="I295" i="54" s="1"/>
  <c r="I299" i="54" a="1"/>
  <c r="I299" i="54" s="1"/>
  <c r="I303" i="54" a="1"/>
  <c r="I303" i="54" s="1"/>
  <c r="I306" i="54" a="1"/>
  <c r="I306" i="54" s="1"/>
  <c r="I309" i="54" a="1"/>
  <c r="I309" i="54" s="1"/>
  <c r="I312" i="54" a="1"/>
  <c r="I312" i="54" s="1"/>
  <c r="I320" i="54" a="1"/>
  <c r="I320" i="54" s="1"/>
  <c r="I323" i="54" a="1"/>
  <c r="I323" i="54" s="1"/>
  <c r="I326" i="54" a="1"/>
  <c r="I326" i="54" s="1"/>
  <c r="I328" i="54" a="1"/>
  <c r="I328" i="54" s="1"/>
  <c r="I335" i="54" a="1"/>
  <c r="I335" i="54" s="1"/>
  <c r="I338" i="54" a="1"/>
  <c r="I338" i="54" s="1"/>
  <c r="I346" i="54" a="1"/>
  <c r="I346" i="54" s="1"/>
  <c r="I349" i="54" a="1"/>
  <c r="I349" i="54" s="1"/>
  <c r="I353" i="54" a="1"/>
  <c r="I353" i="54" s="1"/>
  <c r="I356" i="54" a="1"/>
  <c r="I356" i="54" s="1"/>
  <c r="I363" i="54" a="1"/>
  <c r="I363" i="54" s="1"/>
  <c r="I370" i="54" a="1"/>
  <c r="I370" i="54" s="1"/>
  <c r="I373" i="54" a="1"/>
  <c r="I373" i="54" s="1"/>
  <c r="I341" i="54" a="1"/>
  <c r="I341" i="54" s="1"/>
  <c r="I351" i="54" a="1"/>
  <c r="I351" i="54" s="1"/>
  <c r="I355" i="54" a="1"/>
  <c r="I355" i="54" s="1"/>
  <c r="I368" i="54" a="1"/>
  <c r="I368" i="54" s="1"/>
  <c r="I17" i="54" a="1"/>
  <c r="I17" i="54" s="1"/>
  <c r="I21" i="54" a="1"/>
  <c r="I21" i="54" s="1"/>
  <c r="I24" i="54" a="1"/>
  <c r="I24" i="54" s="1"/>
  <c r="I30" i="54" a="1"/>
  <c r="I30" i="54" s="1"/>
  <c r="I34" i="54" a="1"/>
  <c r="I34" i="54" s="1"/>
  <c r="I38" i="54" a="1"/>
  <c r="I38" i="54" s="1"/>
  <c r="I40" i="54" a="1"/>
  <c r="I40" i="54" s="1"/>
  <c r="I43" i="54" a="1"/>
  <c r="I43" i="54" s="1"/>
  <c r="I47" i="54" a="1"/>
  <c r="I47" i="54" s="1"/>
  <c r="I51" i="54" a="1"/>
  <c r="I51" i="54" s="1"/>
  <c r="I52" i="54" a="1"/>
  <c r="I52" i="54" s="1"/>
  <c r="I56" i="54" a="1"/>
  <c r="I56" i="54" s="1"/>
  <c r="I60" i="54" a="1"/>
  <c r="I60" i="54" s="1"/>
  <c r="I63" i="54" a="1"/>
  <c r="I63" i="54" s="1"/>
  <c r="I65" i="54" a="1"/>
  <c r="I65" i="54" s="1"/>
  <c r="I69" i="54" a="1"/>
  <c r="I69" i="54" s="1"/>
  <c r="I73" i="54" a="1"/>
  <c r="I73" i="54" s="1"/>
  <c r="I78" i="54" a="1"/>
  <c r="I78" i="54" s="1"/>
  <c r="I81" i="54" a="1"/>
  <c r="I81" i="54" s="1"/>
  <c r="I85" i="54" a="1"/>
  <c r="I85" i="54" s="1"/>
  <c r="I88" i="54" a="1"/>
  <c r="I88" i="54" s="1"/>
  <c r="I91" i="54" a="1"/>
  <c r="I91" i="54" s="1"/>
  <c r="I95" i="54" a="1"/>
  <c r="I95" i="54" s="1"/>
  <c r="I98" i="54" a="1"/>
  <c r="I98" i="54" s="1"/>
  <c r="I101" i="54" a="1"/>
  <c r="I101" i="54" s="1"/>
  <c r="I105" i="54" a="1"/>
  <c r="I105" i="54" s="1"/>
  <c r="I108" i="54" a="1"/>
  <c r="I108" i="54" s="1"/>
  <c r="I115" i="54" a="1"/>
  <c r="I115" i="54" s="1"/>
  <c r="I118" i="54" a="1"/>
  <c r="I118" i="54" s="1"/>
  <c r="I122" i="54" a="1"/>
  <c r="I122" i="54" s="1"/>
  <c r="I128" i="54" a="1"/>
  <c r="I128" i="54" s="1"/>
  <c r="I132" i="54" a="1"/>
  <c r="I132" i="54" s="1"/>
  <c r="I135" i="54" a="1"/>
  <c r="I135" i="54" s="1"/>
  <c r="I138" i="54" a="1"/>
  <c r="I138" i="54" s="1"/>
  <c r="I145" i="54" a="1"/>
  <c r="I145" i="54" s="1"/>
  <c r="I148" i="54" a="1"/>
  <c r="I148" i="54" s="1"/>
  <c r="I152" i="54" a="1"/>
  <c r="I152" i="54" s="1"/>
  <c r="I159" i="54" a="1"/>
  <c r="I159" i="54" s="1"/>
  <c r="I162" i="54" a="1"/>
  <c r="I162" i="54" s="1"/>
  <c r="I165" i="54" a="1"/>
  <c r="I165" i="54" s="1"/>
  <c r="I169" i="54" a="1"/>
  <c r="I169" i="54" s="1"/>
  <c r="I172" i="54" a="1"/>
  <c r="I172" i="54" s="1"/>
  <c r="I175" i="54" a="1"/>
  <c r="I175" i="54" s="1"/>
  <c r="I179" i="54" a="1"/>
  <c r="I179" i="54" s="1"/>
  <c r="I182" i="54" a="1"/>
  <c r="I182" i="54" s="1"/>
  <c r="I185" i="54" a="1"/>
  <c r="I185" i="54" s="1"/>
  <c r="I189" i="54" a="1"/>
  <c r="I189" i="54" s="1"/>
  <c r="I192" i="54" a="1"/>
  <c r="I192" i="54" s="1"/>
  <c r="I199" i="54" a="1"/>
  <c r="I199" i="54" s="1"/>
  <c r="I202" i="54" a="1"/>
  <c r="I202" i="54" s="1"/>
  <c r="I206" i="54" a="1"/>
  <c r="I206" i="54" s="1"/>
  <c r="I212" i="54" a="1"/>
  <c r="I212" i="54" s="1"/>
  <c r="I216" i="54" a="1"/>
  <c r="I216" i="54" s="1"/>
  <c r="I219" i="54" a="1"/>
  <c r="I219" i="54" s="1"/>
  <c r="I222" i="54" a="1"/>
  <c r="I222" i="54" s="1"/>
  <c r="I229" i="54" a="1"/>
  <c r="I229" i="54" s="1"/>
  <c r="I232" i="54" a="1"/>
  <c r="I232" i="54" s="1"/>
  <c r="I235" i="54" a="1"/>
  <c r="I235" i="54" s="1"/>
  <c r="I239" i="54" a="1"/>
  <c r="I239" i="54" s="1"/>
  <c r="I245" i="54" a="1"/>
  <c r="I245" i="54" s="1"/>
  <c r="I249" i="54" a="1"/>
  <c r="I249" i="54" s="1"/>
  <c r="I252" i="54" a="1"/>
  <c r="I252" i="54" s="1"/>
  <c r="I259" i="54" a="1"/>
  <c r="I259" i="54" s="1"/>
  <c r="I262" i="54" a="1"/>
  <c r="I262" i="54" s="1"/>
  <c r="I266" i="54" a="1"/>
  <c r="I266" i="54" s="1"/>
  <c r="I268" i="54" a="1"/>
  <c r="I268" i="54" s="1"/>
  <c r="I272" i="54" a="1"/>
  <c r="I272" i="54" s="1"/>
  <c r="I276" i="54" a="1"/>
  <c r="I276" i="54" s="1"/>
  <c r="I279" i="54" a="1"/>
  <c r="I279" i="54" s="1"/>
  <c r="I282" i="54" a="1"/>
  <c r="I282" i="54" s="1"/>
  <c r="I286" i="54" a="1"/>
  <c r="I286" i="54" s="1"/>
  <c r="I290" i="54" a="1"/>
  <c r="I290" i="54" s="1"/>
  <c r="I292" i="54" a="1"/>
  <c r="I292" i="54" s="1"/>
  <c r="I296" i="54" a="1"/>
  <c r="I296" i="54" s="1"/>
  <c r="I300" i="54" a="1"/>
  <c r="I300" i="54" s="1"/>
  <c r="I307" i="54" a="1"/>
  <c r="I307" i="54" s="1"/>
  <c r="I310" i="54" a="1"/>
  <c r="I310" i="54" s="1"/>
  <c r="I313" i="54" a="1"/>
  <c r="I313" i="54" s="1"/>
  <c r="I317" i="54" a="1"/>
  <c r="I317" i="54" s="1"/>
  <c r="I324" i="54" a="1"/>
  <c r="I324" i="54" s="1"/>
  <c r="I327" i="54" a="1"/>
  <c r="I327" i="54" s="1"/>
  <c r="I329" i="54" a="1"/>
  <c r="I329" i="54" s="1"/>
  <c r="I332" i="54" a="1"/>
  <c r="I332" i="54" s="1"/>
  <c r="I336" i="54" a="1"/>
  <c r="I336" i="54" s="1"/>
  <c r="I339" i="54" a="1"/>
  <c r="I339" i="54" s="1"/>
  <c r="I340" i="54" a="1"/>
  <c r="I340" i="54" s="1"/>
  <c r="I343" i="54" a="1"/>
  <c r="I343" i="54" s="1"/>
  <c r="I347" i="54" a="1"/>
  <c r="I347" i="54" s="1"/>
  <c r="I350" i="54" a="1"/>
  <c r="I350" i="54" s="1"/>
  <c r="I354" i="54" a="1"/>
  <c r="I354" i="54" s="1"/>
  <c r="I357" i="54" a="1"/>
  <c r="I357" i="54" s="1"/>
  <c r="I360" i="54" a="1"/>
  <c r="I360" i="54" s="1"/>
  <c r="I364" i="54" a="1"/>
  <c r="I364" i="54" s="1"/>
  <c r="I367" i="54" a="1"/>
  <c r="I367" i="54" s="1"/>
  <c r="I371" i="54" a="1"/>
  <c r="I371" i="54" s="1"/>
  <c r="I374" i="54" a="1"/>
  <c r="I374" i="54" s="1"/>
  <c r="I358" i="54" a="1"/>
  <c r="I358" i="54" s="1"/>
  <c r="I372" i="54" a="1"/>
  <c r="I372" i="54" s="1"/>
  <c r="I18" i="54" a="1"/>
  <c r="I18" i="54" s="1"/>
  <c r="I22" i="54" a="1"/>
  <c r="I22" i="54" s="1"/>
  <c r="I25" i="54" a="1"/>
  <c r="I25" i="54" s="1"/>
  <c r="I31" i="54" a="1"/>
  <c r="I31" i="54" s="1"/>
  <c r="I35" i="54" a="1"/>
  <c r="I35" i="54" s="1"/>
  <c r="I39" i="54" a="1"/>
  <c r="I39" i="54" s="1"/>
  <c r="I44" i="54" a="1"/>
  <c r="I44" i="54" s="1"/>
  <c r="I48" i="54" a="1"/>
  <c r="I48" i="54" s="1"/>
  <c r="I53" i="54" a="1"/>
  <c r="I53" i="54" s="1"/>
  <c r="I57" i="54" a="1"/>
  <c r="I57" i="54" s="1"/>
  <c r="I61" i="54" a="1"/>
  <c r="I61" i="54" s="1"/>
  <c r="I66" i="54" a="1"/>
  <c r="I66" i="54" s="1"/>
  <c r="I70" i="54" a="1"/>
  <c r="I70" i="54" s="1"/>
  <c r="I74" i="54" a="1"/>
  <c r="I74" i="54" s="1"/>
  <c r="I79" i="54" a="1"/>
  <c r="I79" i="54" s="1"/>
  <c r="I82" i="54" a="1"/>
  <c r="I82" i="54" s="1"/>
  <c r="I86" i="54" a="1"/>
  <c r="I86" i="54" s="1"/>
  <c r="I89" i="54" a="1"/>
  <c r="I89" i="54" s="1"/>
  <c r="I92" i="54" a="1"/>
  <c r="I92" i="54" s="1"/>
  <c r="I96" i="54" a="1"/>
  <c r="I96" i="54" s="1"/>
  <c r="I99" i="54" a="1"/>
  <c r="I99" i="54" s="1"/>
  <c r="I102" i="54" a="1"/>
  <c r="I102" i="54" s="1"/>
  <c r="I106" i="54" a="1"/>
  <c r="I106" i="54" s="1"/>
  <c r="I109" i="54" a="1"/>
  <c r="I109" i="54" s="1"/>
  <c r="I112" i="54" a="1"/>
  <c r="I112" i="54" s="1"/>
  <c r="I119" i="54" a="1"/>
  <c r="I119" i="54" s="1"/>
  <c r="I123" i="54" a="1"/>
  <c r="I123" i="54" s="1"/>
  <c r="I125" i="54" a="1"/>
  <c r="I125" i="54" s="1"/>
  <c r="I129" i="54" a="1"/>
  <c r="I129" i="54" s="1"/>
  <c r="I139" i="54" a="1"/>
  <c r="I139" i="54" s="1"/>
  <c r="I142" i="54" a="1"/>
  <c r="I142" i="54" s="1"/>
  <c r="I146" i="54" a="1"/>
  <c r="I146" i="54" s="1"/>
  <c r="I149" i="54" a="1"/>
  <c r="I149" i="54" s="1"/>
  <c r="I153" i="54" a="1"/>
  <c r="I153" i="54" s="1"/>
  <c r="I156" i="54" a="1"/>
  <c r="I156" i="54" s="1"/>
  <c r="I163" i="54" a="1"/>
  <c r="I163" i="54" s="1"/>
  <c r="I166" i="54" a="1"/>
  <c r="I166" i="54" s="1"/>
  <c r="I170" i="54" a="1"/>
  <c r="I170" i="54" s="1"/>
  <c r="I173" i="54" a="1"/>
  <c r="I173" i="54" s="1"/>
  <c r="I176" i="54" a="1"/>
  <c r="I176" i="54" s="1"/>
  <c r="I180" i="54" a="1"/>
  <c r="I180" i="54" s="1"/>
  <c r="I183" i="54" a="1"/>
  <c r="I183" i="54" s="1"/>
  <c r="I186" i="54" a="1"/>
  <c r="I186" i="54" s="1"/>
  <c r="I190" i="54" a="1"/>
  <c r="I190" i="54" s="1"/>
  <c r="I193" i="54" a="1"/>
  <c r="I193" i="54" s="1"/>
  <c r="I196" i="54" a="1"/>
  <c r="I196" i="54" s="1"/>
  <c r="I203" i="54" a="1"/>
  <c r="I203" i="54" s="1"/>
  <c r="I207" i="54" a="1"/>
  <c r="I207" i="54" s="1"/>
  <c r="I209" i="54" a="1"/>
  <c r="I209" i="54" s="1"/>
  <c r="I213" i="54" a="1"/>
  <c r="I213" i="54" s="1"/>
  <c r="I223" i="54" a="1"/>
  <c r="I223" i="54" s="1"/>
  <c r="I226" i="54" a="1"/>
  <c r="I226" i="54" s="1"/>
  <c r="I230" i="54" a="1"/>
  <c r="I230" i="54" s="1"/>
  <c r="I233" i="54" a="1"/>
  <c r="I233" i="54" s="1"/>
  <c r="I236" i="54" a="1"/>
  <c r="I236" i="54" s="1"/>
  <c r="I240" i="54" a="1"/>
  <c r="I240" i="54" s="1"/>
  <c r="I243" i="54" a="1"/>
  <c r="I243" i="54" s="1"/>
  <c r="I246" i="54" a="1"/>
  <c r="I246" i="54" s="1"/>
  <c r="I250" i="54" a="1"/>
  <c r="I250" i="54" s="1"/>
  <c r="I253" i="54" a="1"/>
  <c r="I253" i="54" s="1"/>
  <c r="I256" i="54" a="1"/>
  <c r="I256" i="54" s="1"/>
  <c r="I260" i="54" a="1"/>
  <c r="I260" i="54" s="1"/>
  <c r="I263" i="54" a="1"/>
  <c r="I263" i="54" s="1"/>
  <c r="I267" i="54" a="1"/>
  <c r="I267" i="54" s="1"/>
  <c r="I269" i="54" a="1"/>
  <c r="I269" i="54" s="1"/>
  <c r="I273" i="54" a="1"/>
  <c r="I273" i="54" s="1"/>
  <c r="I277" i="54" a="1"/>
  <c r="I277" i="54" s="1"/>
  <c r="I283" i="54" a="1"/>
  <c r="I283" i="54" s="1"/>
  <c r="I287" i="54" a="1"/>
  <c r="I287" i="54" s="1"/>
  <c r="I293" i="54" a="1"/>
  <c r="I293" i="54" s="1"/>
  <c r="I297" i="54" a="1"/>
  <c r="I297" i="54" s="1"/>
  <c r="I301" i="54" a="1"/>
  <c r="I301" i="54" s="1"/>
  <c r="I304" i="54" a="1"/>
  <c r="I304" i="54" s="1"/>
  <c r="I311" i="54" a="1"/>
  <c r="I311" i="54" s="1"/>
  <c r="I314" i="54" a="1"/>
  <c r="I314" i="54" s="1"/>
  <c r="I318" i="54" a="1"/>
  <c r="I318" i="54" s="1"/>
  <c r="I321" i="54" a="1"/>
  <c r="I321" i="54" s="1"/>
  <c r="I330" i="54" a="1"/>
  <c r="I330" i="54" s="1"/>
  <c r="I333" i="54" a="1"/>
  <c r="I333" i="54" s="1"/>
  <c r="I337" i="54" a="1"/>
  <c r="I337" i="54" s="1"/>
  <c r="I344" i="54" a="1"/>
  <c r="I344" i="54" s="1"/>
  <c r="I348" i="54" a="1"/>
  <c r="I348" i="54" s="1"/>
  <c r="I361" i="54" a="1"/>
  <c r="I361" i="54" s="1"/>
  <c r="I365" i="54" a="1"/>
  <c r="I365" i="54" s="1"/>
  <c r="I375" i="54" a="1"/>
  <c r="I375" i="54" s="1"/>
  <c r="AQ391" i="60" l="1"/>
  <c r="AQ242" i="60"/>
  <c r="AS242" i="60" s="1"/>
  <c r="AQ281" i="60"/>
  <c r="AQ269" i="60"/>
  <c r="AQ176" i="60"/>
  <c r="AQ38" i="60"/>
  <c r="AS38" i="60" s="1"/>
  <c r="AQ349" i="60"/>
  <c r="AS349" i="60" s="1"/>
  <c r="AQ255" i="60"/>
  <c r="AQ310" i="60"/>
  <c r="AQ151" i="60"/>
  <c r="AS151" i="60" s="1"/>
  <c r="AQ199" i="60"/>
  <c r="AS199" i="60" s="1"/>
  <c r="AQ201" i="60"/>
  <c r="AS201" i="60" s="1"/>
  <c r="AQ236" i="60"/>
  <c r="AQ358" i="60"/>
  <c r="AQ149" i="60"/>
  <c r="AQ171" i="60"/>
  <c r="AQ167" i="60"/>
  <c r="AS167" i="60" s="1"/>
  <c r="AQ15" i="60"/>
  <c r="AQ325" i="60"/>
  <c r="AS325" i="60" s="1"/>
  <c r="AQ169" i="60"/>
  <c r="AS169" i="60" s="1"/>
  <c r="AQ215" i="60"/>
  <c r="AS215" i="60" s="1"/>
  <c r="AQ230" i="60"/>
  <c r="AS230" i="60" s="1"/>
  <c r="AQ240" i="60"/>
  <c r="AQ248" i="60"/>
  <c r="AQ282" i="60"/>
  <c r="AQ263" i="60"/>
  <c r="AS263" i="60" s="1"/>
  <c r="AQ251" i="60"/>
  <c r="AS251" i="60" s="1"/>
  <c r="AQ285" i="60"/>
  <c r="AS285" i="60" s="1"/>
  <c r="AQ268" i="60"/>
  <c r="AQ302" i="60"/>
  <c r="AS302" i="60" s="1"/>
  <c r="AQ308" i="60"/>
  <c r="AQ347" i="60"/>
  <c r="AS347" i="60" s="1"/>
  <c r="AQ348" i="60"/>
  <c r="AQ357" i="60"/>
  <c r="AS357" i="60" s="1"/>
  <c r="AQ362" i="60"/>
  <c r="AS362" i="60" s="1"/>
  <c r="AQ368" i="60"/>
  <c r="AQ396" i="60"/>
  <c r="AQ277" i="60"/>
  <c r="AS277" i="60" s="1"/>
  <c r="AQ288" i="60"/>
  <c r="AQ297" i="60"/>
  <c r="AS297" i="60" s="1"/>
  <c r="AQ203" i="60"/>
  <c r="AS203" i="60" s="1"/>
  <c r="AQ206" i="60"/>
  <c r="AS206" i="60" s="1"/>
  <c r="AQ210" i="60"/>
  <c r="AQ238" i="60"/>
  <c r="AQ21" i="60"/>
  <c r="AS21" i="60" s="1"/>
  <c r="AQ249" i="60"/>
  <c r="AS249" i="60" s="1"/>
  <c r="AQ224" i="60"/>
  <c r="AQ283" i="60"/>
  <c r="AS283" i="60" s="1"/>
  <c r="AQ246" i="60"/>
  <c r="AQ274" i="60"/>
  <c r="AQ166" i="60"/>
  <c r="AQ178" i="60"/>
  <c r="AQ183" i="60"/>
  <c r="AQ217" i="60"/>
  <c r="AS217" i="60" s="1"/>
  <c r="AQ197" i="60"/>
  <c r="AQ214" i="60"/>
  <c r="AQ42" i="60"/>
  <c r="AQ108" i="60"/>
  <c r="AQ328" i="60"/>
  <c r="AQ223" i="60"/>
  <c r="AS223" i="60" s="1"/>
  <c r="AQ234" i="60"/>
  <c r="AQ44" i="60"/>
  <c r="AQ48" i="60"/>
  <c r="AQ51" i="60"/>
  <c r="AQ62" i="60"/>
  <c r="AS62" i="60" s="1"/>
  <c r="AQ65" i="60"/>
  <c r="AQ73" i="60"/>
  <c r="AS73" i="60" s="1"/>
  <c r="AQ76" i="60"/>
  <c r="AQ79" i="60"/>
  <c r="AS79" i="60" s="1"/>
  <c r="AQ124" i="60"/>
  <c r="AQ291" i="60"/>
  <c r="AQ256" i="60"/>
  <c r="AQ271" i="60"/>
  <c r="AS271" i="60" s="1"/>
  <c r="AQ123" i="60"/>
  <c r="AQ243" i="60"/>
  <c r="AQ262" i="60"/>
  <c r="AQ280" i="60"/>
  <c r="AQ157" i="60"/>
  <c r="AS157" i="60" s="1"/>
  <c r="AQ168" i="60"/>
  <c r="AQ147" i="60"/>
  <c r="AQ216" i="60"/>
  <c r="AQ229" i="60"/>
  <c r="AS229" i="60" s="1"/>
  <c r="AQ247" i="60"/>
  <c r="AS247" i="60" s="1"/>
  <c r="AQ289" i="60"/>
  <c r="AS289" i="60" s="1"/>
  <c r="AQ252" i="60"/>
  <c r="AQ275" i="60"/>
  <c r="AS275" i="60" s="1"/>
  <c r="AQ286" i="60"/>
  <c r="AQ253" i="60"/>
  <c r="AS253" i="60" s="1"/>
  <c r="AQ287" i="60"/>
  <c r="AS287" i="60" s="1"/>
  <c r="AQ250" i="60"/>
  <c r="AQ273" i="60"/>
  <c r="AS273" i="60" s="1"/>
  <c r="AQ278" i="60"/>
  <c r="AS278" i="60" s="1"/>
  <c r="AQ284" i="60"/>
  <c r="AQ292" i="60"/>
  <c r="AQ259" i="60"/>
  <c r="AS259" i="60" s="1"/>
  <c r="AQ270" i="60"/>
  <c r="AQ293" i="60"/>
  <c r="AQ301" i="60"/>
  <c r="AS301" i="60" s="1"/>
  <c r="AQ258" i="60"/>
  <c r="AQ294" i="60"/>
  <c r="AQ312" i="60"/>
  <c r="AQ314" i="60"/>
  <c r="AS314" i="60" s="1"/>
  <c r="AQ323" i="60"/>
  <c r="AS323" i="60" s="1"/>
  <c r="AQ343" i="60"/>
  <c r="AS343" i="60" s="1"/>
  <c r="AQ317" i="60"/>
  <c r="AQ333" i="60"/>
  <c r="AS333" i="60" s="1"/>
  <c r="AQ338" i="60"/>
  <c r="AS338" i="60" s="1"/>
  <c r="AQ344" i="60"/>
  <c r="AQ353" i="60"/>
  <c r="AQ361" i="60"/>
  <c r="AS361" i="60" s="1"/>
  <c r="AQ378" i="60"/>
  <c r="AQ385" i="60"/>
  <c r="AQ386" i="60"/>
  <c r="AQ257" i="60"/>
  <c r="AQ265" i="60"/>
  <c r="AS265" i="60" s="1"/>
  <c r="AQ276" i="60"/>
  <c r="AQ279" i="60"/>
  <c r="AQ299" i="60"/>
  <c r="AS299" i="60" s="1"/>
  <c r="AQ264" i="60"/>
  <c r="AQ267" i="60"/>
  <c r="AQ300" i="60"/>
  <c r="AQ303" i="60"/>
  <c r="AQ324" i="60"/>
  <c r="AQ331" i="60"/>
  <c r="AS331" i="60" s="1"/>
  <c r="AQ342" i="60"/>
  <c r="AQ376" i="60"/>
  <c r="AQ399" i="60"/>
  <c r="AQ298" i="60"/>
  <c r="AQ395" i="60"/>
  <c r="AQ398" i="60"/>
  <c r="AQ400" i="60"/>
  <c r="AQ403" i="60"/>
  <c r="AQ401" i="60"/>
  <c r="AQ163" i="60"/>
  <c r="AS163" i="60" s="1"/>
  <c r="AQ153" i="60"/>
  <c r="AS153" i="60" s="1"/>
  <c r="AQ158" i="60"/>
  <c r="AS158" i="60" s="1"/>
  <c r="AQ164" i="60"/>
  <c r="AQ156" i="60"/>
  <c r="AQ159" i="60"/>
  <c r="AQ180" i="60"/>
  <c r="AQ174" i="60"/>
  <c r="AQ193" i="60"/>
  <c r="AS193" i="60" s="1"/>
  <c r="AQ189" i="60"/>
  <c r="AS189" i="60" s="1"/>
  <c r="AQ213" i="60"/>
  <c r="AS213" i="60" s="1"/>
  <c r="AQ173" i="60"/>
  <c r="AQ181" i="60"/>
  <c r="AS181" i="60" s="1"/>
  <c r="AQ204" i="60"/>
  <c r="AQ207" i="60"/>
  <c r="AQ190" i="60"/>
  <c r="AQ208" i="60"/>
  <c r="AQ212" i="60"/>
  <c r="AQ196" i="60"/>
  <c r="AQ161" i="60"/>
  <c r="AQ162" i="60"/>
  <c r="AQ154" i="60"/>
  <c r="AQ170" i="60"/>
  <c r="AS170" i="60" s="1"/>
  <c r="AQ172" i="60"/>
  <c r="AQ187" i="60"/>
  <c r="AS187" i="60" s="1"/>
  <c r="AQ179" i="60"/>
  <c r="AS179" i="60" s="1"/>
  <c r="AQ202" i="60"/>
  <c r="AQ209" i="60"/>
  <c r="AQ226" i="60"/>
  <c r="AQ146" i="60"/>
  <c r="AS146" i="60" s="1"/>
  <c r="AQ152" i="60"/>
  <c r="AQ185" i="60"/>
  <c r="AQ191" i="60"/>
  <c r="AS191" i="60" s="1"/>
  <c r="AQ177" i="60"/>
  <c r="AS177" i="60" s="1"/>
  <c r="AQ182" i="60"/>
  <c r="AS182" i="60" s="1"/>
  <c r="AQ188" i="60"/>
  <c r="AQ205" i="60"/>
  <c r="AS205" i="60" s="1"/>
  <c r="AQ194" i="60"/>
  <c r="AS194" i="60" s="1"/>
  <c r="AQ200" i="60"/>
  <c r="AQ220" i="60"/>
  <c r="AQ218" i="60"/>
  <c r="AS218" i="60" s="1"/>
  <c r="AQ402" i="60"/>
  <c r="AQ165" i="60"/>
  <c r="AS165" i="60" s="1"/>
  <c r="AQ155" i="60"/>
  <c r="AS155" i="60" s="1"/>
  <c r="AQ150" i="60"/>
  <c r="AQ160" i="60"/>
  <c r="AQ184" i="60"/>
  <c r="AQ175" i="60"/>
  <c r="AS175" i="60" s="1"/>
  <c r="AQ186" i="60"/>
  <c r="AQ198" i="60"/>
  <c r="AQ192" i="60"/>
  <c r="AQ195" i="60"/>
  <c r="AQ211" i="60"/>
  <c r="AS211" i="60" s="1"/>
  <c r="AQ221" i="60"/>
  <c r="AQ225" i="60"/>
  <c r="AS225" i="60" s="1"/>
  <c r="AQ228" i="60"/>
  <c r="AQ219" i="60"/>
  <c r="AQ231" i="60"/>
  <c r="AQ239" i="60"/>
  <c r="AS239" i="60" s="1"/>
  <c r="AQ29" i="60"/>
  <c r="AQ37" i="60"/>
  <c r="AS37" i="60" s="1"/>
  <c r="AQ23" i="60"/>
  <c r="AS23" i="60" s="1"/>
  <c r="AQ34" i="60"/>
  <c r="AQ24" i="60"/>
  <c r="AQ27" i="60"/>
  <c r="AQ53" i="60"/>
  <c r="AQ61" i="60"/>
  <c r="AS61" i="60" s="1"/>
  <c r="AQ47" i="60"/>
  <c r="AS47" i="60" s="1"/>
  <c r="AQ58" i="60"/>
  <c r="AQ84" i="60"/>
  <c r="AQ68" i="60"/>
  <c r="AQ75" i="60"/>
  <c r="AQ78" i="60"/>
  <c r="AQ83" i="60"/>
  <c r="AS83" i="60" s="1"/>
  <c r="AQ237" i="60"/>
  <c r="AS237" i="60" s="1"/>
  <c r="AQ35" i="60"/>
  <c r="AS35" i="60" s="1"/>
  <c r="AQ16" i="60"/>
  <c r="AQ26" i="60"/>
  <c r="AS26" i="60" s="1"/>
  <c r="AQ32" i="60"/>
  <c r="AQ22" i="60"/>
  <c r="AQ59" i="60"/>
  <c r="AS59" i="60" s="1"/>
  <c r="AQ45" i="60"/>
  <c r="AS45" i="60" s="1"/>
  <c r="AQ50" i="60"/>
  <c r="AS50" i="60" s="1"/>
  <c r="AQ56" i="60"/>
  <c r="AQ71" i="60"/>
  <c r="AS71" i="60" s="1"/>
  <c r="AQ66" i="60"/>
  <c r="AQ74" i="60"/>
  <c r="AS74" i="60" s="1"/>
  <c r="AQ77" i="60"/>
  <c r="AQ63" i="60"/>
  <c r="AQ81" i="60"/>
  <c r="AS81" i="60" s="1"/>
  <c r="AQ232" i="60"/>
  <c r="AQ235" i="60"/>
  <c r="AS235" i="60" s="1"/>
  <c r="AQ33" i="60"/>
  <c r="AS33" i="60" s="1"/>
  <c r="AQ19" i="60"/>
  <c r="AS19" i="60" s="1"/>
  <c r="AQ30" i="60"/>
  <c r="AQ14" i="60"/>
  <c r="AS14" i="60" s="1"/>
  <c r="AQ20" i="60"/>
  <c r="AQ39" i="60"/>
  <c r="AQ57" i="60"/>
  <c r="AS57" i="60" s="1"/>
  <c r="AQ43" i="60"/>
  <c r="AS43" i="60" s="1"/>
  <c r="AQ54" i="60"/>
  <c r="AQ82" i="60"/>
  <c r="AQ69" i="60"/>
  <c r="AS69" i="60" s="1"/>
  <c r="AQ87" i="60"/>
  <c r="AQ72" i="60"/>
  <c r="AQ227" i="60"/>
  <c r="AS227" i="60" s="1"/>
  <c r="AQ222" i="60"/>
  <c r="AQ233" i="60"/>
  <c r="AQ241" i="60"/>
  <c r="AS241" i="60" s="1"/>
  <c r="AQ28" i="60"/>
  <c r="AQ31" i="60"/>
  <c r="AS31" i="60" s="1"/>
  <c r="AQ17" i="60"/>
  <c r="AQ25" i="60"/>
  <c r="AS25" i="60" s="1"/>
  <c r="AQ36" i="60"/>
  <c r="AQ18" i="60"/>
  <c r="AQ52" i="60"/>
  <c r="AQ40" i="60"/>
  <c r="AQ55" i="60"/>
  <c r="AS55" i="60" s="1"/>
  <c r="AQ41" i="60"/>
  <c r="AQ49" i="60"/>
  <c r="AS49" i="60" s="1"/>
  <c r="AQ60" i="60"/>
  <c r="AQ80" i="60"/>
  <c r="AQ85" i="60"/>
  <c r="AS85" i="60" s="1"/>
  <c r="AQ67" i="60"/>
  <c r="AS67" i="60" s="1"/>
  <c r="AQ91" i="60"/>
  <c r="AS91" i="60" s="1"/>
  <c r="AQ99" i="60"/>
  <c r="AQ86" i="60"/>
  <c r="AS86" i="60" s="1"/>
  <c r="AQ92" i="60"/>
  <c r="AQ100" i="60"/>
  <c r="AQ115" i="60"/>
  <c r="AS115" i="60" s="1"/>
  <c r="AQ107" i="60"/>
  <c r="AS107" i="60" s="1"/>
  <c r="AQ118" i="60"/>
  <c r="AQ131" i="60"/>
  <c r="AS131" i="60" s="1"/>
  <c r="AQ138" i="60"/>
  <c r="AQ126" i="60"/>
  <c r="AQ135" i="60"/>
  <c r="AQ142" i="60"/>
  <c r="AQ134" i="60"/>
  <c r="AS134" i="60" s="1"/>
  <c r="AQ140" i="60"/>
  <c r="AQ148" i="60"/>
  <c r="AQ89" i="60"/>
  <c r="AQ97" i="60"/>
  <c r="AS97" i="60" s="1"/>
  <c r="AQ90" i="60"/>
  <c r="AQ103" i="60"/>
  <c r="AS103" i="60" s="1"/>
  <c r="AQ113" i="60"/>
  <c r="AQ121" i="60"/>
  <c r="AS121" i="60" s="1"/>
  <c r="AQ110" i="60"/>
  <c r="AS110" i="60" s="1"/>
  <c r="AQ116" i="60"/>
  <c r="AQ129" i="60"/>
  <c r="AS129" i="60" s="1"/>
  <c r="AQ132" i="60"/>
  <c r="AQ139" i="60"/>
  <c r="AS139" i="60" s="1"/>
  <c r="AQ101" i="60"/>
  <c r="AQ105" i="60"/>
  <c r="AS105" i="60" s="1"/>
  <c r="AQ95" i="60"/>
  <c r="AS95" i="60" s="1"/>
  <c r="AQ96" i="60"/>
  <c r="AQ104" i="60"/>
  <c r="AQ112" i="60"/>
  <c r="AQ119" i="60"/>
  <c r="AS119" i="60" s="1"/>
  <c r="AQ114" i="60"/>
  <c r="AQ127" i="60"/>
  <c r="AS127" i="60" s="1"/>
  <c r="AQ130" i="60"/>
  <c r="AQ144" i="60"/>
  <c r="AQ137" i="60"/>
  <c r="AQ145" i="60"/>
  <c r="AS145" i="60" s="1"/>
  <c r="AQ70" i="60"/>
  <c r="AQ102" i="60"/>
  <c r="AQ106" i="60"/>
  <c r="AQ93" i="60"/>
  <c r="AS93" i="60" s="1"/>
  <c r="AQ98" i="60"/>
  <c r="AS98" i="60" s="1"/>
  <c r="AQ94" i="60"/>
  <c r="AQ117" i="60"/>
  <c r="AS117" i="60" s="1"/>
  <c r="AQ109" i="60"/>
  <c r="AS109" i="60" s="1"/>
  <c r="AQ120" i="60"/>
  <c r="AQ111" i="60"/>
  <c r="AQ133" i="60"/>
  <c r="AS133" i="60" s="1"/>
  <c r="AQ122" i="60"/>
  <c r="AS122" i="60" s="1"/>
  <c r="AQ128" i="60"/>
  <c r="AQ136" i="60"/>
  <c r="AQ143" i="60"/>
  <c r="AS143" i="60" s="1"/>
  <c r="AQ330" i="60"/>
  <c r="AQ307" i="60"/>
  <c r="AS307" i="60" s="1"/>
  <c r="AQ316" i="60"/>
  <c r="AQ327" i="60"/>
  <c r="AQ373" i="60"/>
  <c r="AS373" i="60" s="1"/>
  <c r="AQ354" i="60"/>
  <c r="AQ364" i="60"/>
  <c r="AQ352" i="60"/>
  <c r="AQ367" i="60"/>
  <c r="AS367" i="60" s="1"/>
  <c r="AQ387" i="60"/>
  <c r="AQ245" i="60"/>
  <c r="AQ244" i="60"/>
  <c r="AQ304" i="60"/>
  <c r="AQ336" i="60"/>
  <c r="AQ339" i="60"/>
  <c r="AQ305" i="60"/>
  <c r="AQ313" i="60"/>
  <c r="AS313" i="60" s="1"/>
  <c r="AQ320" i="60"/>
  <c r="AQ340" i="60"/>
  <c r="AQ359" i="60"/>
  <c r="AS359" i="60" s="1"/>
  <c r="AQ370" i="60"/>
  <c r="AQ360" i="60"/>
  <c r="AQ363" i="60"/>
  <c r="AQ365" i="60"/>
  <c r="AQ371" i="60"/>
  <c r="AS371" i="60" s="1"/>
  <c r="AQ329" i="60"/>
  <c r="AQ337" i="60"/>
  <c r="AS337" i="60" s="1"/>
  <c r="AQ318" i="60"/>
  <c r="AQ334" i="60"/>
  <c r="AQ311" i="60"/>
  <c r="AS311" i="60" s="1"/>
  <c r="AQ321" i="60"/>
  <c r="AS321" i="60" s="1"/>
  <c r="AQ374" i="60"/>
  <c r="AQ261" i="60"/>
  <c r="AS261" i="60" s="1"/>
  <c r="AQ266" i="60"/>
  <c r="AS266" i="60" s="1"/>
  <c r="AQ272" i="60"/>
  <c r="AQ295" i="60"/>
  <c r="AS295" i="60" s="1"/>
  <c r="AQ254" i="60"/>
  <c r="AS254" i="60" s="1"/>
  <c r="AQ260" i="60"/>
  <c r="AQ290" i="60"/>
  <c r="AS290" i="60" s="1"/>
  <c r="AQ296" i="60"/>
  <c r="AQ306" i="60"/>
  <c r="AQ322" i="60"/>
  <c r="AQ345" i="60"/>
  <c r="AS345" i="60" s="1"/>
  <c r="AQ335" i="60"/>
  <c r="AS335" i="60" s="1"/>
  <c r="AQ346" i="60"/>
  <c r="AQ315" i="60"/>
  <c r="AQ319" i="60"/>
  <c r="AS319" i="60" s="1"/>
  <c r="AQ326" i="60"/>
  <c r="AS326" i="60" s="1"/>
  <c r="AQ332" i="60"/>
  <c r="AQ309" i="60"/>
  <c r="AS309" i="60" s="1"/>
  <c r="AQ355" i="60"/>
  <c r="AS355" i="60" s="1"/>
  <c r="AQ366" i="60"/>
  <c r="AQ372" i="60"/>
  <c r="AQ350" i="60"/>
  <c r="AS350" i="60" s="1"/>
  <c r="AQ356" i="60"/>
  <c r="AQ351" i="60"/>
  <c r="AQ369" i="60"/>
  <c r="AS369" i="60" s="1"/>
  <c r="AQ375" i="60"/>
  <c r="AQ390" i="60"/>
  <c r="AQ381" i="60"/>
  <c r="AQ379" i="60"/>
  <c r="AQ383" i="60"/>
  <c r="AQ377" i="60"/>
  <c r="AQ380" i="60"/>
  <c r="AQ382" i="60"/>
  <c r="AQ384" i="60"/>
  <c r="AQ389" i="60"/>
  <c r="AQ392" i="60"/>
  <c r="AQ393" i="60"/>
  <c r="AQ388" i="60"/>
  <c r="AQ394" i="60"/>
  <c r="AQ397" i="60"/>
  <c r="AE78" i="24" l="1"/>
  <c r="AE73" i="24"/>
  <c r="AE70" i="24"/>
  <c r="AE66" i="24"/>
  <c r="AE74" i="24"/>
  <c r="AE75" i="24"/>
  <c r="AE67" i="24"/>
  <c r="AE76" i="24"/>
  <c r="AE77" i="24"/>
  <c r="AE68" i="24"/>
  <c r="AE72" i="24"/>
  <c r="AE69" i="24"/>
  <c r="AE71" i="24"/>
  <c r="AQ38" i="1" l="1"/>
  <c r="BX38" i="1" s="1"/>
  <c r="AP38" i="1"/>
  <c r="BW38" i="1" s="1"/>
  <c r="AQ37" i="1"/>
  <c r="BX37" i="1" s="1"/>
  <c r="AP37" i="1"/>
  <c r="BW37" i="1" s="1"/>
  <c r="AQ36" i="1"/>
  <c r="BX36" i="1" s="1"/>
  <c r="AP36" i="1"/>
  <c r="BW36" i="1" s="1"/>
  <c r="AQ27" i="1"/>
  <c r="AP27" i="1"/>
  <c r="AQ26" i="1"/>
  <c r="AP26" i="1"/>
  <c r="AQ25" i="1"/>
  <c r="AP25" i="1"/>
  <c r="AE19" i="24" l="1"/>
  <c r="AE18" i="24"/>
  <c r="AE17" i="24"/>
  <c r="AE16" i="24"/>
  <c r="AE20" i="24"/>
  <c r="AE21" i="24"/>
  <c r="Q168" i="24" l="1"/>
  <c r="Q200" i="24"/>
  <c r="Q165" i="24"/>
  <c r="Q164" i="24"/>
  <c r="Q163" i="24"/>
  <c r="Q162" i="24"/>
  <c r="Q167" i="24"/>
  <c r="Q189" i="24"/>
  <c r="Q188" i="24"/>
  <c r="Q187" i="24"/>
  <c r="Q186" i="24"/>
  <c r="Q185" i="24"/>
  <c r="Q184" i="24"/>
  <c r="Q183" i="24"/>
  <c r="Q182" i="24"/>
  <c r="Q181" i="24"/>
  <c r="Q180" i="24"/>
  <c r="Q179" i="24"/>
  <c r="Q178" i="24"/>
  <c r="Q177" i="24"/>
  <c r="Q176" i="24"/>
  <c r="Q175" i="24"/>
  <c r="Q174" i="24"/>
  <c r="Q173" i="24"/>
  <c r="Q172" i="24"/>
  <c r="Q171" i="24"/>
  <c r="Q170" i="24"/>
  <c r="Q169" i="24"/>
  <c r="Q15" i="24"/>
  <c r="Q56" i="24"/>
  <c r="Q55" i="24"/>
  <c r="Q22" i="24"/>
  <c r="I168" i="24"/>
  <c r="I200" i="24"/>
  <c r="I165" i="24"/>
  <c r="I164" i="24"/>
  <c r="I163" i="24"/>
  <c r="I162" i="24"/>
  <c r="I167" i="24"/>
  <c r="I189" i="24"/>
  <c r="I188" i="24"/>
  <c r="I187" i="24"/>
  <c r="I186" i="24"/>
  <c r="I185" i="24"/>
  <c r="I184" i="24"/>
  <c r="I183" i="24"/>
  <c r="I182" i="24"/>
  <c r="I181" i="24"/>
  <c r="I180" i="24"/>
  <c r="I179" i="24"/>
  <c r="I178" i="24"/>
  <c r="I177" i="24"/>
  <c r="I176" i="24"/>
  <c r="I175" i="24"/>
  <c r="I174" i="24"/>
  <c r="I173" i="24"/>
  <c r="I172" i="24"/>
  <c r="I171" i="24"/>
  <c r="I170" i="24"/>
  <c r="I169" i="24"/>
  <c r="I15" i="24"/>
  <c r="I56" i="24"/>
  <c r="I55" i="24"/>
  <c r="I22" i="24"/>
  <c r="AE57" i="24" l="1"/>
  <c r="I76" i="24" l="1"/>
  <c r="I75" i="24"/>
  <c r="I70" i="24"/>
  <c r="I69" i="24"/>
  <c r="I72" i="24"/>
  <c r="I71" i="24"/>
  <c r="I74" i="24"/>
  <c r="I73" i="24"/>
  <c r="I68" i="24"/>
  <c r="I67" i="24"/>
  <c r="I66" i="24"/>
  <c r="I78" i="24"/>
  <c r="I77" i="24"/>
  <c r="I19" i="24"/>
  <c r="I18" i="24"/>
  <c r="I17" i="24"/>
  <c r="I16" i="24"/>
  <c r="I20" i="24"/>
  <c r="I21" i="24"/>
  <c r="I57" i="24"/>
  <c r="I54" i="24"/>
  <c r="I53" i="24"/>
  <c r="I29" i="24"/>
  <c r="I28" i="24"/>
  <c r="I27" i="24"/>
  <c r="I44" i="24"/>
  <c r="I43" i="24"/>
  <c r="I42" i="24"/>
  <c r="I26" i="24"/>
  <c r="I41" i="24"/>
  <c r="I40" i="24"/>
  <c r="I39" i="24"/>
  <c r="I50" i="24"/>
  <c r="I49" i="24"/>
  <c r="I48" i="24"/>
  <c r="I25" i="24"/>
  <c r="I38" i="24"/>
  <c r="I52" i="24"/>
  <c r="I51" i="24"/>
  <c r="I87" i="24"/>
  <c r="I86" i="24"/>
  <c r="I85" i="24"/>
  <c r="I23" i="24"/>
  <c r="I37" i="24"/>
  <c r="I36" i="24"/>
  <c r="I35" i="24"/>
  <c r="I84" i="24"/>
  <c r="I83" i="24"/>
  <c r="I82" i="24"/>
  <c r="I24" i="24"/>
  <c r="I34" i="24"/>
  <c r="I33" i="24"/>
  <c r="I32" i="24"/>
  <c r="I81" i="24"/>
  <c r="I80" i="24"/>
  <c r="I79" i="24"/>
  <c r="I58" i="24"/>
  <c r="I47" i="24"/>
  <c r="I65" i="24"/>
  <c r="I60" i="24"/>
  <c r="I46" i="24"/>
  <c r="I45" i="24"/>
  <c r="I31" i="24"/>
  <c r="I30" i="24"/>
  <c r="I64" i="24"/>
  <c r="I63" i="24"/>
  <c r="I62" i="24"/>
  <c r="I61" i="24"/>
  <c r="F30" i="28" l="1"/>
  <c r="V30" i="28"/>
  <c r="L31" i="28"/>
  <c r="F32" i="28"/>
  <c r="V32" i="28"/>
  <c r="L33" i="28"/>
  <c r="F34" i="28"/>
  <c r="V34" i="28"/>
  <c r="L35" i="28"/>
  <c r="F36" i="28"/>
  <c r="V36" i="28"/>
  <c r="L37" i="28"/>
  <c r="F38" i="28"/>
  <c r="V38" i="28"/>
  <c r="L39" i="28"/>
  <c r="F40" i="28"/>
  <c r="V40" i="28"/>
  <c r="L41" i="28"/>
  <c r="F42" i="28"/>
  <c r="V42" i="28"/>
  <c r="L43" i="28"/>
  <c r="F44" i="28"/>
  <c r="V44" i="28"/>
  <c r="L45" i="28"/>
  <c r="L30" i="28"/>
  <c r="F31" i="28"/>
  <c r="V31" i="28"/>
  <c r="L32" i="28"/>
  <c r="F33" i="28"/>
  <c r="V33" i="28"/>
  <c r="L34" i="28"/>
  <c r="F35" i="28"/>
  <c r="V35" i="28"/>
  <c r="L36" i="28"/>
  <c r="F37" i="28"/>
  <c r="V37" i="28"/>
  <c r="L38" i="28"/>
  <c r="F39" i="28"/>
  <c r="V39" i="28"/>
  <c r="L40" i="28"/>
  <c r="F41" i="28"/>
  <c r="V41" i="28"/>
  <c r="L42" i="28"/>
  <c r="F43" i="28"/>
  <c r="V43" i="28"/>
  <c r="L44" i="28"/>
  <c r="F45" i="28"/>
  <c r="V45" i="28"/>
  <c r="M30" i="28"/>
  <c r="K31" i="28"/>
  <c r="M32" i="28"/>
  <c r="K33" i="28"/>
  <c r="M34" i="28"/>
  <c r="K35" i="28"/>
  <c r="M36" i="28"/>
  <c r="K37" i="28"/>
  <c r="K39" i="28"/>
  <c r="W39" i="28"/>
  <c r="M40" i="28"/>
  <c r="K41" i="28"/>
  <c r="W41" i="28"/>
  <c r="K43" i="28"/>
  <c r="K45" i="28"/>
  <c r="K32" i="28"/>
  <c r="M37" i="28"/>
  <c r="K40" i="28"/>
  <c r="K30" i="28"/>
  <c r="M35" i="28"/>
  <c r="K38" i="28"/>
  <c r="K36" i="28"/>
  <c r="M41" i="28"/>
  <c r="K44" i="28"/>
  <c r="M39" i="28"/>
  <c r="M31" i="28"/>
  <c r="K42" i="28"/>
  <c r="K34" i="28"/>
  <c r="AE47" i="24" l="1"/>
  <c r="AE58" i="24"/>
  <c r="W34" i="28" l="1"/>
  <c r="Q51" i="24" l="1"/>
  <c r="Q52" i="24"/>
  <c r="Q53" i="24"/>
  <c r="Q54" i="24"/>
  <c r="Q23" i="24"/>
  <c r="Q64" i="24"/>
  <c r="Q65" i="24"/>
  <c r="Q32" i="24"/>
  <c r="Q33" i="24"/>
  <c r="Q34" i="24"/>
  <c r="Q35" i="24"/>
  <c r="Q36" i="24"/>
  <c r="Q37" i="24"/>
  <c r="Q38" i="24"/>
  <c r="Q39" i="24"/>
  <c r="Q40" i="24"/>
  <c r="Q41" i="24"/>
  <c r="Q42" i="24"/>
  <c r="Q43" i="24"/>
  <c r="Q44" i="24"/>
  <c r="Q30" i="24"/>
  <c r="Q31" i="24"/>
  <c r="Q45" i="24"/>
  <c r="Q46" i="24"/>
  <c r="AE46" i="24"/>
  <c r="AE45" i="24"/>
  <c r="AE30" i="24"/>
  <c r="W31" i="28" s="1"/>
  <c r="AE44" i="24"/>
  <c r="AE43" i="24"/>
  <c r="AE42" i="24"/>
  <c r="AE41" i="24"/>
  <c r="AE40" i="24"/>
  <c r="AE39" i="24"/>
  <c r="AE38" i="24"/>
  <c r="AE37" i="24"/>
  <c r="AE36" i="24"/>
  <c r="AE35" i="24"/>
  <c r="AE34" i="24"/>
  <c r="W37" i="28" s="1"/>
  <c r="AE33" i="24"/>
  <c r="W36" i="28" s="1"/>
  <c r="AE32" i="24"/>
  <c r="W35" i="28" s="1"/>
  <c r="AE65" i="24"/>
  <c r="AE23" i="24"/>
  <c r="AE54" i="24"/>
  <c r="AE53" i="24"/>
  <c r="AE52" i="24"/>
  <c r="AE51" i="24"/>
  <c r="W40" i="28" l="1"/>
  <c r="AE64" i="24"/>
  <c r="AE31" i="24"/>
  <c r="W32" i="28" s="1"/>
  <c r="Q47" i="24" l="1"/>
  <c r="Q58" i="24"/>
  <c r="AE87" i="24"/>
  <c r="AE86" i="24"/>
  <c r="AE85" i="24"/>
  <c r="Q87" i="24"/>
  <c r="Q86" i="24"/>
  <c r="Q85" i="24"/>
  <c r="AB60" i="24" l="1"/>
  <c r="M33" i="28" s="1"/>
  <c r="AB84" i="24"/>
  <c r="AB83" i="24"/>
  <c r="AB82" i="24"/>
  <c r="AB81" i="24"/>
  <c r="AB80" i="24"/>
  <c r="AB79" i="24"/>
  <c r="AB29" i="24"/>
  <c r="M45" i="28" s="1"/>
  <c r="AB27" i="24"/>
  <c r="M44" i="28" s="1"/>
  <c r="AB26" i="24"/>
  <c r="M43" i="28" s="1"/>
  <c r="AB25" i="24"/>
  <c r="M42" i="28" s="1"/>
  <c r="AB24" i="24"/>
  <c r="M38" i="28" s="1"/>
  <c r="Q76" i="24" l="1"/>
  <c r="Q75" i="24"/>
  <c r="Q70" i="24"/>
  <c r="Q69" i="24"/>
  <c r="Q72" i="24"/>
  <c r="Q71" i="24"/>
  <c r="Q74" i="24"/>
  <c r="Q73" i="24"/>
  <c r="Q68" i="24"/>
  <c r="Q67" i="24"/>
  <c r="Q66" i="24"/>
  <c r="Q78" i="24"/>
  <c r="Q77" i="24"/>
  <c r="Q19" i="24"/>
  <c r="Q18" i="24"/>
  <c r="Q17" i="24"/>
  <c r="Q16" i="24"/>
  <c r="Q20" i="24"/>
  <c r="Q21" i="24"/>
  <c r="Q57" i="24"/>
  <c r="Q29" i="24"/>
  <c r="Q28" i="24"/>
  <c r="Q27" i="24"/>
  <c r="Q25" i="24"/>
  <c r="AE29" i="24" l="1"/>
  <c r="W45" i="28" s="1"/>
  <c r="AE28" i="24"/>
  <c r="AE27" i="24"/>
  <c r="Q26" i="24"/>
  <c r="AE26" i="24"/>
  <c r="W43" i="28" s="1"/>
  <c r="AB50" i="24"/>
  <c r="AA50" i="24"/>
  <c r="AD50" i="24" s="1"/>
  <c r="AB49" i="24"/>
  <c r="AA49" i="24"/>
  <c r="AD49" i="24" s="1"/>
  <c r="AB48" i="24"/>
  <c r="AA48" i="24"/>
  <c r="W44" i="28" l="1"/>
  <c r="AD48" i="24"/>
  <c r="AE48" i="24"/>
  <c r="AE50" i="24"/>
  <c r="AE25" i="24"/>
  <c r="W42" i="28" s="1"/>
  <c r="Q49" i="24"/>
  <c r="Q48" i="24"/>
  <c r="Q50" i="24"/>
  <c r="AE82" i="24"/>
  <c r="Q84" i="24"/>
  <c r="Q83" i="24"/>
  <c r="Q82" i="24"/>
  <c r="Q24" i="24"/>
  <c r="Q81" i="24"/>
  <c r="Q80" i="24"/>
  <c r="Q79" i="24"/>
  <c r="Q60" i="24"/>
  <c r="AE60" i="24"/>
  <c r="W33" i="28" s="1"/>
  <c r="Q63" i="24"/>
  <c r="Q62" i="24"/>
  <c r="Q61" i="24"/>
  <c r="AE37" i="28" l="1" a="1"/>
  <c r="AE37" i="28" s="1"/>
  <c r="S37" i="28" s="1"/>
  <c r="AN37" i="28" a="1"/>
  <c r="AN37" i="28" s="1"/>
  <c r="AB37" i="28" s="1"/>
  <c r="AM36" i="28" a="1"/>
  <c r="AM36" i="28" s="1"/>
  <c r="Y36" i="28" s="1"/>
  <c r="I36" i="28" s="1"/>
  <c r="AI36" i="28" a="1"/>
  <c r="AI36" i="28" s="1"/>
  <c r="U36" i="28" s="1"/>
  <c r="AO37" i="28" a="1"/>
  <c r="AO37" i="28" s="1"/>
  <c r="AC37" i="28" s="1"/>
  <c r="AG37" i="28" a="1"/>
  <c r="AG37" i="28" s="1"/>
  <c r="O37" i="28" s="1"/>
  <c r="Q37" i="28" s="1"/>
  <c r="AN36" i="28" a="1"/>
  <c r="AN36" i="28" s="1"/>
  <c r="AB36" i="28" s="1"/>
  <c r="AJ36" i="28" a="1"/>
  <c r="AJ36" i="28" s="1"/>
  <c r="Z36" i="28" s="1"/>
  <c r="AF36" i="28" a="1"/>
  <c r="AF36" i="28" s="1"/>
  <c r="N36" i="28" s="1"/>
  <c r="P36" i="28" s="1"/>
  <c r="AI37" i="28" a="1"/>
  <c r="AI37" i="28" s="1"/>
  <c r="U37" i="28" s="1"/>
  <c r="AG36" i="28" a="1"/>
  <c r="AG36" i="28" s="1"/>
  <c r="O36" i="28" s="1"/>
  <c r="Q36" i="28" s="1"/>
  <c r="AF37" i="28" a="1"/>
  <c r="AF37" i="28" s="1"/>
  <c r="N37" i="28" s="1"/>
  <c r="P37" i="28" s="1"/>
  <c r="AL37" i="28" a="1"/>
  <c r="AL37" i="28" s="1"/>
  <c r="X37" i="28" s="1"/>
  <c r="H37" i="28" s="1"/>
  <c r="AJ37" i="28" a="1"/>
  <c r="AJ37" i="28" s="1"/>
  <c r="Z37" i="28" s="1"/>
  <c r="AK37" i="28" a="1"/>
  <c r="AK37" i="28" s="1"/>
  <c r="AA37" i="28" s="1"/>
  <c r="AK36" i="28" a="1"/>
  <c r="AK36" i="28" s="1"/>
  <c r="AA36" i="28" s="1"/>
  <c r="AH36" i="28" a="1"/>
  <c r="AH36" i="28" s="1"/>
  <c r="T36" i="28" s="1"/>
  <c r="AD37" i="28" a="1"/>
  <c r="AD37" i="28" s="1"/>
  <c r="R37" i="28" s="1"/>
  <c r="AH37" i="28" a="1"/>
  <c r="AH37" i="28" s="1"/>
  <c r="T37" i="28" s="1"/>
  <c r="AE36" i="28" a="1"/>
  <c r="AE36" i="28" s="1"/>
  <c r="S36" i="28" s="1"/>
  <c r="AM37" i="28" a="1"/>
  <c r="AM37" i="28" s="1"/>
  <c r="Y37" i="28" s="1"/>
  <c r="I37" i="28" s="1"/>
  <c r="AL36" i="28" a="1"/>
  <c r="AL36" i="28" s="1"/>
  <c r="X36" i="28" s="1"/>
  <c r="H36" i="28" s="1"/>
  <c r="AD36" i="28" a="1"/>
  <c r="AD36" i="28" s="1"/>
  <c r="R36" i="28" s="1"/>
  <c r="AO36" i="28" a="1"/>
  <c r="AO36" i="28" s="1"/>
  <c r="AC36" i="28" s="1"/>
  <c r="AL32" i="28" a="1"/>
  <c r="AL32" i="28" s="1"/>
  <c r="X32" i="28" s="1"/>
  <c r="AM32" i="28" a="1"/>
  <c r="AM32" i="28" s="1"/>
  <c r="Y32" i="28" s="1"/>
  <c r="AM49" i="28" a="1"/>
  <c r="AM49" i="28" s="1"/>
  <c r="AM30" i="28" a="1"/>
  <c r="AM30" i="28" s="1"/>
  <c r="Y30" i="28" s="1"/>
  <c r="AM34" i="28" a="1"/>
  <c r="AM34" i="28" s="1"/>
  <c r="Y34" i="28" s="1"/>
  <c r="I34" i="28" s="1"/>
  <c r="AM43" i="28" a="1"/>
  <c r="AM43" i="28" s="1"/>
  <c r="Y43" i="28" s="1"/>
  <c r="I43" i="28" s="1"/>
  <c r="AM45" i="28" a="1"/>
  <c r="AM45" i="28" s="1"/>
  <c r="Y45" i="28" s="1"/>
  <c r="I45" i="28" s="1"/>
  <c r="AM41" i="28" a="1"/>
  <c r="AM41" i="28" s="1"/>
  <c r="Y41" i="28" s="1"/>
  <c r="AM51" i="28" a="1"/>
  <c r="AM51" i="28" s="1"/>
  <c r="AM50" i="28" a="1"/>
  <c r="AM50" i="28" s="1"/>
  <c r="AM47" i="28" a="1"/>
  <c r="AM47" i="28" s="1"/>
  <c r="AM39" i="28" a="1"/>
  <c r="AM39" i="28" s="1"/>
  <c r="Y39" i="28" s="1"/>
  <c r="AM38" i="28" a="1"/>
  <c r="AM38" i="28" s="1"/>
  <c r="Y38" i="28" s="1"/>
  <c r="I38" i="28" s="1"/>
  <c r="AM48" i="28" a="1"/>
  <c r="AM48" i="28" s="1"/>
  <c r="AM42" i="28" a="1"/>
  <c r="AM42" i="28" s="1"/>
  <c r="Y42" i="28" s="1"/>
  <c r="I42" i="28" s="1"/>
  <c r="AM31" i="28" a="1"/>
  <c r="AM31" i="28" s="1"/>
  <c r="Y31" i="28" s="1"/>
  <c r="AM40" i="28" a="1"/>
  <c r="AM40" i="28" s="1"/>
  <c r="Y40" i="28" s="1"/>
  <c r="I40" i="28" s="1"/>
  <c r="AM46" i="28" a="1"/>
  <c r="AM46" i="28" s="1"/>
  <c r="AM33" i="28" a="1"/>
  <c r="AM33" i="28" s="1"/>
  <c r="Y33" i="28" s="1"/>
  <c r="AM52" i="28" a="1"/>
  <c r="AM52" i="28" s="1"/>
  <c r="AL45" i="28" a="1"/>
  <c r="AL45" i="28" s="1"/>
  <c r="X45" i="28" s="1"/>
  <c r="H45" i="28" s="1"/>
  <c r="AL35" i="28" a="1"/>
  <c r="AL35" i="28" s="1"/>
  <c r="X35" i="28" s="1"/>
  <c r="H35" i="28" s="1"/>
  <c r="AL39" i="28" a="1"/>
  <c r="AL39" i="28" s="1"/>
  <c r="X39" i="28" s="1"/>
  <c r="AL44" i="28" a="1"/>
  <c r="AL44" i="28" s="1"/>
  <c r="X44" i="28" s="1"/>
  <c r="H44" i="28" s="1"/>
  <c r="AL31" i="28" a="1"/>
  <c r="AL31" i="28" s="1"/>
  <c r="X31" i="28" s="1"/>
  <c r="AL41" i="28" a="1"/>
  <c r="AL41" i="28" s="1"/>
  <c r="X41" i="28" s="1"/>
  <c r="AL42" i="28" a="1"/>
  <c r="AL42" i="28" s="1"/>
  <c r="X42" i="28" s="1"/>
  <c r="H42" i="28" s="1"/>
  <c r="AL38" i="28" a="1"/>
  <c r="AL38" i="28" s="1"/>
  <c r="X38" i="28" s="1"/>
  <c r="H38" i="28" s="1"/>
  <c r="AL40" i="28" a="1"/>
  <c r="AL40" i="28" s="1"/>
  <c r="X40" i="28" s="1"/>
  <c r="H40" i="28" s="1"/>
  <c r="AL33" i="28" a="1"/>
  <c r="AL33" i="28" s="1"/>
  <c r="X33" i="28" s="1"/>
  <c r="AL43" i="28" a="1"/>
  <c r="AL43" i="28" s="1"/>
  <c r="X43" i="28" s="1"/>
  <c r="H43" i="28" s="1"/>
  <c r="AL30" i="28" a="1"/>
  <c r="AL30" i="28" s="1"/>
  <c r="X30" i="28" s="1"/>
  <c r="AL34" i="28" a="1"/>
  <c r="AL34" i="28" s="1"/>
  <c r="X34" i="28" s="1"/>
  <c r="H34" i="28" s="1"/>
  <c r="AM44" i="28" a="1"/>
  <c r="AM44" i="28" s="1"/>
  <c r="Y44" i="28" s="1"/>
  <c r="I44" i="28" s="1"/>
  <c r="AM35" i="28" a="1"/>
  <c r="AM35" i="28" s="1"/>
  <c r="Y35" i="28" s="1"/>
  <c r="I35" i="28" s="1"/>
  <c r="AO30" i="28" a="1"/>
  <c r="AO30" i="28" s="1"/>
  <c r="AC30" i="28" s="1"/>
  <c r="AE52" i="28" a="1"/>
  <c r="AE52" i="28" s="1"/>
  <c r="AE30" i="28" a="1"/>
  <c r="AE30" i="28" s="1"/>
  <c r="S30" i="28" s="1"/>
  <c r="AE45" i="28" a="1"/>
  <c r="AE45" i="28" s="1"/>
  <c r="S45" i="28" s="1"/>
  <c r="AE50" i="28" a="1"/>
  <c r="AE50" i="28" s="1"/>
  <c r="AD47" i="28" a="1"/>
  <c r="AD47" i="28" s="1"/>
  <c r="AF44" i="28" a="1"/>
  <c r="AF44" i="28" s="1"/>
  <c r="N44" i="28" s="1"/>
  <c r="P44" i="28" s="1"/>
  <c r="AD31" i="28" a="1"/>
  <c r="AD31" i="28" s="1"/>
  <c r="R31" i="28" s="1"/>
  <c r="AD50" i="28" a="1"/>
  <c r="AD50" i="28" s="1"/>
  <c r="AF46" i="28" a="1"/>
  <c r="AF46" i="28" s="1"/>
  <c r="AJ33" i="28" a="1"/>
  <c r="AJ33" i="28" s="1"/>
  <c r="Z33" i="28" s="1"/>
  <c r="AD40" i="28" a="1"/>
  <c r="AD40" i="28" s="1"/>
  <c r="R40" i="28" s="1"/>
  <c r="AN34" i="28" a="1"/>
  <c r="AN34" i="28" s="1"/>
  <c r="AB34" i="28" s="1"/>
  <c r="AN40" i="28" a="1"/>
  <c r="AN40" i="28" s="1"/>
  <c r="AB40" i="28" s="1"/>
  <c r="AE33" i="28" a="1"/>
  <c r="AE33" i="28" s="1"/>
  <c r="S33" i="28" s="1"/>
  <c r="AE48" i="28" a="1"/>
  <c r="AE48" i="28" s="1"/>
  <c r="AF51" i="28" a="1"/>
  <c r="AF51" i="28" s="1"/>
  <c r="AD34" i="28" a="1"/>
  <c r="AD34" i="28" s="1"/>
  <c r="R34" i="28" s="1"/>
  <c r="AF45" i="28" a="1"/>
  <c r="AF45" i="28" s="1"/>
  <c r="N45" i="28" s="1"/>
  <c r="P45" i="28" s="1"/>
  <c r="AF38" i="28" a="1"/>
  <c r="AF38" i="28" s="1"/>
  <c r="N38" i="28" s="1"/>
  <c r="P38" i="28" s="1"/>
  <c r="AD35" i="28" a="1"/>
  <c r="AD35" i="28" s="1"/>
  <c r="R35" i="28" s="1"/>
  <c r="AD51" i="28" a="1"/>
  <c r="AD51" i="28" s="1"/>
  <c r="AD42" i="28" a="1"/>
  <c r="AD42" i="28" s="1"/>
  <c r="R42" i="28" s="1"/>
  <c r="AD43" i="28" a="1"/>
  <c r="AD43" i="28" s="1"/>
  <c r="R43" i="28" s="1"/>
  <c r="AN52" i="28" a="1"/>
  <c r="AN52" i="28" s="1"/>
  <c r="AF31" i="28" a="1"/>
  <c r="AF31" i="28" s="1"/>
  <c r="N31" i="28" s="1"/>
  <c r="P31" i="28" s="1"/>
  <c r="AN38" i="28" a="1"/>
  <c r="AN38" i="28" s="1"/>
  <c r="AB38" i="28" s="1"/>
  <c r="AD39" i="28" a="1"/>
  <c r="AD39" i="28" s="1"/>
  <c r="R39" i="28" s="1"/>
  <c r="AF39" i="28" a="1"/>
  <c r="AF39" i="28" s="1"/>
  <c r="N39" i="28" s="1"/>
  <c r="P39" i="28" s="1"/>
  <c r="AF43" i="28" a="1"/>
  <c r="AF43" i="28" s="1"/>
  <c r="N43" i="28" s="1"/>
  <c r="P43" i="28" s="1"/>
  <c r="AH44" i="28" a="1"/>
  <c r="AH44" i="28" s="1"/>
  <c r="T44" i="28" s="1"/>
  <c r="AJ43" i="28" a="1"/>
  <c r="AJ43" i="28" s="1"/>
  <c r="Z43" i="28" s="1"/>
  <c r="AF35" i="28" a="1"/>
  <c r="AF35" i="28" s="1"/>
  <c r="N35" i="28" s="1"/>
  <c r="P35" i="28" s="1"/>
  <c r="AJ40" i="28" a="1"/>
  <c r="AJ40" i="28" s="1"/>
  <c r="Z40" i="28" s="1"/>
  <c r="AN31" i="28" a="1"/>
  <c r="AN31" i="28" s="1"/>
  <c r="AB31" i="28" s="1"/>
  <c r="AJ35" i="28" a="1"/>
  <c r="AJ35" i="28" s="1"/>
  <c r="Z35" i="28" s="1"/>
  <c r="AN51" i="28" a="1"/>
  <c r="AN51" i="28" s="1"/>
  <c r="AN43" i="28" a="1"/>
  <c r="AN43" i="28" s="1"/>
  <c r="AB43" i="28" s="1"/>
  <c r="AJ48" i="28" a="1"/>
  <c r="AJ48" i="28" s="1"/>
  <c r="AF30" i="28" a="1"/>
  <c r="AF30" i="28" s="1"/>
  <c r="N30" i="28" s="1"/>
  <c r="P30" i="28" s="1"/>
  <c r="AD33" i="28" a="1"/>
  <c r="AD33" i="28" s="1"/>
  <c r="R33" i="28" s="1"/>
  <c r="AF41" i="28" a="1"/>
  <c r="AF41" i="28" s="1"/>
  <c r="N41" i="28" s="1"/>
  <c r="P41" i="28" s="1"/>
  <c r="AN42" i="28" a="1"/>
  <c r="AN42" i="28" s="1"/>
  <c r="AB42" i="28" s="1"/>
  <c r="AJ34" i="28" a="1"/>
  <c r="AJ34" i="28" s="1"/>
  <c r="Z34" i="28" s="1"/>
  <c r="AH42" i="28" a="1"/>
  <c r="AH42" i="28" s="1"/>
  <c r="T42" i="28" s="1"/>
  <c r="AD38" i="28" a="1"/>
  <c r="AD38" i="28" s="1"/>
  <c r="R38" i="28" s="1"/>
  <c r="AJ52" i="28" a="1"/>
  <c r="AJ52" i="28" s="1"/>
  <c r="AH48" i="28" a="1"/>
  <c r="AH48" i="28" s="1"/>
  <c r="AN47" i="28" a="1"/>
  <c r="AN47" i="28" s="1"/>
  <c r="AH51" i="28" a="1"/>
  <c r="AH51" i="28" s="1"/>
  <c r="AH43" i="28" a="1"/>
  <c r="AH43" i="28" s="1"/>
  <c r="T43" i="28" s="1"/>
  <c r="AJ44" i="28" a="1"/>
  <c r="AJ44" i="28" s="1"/>
  <c r="Z44" i="28" s="1"/>
  <c r="AN44" i="28" a="1"/>
  <c r="AN44" i="28" s="1"/>
  <c r="AB44" i="28" s="1"/>
  <c r="AH45" i="28" a="1"/>
  <c r="AH45" i="28" s="1"/>
  <c r="T45" i="28" s="1"/>
  <c r="AH30" i="28" a="1"/>
  <c r="AH30" i="28" s="1"/>
  <c r="T30" i="28" s="1"/>
  <c r="AN30" i="28" a="1"/>
  <c r="AN30" i="28" s="1"/>
  <c r="AB30" i="28" s="1"/>
  <c r="AH32" i="28" a="1"/>
  <c r="AH32" i="28" s="1"/>
  <c r="T32" i="28" s="1"/>
  <c r="AJ32" i="28" a="1"/>
  <c r="AJ32" i="28" s="1"/>
  <c r="Z32" i="28" s="1"/>
  <c r="H32" i="28" s="1"/>
  <c r="AH34" i="28" a="1"/>
  <c r="AH34" i="28" s="1"/>
  <c r="T34" i="28" s="1"/>
  <c r="AJ38" i="28" a="1"/>
  <c r="AJ38" i="28" s="1"/>
  <c r="Z38" i="28" s="1"/>
  <c r="AH47" i="28" a="1"/>
  <c r="AH47" i="28" s="1"/>
  <c r="AN32" i="28" a="1"/>
  <c r="AN32" i="28" s="1"/>
  <c r="AB32" i="28" s="1"/>
  <c r="AJ30" i="28" a="1"/>
  <c r="AJ30" i="28" s="1"/>
  <c r="Z30" i="28" s="1"/>
  <c r="H30" i="28" s="1"/>
  <c r="AN41" i="28" a="1"/>
  <c r="AN41" i="28" s="1"/>
  <c r="AB41" i="28" s="1"/>
  <c r="AH52" i="28" a="1"/>
  <c r="AH52" i="28" s="1"/>
  <c r="AD30" i="28" a="1"/>
  <c r="AD30" i="28" s="1"/>
  <c r="R30" i="28" s="1"/>
  <c r="AF40" i="28" a="1"/>
  <c r="AF40" i="28" s="1"/>
  <c r="N40" i="28" s="1"/>
  <c r="P40" i="28" s="1"/>
  <c r="AH41" i="28" a="1"/>
  <c r="AH41" i="28" s="1"/>
  <c r="T41" i="28" s="1"/>
  <c r="H41" i="28" s="1"/>
  <c r="AJ45" i="28" a="1"/>
  <c r="AJ45" i="28" s="1"/>
  <c r="Z45" i="28" s="1"/>
  <c r="AN39" i="28" a="1"/>
  <c r="AN39" i="28" s="1"/>
  <c r="AB39" i="28" s="1"/>
  <c r="AJ50" i="28" a="1"/>
  <c r="AJ50" i="28" s="1"/>
  <c r="AJ51" i="28" a="1"/>
  <c r="AJ51" i="28" s="1"/>
  <c r="AN46" i="28" a="1"/>
  <c r="AN46" i="28" s="1"/>
  <c r="AN33" i="28" a="1"/>
  <c r="AN33" i="28" s="1"/>
  <c r="AB33" i="28" s="1"/>
  <c r="AH40" i="28" a="1"/>
  <c r="AH40" i="28" s="1"/>
  <c r="T40" i="28" s="1"/>
  <c r="AH38" i="28" a="1"/>
  <c r="AH38" i="28" s="1"/>
  <c r="T38" i="28" s="1"/>
  <c r="AF42" i="28" a="1"/>
  <c r="AF42" i="28" s="1"/>
  <c r="N42" i="28" s="1"/>
  <c r="P42" i="28" s="1"/>
  <c r="AJ49" i="28" a="1"/>
  <c r="AJ49" i="28" s="1"/>
  <c r="AH46" i="28" a="1"/>
  <c r="AH46" i="28" s="1"/>
  <c r="AE40" i="28" a="1"/>
  <c r="AE40" i="28" s="1"/>
  <c r="S40" i="28" s="1"/>
  <c r="AE43" i="28" a="1"/>
  <c r="AE43" i="28" s="1"/>
  <c r="S43" i="28" s="1"/>
  <c r="AE31" i="28" a="1"/>
  <c r="AE31" i="28" s="1"/>
  <c r="S31" i="28" s="1"/>
  <c r="AE35" i="28" a="1"/>
  <c r="AE35" i="28" s="1"/>
  <c r="S35" i="28" s="1"/>
  <c r="AE47" i="28" a="1"/>
  <c r="AE47" i="28" s="1"/>
  <c r="AE32" i="28" a="1"/>
  <c r="AE32" i="28" s="1"/>
  <c r="S32" i="28" s="1"/>
  <c r="AE38" i="28" a="1"/>
  <c r="AE38" i="28" s="1"/>
  <c r="S38" i="28" s="1"/>
  <c r="AE51" i="28" a="1"/>
  <c r="AE51" i="28" s="1"/>
  <c r="AG30" i="28" a="1"/>
  <c r="AG30" i="28" s="1"/>
  <c r="O30" i="28" s="1"/>
  <c r="Q30" i="28" s="1"/>
  <c r="AE39" i="28" a="1"/>
  <c r="AE39" i="28" s="1"/>
  <c r="S39" i="28" s="1"/>
  <c r="AE34" i="28" a="1"/>
  <c r="AE34" i="28" s="1"/>
  <c r="S34" i="28" s="1"/>
  <c r="AI30" i="28" a="1"/>
  <c r="AI30" i="28" s="1"/>
  <c r="U30" i="28" s="1"/>
  <c r="AK30" i="28" a="1"/>
  <c r="AK30" i="28" s="1"/>
  <c r="AA30" i="28" s="1"/>
  <c r="I30" i="28" s="1"/>
  <c r="AE49" i="28" a="1"/>
  <c r="AE49" i="28" s="1"/>
  <c r="AE41" i="28" a="1"/>
  <c r="AE41" i="28" s="1"/>
  <c r="S41" i="28" s="1"/>
  <c r="AD48" i="28" a="1"/>
  <c r="AD48" i="28" s="1"/>
  <c r="AD44" i="28" a="1"/>
  <c r="AD44" i="28" s="1"/>
  <c r="R44" i="28" s="1"/>
  <c r="AF47" i="28" a="1"/>
  <c r="AF47" i="28" s="1"/>
  <c r="AH39" i="28" a="1"/>
  <c r="AH39" i="28" s="1"/>
  <c r="T39" i="28" s="1"/>
  <c r="H39" i="28" s="1"/>
  <c r="AF49" i="28" a="1"/>
  <c r="AF49" i="28" s="1"/>
  <c r="AD41" i="28" a="1"/>
  <c r="AD41" i="28" s="1"/>
  <c r="R41" i="28" s="1"/>
  <c r="AN48" i="28" a="1"/>
  <c r="AN48" i="28" s="1"/>
  <c r="AF34" i="28" a="1"/>
  <c r="AF34" i="28" s="1"/>
  <c r="N34" i="28" s="1"/>
  <c r="P34" i="28" s="1"/>
  <c r="AH31" i="28" a="1"/>
  <c r="AH31" i="28" s="1"/>
  <c r="T31" i="28" s="1"/>
  <c r="AJ42" i="28" a="1"/>
  <c r="AJ42" i="28" s="1"/>
  <c r="Z42" i="28" s="1"/>
  <c r="AD52" i="28" a="1"/>
  <c r="AD52" i="28" s="1"/>
  <c r="AH50" i="28" a="1"/>
  <c r="AH50" i="28" s="1"/>
  <c r="AN50" i="28" a="1"/>
  <c r="AN50" i="28" s="1"/>
  <c r="AN49" i="28" a="1"/>
  <c r="AN49" i="28" s="1"/>
  <c r="AF33" i="28" a="1"/>
  <c r="AF33" i="28" s="1"/>
  <c r="N33" i="28" s="1"/>
  <c r="P33" i="28" s="1"/>
  <c r="AE42" i="28" a="1"/>
  <c r="AE42" i="28" s="1"/>
  <c r="S42" i="28" s="1"/>
  <c r="AE44" i="28" a="1"/>
  <c r="AE44" i="28" s="1"/>
  <c r="S44" i="28" s="1"/>
  <c r="AE46" i="28" a="1"/>
  <c r="AE46" i="28" s="1"/>
  <c r="AD46" i="28" a="1"/>
  <c r="AD46" i="28" s="1"/>
  <c r="AH49" i="28" a="1"/>
  <c r="AH49" i="28" s="1"/>
  <c r="AD49" i="28" a="1"/>
  <c r="AD49" i="28" s="1"/>
  <c r="AD45" i="28" a="1"/>
  <c r="AD45" i="28" s="1"/>
  <c r="R45" i="28" s="1"/>
  <c r="AF48" i="28" a="1"/>
  <c r="AF48" i="28" s="1"/>
  <c r="AD32" i="28" a="1"/>
  <c r="AD32" i="28" s="1"/>
  <c r="R32" i="28" s="1"/>
  <c r="AF52" i="28" a="1"/>
  <c r="AF52" i="28" s="1"/>
  <c r="AF32" i="28" a="1"/>
  <c r="AF32" i="28" s="1"/>
  <c r="N32" i="28" s="1"/>
  <c r="P32" i="28" s="1"/>
  <c r="AJ47" i="28" a="1"/>
  <c r="AJ47" i="28" s="1"/>
  <c r="AH33" i="28" a="1"/>
  <c r="AH33" i="28" s="1"/>
  <c r="T33" i="28" s="1"/>
  <c r="H33" i="28" s="1"/>
  <c r="AN35" i="28" a="1"/>
  <c r="AN35" i="28" s="1"/>
  <c r="AB35" i="28" s="1"/>
  <c r="AH35" i="28" a="1"/>
  <c r="AH35" i="28" s="1"/>
  <c r="T35" i="28" s="1"/>
  <c r="AJ46" i="28" a="1"/>
  <c r="AJ46" i="28" s="1"/>
  <c r="AJ41" i="28" a="1"/>
  <c r="AJ41" i="28" s="1"/>
  <c r="Z41" i="28" s="1"/>
  <c r="AJ39" i="28" a="1"/>
  <c r="AJ39" i="28" s="1"/>
  <c r="Z39" i="28" s="1"/>
  <c r="AN45" i="28" a="1"/>
  <c r="AN45" i="28" s="1"/>
  <c r="AB45" i="28" s="1"/>
  <c r="AF50" i="28" a="1"/>
  <c r="AF50" i="28" s="1"/>
  <c r="AJ31" i="28" a="1"/>
  <c r="AJ31" i="28" s="1"/>
  <c r="Z31" i="28" s="1"/>
  <c r="H31" i="28" s="1"/>
  <c r="AE49" i="24"/>
  <c r="AE84" i="24"/>
  <c r="AE80" i="24"/>
  <c r="AE81" i="24"/>
  <c r="AE83" i="24"/>
  <c r="AE79" i="24"/>
  <c r="AE24" i="24"/>
  <c r="W38" i="28" s="1"/>
  <c r="AE63" i="24" l="1"/>
  <c r="AE62" i="24"/>
  <c r="AE61" i="24"/>
  <c r="W30" i="28" l="1"/>
  <c r="AK34" i="28" a="1"/>
  <c r="AK34" i="28" s="1"/>
  <c r="AA34" i="28" s="1"/>
  <c r="AI33" i="28" a="1"/>
  <c r="AI33" i="28" s="1"/>
  <c r="U33" i="28" s="1"/>
  <c r="I33" i="28" s="1"/>
  <c r="AI50" i="28" a="1"/>
  <c r="AI50" i="28" s="1"/>
  <c r="AG51" i="28" a="1"/>
  <c r="AG51" i="28" s="1"/>
  <c r="AG48" i="28" a="1"/>
  <c r="AG48" i="28" s="1"/>
  <c r="AG40" i="28" a="1"/>
  <c r="AG40" i="28" s="1"/>
  <c r="O40" i="28" s="1"/>
  <c r="Q40" i="28" s="1"/>
  <c r="AG38" i="28" a="1"/>
  <c r="AG38" i="28" s="1"/>
  <c r="O38" i="28" s="1"/>
  <c r="Q38" i="28" s="1"/>
  <c r="AG44" i="28" a="1"/>
  <c r="AG44" i="28" s="1"/>
  <c r="O44" i="28" s="1"/>
  <c r="Q44" i="28" s="1"/>
  <c r="AG47" i="28" a="1"/>
  <c r="AG47" i="28" s="1"/>
  <c r="AG35" i="28" a="1"/>
  <c r="AG35" i="28" s="1"/>
  <c r="O35" i="28" s="1"/>
  <c r="Q35" i="28" s="1"/>
  <c r="AG31" i="28" a="1"/>
  <c r="AG31" i="28" s="1"/>
  <c r="O31" i="28" s="1"/>
  <c r="Q31" i="28" s="1"/>
  <c r="AG42" i="28" a="1"/>
  <c r="AG42" i="28" s="1"/>
  <c r="O42" i="28" s="1"/>
  <c r="Q42" i="28" s="1"/>
  <c r="AG50" i="28" a="1"/>
  <c r="AG50" i="28" s="1"/>
  <c r="AG43" i="28" a="1"/>
  <c r="AG43" i="28" s="1"/>
  <c r="O43" i="28" s="1"/>
  <c r="Q43" i="28" s="1"/>
  <c r="AG33" i="28" a="1"/>
  <c r="AG33" i="28" s="1"/>
  <c r="O33" i="28" s="1"/>
  <c r="Q33" i="28" s="1"/>
  <c r="AG52" i="28" a="1"/>
  <c r="AG52" i="28" s="1"/>
  <c r="AG49" i="28" a="1"/>
  <c r="AG49" i="28" s="1"/>
  <c r="AG46" i="28" a="1"/>
  <c r="AG46" i="28" s="1"/>
  <c r="AG45" i="28" a="1"/>
  <c r="AG45" i="28" s="1"/>
  <c r="O45" i="28" s="1"/>
  <c r="Q45" i="28" s="1"/>
  <c r="AI40" i="28" l="1" a="1"/>
  <c r="AI40" i="28" s="1"/>
  <c r="U40" i="28" s="1"/>
  <c r="AI38" i="28" a="1"/>
  <c r="AI38" i="28" s="1"/>
  <c r="U38" i="28" s="1"/>
  <c r="AI35" i="28" a="1"/>
  <c r="AI35" i="28" s="1"/>
  <c r="U35" i="28" s="1"/>
  <c r="AI46" i="28" a="1"/>
  <c r="AI46" i="28" s="1"/>
  <c r="AI44" i="28" a="1"/>
  <c r="AI44" i="28" s="1"/>
  <c r="U44" i="28" s="1"/>
  <c r="AI49" i="28" a="1"/>
  <c r="AI49" i="28" s="1"/>
  <c r="AI48" i="28" a="1"/>
  <c r="AI48" i="28" s="1"/>
  <c r="AI31" i="28" a="1"/>
  <c r="AI31" i="28" s="1"/>
  <c r="U31" i="28" s="1"/>
  <c r="AI42" i="28" a="1"/>
  <c r="AI42" i="28" s="1"/>
  <c r="U42" i="28" s="1"/>
  <c r="AI51" i="28" a="1"/>
  <c r="AI51" i="28" s="1"/>
  <c r="AI45" i="28" a="1"/>
  <c r="AI45" i="28" s="1"/>
  <c r="U45" i="28" s="1"/>
  <c r="AI52" i="28" a="1"/>
  <c r="AI52" i="28" s="1"/>
  <c r="AI47" i="28" a="1"/>
  <c r="AI47" i="28" s="1"/>
  <c r="AI43" i="28" a="1"/>
  <c r="AI43" i="28" s="1"/>
  <c r="U43" i="28" s="1"/>
  <c r="AG39" i="28" a="1"/>
  <c r="AG39" i="28" s="1"/>
  <c r="O39" i="28" s="1"/>
  <c r="Q39" i="28" s="1"/>
  <c r="AI32" i="28" a="1"/>
  <c r="AI32" i="28" s="1"/>
  <c r="U32" i="28" s="1"/>
  <c r="AG34" i="28" a="1"/>
  <c r="AG34" i="28" s="1"/>
  <c r="O34" i="28" s="1"/>
  <c r="Q34" i="28" s="1"/>
  <c r="AO32" i="28" a="1"/>
  <c r="AO32" i="28" s="1"/>
  <c r="AC32" i="28" s="1"/>
  <c r="AO41" i="28" a="1"/>
  <c r="AO41" i="28" s="1"/>
  <c r="AC41" i="28" s="1"/>
  <c r="AO39" i="28" a="1"/>
  <c r="AO39" i="28" s="1"/>
  <c r="AC39" i="28" s="1"/>
  <c r="AO34" i="28" a="1"/>
  <c r="AO34" i="28" s="1"/>
  <c r="AC34" i="28" s="1"/>
  <c r="AI41" i="28" a="1"/>
  <c r="AI41" i="28" s="1"/>
  <c r="U41" i="28" s="1"/>
  <c r="I41" i="28" s="1"/>
  <c r="AI39" i="28" a="1"/>
  <c r="AI39" i="28" s="1"/>
  <c r="U39" i="28" s="1"/>
  <c r="I39" i="28" s="1"/>
  <c r="AG32" i="28" a="1"/>
  <c r="AG32" i="28" s="1"/>
  <c r="O32" i="28" s="1"/>
  <c r="Q32" i="28" s="1"/>
  <c r="AG41" i="28" a="1"/>
  <c r="AG41" i="28" s="1"/>
  <c r="O41" i="28" s="1"/>
  <c r="Q41" i="28" s="1"/>
  <c r="AK39" i="28" a="1"/>
  <c r="AK39" i="28" s="1"/>
  <c r="AA39" i="28" s="1"/>
  <c r="AI34" i="28" a="1"/>
  <c r="AI34" i="28" s="1"/>
  <c r="U34" i="28" s="1"/>
  <c r="AK32" i="28" a="1"/>
  <c r="AK32" i="28" s="1"/>
  <c r="AA32" i="28" s="1"/>
  <c r="I32" i="28" s="1"/>
  <c r="AK41" i="28" a="1"/>
  <c r="AK41" i="28" s="1"/>
  <c r="AA41" i="28" s="1"/>
  <c r="AZ15" i="1" l="1"/>
  <c r="BJ15" i="1" s="1"/>
  <c r="BA15" i="1"/>
  <c r="BK15" i="1" s="1"/>
  <c r="BB15" i="1"/>
  <c r="BL15" i="1" s="1"/>
  <c r="AY15" i="1"/>
  <c r="BI15" i="1" s="1"/>
  <c r="BC15" i="1"/>
  <c r="BM15" i="1" s="1"/>
  <c r="BA17" i="1"/>
  <c r="BK17" i="1" s="1"/>
  <c r="BA22" i="1"/>
  <c r="BK22" i="1" s="1"/>
  <c r="BB22" i="1"/>
  <c r="BL22" i="1" s="1"/>
  <c r="BC17" i="1"/>
  <c r="BM17" i="1" s="1"/>
  <c r="AY22" i="1"/>
  <c r="BI22" i="1" s="1"/>
  <c r="BC22" i="1"/>
  <c r="BM22" i="1" s="1"/>
  <c r="AZ22" i="1"/>
  <c r="BJ22" i="1" s="1"/>
  <c r="AZ27" i="1"/>
  <c r="BJ27" i="1" s="1"/>
  <c r="BC34" i="1"/>
  <c r="BA27" i="1"/>
  <c r="BK27" i="1" s="1"/>
  <c r="BB27" i="1"/>
  <c r="BL27" i="1" s="1"/>
  <c r="BA34" i="1"/>
  <c r="BK34" i="1" s="1"/>
  <c r="AY27" i="1"/>
  <c r="BI27" i="1" s="1"/>
  <c r="BC27" i="1"/>
  <c r="BM27" i="1" s="1"/>
  <c r="AZ31" i="1"/>
  <c r="BJ31" i="1" s="1"/>
  <c r="BA31" i="1"/>
  <c r="BK31" i="1" s="1"/>
  <c r="BB31" i="1"/>
  <c r="AY31" i="1"/>
  <c r="BI31" i="1" s="1"/>
  <c r="BC31" i="1"/>
  <c r="AW31" i="1"/>
  <c r="AV27" i="1"/>
  <c r="BF27" i="1" s="1"/>
  <c r="AX22" i="1"/>
  <c r="BH22" i="1" s="1"/>
  <c r="AT22" i="1"/>
  <c r="BD22" i="1" s="1"/>
  <c r="AX15" i="1"/>
  <c r="BH15" i="1" s="1"/>
  <c r="AT15" i="1"/>
  <c r="BD15" i="1" s="1"/>
  <c r="AT31" i="1"/>
  <c r="BD31" i="1" s="1"/>
  <c r="AW27" i="1"/>
  <c r="BG27" i="1" s="1"/>
  <c r="AV31" i="1"/>
  <c r="BF31" i="1" s="1"/>
  <c r="AU27" i="1"/>
  <c r="BE27" i="1" s="1"/>
  <c r="AW22" i="1"/>
  <c r="BG22" i="1" s="1"/>
  <c r="AW15" i="1"/>
  <c r="BG15" i="1" s="1"/>
  <c r="AX31" i="1"/>
  <c r="AU31" i="1"/>
  <c r="BE31" i="1" s="1"/>
  <c r="AX27" i="1"/>
  <c r="BH27" i="1" s="1"/>
  <c r="AT27" i="1"/>
  <c r="BD27" i="1" s="1"/>
  <c r="AV22" i="1"/>
  <c r="BF22" i="1" s="1"/>
  <c r="AV15" i="1"/>
  <c r="BF15" i="1" s="1"/>
  <c r="AU22" i="1"/>
  <c r="BE22" i="1" s="1"/>
  <c r="AU15" i="1"/>
  <c r="BE15" i="1" s="1"/>
  <c r="CA27" i="1" l="1"/>
  <c r="CB27" i="1"/>
  <c r="BR27" i="1"/>
  <c r="BQ27" i="1"/>
  <c r="AO50" i="28" a="1"/>
  <c r="AO50" i="28" s="1"/>
  <c r="AK49" i="28" a="1"/>
  <c r="AK49" i="28" s="1"/>
  <c r="AO51" i="28" a="1"/>
  <c r="AO51" i="28" s="1"/>
  <c r="AK50" i="28" a="1"/>
  <c r="AK50" i="28" s="1"/>
  <c r="AO46" i="28" a="1"/>
  <c r="AO46" i="28" s="1"/>
  <c r="AO52" i="28" a="1"/>
  <c r="AO52" i="28" s="1"/>
  <c r="AK51" i="28" a="1"/>
  <c r="AK51" i="28" s="1"/>
  <c r="AO48" i="28" a="1"/>
  <c r="AO48" i="28" s="1"/>
  <c r="AO47" i="28" a="1"/>
  <c r="AO47" i="28" s="1"/>
  <c r="AK46" i="28" a="1"/>
  <c r="AK46" i="28" s="1"/>
  <c r="AK52" i="28" a="1"/>
  <c r="AK52" i="28" s="1"/>
  <c r="AO49" i="28" a="1"/>
  <c r="AO49" i="28" s="1"/>
  <c r="AK48" i="28" a="1"/>
  <c r="AK48" i="28" s="1"/>
  <c r="AK47" i="28" a="1"/>
  <c r="AK47" i="28" s="1"/>
  <c r="AO40" i="28" a="1"/>
  <c r="AO40" i="28" s="1"/>
  <c r="AC40" i="28" s="1"/>
  <c r="AO35" i="28" a="1"/>
  <c r="AO35" i="28" s="1"/>
  <c r="AC35" i="28" s="1"/>
  <c r="AO44" i="28" a="1"/>
  <c r="AO44" i="28" s="1"/>
  <c r="AC44" i="28" s="1"/>
  <c r="AO43" i="28" a="1"/>
  <c r="AO43" i="28" s="1"/>
  <c r="AC43" i="28" s="1"/>
  <c r="AO42" i="28" a="1"/>
  <c r="AO42" i="28" s="1"/>
  <c r="AC42" i="28" s="1"/>
  <c r="AO33" i="28" a="1"/>
  <c r="AO33" i="28" s="1"/>
  <c r="AC33" i="28" s="1"/>
  <c r="AK40" i="28" a="1"/>
  <c r="AK40" i="28" s="1"/>
  <c r="AA40" i="28" s="1"/>
  <c r="AK35" i="28" a="1"/>
  <c r="AK35" i="28" s="1"/>
  <c r="AA35" i="28" s="1"/>
  <c r="AO45" i="28" a="1"/>
  <c r="AO45" i="28" s="1"/>
  <c r="AC45" i="28" s="1"/>
  <c r="AK44" i="28" a="1"/>
  <c r="AK44" i="28" s="1"/>
  <c r="AA44" i="28" s="1"/>
  <c r="AK43" i="28" a="1"/>
  <c r="AK43" i="28" s="1"/>
  <c r="AA43" i="28" s="1"/>
  <c r="AK42" i="28" a="1"/>
  <c r="AK42" i="28" s="1"/>
  <c r="AA42" i="28" s="1"/>
  <c r="AK33" i="28" a="1"/>
  <c r="AK33" i="28" s="1"/>
  <c r="AA33" i="28" s="1"/>
  <c r="AO31" i="28" a="1"/>
  <c r="AO31" i="28" s="1"/>
  <c r="AC31" i="28" s="1"/>
  <c r="AO38" i="28" a="1"/>
  <c r="AO38" i="28" s="1"/>
  <c r="AC38" i="28" s="1"/>
  <c r="AK45" i="28" a="1"/>
  <c r="AK45" i="28" s="1"/>
  <c r="AA45" i="28" s="1"/>
  <c r="AK31" i="28" a="1"/>
  <c r="AK31" i="28" s="1"/>
  <c r="AA31" i="28" s="1"/>
  <c r="I31" i="28" s="1"/>
  <c r="AK38" i="28" a="1"/>
  <c r="AK38" i="28" s="1"/>
  <c r="AA38" i="28" s="1"/>
  <c r="CB15" i="1" l="1"/>
  <c r="CC15" i="1"/>
  <c r="CB31" i="1"/>
  <c r="CA15" i="1"/>
  <c r="CB22" i="1"/>
  <c r="AF81" i="54" s="1"/>
  <c r="AG81" i="54" s="1"/>
  <c r="AH81" i="54" s="1"/>
  <c r="CD22" i="1"/>
  <c r="BT27" i="1"/>
  <c r="BZ27" i="1"/>
  <c r="BZ31" i="1"/>
  <c r="CA22" i="1"/>
  <c r="BZ15" i="1"/>
  <c r="BX27" i="1"/>
  <c r="CI27" i="1" s="1"/>
  <c r="CD27" i="1"/>
  <c r="CA31" i="1"/>
  <c r="BZ22" i="1"/>
  <c r="CD15" i="1"/>
  <c r="CC22" i="1"/>
  <c r="BW27" i="1"/>
  <c r="CH27" i="1" s="1"/>
  <c r="CC27" i="1"/>
  <c r="BC14" i="1"/>
  <c r="BM14" i="1" s="1"/>
  <c r="BA14" i="1"/>
  <c r="BK14" i="1" s="1"/>
  <c r="AZ30" i="1"/>
  <c r="BJ30" i="1" s="1"/>
  <c r="BA30" i="1"/>
  <c r="BK30" i="1" s="1"/>
  <c r="AZ14" i="1"/>
  <c r="BJ14" i="1" s="1"/>
  <c r="BB14" i="1"/>
  <c r="BL14" i="1" s="1"/>
  <c r="BC30" i="1"/>
  <c r="BB30" i="1"/>
  <c r="BC13" i="1"/>
  <c r="BM13" i="1" s="1"/>
  <c r="BA13" i="1"/>
  <c r="BK13" i="1" s="1"/>
  <c r="BC25" i="1"/>
  <c r="BM25" i="1" s="1"/>
  <c r="BC33" i="1"/>
  <c r="BA25" i="1"/>
  <c r="BK25" i="1" s="1"/>
  <c r="BA33" i="1"/>
  <c r="BK33" i="1" s="1"/>
  <c r="BB13" i="1"/>
  <c r="BL13" i="1" s="1"/>
  <c r="AZ25" i="1"/>
  <c r="BJ25" i="1" s="1"/>
  <c r="AZ13" i="1"/>
  <c r="BJ13" i="1" s="1"/>
  <c r="BB25" i="1"/>
  <c r="BL25" i="1" s="1"/>
  <c r="AZ33" i="1"/>
  <c r="BJ33" i="1" s="1"/>
  <c r="BB33" i="1"/>
  <c r="AY14" i="1"/>
  <c r="BI14" i="1" s="1"/>
  <c r="AY30" i="1"/>
  <c r="BI30" i="1" s="1"/>
  <c r="BB18" i="1"/>
  <c r="BL18" i="1" s="1"/>
  <c r="AY18" i="1"/>
  <c r="BI18" i="1" s="1"/>
  <c r="BA18" i="1"/>
  <c r="BK18" i="1" s="1"/>
  <c r="BC18" i="1"/>
  <c r="BM18" i="1" s="1"/>
  <c r="AZ18" i="1"/>
  <c r="BJ18" i="1" s="1"/>
  <c r="BB38" i="1"/>
  <c r="BA35" i="1"/>
  <c r="BK35" i="1" s="1"/>
  <c r="AZ38" i="1"/>
  <c r="BJ38" i="1" s="1"/>
  <c r="AY35" i="1"/>
  <c r="BI35" i="1" s="1"/>
  <c r="BA38" i="1"/>
  <c r="BK38" i="1" s="1"/>
  <c r="AZ35" i="1"/>
  <c r="BJ35" i="1" s="1"/>
  <c r="BB35" i="1"/>
  <c r="BC35" i="1"/>
  <c r="AY38" i="1"/>
  <c r="BI38" i="1" s="1"/>
  <c r="BC38" i="1"/>
  <c r="AZ20" i="1"/>
  <c r="BJ20" i="1" s="1"/>
  <c r="BB20" i="1"/>
  <c r="BL20" i="1" s="1"/>
  <c r="AY20" i="1"/>
  <c r="BI20" i="1" s="1"/>
  <c r="BA26" i="1"/>
  <c r="BK26" i="1" s="1"/>
  <c r="BC20" i="1"/>
  <c r="BM20" i="1" s="1"/>
  <c r="AY26" i="1"/>
  <c r="BI26" i="1" s="1"/>
  <c r="AZ26" i="1"/>
  <c r="BJ26" i="1" s="1"/>
  <c r="BA20" i="1"/>
  <c r="BK20" i="1" s="1"/>
  <c r="BC26" i="1"/>
  <c r="BM26" i="1" s="1"/>
  <c r="AZ32" i="1"/>
  <c r="BJ32" i="1" s="1"/>
  <c r="BB37" i="1"/>
  <c r="BB32" i="1"/>
  <c r="AY32" i="1"/>
  <c r="BI32" i="1" s="1"/>
  <c r="AY37" i="1"/>
  <c r="BI37" i="1" s="1"/>
  <c r="BC32" i="1"/>
  <c r="AZ37" i="1"/>
  <c r="BJ37" i="1" s="1"/>
  <c r="BB26" i="1"/>
  <c r="BL26" i="1" s="1"/>
  <c r="BA37" i="1"/>
  <c r="BK37" i="1" s="1"/>
  <c r="BA32" i="1"/>
  <c r="BK32" i="1" s="1"/>
  <c r="BC37" i="1"/>
  <c r="AY24" i="1"/>
  <c r="BI24" i="1" s="1"/>
  <c r="BC24" i="1"/>
  <c r="BM24" i="1" s="1"/>
  <c r="BA24" i="1"/>
  <c r="BK24" i="1" s="1"/>
  <c r="BB24" i="1"/>
  <c r="BL24" i="1" s="1"/>
  <c r="AZ24" i="1"/>
  <c r="BJ24" i="1" s="1"/>
  <c r="BC28" i="1"/>
  <c r="AZ28" i="1"/>
  <c r="BJ28" i="1" s="1"/>
  <c r="AY23" i="1"/>
  <c r="BI23" i="1" s="1"/>
  <c r="AZ23" i="1"/>
  <c r="BJ23" i="1" s="1"/>
  <c r="BA23" i="1"/>
  <c r="BK23" i="1" s="1"/>
  <c r="BC23" i="1"/>
  <c r="BM23" i="1" s="1"/>
  <c r="BB23" i="1"/>
  <c r="BL23" i="1" s="1"/>
  <c r="BA28" i="1"/>
  <c r="BK28" i="1" s="1"/>
  <c r="AY28" i="1"/>
  <c r="BI28" i="1" s="1"/>
  <c r="BB28" i="1"/>
  <c r="BA36" i="1"/>
  <c r="BK36" i="1" s="1"/>
  <c r="AY36" i="1"/>
  <c r="BI36" i="1" s="1"/>
  <c r="AZ36" i="1"/>
  <c r="BJ36" i="1" s="1"/>
  <c r="BB36" i="1"/>
  <c r="BC36" i="1"/>
  <c r="BB17" i="1"/>
  <c r="BL17" i="1" s="1"/>
  <c r="BB34" i="1"/>
  <c r="AZ34" i="1"/>
  <c r="BJ34" i="1" s="1"/>
  <c r="AY17" i="1"/>
  <c r="BI17" i="1" s="1"/>
  <c r="AY34" i="1"/>
  <c r="BI34" i="1" s="1"/>
  <c r="AZ17" i="1"/>
  <c r="BJ17" i="1" s="1"/>
  <c r="AZ19" i="1"/>
  <c r="BJ19" i="1" s="1"/>
  <c r="BB19" i="1"/>
  <c r="BL19" i="1" s="1"/>
  <c r="AY19" i="1"/>
  <c r="BI19" i="1" s="1"/>
  <c r="BC19" i="1"/>
  <c r="BM19" i="1" s="1"/>
  <c r="BA19" i="1"/>
  <c r="BK19" i="1" s="1"/>
  <c r="BA29" i="1"/>
  <c r="BK29" i="1" s="1"/>
  <c r="AY29" i="1"/>
  <c r="BI29" i="1" s="1"/>
  <c r="AZ29" i="1"/>
  <c r="BJ29" i="1" s="1"/>
  <c r="BB29" i="1"/>
  <c r="BC29" i="1"/>
  <c r="BB16" i="1"/>
  <c r="BL16" i="1" s="1"/>
  <c r="AY16" i="1"/>
  <c r="BI16" i="1" s="1"/>
  <c r="AZ16" i="1"/>
  <c r="BJ16" i="1" s="1"/>
  <c r="BC16" i="1"/>
  <c r="BM16" i="1" s="1"/>
  <c r="BA16" i="1"/>
  <c r="BK16" i="1" s="1"/>
  <c r="AY13" i="1"/>
  <c r="BI13" i="1" s="1"/>
  <c r="AY25" i="1"/>
  <c r="BI25" i="1" s="1"/>
  <c r="AY33" i="1"/>
  <c r="BI33" i="1" s="1"/>
  <c r="AZ21" i="1"/>
  <c r="BJ21" i="1" s="1"/>
  <c r="BA21" i="1"/>
  <c r="BK21" i="1" s="1"/>
  <c r="BB21" i="1"/>
  <c r="BL21" i="1" s="1"/>
  <c r="AY21" i="1"/>
  <c r="BI21" i="1" s="1"/>
  <c r="BC21" i="1"/>
  <c r="BM21" i="1" s="1"/>
  <c r="AU16" i="1"/>
  <c r="BE16" i="1" s="1"/>
  <c r="AV16" i="1"/>
  <c r="BF16" i="1" s="1"/>
  <c r="AX16" i="1"/>
  <c r="BH16" i="1" s="1"/>
  <c r="AW16" i="1"/>
  <c r="BG16" i="1" s="1"/>
  <c r="AT16" i="1"/>
  <c r="BD16" i="1" s="1"/>
  <c r="AT21" i="1"/>
  <c r="BD21" i="1" s="1"/>
  <c r="AU32" i="1"/>
  <c r="BE32" i="1" s="1"/>
  <c r="AV37" i="1"/>
  <c r="BF37" i="1" s="1"/>
  <c r="AU36" i="1"/>
  <c r="BE36" i="1" s="1"/>
  <c r="AU21" i="1"/>
  <c r="BE21" i="1" s="1"/>
  <c r="AW21" i="1"/>
  <c r="BG21" i="1" s="1"/>
  <c r="AV13" i="1"/>
  <c r="BF13" i="1" s="1"/>
  <c r="AX13" i="1"/>
  <c r="BH13" i="1" s="1"/>
  <c r="AV25" i="1"/>
  <c r="BF25" i="1" s="1"/>
  <c r="AX25" i="1"/>
  <c r="BH25" i="1" s="1"/>
  <c r="AX33" i="1"/>
  <c r="AV33" i="1"/>
  <c r="BF33" i="1" s="1"/>
  <c r="AX34" i="1"/>
  <c r="AV34" i="1"/>
  <c r="BF34" i="1" s="1"/>
  <c r="CB34" i="1" s="1"/>
  <c r="AU34" i="1"/>
  <c r="BE34" i="1" s="1"/>
  <c r="AU17" i="1"/>
  <c r="BE17" i="1" s="1"/>
  <c r="AW17" i="1"/>
  <c r="BG17" i="1" s="1"/>
  <c r="AV17" i="1"/>
  <c r="BF17" i="1" s="1"/>
  <c r="CB17" i="1" s="1"/>
  <c r="AF53" i="54" s="1"/>
  <c r="AG53" i="54" s="1"/>
  <c r="AH53" i="54" s="1"/>
  <c r="AI53" i="54" s="1"/>
  <c r="AT34" i="1"/>
  <c r="BD34" i="1" s="1"/>
  <c r="AX17" i="1"/>
  <c r="BH17" i="1" s="1"/>
  <c r="CD17" i="1" s="1"/>
  <c r="AW34" i="1"/>
  <c r="AT17" i="1"/>
  <c r="BD17" i="1" s="1"/>
  <c r="AT24" i="1"/>
  <c r="BD24" i="1" s="1"/>
  <c r="AX24" i="1"/>
  <c r="BH24" i="1" s="1"/>
  <c r="AV24" i="1"/>
  <c r="BF24" i="1" s="1"/>
  <c r="AU24" i="1"/>
  <c r="BE24" i="1" s="1"/>
  <c r="AW24" i="1"/>
  <c r="BG24" i="1" s="1"/>
  <c r="AW13" i="1"/>
  <c r="BG13" i="1" s="1"/>
  <c r="AW33" i="1"/>
  <c r="AU13" i="1"/>
  <c r="BE13" i="1" s="1"/>
  <c r="AW25" i="1"/>
  <c r="BG25" i="1" s="1"/>
  <c r="AU25" i="1"/>
  <c r="BE25" i="1" s="1"/>
  <c r="AU33" i="1"/>
  <c r="BE33" i="1" s="1"/>
  <c r="AU35" i="1"/>
  <c r="BE35" i="1" s="1"/>
  <c r="AV38" i="1"/>
  <c r="BF38" i="1" s="1"/>
  <c r="AU18" i="1"/>
  <c r="BE18" i="1" s="1"/>
  <c r="AU38" i="1"/>
  <c r="BE38" i="1" s="1"/>
  <c r="AW35" i="1"/>
  <c r="AX35" i="1"/>
  <c r="AW38" i="1"/>
  <c r="AV35" i="1"/>
  <c r="BF35" i="1" s="1"/>
  <c r="AW18" i="1"/>
  <c r="BG18" i="1" s="1"/>
  <c r="AT38" i="1"/>
  <c r="BD38" i="1" s="1"/>
  <c r="AT35" i="1"/>
  <c r="BD35" i="1" s="1"/>
  <c r="AX18" i="1"/>
  <c r="BH18" i="1" s="1"/>
  <c r="AT18" i="1"/>
  <c r="BD18" i="1" s="1"/>
  <c r="AV18" i="1"/>
  <c r="BF18" i="1" s="1"/>
  <c r="AX38" i="1"/>
  <c r="AT33" i="1"/>
  <c r="BD33" i="1" s="1"/>
  <c r="AT25" i="1"/>
  <c r="AT13" i="1"/>
  <c r="BD13" i="1" s="1"/>
  <c r="AV21" i="1"/>
  <c r="BF21" i="1" s="1"/>
  <c r="AX21" i="1"/>
  <c r="BH21" i="1" s="1"/>
  <c r="AV36" i="1"/>
  <c r="BF36" i="1" s="1"/>
  <c r="AV28" i="1"/>
  <c r="BF28" i="1" s="1"/>
  <c r="AU28" i="1"/>
  <c r="BE28" i="1" s="1"/>
  <c r="AU37" i="1"/>
  <c r="BE37" i="1" s="1"/>
  <c r="AU26" i="1"/>
  <c r="BE26" i="1" s="1"/>
  <c r="AW20" i="1"/>
  <c r="BG20" i="1" s="1"/>
  <c r="AV26" i="1"/>
  <c r="BF26" i="1" s="1"/>
  <c r="AV20" i="1"/>
  <c r="BF20" i="1" s="1"/>
  <c r="AT37" i="1"/>
  <c r="BD37" i="1" s="1"/>
  <c r="AT26" i="1"/>
  <c r="BD26" i="1" s="1"/>
  <c r="AT20" i="1"/>
  <c r="BD20" i="1" s="1"/>
  <c r="AT32" i="1"/>
  <c r="BD32" i="1" s="1"/>
  <c r="AT29" i="1"/>
  <c r="BD29" i="1" s="1"/>
  <c r="AU29" i="1"/>
  <c r="BE29" i="1" s="1"/>
  <c r="AX29" i="1"/>
  <c r="AV29" i="1"/>
  <c r="BF29" i="1" s="1"/>
  <c r="AW29" i="1"/>
  <c r="AU19" i="1"/>
  <c r="BE19" i="1" s="1"/>
  <c r="AV19" i="1"/>
  <c r="BF19" i="1" s="1"/>
  <c r="AW19" i="1"/>
  <c r="BG19" i="1" s="1"/>
  <c r="AX19" i="1"/>
  <c r="BH19" i="1" s="1"/>
  <c r="AT19" i="1"/>
  <c r="BD19" i="1" s="1"/>
  <c r="L249" i="54" l="1"/>
  <c r="M249" i="54" s="1"/>
  <c r="L321" i="54"/>
  <c r="M321" i="54" s="1"/>
  <c r="L129" i="54"/>
  <c r="M129" i="54" s="1"/>
  <c r="L237" i="54"/>
  <c r="M237" i="54" s="1"/>
  <c r="N237" i="54" s="1"/>
  <c r="L141" i="54"/>
  <c r="M141" i="54" s="1"/>
  <c r="N141" i="54" s="1"/>
  <c r="L153" i="54"/>
  <c r="M153" i="54" s="1"/>
  <c r="N153" i="54" s="1"/>
  <c r="O153" i="54" s="1"/>
  <c r="L105" i="54"/>
  <c r="M105" i="54" s="1"/>
  <c r="N105" i="54" s="1"/>
  <c r="O105" i="54" s="1"/>
  <c r="L201" i="54"/>
  <c r="M201" i="54" s="1"/>
  <c r="N201" i="54" s="1"/>
  <c r="L81" i="54"/>
  <c r="M81" i="54" s="1"/>
  <c r="L93" i="54"/>
  <c r="M93" i="54" s="1"/>
  <c r="N93" i="54" s="1"/>
  <c r="O93" i="54" s="1"/>
  <c r="Z234" i="56"/>
  <c r="AA234" i="56" s="1"/>
  <c r="AB234" i="56" s="1"/>
  <c r="AC234" i="56" s="1"/>
  <c r="Z210" i="56"/>
  <c r="AA210" i="56" s="1"/>
  <c r="AB210" i="56" s="1"/>
  <c r="Z146" i="56"/>
  <c r="AA146" i="56" s="1"/>
  <c r="AB146" i="56" s="1"/>
  <c r="Z82" i="56"/>
  <c r="AA82" i="56" s="1"/>
  <c r="Z18" i="56"/>
  <c r="AA18" i="56" s="1"/>
  <c r="AB18" i="56" s="1"/>
  <c r="Z226" i="56"/>
  <c r="AA226" i="56" s="1"/>
  <c r="AB226" i="56" s="1"/>
  <c r="AC226" i="56" s="1"/>
  <c r="Z162" i="56"/>
  <c r="AA162" i="56" s="1"/>
  <c r="AB162" i="56" s="1"/>
  <c r="AC162" i="56" s="1"/>
  <c r="Z98" i="56"/>
  <c r="AA98" i="56" s="1"/>
  <c r="AB98" i="56" s="1"/>
  <c r="Z34" i="56"/>
  <c r="AA34" i="56" s="1"/>
  <c r="AB34" i="56" s="1"/>
  <c r="Z250" i="56"/>
  <c r="AA250" i="56" s="1"/>
  <c r="AB250" i="56" s="1"/>
  <c r="Z242" i="56"/>
  <c r="AA242" i="56" s="1"/>
  <c r="Z178" i="56"/>
  <c r="AA178" i="56" s="1"/>
  <c r="AB178" i="56" s="1"/>
  <c r="AC178" i="56" s="1"/>
  <c r="Z114" i="56"/>
  <c r="AA114" i="56" s="1"/>
  <c r="AB114" i="56" s="1"/>
  <c r="Z50" i="56"/>
  <c r="AA50" i="56" s="1"/>
  <c r="AB50" i="56" s="1"/>
  <c r="AC50" i="56" s="1"/>
  <c r="Z194" i="56"/>
  <c r="AA194" i="56" s="1"/>
  <c r="AB194" i="56" s="1"/>
  <c r="Z130" i="56"/>
  <c r="AA130" i="56" s="1"/>
  <c r="AB130" i="56" s="1"/>
  <c r="AC130" i="56" s="1"/>
  <c r="Z66" i="56"/>
  <c r="AA66" i="56" s="1"/>
  <c r="AB66" i="56" s="1"/>
  <c r="AC66" i="56" s="1"/>
  <c r="Z170" i="56"/>
  <c r="AA170" i="56" s="1"/>
  <c r="AB170" i="56" s="1"/>
  <c r="AC170" i="56" s="1"/>
  <c r="Z106" i="56"/>
  <c r="AA106" i="56" s="1"/>
  <c r="Z42" i="56"/>
  <c r="AA42" i="56" s="1"/>
  <c r="AB42" i="56" s="1"/>
  <c r="Z186" i="56"/>
  <c r="AA186" i="56" s="1"/>
  <c r="Z122" i="56"/>
  <c r="AA122" i="56" s="1"/>
  <c r="AB122" i="56" s="1"/>
  <c r="Z58" i="56"/>
  <c r="AA58" i="56" s="1"/>
  <c r="AB58" i="56" s="1"/>
  <c r="AC58" i="56" s="1"/>
  <c r="Z202" i="56"/>
  <c r="AA202" i="56" s="1"/>
  <c r="AB202" i="56" s="1"/>
  <c r="AC202" i="56" s="1"/>
  <c r="Z138" i="56"/>
  <c r="AA138" i="56" s="1"/>
  <c r="AB138" i="56" s="1"/>
  <c r="AC138" i="56" s="1"/>
  <c r="Z74" i="56"/>
  <c r="AA74" i="56" s="1"/>
  <c r="AB74" i="56" s="1"/>
  <c r="AC74" i="56" s="1"/>
  <c r="Z218" i="56"/>
  <c r="AA218" i="56" s="1"/>
  <c r="AB218" i="56" s="1"/>
  <c r="Z154" i="56"/>
  <c r="AA154" i="56" s="1"/>
  <c r="AB154" i="56" s="1"/>
  <c r="Z90" i="56"/>
  <c r="AA90" i="56" s="1"/>
  <c r="AB90" i="56" s="1"/>
  <c r="AC90" i="56" s="1"/>
  <c r="Z26" i="56"/>
  <c r="AA26" i="56" s="1"/>
  <c r="AB26" i="56" s="1"/>
  <c r="L275" i="54"/>
  <c r="M275" i="54" s="1"/>
  <c r="N275" i="54" s="1"/>
  <c r="O275" i="54" s="1"/>
  <c r="L311" i="54"/>
  <c r="M311" i="54" s="1"/>
  <c r="L131" i="54"/>
  <c r="M131" i="54" s="1"/>
  <c r="N131" i="54" s="1"/>
  <c r="O131" i="54" s="1"/>
  <c r="L179" i="54"/>
  <c r="M179" i="54" s="1"/>
  <c r="N179" i="54" s="1"/>
  <c r="O179" i="54" s="1"/>
  <c r="L107" i="54"/>
  <c r="M107" i="54" s="1"/>
  <c r="N107" i="54" s="1"/>
  <c r="O107" i="54" s="1"/>
  <c r="L119" i="54"/>
  <c r="M119" i="54" s="1"/>
  <c r="N119" i="54" s="1"/>
  <c r="O119" i="54" s="1"/>
  <c r="L263" i="54"/>
  <c r="M263" i="54" s="1"/>
  <c r="N263" i="54" s="1"/>
  <c r="O263" i="54" s="1"/>
  <c r="L59" i="54"/>
  <c r="M59" i="54" s="1"/>
  <c r="N59" i="54" s="1"/>
  <c r="O59" i="54" s="1"/>
  <c r="L71" i="54"/>
  <c r="M71" i="54" s="1"/>
  <c r="N71" i="54" s="1"/>
  <c r="O71" i="54" s="1"/>
  <c r="L83" i="54"/>
  <c r="M83" i="54" s="1"/>
  <c r="N83" i="54" s="1"/>
  <c r="O83" i="54" s="1"/>
  <c r="L299" i="54"/>
  <c r="M299" i="54" s="1"/>
  <c r="N299" i="54" s="1"/>
  <c r="L227" i="54"/>
  <c r="M227" i="54" s="1"/>
  <c r="N227" i="54" s="1"/>
  <c r="L35" i="54"/>
  <c r="M35" i="54" s="1"/>
  <c r="N35" i="54" s="1"/>
  <c r="O35" i="54" s="1"/>
  <c r="L23" i="54"/>
  <c r="M23" i="54" s="1"/>
  <c r="N23" i="54" s="1"/>
  <c r="O23" i="54" s="1"/>
  <c r="L335" i="54"/>
  <c r="M335" i="54" s="1"/>
  <c r="V153" i="54"/>
  <c r="W153" i="54" s="1"/>
  <c r="X153" i="54" s="1"/>
  <c r="Y153" i="54" s="1"/>
  <c r="V345" i="54"/>
  <c r="W345" i="54" s="1"/>
  <c r="X345" i="54" s="1"/>
  <c r="Y345" i="54" s="1"/>
  <c r="V45" i="54"/>
  <c r="W45" i="54" s="1"/>
  <c r="X45" i="54" s="1"/>
  <c r="Y45" i="54" s="1"/>
  <c r="V237" i="54"/>
  <c r="W237" i="54" s="1"/>
  <c r="N242" i="56"/>
  <c r="O242" i="56" s="1"/>
  <c r="P242" i="56" s="1"/>
  <c r="N226" i="56"/>
  <c r="O226" i="56" s="1"/>
  <c r="P226" i="56" s="1"/>
  <c r="Q226" i="56" s="1"/>
  <c r="N250" i="56"/>
  <c r="O250" i="56" s="1"/>
  <c r="P250" i="56" s="1"/>
  <c r="N234" i="56"/>
  <c r="O234" i="56" s="1"/>
  <c r="P234" i="56" s="1"/>
  <c r="N146" i="56"/>
  <c r="O146" i="56" s="1"/>
  <c r="P146" i="56" s="1"/>
  <c r="N82" i="56"/>
  <c r="O82" i="56" s="1"/>
  <c r="N18" i="56"/>
  <c r="O18" i="56" s="1"/>
  <c r="P18" i="56" s="1"/>
  <c r="Q18" i="56" s="1"/>
  <c r="N170" i="56"/>
  <c r="O170" i="56" s="1"/>
  <c r="P170" i="56" s="1"/>
  <c r="Q170" i="56" s="1"/>
  <c r="N106" i="56"/>
  <c r="O106" i="56" s="1"/>
  <c r="P106" i="56" s="1"/>
  <c r="Q106" i="56" s="1"/>
  <c r="N42" i="56"/>
  <c r="O42" i="56" s="1"/>
  <c r="P42" i="56" s="1"/>
  <c r="N162" i="56"/>
  <c r="O162" i="56" s="1"/>
  <c r="P162" i="56" s="1"/>
  <c r="N98" i="56"/>
  <c r="O98" i="56" s="1"/>
  <c r="P98" i="56" s="1"/>
  <c r="Q98" i="56" s="1"/>
  <c r="N34" i="56"/>
  <c r="O34" i="56" s="1"/>
  <c r="P34" i="56" s="1"/>
  <c r="Q34" i="56" s="1"/>
  <c r="N186" i="56"/>
  <c r="O186" i="56" s="1"/>
  <c r="P186" i="56" s="1"/>
  <c r="Q186" i="56" s="1"/>
  <c r="N122" i="56"/>
  <c r="O122" i="56" s="1"/>
  <c r="P122" i="56" s="1"/>
  <c r="Q122" i="56" s="1"/>
  <c r="N58" i="56"/>
  <c r="O58" i="56" s="1"/>
  <c r="P58" i="56" s="1"/>
  <c r="N194" i="56"/>
  <c r="O194" i="56" s="1"/>
  <c r="P194" i="56" s="1"/>
  <c r="Q194" i="56" s="1"/>
  <c r="N178" i="56"/>
  <c r="O178" i="56" s="1"/>
  <c r="N114" i="56"/>
  <c r="O114" i="56" s="1"/>
  <c r="P114" i="56" s="1"/>
  <c r="Q114" i="56" s="1"/>
  <c r="N50" i="56"/>
  <c r="O50" i="56" s="1"/>
  <c r="P50" i="56" s="1"/>
  <c r="Q50" i="56" s="1"/>
  <c r="N202" i="56"/>
  <c r="O202" i="56" s="1"/>
  <c r="P202" i="56" s="1"/>
  <c r="Q202" i="56" s="1"/>
  <c r="N138" i="56"/>
  <c r="O138" i="56" s="1"/>
  <c r="P138" i="56" s="1"/>
  <c r="Q138" i="56" s="1"/>
  <c r="N74" i="56"/>
  <c r="O74" i="56" s="1"/>
  <c r="P74" i="56" s="1"/>
  <c r="N210" i="56"/>
  <c r="O210" i="56" s="1"/>
  <c r="P210" i="56" s="1"/>
  <c r="N130" i="56"/>
  <c r="O130" i="56" s="1"/>
  <c r="P130" i="56" s="1"/>
  <c r="Q130" i="56" s="1"/>
  <c r="N66" i="56"/>
  <c r="O66" i="56" s="1"/>
  <c r="P66" i="56" s="1"/>
  <c r="N218" i="56"/>
  <c r="O218" i="56" s="1"/>
  <c r="P218" i="56" s="1"/>
  <c r="Q218" i="56" s="1"/>
  <c r="N154" i="56"/>
  <c r="O154" i="56" s="1"/>
  <c r="P154" i="56" s="1"/>
  <c r="Q154" i="56" s="1"/>
  <c r="N90" i="56"/>
  <c r="O90" i="56" s="1"/>
  <c r="P90" i="56" s="1"/>
  <c r="Q90" i="56" s="1"/>
  <c r="N26" i="56"/>
  <c r="O26" i="56" s="1"/>
  <c r="P26" i="56" s="1"/>
  <c r="Q26" i="56" s="1"/>
  <c r="V71" i="54"/>
  <c r="W71" i="54" s="1"/>
  <c r="X71" i="54" s="1"/>
  <c r="Y71" i="54" s="1"/>
  <c r="V263" i="54"/>
  <c r="W263" i="54" s="1"/>
  <c r="X263" i="54" s="1"/>
  <c r="V275" i="54"/>
  <c r="W275" i="54" s="1"/>
  <c r="X275" i="54" s="1"/>
  <c r="Y275" i="54" s="1"/>
  <c r="V83" i="54"/>
  <c r="W83" i="54" s="1"/>
  <c r="X83" i="54" s="1"/>
  <c r="V359" i="54"/>
  <c r="W359" i="54" s="1"/>
  <c r="X359" i="54" s="1"/>
  <c r="V167" i="54"/>
  <c r="W167" i="54" s="1"/>
  <c r="X167" i="54" s="1"/>
  <c r="Y167" i="54" s="1"/>
  <c r="AL250" i="56"/>
  <c r="AM250" i="56" s="1"/>
  <c r="AN250" i="56" s="1"/>
  <c r="AL226" i="56"/>
  <c r="AM226" i="56" s="1"/>
  <c r="AN226" i="56" s="1"/>
  <c r="AO226" i="56" s="1"/>
  <c r="AL162" i="56"/>
  <c r="AM162" i="56" s="1"/>
  <c r="AN162" i="56" s="1"/>
  <c r="AO162" i="56" s="1"/>
  <c r="AL98" i="56"/>
  <c r="AM98" i="56" s="1"/>
  <c r="AN98" i="56" s="1"/>
  <c r="AO98" i="56" s="1"/>
  <c r="AL178" i="56"/>
  <c r="AM178" i="56" s="1"/>
  <c r="AN178" i="56" s="1"/>
  <c r="AO178" i="56" s="1"/>
  <c r="AL114" i="56"/>
  <c r="AM114" i="56" s="1"/>
  <c r="AL194" i="56"/>
  <c r="AM194" i="56" s="1"/>
  <c r="AL130" i="56"/>
  <c r="AM130" i="56" s="1"/>
  <c r="AN130" i="56" s="1"/>
  <c r="AL210" i="56"/>
  <c r="AM210" i="56" s="1"/>
  <c r="AN210" i="56" s="1"/>
  <c r="AO210" i="56" s="1"/>
  <c r="AL146" i="56"/>
  <c r="AM146" i="56" s="1"/>
  <c r="AN146" i="56" s="1"/>
  <c r="AL82" i="56"/>
  <c r="AM82" i="56" s="1"/>
  <c r="AN82" i="56" s="1"/>
  <c r="AO82" i="56" s="1"/>
  <c r="AL66" i="56"/>
  <c r="AM66" i="56" s="1"/>
  <c r="AN66" i="56" s="1"/>
  <c r="AO66" i="56" s="1"/>
  <c r="AL34" i="56"/>
  <c r="AM34" i="56" s="1"/>
  <c r="AN34" i="56" s="1"/>
  <c r="AO34" i="56" s="1"/>
  <c r="AL50" i="56"/>
  <c r="AM50" i="56" s="1"/>
  <c r="AN50" i="56" s="1"/>
  <c r="AL234" i="56"/>
  <c r="AM234" i="56" s="1"/>
  <c r="AN234" i="56" s="1"/>
  <c r="AO234" i="56" s="1"/>
  <c r="AL90" i="56"/>
  <c r="AM90" i="56" s="1"/>
  <c r="AN90" i="56" s="1"/>
  <c r="AO90" i="56" s="1"/>
  <c r="AL42" i="56"/>
  <c r="AM42" i="56" s="1"/>
  <c r="AN42" i="56" s="1"/>
  <c r="AO42" i="56" s="1"/>
  <c r="AL154" i="56"/>
  <c r="AM154" i="56" s="1"/>
  <c r="AL106" i="56"/>
  <c r="AM106" i="56" s="1"/>
  <c r="AN106" i="56" s="1"/>
  <c r="AO106" i="56" s="1"/>
  <c r="AL218" i="56"/>
  <c r="AM218" i="56" s="1"/>
  <c r="AN218" i="56" s="1"/>
  <c r="AO218" i="56" s="1"/>
  <c r="AL170" i="56"/>
  <c r="AM170" i="56" s="1"/>
  <c r="AN170" i="56" s="1"/>
  <c r="AL202" i="56"/>
  <c r="AM202" i="56" s="1"/>
  <c r="AN202" i="56" s="1"/>
  <c r="AO202" i="56" s="1"/>
  <c r="AL58" i="56"/>
  <c r="AM58" i="56" s="1"/>
  <c r="AN58" i="56" s="1"/>
  <c r="AL122" i="56"/>
  <c r="AM122" i="56" s="1"/>
  <c r="AN122" i="56" s="1"/>
  <c r="AO122" i="56" s="1"/>
  <c r="AL74" i="56"/>
  <c r="AM74" i="56" s="1"/>
  <c r="AN74" i="56" s="1"/>
  <c r="AO74" i="56" s="1"/>
  <c r="AL26" i="56"/>
  <c r="AM26" i="56" s="1"/>
  <c r="AN26" i="56" s="1"/>
  <c r="AO26" i="56" s="1"/>
  <c r="AL186" i="56"/>
  <c r="AM186" i="56" s="1"/>
  <c r="AN186" i="56" s="1"/>
  <c r="AO186" i="56" s="1"/>
  <c r="AL138" i="56"/>
  <c r="AM138" i="56" s="1"/>
  <c r="AN138" i="56" s="1"/>
  <c r="AL18" i="56"/>
  <c r="AM18" i="56" s="1"/>
  <c r="AN18" i="56" s="1"/>
  <c r="AO18" i="56" s="1"/>
  <c r="AL232" i="56"/>
  <c r="AM232" i="56" s="1"/>
  <c r="AN232" i="56" s="1"/>
  <c r="AO232" i="56" s="1"/>
  <c r="AL216" i="56"/>
  <c r="AM216" i="56" s="1"/>
  <c r="AN216" i="56" s="1"/>
  <c r="AL152" i="56"/>
  <c r="AM152" i="56" s="1"/>
  <c r="AL88" i="56"/>
  <c r="AM88" i="56" s="1"/>
  <c r="AN88" i="56" s="1"/>
  <c r="AO88" i="56" s="1"/>
  <c r="AL240" i="56"/>
  <c r="AM240" i="56" s="1"/>
  <c r="AN240" i="56" s="1"/>
  <c r="AL168" i="56"/>
  <c r="AM168" i="56" s="1"/>
  <c r="AN168" i="56" s="1"/>
  <c r="AL104" i="56"/>
  <c r="AM104" i="56" s="1"/>
  <c r="AN104" i="56" s="1"/>
  <c r="AL184" i="56"/>
  <c r="AM184" i="56" s="1"/>
  <c r="AN184" i="56" s="1"/>
  <c r="AO184" i="56" s="1"/>
  <c r="AL120" i="56"/>
  <c r="AM120" i="56" s="1"/>
  <c r="AN120" i="56" s="1"/>
  <c r="AL200" i="56"/>
  <c r="AM200" i="56" s="1"/>
  <c r="AN200" i="56" s="1"/>
  <c r="AO200" i="56" s="1"/>
  <c r="AL136" i="56"/>
  <c r="AM136" i="56" s="1"/>
  <c r="AN136" i="56" s="1"/>
  <c r="AL72" i="56"/>
  <c r="AM72" i="56" s="1"/>
  <c r="AN72" i="56" s="1"/>
  <c r="AO72" i="56" s="1"/>
  <c r="AL56" i="56"/>
  <c r="AM56" i="56" s="1"/>
  <c r="AN56" i="56" s="1"/>
  <c r="AO56" i="56" s="1"/>
  <c r="AL40" i="56"/>
  <c r="AM40" i="56" s="1"/>
  <c r="AL144" i="56"/>
  <c r="AM144" i="56" s="1"/>
  <c r="AN144" i="56" s="1"/>
  <c r="AL96" i="56"/>
  <c r="AM96" i="56" s="1"/>
  <c r="AN96" i="56" s="1"/>
  <c r="AO96" i="56" s="1"/>
  <c r="AL208" i="56"/>
  <c r="AM208" i="56" s="1"/>
  <c r="AN208" i="56" s="1"/>
  <c r="AO208" i="56" s="1"/>
  <c r="AL32" i="56"/>
  <c r="AM32" i="56" s="1"/>
  <c r="AN32" i="56" s="1"/>
  <c r="AO32" i="56" s="1"/>
  <c r="AL160" i="56"/>
  <c r="AM160" i="56" s="1"/>
  <c r="AN160" i="56" s="1"/>
  <c r="AL224" i="56"/>
  <c r="AM224" i="56" s="1"/>
  <c r="AN224" i="56" s="1"/>
  <c r="AO224" i="56" s="1"/>
  <c r="AL80" i="56"/>
  <c r="AM80" i="56" s="1"/>
  <c r="AN80" i="56" s="1"/>
  <c r="AO80" i="56" s="1"/>
  <c r="AL248" i="56"/>
  <c r="AM248" i="56" s="1"/>
  <c r="AN248" i="56" s="1"/>
  <c r="AL48" i="56"/>
  <c r="AM48" i="56" s="1"/>
  <c r="AN48" i="56" s="1"/>
  <c r="AO48" i="56" s="1"/>
  <c r="AL24" i="56"/>
  <c r="AM24" i="56" s="1"/>
  <c r="AN24" i="56" s="1"/>
  <c r="AO24" i="56" s="1"/>
  <c r="AL112" i="56"/>
  <c r="AM112" i="56" s="1"/>
  <c r="AN112" i="56" s="1"/>
  <c r="AO112" i="56" s="1"/>
  <c r="AL64" i="56"/>
  <c r="AM64" i="56" s="1"/>
  <c r="AN64" i="56" s="1"/>
  <c r="AO64" i="56" s="1"/>
  <c r="AL16" i="56"/>
  <c r="AM16" i="56" s="1"/>
  <c r="AN16" i="56" s="1"/>
  <c r="AO16" i="56" s="1"/>
  <c r="AL176" i="56"/>
  <c r="AM176" i="56" s="1"/>
  <c r="AN176" i="56" s="1"/>
  <c r="AO176" i="56" s="1"/>
  <c r="AL128" i="56"/>
  <c r="AM128" i="56" s="1"/>
  <c r="AN128" i="56" s="1"/>
  <c r="AO128" i="56" s="1"/>
  <c r="AL192" i="56"/>
  <c r="AM192" i="56" s="1"/>
  <c r="AN192" i="56" s="1"/>
  <c r="AP153" i="54"/>
  <c r="AQ153" i="54" s="1"/>
  <c r="AR153" i="54" s="1"/>
  <c r="AS153" i="54" s="1"/>
  <c r="AP261" i="54"/>
  <c r="AQ261" i="54" s="1"/>
  <c r="AR261" i="54" s="1"/>
  <c r="AP273" i="54"/>
  <c r="AQ273" i="54" s="1"/>
  <c r="AR273" i="54" s="1"/>
  <c r="AS273" i="54" s="1"/>
  <c r="AP201" i="54"/>
  <c r="AQ201" i="54" s="1"/>
  <c r="AP249" i="54"/>
  <c r="AQ249" i="54" s="1"/>
  <c r="AR249" i="54" s="1"/>
  <c r="AP165" i="54"/>
  <c r="AQ165" i="54" s="1"/>
  <c r="AR165" i="54" s="1"/>
  <c r="AS165" i="54" s="1"/>
  <c r="AP345" i="54"/>
  <c r="AQ345" i="54" s="1"/>
  <c r="AR345" i="54" s="1"/>
  <c r="AS345" i="54" s="1"/>
  <c r="AP369" i="54"/>
  <c r="AQ369" i="54" s="1"/>
  <c r="AR369" i="54" s="1"/>
  <c r="AS369" i="54" s="1"/>
  <c r="AP297" i="54"/>
  <c r="AQ297" i="54" s="1"/>
  <c r="AR297" i="54" s="1"/>
  <c r="AP105" i="54"/>
  <c r="AQ105" i="54" s="1"/>
  <c r="AR105" i="54" s="1"/>
  <c r="AS105" i="54" s="1"/>
  <c r="AP213" i="54"/>
  <c r="AQ213" i="54" s="1"/>
  <c r="AR213" i="54" s="1"/>
  <c r="AS213" i="54" s="1"/>
  <c r="AP225" i="54"/>
  <c r="AQ225" i="54" s="1"/>
  <c r="AR225" i="54" s="1"/>
  <c r="AS225" i="54" s="1"/>
  <c r="AP21" i="54"/>
  <c r="AQ21" i="54" s="1"/>
  <c r="AR21" i="54" s="1"/>
  <c r="AS21" i="54" s="1"/>
  <c r="AP189" i="54"/>
  <c r="AQ189" i="54" s="1"/>
  <c r="AR189" i="54" s="1"/>
  <c r="AS189" i="54" s="1"/>
  <c r="AP93" i="54"/>
  <c r="AQ93" i="54" s="1"/>
  <c r="AR93" i="54" s="1"/>
  <c r="AP177" i="54"/>
  <c r="AQ177" i="54" s="1"/>
  <c r="AR177" i="54" s="1"/>
  <c r="AS177" i="54" s="1"/>
  <c r="AP129" i="54"/>
  <c r="AQ129" i="54" s="1"/>
  <c r="AR129" i="54" s="1"/>
  <c r="AS129" i="54" s="1"/>
  <c r="AP69" i="54"/>
  <c r="AQ69" i="54" s="1"/>
  <c r="AR69" i="54" s="1"/>
  <c r="AS69" i="54" s="1"/>
  <c r="AP81" i="54"/>
  <c r="AQ81" i="54" s="1"/>
  <c r="AR81" i="54" s="1"/>
  <c r="AS81" i="54" s="1"/>
  <c r="AP33" i="54"/>
  <c r="AQ33" i="54" s="1"/>
  <c r="AR33" i="54" s="1"/>
  <c r="AS33" i="54" s="1"/>
  <c r="AP321" i="54"/>
  <c r="AQ321" i="54" s="1"/>
  <c r="AR321" i="54" s="1"/>
  <c r="AS321" i="54" s="1"/>
  <c r="AP237" i="54"/>
  <c r="AQ237" i="54" s="1"/>
  <c r="AR237" i="54" s="1"/>
  <c r="AP333" i="54"/>
  <c r="AQ333" i="54" s="1"/>
  <c r="AR333" i="54" s="1"/>
  <c r="AS333" i="54" s="1"/>
  <c r="AP285" i="54"/>
  <c r="AQ285" i="54" s="1"/>
  <c r="AR285" i="54" s="1"/>
  <c r="AP117" i="54"/>
  <c r="AQ117" i="54" s="1"/>
  <c r="AR117" i="54" s="1"/>
  <c r="AS117" i="54" s="1"/>
  <c r="AP45" i="54"/>
  <c r="AQ45" i="54" s="1"/>
  <c r="AR45" i="54" s="1"/>
  <c r="AS45" i="54" s="1"/>
  <c r="AP57" i="54"/>
  <c r="AQ57" i="54" s="1"/>
  <c r="AR57" i="54" s="1"/>
  <c r="AS57" i="54" s="1"/>
  <c r="AP357" i="54"/>
  <c r="AQ357" i="54" s="1"/>
  <c r="AP141" i="54"/>
  <c r="AQ141" i="54" s="1"/>
  <c r="AR141" i="54" s="1"/>
  <c r="AP309" i="54"/>
  <c r="AQ309" i="54" s="1"/>
  <c r="AR309" i="54" s="1"/>
  <c r="AS309" i="54" s="1"/>
  <c r="AZ299" i="54"/>
  <c r="BA299" i="54" s="1"/>
  <c r="BB299" i="54" s="1"/>
  <c r="AZ287" i="54"/>
  <c r="BA287" i="54" s="1"/>
  <c r="BB287" i="54" s="1"/>
  <c r="BC287" i="54" s="1"/>
  <c r="AZ179" i="54"/>
  <c r="BA179" i="54" s="1"/>
  <c r="BB179" i="54" s="1"/>
  <c r="BC179" i="54" s="1"/>
  <c r="AZ167" i="54"/>
  <c r="BA167" i="54" s="1"/>
  <c r="BB167" i="54" s="1"/>
  <c r="AZ59" i="54"/>
  <c r="BA59" i="54" s="1"/>
  <c r="BB59" i="54" s="1"/>
  <c r="BC59" i="54" s="1"/>
  <c r="AZ311" i="54"/>
  <c r="BA311" i="54" s="1"/>
  <c r="BB311" i="54" s="1"/>
  <c r="AZ275" i="54"/>
  <c r="BA275" i="54" s="1"/>
  <c r="BB275" i="54" s="1"/>
  <c r="AZ143" i="54"/>
  <c r="BA143" i="54" s="1"/>
  <c r="BB143" i="54" s="1"/>
  <c r="AZ71" i="54"/>
  <c r="BA71" i="54" s="1"/>
  <c r="BB71" i="54" s="1"/>
  <c r="BC71" i="54" s="1"/>
  <c r="AZ119" i="54"/>
  <c r="BA119" i="54" s="1"/>
  <c r="BB119" i="54" s="1"/>
  <c r="BC119" i="54" s="1"/>
  <c r="AZ47" i="54"/>
  <c r="BA47" i="54" s="1"/>
  <c r="BB47" i="54" s="1"/>
  <c r="BC47" i="54" s="1"/>
  <c r="AZ323" i="54"/>
  <c r="BA323" i="54" s="1"/>
  <c r="BB323" i="54" s="1"/>
  <c r="AZ359" i="54"/>
  <c r="BA359" i="54" s="1"/>
  <c r="BB359" i="54" s="1"/>
  <c r="BC359" i="54" s="1"/>
  <c r="AZ335" i="54"/>
  <c r="BA335" i="54" s="1"/>
  <c r="BB335" i="54" s="1"/>
  <c r="AZ191" i="54"/>
  <c r="BA191" i="54" s="1"/>
  <c r="BB191" i="54" s="1"/>
  <c r="AZ239" i="54"/>
  <c r="BA239" i="54" s="1"/>
  <c r="BB239" i="54" s="1"/>
  <c r="BC239" i="54" s="1"/>
  <c r="AZ155" i="54"/>
  <c r="BA155" i="54" s="1"/>
  <c r="BB155" i="54" s="1"/>
  <c r="BC155" i="54" s="1"/>
  <c r="AZ215" i="54"/>
  <c r="BA215" i="54" s="1"/>
  <c r="AZ35" i="54"/>
  <c r="BA35" i="54" s="1"/>
  <c r="BB35" i="54" s="1"/>
  <c r="BC35" i="54" s="1"/>
  <c r="AZ131" i="54"/>
  <c r="BA131" i="54" s="1"/>
  <c r="BB131" i="54" s="1"/>
  <c r="BC131" i="54" s="1"/>
  <c r="AZ95" i="54"/>
  <c r="BA95" i="54" s="1"/>
  <c r="BB95" i="54" s="1"/>
  <c r="AZ107" i="54"/>
  <c r="BA107" i="54" s="1"/>
  <c r="AZ371" i="54"/>
  <c r="BA371" i="54" s="1"/>
  <c r="BB371" i="54" s="1"/>
  <c r="BC371" i="54" s="1"/>
  <c r="AZ347" i="54"/>
  <c r="BA347" i="54" s="1"/>
  <c r="BB347" i="54" s="1"/>
  <c r="BC347" i="54" s="1"/>
  <c r="AZ263" i="54"/>
  <c r="BA263" i="54" s="1"/>
  <c r="BB263" i="54" s="1"/>
  <c r="BC263" i="54" s="1"/>
  <c r="AZ227" i="54"/>
  <c r="BA227" i="54" s="1"/>
  <c r="BB227" i="54" s="1"/>
  <c r="BC227" i="54" s="1"/>
  <c r="AZ251" i="54"/>
  <c r="BA251" i="54" s="1"/>
  <c r="BB251" i="54" s="1"/>
  <c r="BC251" i="54" s="1"/>
  <c r="AZ203" i="54"/>
  <c r="BA203" i="54" s="1"/>
  <c r="BB203" i="54" s="1"/>
  <c r="AZ83" i="54"/>
  <c r="BA83" i="54" s="1"/>
  <c r="AZ23" i="54"/>
  <c r="BA23" i="54" s="1"/>
  <c r="BB23" i="54" s="1"/>
  <c r="BC23" i="54" s="1"/>
  <c r="L333" i="54"/>
  <c r="M333" i="54" s="1"/>
  <c r="L369" i="54"/>
  <c r="M369" i="54" s="1"/>
  <c r="L165" i="54"/>
  <c r="M165" i="54" s="1"/>
  <c r="N165" i="54" s="1"/>
  <c r="O165" i="54" s="1"/>
  <c r="L225" i="54"/>
  <c r="M225" i="54" s="1"/>
  <c r="N225" i="54" s="1"/>
  <c r="O225" i="54" s="1"/>
  <c r="L33" i="54"/>
  <c r="M33" i="54" s="1"/>
  <c r="N33" i="54" s="1"/>
  <c r="O33" i="54" s="1"/>
  <c r="L297" i="54"/>
  <c r="M297" i="54" s="1"/>
  <c r="N297" i="54" s="1"/>
  <c r="O297" i="54" s="1"/>
  <c r="L309" i="54"/>
  <c r="M309" i="54" s="1"/>
  <c r="N309" i="54" s="1"/>
  <c r="L213" i="54"/>
  <c r="M213" i="54" s="1"/>
  <c r="N213" i="54" s="1"/>
  <c r="O213" i="54" s="1"/>
  <c r="L21" i="54"/>
  <c r="M21" i="54" s="1"/>
  <c r="N21" i="54" s="1"/>
  <c r="O21" i="54" s="1"/>
  <c r="L357" i="54"/>
  <c r="M357" i="54" s="1"/>
  <c r="N357" i="54" s="1"/>
  <c r="L273" i="54"/>
  <c r="M273" i="54" s="1"/>
  <c r="N273" i="54" s="1"/>
  <c r="L45" i="54"/>
  <c r="M45" i="54" s="1"/>
  <c r="N45" i="54" s="1"/>
  <c r="L345" i="54"/>
  <c r="M345" i="54" s="1"/>
  <c r="N345" i="54" s="1"/>
  <c r="L261" i="54"/>
  <c r="M261" i="54" s="1"/>
  <c r="N261" i="54" s="1"/>
  <c r="O261" i="54" s="1"/>
  <c r="L69" i="54"/>
  <c r="M69" i="54" s="1"/>
  <c r="N69" i="54" s="1"/>
  <c r="L189" i="54"/>
  <c r="M189" i="54" s="1"/>
  <c r="N189" i="54" s="1"/>
  <c r="O189" i="54" s="1"/>
  <c r="L57" i="54"/>
  <c r="M57" i="54" s="1"/>
  <c r="N57" i="54" s="1"/>
  <c r="O57" i="54" s="1"/>
  <c r="L117" i="54"/>
  <c r="M117" i="54" s="1"/>
  <c r="N117" i="54" s="1"/>
  <c r="L177" i="54"/>
  <c r="M177" i="54" s="1"/>
  <c r="N177" i="54" s="1"/>
  <c r="L285" i="54"/>
  <c r="M285" i="54" s="1"/>
  <c r="N285" i="54" s="1"/>
  <c r="L371" i="54"/>
  <c r="M371" i="54" s="1"/>
  <c r="L287" i="54"/>
  <c r="M287" i="54" s="1"/>
  <c r="L95" i="54"/>
  <c r="M95" i="54" s="1"/>
  <c r="N95" i="54" s="1"/>
  <c r="O95" i="54" s="1"/>
  <c r="L347" i="54"/>
  <c r="M347" i="54" s="1"/>
  <c r="N347" i="54" s="1"/>
  <c r="O347" i="54" s="1"/>
  <c r="L143" i="54"/>
  <c r="M143" i="54" s="1"/>
  <c r="N143" i="54" s="1"/>
  <c r="O143" i="54" s="1"/>
  <c r="L203" i="54"/>
  <c r="M203" i="54" s="1"/>
  <c r="N203" i="54" s="1"/>
  <c r="O203" i="54" s="1"/>
  <c r="L155" i="54"/>
  <c r="M155" i="54" s="1"/>
  <c r="N155" i="54" s="1"/>
  <c r="L359" i="54"/>
  <c r="M359" i="54" s="1"/>
  <c r="N359" i="54" s="1"/>
  <c r="L191" i="54"/>
  <c r="M191" i="54" s="1"/>
  <c r="N191" i="54" s="1"/>
  <c r="O191" i="54" s="1"/>
  <c r="L251" i="54"/>
  <c r="M251" i="54" s="1"/>
  <c r="N251" i="54" s="1"/>
  <c r="O251" i="54" s="1"/>
  <c r="L167" i="54"/>
  <c r="M167" i="54" s="1"/>
  <c r="N167" i="54" s="1"/>
  <c r="O167" i="54" s="1"/>
  <c r="L323" i="54"/>
  <c r="M323" i="54" s="1"/>
  <c r="N323" i="54" s="1"/>
  <c r="O323" i="54" s="1"/>
  <c r="L239" i="54"/>
  <c r="M239" i="54" s="1"/>
  <c r="N239" i="54" s="1"/>
  <c r="O239" i="54" s="1"/>
  <c r="L47" i="54"/>
  <c r="M47" i="54" s="1"/>
  <c r="N47" i="54" s="1"/>
  <c r="O47" i="54" s="1"/>
  <c r="L215" i="54"/>
  <c r="M215" i="54" s="1"/>
  <c r="N215" i="54" s="1"/>
  <c r="V357" i="54"/>
  <c r="W357" i="54" s="1"/>
  <c r="X357" i="54" s="1"/>
  <c r="Y357" i="54" s="1"/>
  <c r="V165" i="54"/>
  <c r="W165" i="54" s="1"/>
  <c r="X165" i="54" s="1"/>
  <c r="Y165" i="54" s="1"/>
  <c r="V273" i="54"/>
  <c r="W273" i="54" s="1"/>
  <c r="X273" i="54" s="1"/>
  <c r="V81" i="54"/>
  <c r="W81" i="54" s="1"/>
  <c r="X81" i="54" s="1"/>
  <c r="Y81" i="54" s="1"/>
  <c r="V285" i="54"/>
  <c r="W285" i="54" s="1"/>
  <c r="X285" i="54" s="1"/>
  <c r="V213" i="54"/>
  <c r="W213" i="54" s="1"/>
  <c r="X213" i="54" s="1"/>
  <c r="V21" i="54"/>
  <c r="W21" i="54" s="1"/>
  <c r="X21" i="54" s="1"/>
  <c r="V321" i="54"/>
  <c r="W321" i="54" s="1"/>
  <c r="X321" i="54" s="1"/>
  <c r="V129" i="54"/>
  <c r="W129" i="54" s="1"/>
  <c r="X129" i="54" s="1"/>
  <c r="V105" i="54"/>
  <c r="W105" i="54" s="1"/>
  <c r="X105" i="54" s="1"/>
  <c r="Y105" i="54" s="1"/>
  <c r="V261" i="54"/>
  <c r="W261" i="54" s="1"/>
  <c r="X261" i="54" s="1"/>
  <c r="Y261" i="54" s="1"/>
  <c r="V69" i="54"/>
  <c r="W69" i="54" s="1"/>
  <c r="X69" i="54" s="1"/>
  <c r="V369" i="54"/>
  <c r="W369" i="54" s="1"/>
  <c r="X369" i="54" s="1"/>
  <c r="Y369" i="54" s="1"/>
  <c r="V177" i="54"/>
  <c r="W177" i="54" s="1"/>
  <c r="X177" i="54" s="1"/>
  <c r="V201" i="54"/>
  <c r="W201" i="54" s="1"/>
  <c r="X201" i="54" s="1"/>
  <c r="V93" i="54"/>
  <c r="W93" i="54" s="1"/>
  <c r="X93" i="54" s="1"/>
  <c r="Y93" i="54" s="1"/>
  <c r="V57" i="54"/>
  <c r="W57" i="54" s="1"/>
  <c r="X57" i="54" s="1"/>
  <c r="V141" i="54"/>
  <c r="W141" i="54" s="1"/>
  <c r="X141" i="54" s="1"/>
  <c r="Y141" i="54" s="1"/>
  <c r="V309" i="54"/>
  <c r="W309" i="54" s="1"/>
  <c r="X309" i="54" s="1"/>
  <c r="V117" i="54"/>
  <c r="W117" i="54" s="1"/>
  <c r="X117" i="54" s="1"/>
  <c r="Y117" i="54" s="1"/>
  <c r="V225" i="54"/>
  <c r="W225" i="54" s="1"/>
  <c r="X225" i="54" s="1"/>
  <c r="V33" i="54"/>
  <c r="W33" i="54" s="1"/>
  <c r="X33" i="54" s="1"/>
  <c r="Y33" i="54" s="1"/>
  <c r="V297" i="54"/>
  <c r="W297" i="54" s="1"/>
  <c r="X297" i="54" s="1"/>
  <c r="Y297" i="54" s="1"/>
  <c r="V189" i="54"/>
  <c r="W189" i="54" s="1"/>
  <c r="X189" i="54" s="1"/>
  <c r="Y189" i="54" s="1"/>
  <c r="V249" i="54"/>
  <c r="W249" i="54" s="1"/>
  <c r="X249" i="54" s="1"/>
  <c r="Y249" i="54" s="1"/>
  <c r="V333" i="54"/>
  <c r="W333" i="54" s="1"/>
  <c r="X333" i="54" s="1"/>
  <c r="Y333" i="54" s="1"/>
  <c r="AZ297" i="54"/>
  <c r="BA297" i="54" s="1"/>
  <c r="BB297" i="54" s="1"/>
  <c r="AZ309" i="54"/>
  <c r="BA309" i="54" s="1"/>
  <c r="BB309" i="54" s="1"/>
  <c r="AZ261" i="54"/>
  <c r="BA261" i="54" s="1"/>
  <c r="BB261" i="54" s="1"/>
  <c r="BC261" i="54" s="1"/>
  <c r="AZ165" i="54"/>
  <c r="BA165" i="54" s="1"/>
  <c r="BB165" i="54" s="1"/>
  <c r="AZ129" i="54"/>
  <c r="BA129" i="54" s="1"/>
  <c r="BB129" i="54" s="1"/>
  <c r="AZ93" i="54"/>
  <c r="BA93" i="54" s="1"/>
  <c r="AZ69" i="54"/>
  <c r="BA69" i="54" s="1"/>
  <c r="BB69" i="54" s="1"/>
  <c r="BC69" i="54" s="1"/>
  <c r="AZ345" i="54"/>
  <c r="BA345" i="54" s="1"/>
  <c r="BB345" i="54" s="1"/>
  <c r="AZ321" i="54"/>
  <c r="BA321" i="54" s="1"/>
  <c r="BB321" i="54" s="1"/>
  <c r="BC321" i="54" s="1"/>
  <c r="AZ333" i="54"/>
  <c r="BA333" i="54" s="1"/>
  <c r="AZ225" i="54"/>
  <c r="BA225" i="54" s="1"/>
  <c r="BB225" i="54" s="1"/>
  <c r="BC225" i="54" s="1"/>
  <c r="AZ213" i="54"/>
  <c r="BA213" i="54" s="1"/>
  <c r="BB213" i="54" s="1"/>
  <c r="BC213" i="54" s="1"/>
  <c r="AZ177" i="54"/>
  <c r="BA177" i="54" s="1"/>
  <c r="BB177" i="54" s="1"/>
  <c r="BC177" i="54" s="1"/>
  <c r="AZ57" i="54"/>
  <c r="BA57" i="54" s="1"/>
  <c r="BB57" i="54" s="1"/>
  <c r="BC57" i="54" s="1"/>
  <c r="AZ21" i="54"/>
  <c r="BA21" i="54" s="1"/>
  <c r="BB21" i="54" s="1"/>
  <c r="BC21" i="54" s="1"/>
  <c r="AZ357" i="54"/>
  <c r="BA357" i="54" s="1"/>
  <c r="BB357" i="54" s="1"/>
  <c r="BC357" i="54" s="1"/>
  <c r="AZ369" i="54"/>
  <c r="BA369" i="54" s="1"/>
  <c r="BB369" i="54" s="1"/>
  <c r="BC369" i="54" s="1"/>
  <c r="AZ273" i="54"/>
  <c r="BA273" i="54" s="1"/>
  <c r="BB273" i="54" s="1"/>
  <c r="AZ249" i="54"/>
  <c r="BA249" i="54" s="1"/>
  <c r="BB249" i="54" s="1"/>
  <c r="BC249" i="54" s="1"/>
  <c r="AZ237" i="54"/>
  <c r="BA237" i="54" s="1"/>
  <c r="BB237" i="54" s="1"/>
  <c r="AZ153" i="54"/>
  <c r="BA153" i="54" s="1"/>
  <c r="BB153" i="54" s="1"/>
  <c r="BC153" i="54" s="1"/>
  <c r="AZ105" i="54"/>
  <c r="BA105" i="54" s="1"/>
  <c r="BB105" i="54" s="1"/>
  <c r="BC105" i="54" s="1"/>
  <c r="AZ141" i="54"/>
  <c r="BA141" i="54" s="1"/>
  <c r="BB141" i="54" s="1"/>
  <c r="BC141" i="54" s="1"/>
  <c r="AZ45" i="54"/>
  <c r="BA45" i="54" s="1"/>
  <c r="BB45" i="54" s="1"/>
  <c r="BC45" i="54" s="1"/>
  <c r="AZ285" i="54"/>
  <c r="BA285" i="54" s="1"/>
  <c r="BB285" i="54" s="1"/>
  <c r="AZ201" i="54"/>
  <c r="BA201" i="54" s="1"/>
  <c r="AZ117" i="54"/>
  <c r="BA117" i="54" s="1"/>
  <c r="BB117" i="54" s="1"/>
  <c r="BC117" i="54" s="1"/>
  <c r="AZ189" i="54"/>
  <c r="BA189" i="54" s="1"/>
  <c r="BB189" i="54" s="1"/>
  <c r="AZ81" i="54"/>
  <c r="BA81" i="54" s="1"/>
  <c r="BB81" i="54" s="1"/>
  <c r="BC81" i="54" s="1"/>
  <c r="AZ33" i="54"/>
  <c r="BA33" i="54" s="1"/>
  <c r="BB33" i="54" s="1"/>
  <c r="BC33" i="54" s="1"/>
  <c r="AF273" i="54"/>
  <c r="AG273" i="54" s="1"/>
  <c r="AH273" i="54" s="1"/>
  <c r="AF237" i="54"/>
  <c r="AG237" i="54" s="1"/>
  <c r="AH237" i="54" s="1"/>
  <c r="AI237" i="54" s="1"/>
  <c r="AF45" i="54"/>
  <c r="AG45" i="54" s="1"/>
  <c r="AH45" i="54" s="1"/>
  <c r="AI45" i="54" s="1"/>
  <c r="AF261" i="54"/>
  <c r="AG261" i="54" s="1"/>
  <c r="AH261" i="54" s="1"/>
  <c r="AF153" i="54"/>
  <c r="AG153" i="54" s="1"/>
  <c r="AH153" i="54" s="1"/>
  <c r="AF285" i="54"/>
  <c r="AG285" i="54" s="1"/>
  <c r="AH285" i="54" s="1"/>
  <c r="AI285" i="54" s="1"/>
  <c r="AF213" i="54"/>
  <c r="AG213" i="54" s="1"/>
  <c r="AH213" i="54" s="1"/>
  <c r="AI213" i="54" s="1"/>
  <c r="AF309" i="54"/>
  <c r="AG309" i="54" s="1"/>
  <c r="AH309" i="54" s="1"/>
  <c r="AF321" i="54"/>
  <c r="AG321" i="54" s="1"/>
  <c r="AH321" i="54" s="1"/>
  <c r="AI321" i="54" s="1"/>
  <c r="AF93" i="54"/>
  <c r="AG93" i="54" s="1"/>
  <c r="AH93" i="54" s="1"/>
  <c r="AI93" i="54" s="1"/>
  <c r="AF201" i="54"/>
  <c r="AG201" i="54" s="1"/>
  <c r="AH201" i="54" s="1"/>
  <c r="AI201" i="54" s="1"/>
  <c r="AF345" i="54"/>
  <c r="AG345" i="54" s="1"/>
  <c r="AH345" i="54" s="1"/>
  <c r="AI345" i="54" s="1"/>
  <c r="AF69" i="54"/>
  <c r="AG69" i="54" s="1"/>
  <c r="AH69" i="54" s="1"/>
  <c r="AI69" i="54" s="1"/>
  <c r="AF129" i="54"/>
  <c r="AG129" i="54" s="1"/>
  <c r="AH129" i="54" s="1"/>
  <c r="AI129" i="54" s="1"/>
  <c r="AF21" i="54"/>
  <c r="AG21" i="54" s="1"/>
  <c r="AH21" i="54" s="1"/>
  <c r="AI21" i="54" s="1"/>
  <c r="AF357" i="54"/>
  <c r="AG357" i="54" s="1"/>
  <c r="AH357" i="54" s="1"/>
  <c r="AI357" i="54" s="1"/>
  <c r="AF369" i="54"/>
  <c r="AG369" i="54" s="1"/>
  <c r="AH369" i="54" s="1"/>
  <c r="AI369" i="54" s="1"/>
  <c r="AF141" i="54"/>
  <c r="AG141" i="54" s="1"/>
  <c r="AH141" i="54" s="1"/>
  <c r="AF297" i="54"/>
  <c r="AG297" i="54" s="1"/>
  <c r="AH297" i="54" s="1"/>
  <c r="AF249" i="54"/>
  <c r="AG249" i="54" s="1"/>
  <c r="AH249" i="54" s="1"/>
  <c r="AF117" i="54"/>
  <c r="AG117" i="54" s="1"/>
  <c r="AH117" i="54" s="1"/>
  <c r="AI117" i="54" s="1"/>
  <c r="AF33" i="54"/>
  <c r="AG33" i="54" s="1"/>
  <c r="AH33" i="54" s="1"/>
  <c r="AI33" i="54" s="1"/>
  <c r="AF225" i="54"/>
  <c r="AG225" i="54" s="1"/>
  <c r="AH225" i="54" s="1"/>
  <c r="AI225" i="54" s="1"/>
  <c r="AF333" i="54"/>
  <c r="AG333" i="54" s="1"/>
  <c r="AH333" i="54" s="1"/>
  <c r="AF189" i="54"/>
  <c r="AG189" i="54" s="1"/>
  <c r="AH189" i="54" s="1"/>
  <c r="AF105" i="54"/>
  <c r="AG105" i="54" s="1"/>
  <c r="AH105" i="54" s="1"/>
  <c r="AI105" i="54" s="1"/>
  <c r="AF165" i="54"/>
  <c r="AG165" i="54" s="1"/>
  <c r="AH165" i="54" s="1"/>
  <c r="AI165" i="54" s="1"/>
  <c r="AF57" i="54"/>
  <c r="AG57" i="54" s="1"/>
  <c r="AH57" i="54" s="1"/>
  <c r="AI57" i="54" s="1"/>
  <c r="AF177" i="54"/>
  <c r="AG177" i="54" s="1"/>
  <c r="AH177" i="54" s="1"/>
  <c r="V287" i="54"/>
  <c r="W287" i="54" s="1"/>
  <c r="X287" i="54" s="1"/>
  <c r="V95" i="54"/>
  <c r="W95" i="54" s="1"/>
  <c r="X95" i="54" s="1"/>
  <c r="Y95" i="54" s="1"/>
  <c r="V203" i="54"/>
  <c r="W203" i="54" s="1"/>
  <c r="X203" i="54" s="1"/>
  <c r="V323" i="54"/>
  <c r="W323" i="54" s="1"/>
  <c r="X323" i="54" s="1"/>
  <c r="V215" i="54"/>
  <c r="W215" i="54" s="1"/>
  <c r="X215" i="54" s="1"/>
  <c r="V335" i="54"/>
  <c r="W335" i="54" s="1"/>
  <c r="X335" i="54" s="1"/>
  <c r="V143" i="54"/>
  <c r="W143" i="54" s="1"/>
  <c r="X143" i="54" s="1"/>
  <c r="V251" i="54"/>
  <c r="W251" i="54" s="1"/>
  <c r="X251" i="54" s="1"/>
  <c r="Y251" i="54" s="1"/>
  <c r="V59" i="54"/>
  <c r="W59" i="54" s="1"/>
  <c r="X59" i="54" s="1"/>
  <c r="Y59" i="54" s="1"/>
  <c r="V35" i="54"/>
  <c r="W35" i="54" s="1"/>
  <c r="X35" i="54" s="1"/>
  <c r="Y35" i="54" s="1"/>
  <c r="V311" i="54"/>
  <c r="W311" i="54" s="1"/>
  <c r="X311" i="54" s="1"/>
  <c r="Y311" i="54" s="1"/>
  <c r="V179" i="54"/>
  <c r="W179" i="54" s="1"/>
  <c r="X179" i="54" s="1"/>
  <c r="V191" i="54"/>
  <c r="W191" i="54" s="1"/>
  <c r="X191" i="54" s="1"/>
  <c r="Y191" i="54" s="1"/>
  <c r="V299" i="54"/>
  <c r="W299" i="54" s="1"/>
  <c r="X299" i="54" s="1"/>
  <c r="Y299" i="54" s="1"/>
  <c r="V107" i="54"/>
  <c r="W107" i="54" s="1"/>
  <c r="X107" i="54" s="1"/>
  <c r="V131" i="54"/>
  <c r="W131" i="54" s="1"/>
  <c r="X131" i="54" s="1"/>
  <c r="V23" i="54"/>
  <c r="W23" i="54" s="1"/>
  <c r="X23" i="54" s="1"/>
  <c r="V371" i="54"/>
  <c r="W371" i="54" s="1"/>
  <c r="X371" i="54" s="1"/>
  <c r="Y371" i="54" s="1"/>
  <c r="V239" i="54"/>
  <c r="W239" i="54" s="1"/>
  <c r="X239" i="54" s="1"/>
  <c r="Y239" i="54" s="1"/>
  <c r="V47" i="54"/>
  <c r="W47" i="54" s="1"/>
  <c r="X47" i="54" s="1"/>
  <c r="V347" i="54"/>
  <c r="W347" i="54" s="1"/>
  <c r="X347" i="54" s="1"/>
  <c r="Y347" i="54" s="1"/>
  <c r="V155" i="54"/>
  <c r="W155" i="54" s="1"/>
  <c r="X155" i="54" s="1"/>
  <c r="Y155" i="54" s="1"/>
  <c r="V227" i="54"/>
  <c r="W227" i="54" s="1"/>
  <c r="X227" i="54" s="1"/>
  <c r="Y227" i="54" s="1"/>
  <c r="V119" i="54"/>
  <c r="W119" i="54" s="1"/>
  <c r="X119" i="54" s="1"/>
  <c r="Y119" i="54" s="1"/>
  <c r="AL242" i="56"/>
  <c r="AM242" i="56" s="1"/>
  <c r="AN242" i="56" s="1"/>
  <c r="AZ281" i="54"/>
  <c r="BA281" i="54" s="1"/>
  <c r="BB281" i="54" s="1"/>
  <c r="AZ197" i="54"/>
  <c r="BA197" i="54" s="1"/>
  <c r="BB197" i="54" s="1"/>
  <c r="BC197" i="54" s="1"/>
  <c r="AZ233" i="54"/>
  <c r="BA233" i="54" s="1"/>
  <c r="BB233" i="54" s="1"/>
  <c r="BC233" i="54" s="1"/>
  <c r="AZ17" i="54"/>
  <c r="BA17" i="54" s="1"/>
  <c r="BB17" i="54" s="1"/>
  <c r="BC17" i="54" s="1"/>
  <c r="AZ221" i="54"/>
  <c r="BA221" i="54" s="1"/>
  <c r="BB221" i="54" s="1"/>
  <c r="BC221" i="54" s="1"/>
  <c r="AZ293" i="54"/>
  <c r="BA293" i="54" s="1"/>
  <c r="BB293" i="54" s="1"/>
  <c r="AZ305" i="54"/>
  <c r="BA305" i="54" s="1"/>
  <c r="BB305" i="54" s="1"/>
  <c r="BC305" i="54" s="1"/>
  <c r="AZ257" i="54"/>
  <c r="BA257" i="54" s="1"/>
  <c r="BB257" i="54" s="1"/>
  <c r="BC257" i="54" s="1"/>
  <c r="AZ161" i="54"/>
  <c r="BA161" i="54" s="1"/>
  <c r="BB161" i="54" s="1"/>
  <c r="AZ125" i="54"/>
  <c r="BA125" i="54" s="1"/>
  <c r="BB125" i="54" s="1"/>
  <c r="AZ185" i="54"/>
  <c r="BA185" i="54" s="1"/>
  <c r="BB185" i="54" s="1"/>
  <c r="AZ89" i="54"/>
  <c r="BA89" i="54" s="1"/>
  <c r="BB89" i="54" s="1"/>
  <c r="BC89" i="54" s="1"/>
  <c r="AZ65" i="54"/>
  <c r="BA65" i="54" s="1"/>
  <c r="BB65" i="54" s="1"/>
  <c r="BC65" i="54" s="1"/>
  <c r="AZ29" i="54"/>
  <c r="BA29" i="54" s="1"/>
  <c r="BB29" i="54" s="1"/>
  <c r="BC29" i="54" s="1"/>
  <c r="AZ77" i="54"/>
  <c r="BA77" i="54" s="1"/>
  <c r="BB77" i="54" s="1"/>
  <c r="BC77" i="54" s="1"/>
  <c r="AZ341" i="54"/>
  <c r="BA341" i="54" s="1"/>
  <c r="BB341" i="54" s="1"/>
  <c r="AZ317" i="54"/>
  <c r="BA317" i="54" s="1"/>
  <c r="BB317" i="54" s="1"/>
  <c r="BC317" i="54" s="1"/>
  <c r="AZ209" i="54"/>
  <c r="BA209" i="54" s="1"/>
  <c r="BB209" i="54" s="1"/>
  <c r="BC209" i="54" s="1"/>
  <c r="AZ173" i="54"/>
  <c r="BA173" i="54" s="1"/>
  <c r="BB173" i="54" s="1"/>
  <c r="BC173" i="54" s="1"/>
  <c r="AZ53" i="54"/>
  <c r="BA53" i="54" s="1"/>
  <c r="BB53" i="54" s="1"/>
  <c r="BC53" i="54" s="1"/>
  <c r="AZ41" i="54"/>
  <c r="BA41" i="54" s="1"/>
  <c r="BB41" i="54" s="1"/>
  <c r="BC41" i="54" s="1"/>
  <c r="AZ137" i="54"/>
  <c r="BA137" i="54" s="1"/>
  <c r="BB137" i="54" s="1"/>
  <c r="AZ113" i="54"/>
  <c r="BA113" i="54" s="1"/>
  <c r="BB113" i="54" s="1"/>
  <c r="BC113" i="54" s="1"/>
  <c r="AZ353" i="54"/>
  <c r="BA353" i="54" s="1"/>
  <c r="BB353" i="54" s="1"/>
  <c r="BC353" i="54" s="1"/>
  <c r="AZ365" i="54"/>
  <c r="BA365" i="54" s="1"/>
  <c r="BB365" i="54" s="1"/>
  <c r="BC365" i="54" s="1"/>
  <c r="AZ269" i="54"/>
  <c r="BA269" i="54" s="1"/>
  <c r="BB269" i="54" s="1"/>
  <c r="AZ329" i="54"/>
  <c r="BA329" i="54" s="1"/>
  <c r="BB329" i="54" s="1"/>
  <c r="BC329" i="54" s="1"/>
  <c r="AZ245" i="54"/>
  <c r="BA245" i="54" s="1"/>
  <c r="BB245" i="54" s="1"/>
  <c r="BC245" i="54" s="1"/>
  <c r="AZ149" i="54"/>
  <c r="BA149" i="54" s="1"/>
  <c r="BB149" i="54" s="1"/>
  <c r="AZ101" i="54"/>
  <c r="BA101" i="54" s="1"/>
  <c r="AF329" i="54"/>
  <c r="AG329" i="54" s="1"/>
  <c r="AH329" i="54" s="1"/>
  <c r="AF257" i="54"/>
  <c r="AF185" i="54"/>
  <c r="AG185" i="54" s="1"/>
  <c r="AH185" i="54" s="1"/>
  <c r="AF101" i="54"/>
  <c r="AG101" i="54" s="1"/>
  <c r="AH101" i="54" s="1"/>
  <c r="AI101" i="54" s="1"/>
  <c r="AF293" i="54"/>
  <c r="AG293" i="54" s="1"/>
  <c r="AH293" i="54" s="1"/>
  <c r="AI293" i="54" s="1"/>
  <c r="AF161" i="54"/>
  <c r="AF77" i="54"/>
  <c r="AG77" i="54" s="1"/>
  <c r="AH77" i="54" s="1"/>
  <c r="AF269" i="54"/>
  <c r="AG269" i="54" s="1"/>
  <c r="AH269" i="54" s="1"/>
  <c r="AF233" i="54"/>
  <c r="AG233" i="54" s="1"/>
  <c r="AH233" i="54" s="1"/>
  <c r="AI233" i="54" s="1"/>
  <c r="AF41" i="54"/>
  <c r="AG41" i="54" s="1"/>
  <c r="AH41" i="54" s="1"/>
  <c r="AI41" i="54" s="1"/>
  <c r="AF149" i="54"/>
  <c r="AG149" i="54" s="1"/>
  <c r="AH149" i="54" s="1"/>
  <c r="AI149" i="54" s="1"/>
  <c r="AF209" i="54"/>
  <c r="AG209" i="54" s="1"/>
  <c r="AH209" i="54" s="1"/>
  <c r="AI209" i="54" s="1"/>
  <c r="AF341" i="54"/>
  <c r="AG341" i="54" s="1"/>
  <c r="AH341" i="54" s="1"/>
  <c r="AI341" i="54" s="1"/>
  <c r="AF173" i="54"/>
  <c r="AG173" i="54" s="1"/>
  <c r="AH173" i="54" s="1"/>
  <c r="AF305" i="54"/>
  <c r="AG305" i="54" s="1"/>
  <c r="AH305" i="54" s="1"/>
  <c r="AI305" i="54" s="1"/>
  <c r="AF317" i="54"/>
  <c r="AG317" i="54" s="1"/>
  <c r="AH317" i="54" s="1"/>
  <c r="AF281" i="54"/>
  <c r="AG281" i="54" s="1"/>
  <c r="AH281" i="54" s="1"/>
  <c r="AI281" i="54" s="1"/>
  <c r="AF89" i="54"/>
  <c r="AG89" i="54" s="1"/>
  <c r="AH89" i="54" s="1"/>
  <c r="AI89" i="54" s="1"/>
  <c r="AF197" i="54"/>
  <c r="AG197" i="54" s="1"/>
  <c r="AH197" i="54" s="1"/>
  <c r="AI197" i="54" s="1"/>
  <c r="AF65" i="54"/>
  <c r="AG65" i="54" s="1"/>
  <c r="AH65" i="54" s="1"/>
  <c r="AI65" i="54" s="1"/>
  <c r="AF29" i="54"/>
  <c r="AG29" i="54" s="1"/>
  <c r="AH29" i="54" s="1"/>
  <c r="AI29" i="54" s="1"/>
  <c r="AF125" i="54"/>
  <c r="AG125" i="54" s="1"/>
  <c r="AH125" i="54" s="1"/>
  <c r="AI125" i="54" s="1"/>
  <c r="AF17" i="54"/>
  <c r="AG17" i="54" s="1"/>
  <c r="AH17" i="54" s="1"/>
  <c r="AI17" i="54" s="1"/>
  <c r="AF221" i="54"/>
  <c r="AG221" i="54" s="1"/>
  <c r="AH221" i="54" s="1"/>
  <c r="AI221" i="54" s="1"/>
  <c r="AF353" i="54"/>
  <c r="AG353" i="54" s="1"/>
  <c r="AH353" i="54" s="1"/>
  <c r="AI353" i="54" s="1"/>
  <c r="AF365" i="54"/>
  <c r="AG365" i="54" s="1"/>
  <c r="AH365" i="54" s="1"/>
  <c r="AI365" i="54" s="1"/>
  <c r="AF137" i="54"/>
  <c r="AG137" i="54" s="1"/>
  <c r="AH137" i="54" s="1"/>
  <c r="AI137" i="54" s="1"/>
  <c r="AF245" i="54"/>
  <c r="AG245" i="54" s="1"/>
  <c r="AH245" i="54" s="1"/>
  <c r="AI245" i="54" s="1"/>
  <c r="AF113" i="54"/>
  <c r="AG113" i="54" s="1"/>
  <c r="AH113" i="54" s="1"/>
  <c r="AP323" i="54"/>
  <c r="AQ323" i="54" s="1"/>
  <c r="AR323" i="54" s="1"/>
  <c r="AS323" i="54" s="1"/>
  <c r="AP347" i="54"/>
  <c r="AQ347" i="54" s="1"/>
  <c r="AR347" i="54" s="1"/>
  <c r="AP275" i="54"/>
  <c r="AQ275" i="54" s="1"/>
  <c r="AR275" i="54" s="1"/>
  <c r="AS275" i="54" s="1"/>
  <c r="AP191" i="54"/>
  <c r="AQ191" i="54" s="1"/>
  <c r="AR191" i="54" s="1"/>
  <c r="AS191" i="54" s="1"/>
  <c r="AP203" i="54"/>
  <c r="AQ203" i="54" s="1"/>
  <c r="AR203" i="54" s="1"/>
  <c r="AS203" i="54" s="1"/>
  <c r="AP371" i="54"/>
  <c r="AQ371" i="54" s="1"/>
  <c r="AR371" i="54" s="1"/>
  <c r="AP131" i="54"/>
  <c r="AQ131" i="54" s="1"/>
  <c r="AR131" i="54" s="1"/>
  <c r="AS131" i="54" s="1"/>
  <c r="AP239" i="54"/>
  <c r="AQ239" i="54" s="1"/>
  <c r="AR239" i="54" s="1"/>
  <c r="AP251" i="54"/>
  <c r="AQ251" i="54" s="1"/>
  <c r="AR251" i="54" s="1"/>
  <c r="AP179" i="54"/>
  <c r="AQ179" i="54" s="1"/>
  <c r="AR179" i="54" s="1"/>
  <c r="AP335" i="54"/>
  <c r="AQ335" i="54" s="1"/>
  <c r="AR335" i="54" s="1"/>
  <c r="AP287" i="54"/>
  <c r="AQ287" i="54" s="1"/>
  <c r="AR287" i="54" s="1"/>
  <c r="AP359" i="54"/>
  <c r="AQ359" i="54" s="1"/>
  <c r="AR359" i="54" s="1"/>
  <c r="AS359" i="54" s="1"/>
  <c r="AP299" i="54"/>
  <c r="AQ299" i="54" s="1"/>
  <c r="AR299" i="54" s="1"/>
  <c r="AP227" i="54"/>
  <c r="AQ227" i="54" s="1"/>
  <c r="AR227" i="54" s="1"/>
  <c r="AS227" i="54" s="1"/>
  <c r="AP143" i="54"/>
  <c r="AQ143" i="54" s="1"/>
  <c r="AR143" i="54" s="1"/>
  <c r="AS143" i="54" s="1"/>
  <c r="AP311" i="54"/>
  <c r="AQ311" i="54" s="1"/>
  <c r="AR311" i="54" s="1"/>
  <c r="AS311" i="54" s="1"/>
  <c r="AP155" i="54"/>
  <c r="AQ155" i="54" s="1"/>
  <c r="AR155" i="54" s="1"/>
  <c r="AS155" i="54" s="1"/>
  <c r="AP167" i="54"/>
  <c r="AQ167" i="54" s="1"/>
  <c r="AR167" i="54" s="1"/>
  <c r="AP23" i="54"/>
  <c r="AQ23" i="54" s="1"/>
  <c r="AR23" i="54" s="1"/>
  <c r="AS23" i="54" s="1"/>
  <c r="AP215" i="54"/>
  <c r="AQ215" i="54" s="1"/>
  <c r="AP107" i="54"/>
  <c r="AQ107" i="54" s="1"/>
  <c r="AR107" i="54" s="1"/>
  <c r="AP35" i="54"/>
  <c r="AQ35" i="54" s="1"/>
  <c r="AR35" i="54" s="1"/>
  <c r="AS35" i="54" s="1"/>
  <c r="AP71" i="54"/>
  <c r="AQ71" i="54" s="1"/>
  <c r="AR71" i="54" s="1"/>
  <c r="AS71" i="54" s="1"/>
  <c r="AP119" i="54"/>
  <c r="AQ119" i="54" s="1"/>
  <c r="AR119" i="54" s="1"/>
  <c r="AS119" i="54" s="1"/>
  <c r="AP83" i="54"/>
  <c r="AQ83" i="54" s="1"/>
  <c r="AR83" i="54" s="1"/>
  <c r="AS83" i="54" s="1"/>
  <c r="AP59" i="54"/>
  <c r="AQ59" i="54" s="1"/>
  <c r="AR59" i="54" s="1"/>
  <c r="AS59" i="54" s="1"/>
  <c r="AP263" i="54"/>
  <c r="AQ263" i="54" s="1"/>
  <c r="AR263" i="54" s="1"/>
  <c r="AP47" i="54"/>
  <c r="AQ47" i="54" s="1"/>
  <c r="AR47" i="54" s="1"/>
  <c r="AS47" i="54" s="1"/>
  <c r="AP95" i="54"/>
  <c r="AQ95" i="54" s="1"/>
  <c r="AR95" i="54" s="1"/>
  <c r="AS95" i="54" s="1"/>
  <c r="AF311" i="54"/>
  <c r="AG311" i="54" s="1"/>
  <c r="AH311" i="54" s="1"/>
  <c r="AI311" i="54" s="1"/>
  <c r="AF167" i="54"/>
  <c r="AG167" i="54" s="1"/>
  <c r="AH167" i="54" s="1"/>
  <c r="AF83" i="54"/>
  <c r="AF143" i="54"/>
  <c r="AG143" i="54" s="1"/>
  <c r="AH143" i="54" s="1"/>
  <c r="AI143" i="54" s="1"/>
  <c r="AF251" i="54"/>
  <c r="AG251" i="54" s="1"/>
  <c r="AH251" i="54" s="1"/>
  <c r="AF155" i="54"/>
  <c r="AG155" i="54" s="1"/>
  <c r="AH155" i="54" s="1"/>
  <c r="AF359" i="54"/>
  <c r="AF215" i="54"/>
  <c r="AF131" i="54"/>
  <c r="AG131" i="54" s="1"/>
  <c r="AH131" i="54" s="1"/>
  <c r="AI131" i="54" s="1"/>
  <c r="AF191" i="54"/>
  <c r="AG191" i="54" s="1"/>
  <c r="AH191" i="54" s="1"/>
  <c r="AI191" i="54" s="1"/>
  <c r="AF323" i="54"/>
  <c r="AG323" i="54" s="1"/>
  <c r="AH323" i="54" s="1"/>
  <c r="AI323" i="54" s="1"/>
  <c r="AF107" i="54"/>
  <c r="AG107" i="54" s="1"/>
  <c r="AH107" i="54" s="1"/>
  <c r="AI107" i="54" s="1"/>
  <c r="AF275" i="54"/>
  <c r="AG275" i="54" s="1"/>
  <c r="AH275" i="54" s="1"/>
  <c r="AF47" i="54"/>
  <c r="AG47" i="54" s="1"/>
  <c r="AH47" i="54" s="1"/>
  <c r="AI47" i="54" s="1"/>
  <c r="AF203" i="54"/>
  <c r="AG203" i="54" s="1"/>
  <c r="AH203" i="54" s="1"/>
  <c r="AI203" i="54" s="1"/>
  <c r="AF287" i="54"/>
  <c r="AG287" i="54" s="1"/>
  <c r="AH287" i="54" s="1"/>
  <c r="AI287" i="54" s="1"/>
  <c r="AF299" i="54"/>
  <c r="AG299" i="54" s="1"/>
  <c r="AH299" i="54" s="1"/>
  <c r="AI299" i="54" s="1"/>
  <c r="AF71" i="54"/>
  <c r="AG71" i="54" s="1"/>
  <c r="AH71" i="54" s="1"/>
  <c r="AI71" i="54" s="1"/>
  <c r="AF179" i="54"/>
  <c r="AF239" i="54"/>
  <c r="AG239" i="54" s="1"/>
  <c r="AH239" i="54" s="1"/>
  <c r="AI239" i="54" s="1"/>
  <c r="AF23" i="54"/>
  <c r="AG23" i="54" s="1"/>
  <c r="AH23" i="54" s="1"/>
  <c r="AI23" i="54" s="1"/>
  <c r="AF35" i="54"/>
  <c r="AG35" i="54" s="1"/>
  <c r="AH35" i="54" s="1"/>
  <c r="AI35" i="54" s="1"/>
  <c r="AF335" i="54"/>
  <c r="AG335" i="54" s="1"/>
  <c r="AH335" i="54" s="1"/>
  <c r="AF347" i="54"/>
  <c r="AG347" i="54" s="1"/>
  <c r="AH347" i="54" s="1"/>
  <c r="AF371" i="54"/>
  <c r="AG371" i="54" s="1"/>
  <c r="AH371" i="54" s="1"/>
  <c r="AI371" i="54" s="1"/>
  <c r="AF119" i="54"/>
  <c r="AG119" i="54" s="1"/>
  <c r="AH119" i="54" s="1"/>
  <c r="AI119" i="54" s="1"/>
  <c r="AF227" i="54"/>
  <c r="AG227" i="54" s="1"/>
  <c r="AH227" i="54" s="1"/>
  <c r="AI227" i="54" s="1"/>
  <c r="AF95" i="54"/>
  <c r="AG95" i="54" s="1"/>
  <c r="AH95" i="54" s="1"/>
  <c r="AI95" i="54" s="1"/>
  <c r="AF263" i="54"/>
  <c r="AG263" i="54" s="1"/>
  <c r="AH263" i="54" s="1"/>
  <c r="AI263" i="54" s="1"/>
  <c r="AF59" i="54"/>
  <c r="AG59" i="54" s="1"/>
  <c r="AH59" i="54" s="1"/>
  <c r="AI59" i="54" s="1"/>
  <c r="Y225" i="54"/>
  <c r="AI153" i="54"/>
  <c r="AI251" i="54"/>
  <c r="AO58" i="56"/>
  <c r="Y203" i="54"/>
  <c r="Y47" i="54"/>
  <c r="AI261" i="54"/>
  <c r="AI333" i="54"/>
  <c r="Y359" i="54"/>
  <c r="Y143" i="54"/>
  <c r="Y323" i="54"/>
  <c r="AI273" i="54"/>
  <c r="AI81" i="54"/>
  <c r="AI189" i="54"/>
  <c r="Y21" i="54"/>
  <c r="Y215" i="54"/>
  <c r="AO50" i="56"/>
  <c r="Y263" i="54"/>
  <c r="X237" i="54"/>
  <c r="Y237" i="54" s="1"/>
  <c r="Y129" i="54"/>
  <c r="AI177" i="54"/>
  <c r="AI297" i="54"/>
  <c r="Y213" i="54"/>
  <c r="Y23" i="54"/>
  <c r="AI249" i="54"/>
  <c r="AI309" i="54"/>
  <c r="AI269" i="54"/>
  <c r="AI335" i="54"/>
  <c r="Y309" i="54"/>
  <c r="Y335" i="54"/>
  <c r="AI173" i="54"/>
  <c r="Y273" i="54"/>
  <c r="Y201" i="54"/>
  <c r="Y57" i="54"/>
  <c r="Y83" i="54"/>
  <c r="AI275" i="54"/>
  <c r="Y321" i="54"/>
  <c r="Y287" i="54"/>
  <c r="AI77" i="54"/>
  <c r="Y285" i="54"/>
  <c r="AI317" i="54"/>
  <c r="AI185" i="54"/>
  <c r="AI347" i="54"/>
  <c r="Y177" i="54"/>
  <c r="Y107" i="54"/>
  <c r="AC34" i="56"/>
  <c r="AC218" i="56"/>
  <c r="AO146" i="56"/>
  <c r="AO170" i="56"/>
  <c r="AN194" i="56"/>
  <c r="AO194" i="56" s="1"/>
  <c r="AO240" i="56"/>
  <c r="AO144" i="56"/>
  <c r="AO104" i="56"/>
  <c r="AN154" i="56"/>
  <c r="AO154" i="56" s="1"/>
  <c r="AN114" i="56"/>
  <c r="AO114" i="56" s="1"/>
  <c r="AO250" i="56"/>
  <c r="AO130" i="56"/>
  <c r="AO138" i="56"/>
  <c r="AO160" i="56"/>
  <c r="AO120" i="56"/>
  <c r="AC114" i="56"/>
  <c r="Q146" i="56"/>
  <c r="Q242" i="56"/>
  <c r="AC146" i="56"/>
  <c r="AC194" i="56"/>
  <c r="AB242" i="56"/>
  <c r="AC242" i="56" s="1"/>
  <c r="AC122" i="56"/>
  <c r="AB186" i="56"/>
  <c r="AC186" i="56" s="1"/>
  <c r="AC18" i="56"/>
  <c r="AC42" i="56"/>
  <c r="AB106" i="56"/>
  <c r="AC106" i="56" s="1"/>
  <c r="AC250" i="56"/>
  <c r="AC26" i="56"/>
  <c r="AC154" i="56"/>
  <c r="Q210" i="56"/>
  <c r="AB82" i="56"/>
  <c r="AC82" i="56" s="1"/>
  <c r="AC210" i="56"/>
  <c r="AC98" i="56"/>
  <c r="Q74" i="56"/>
  <c r="P82" i="56"/>
  <c r="Q82" i="56" s="1"/>
  <c r="P178" i="56"/>
  <c r="Q178" i="56" s="1"/>
  <c r="Q162" i="56"/>
  <c r="Q234" i="56"/>
  <c r="Q250" i="56"/>
  <c r="Q58" i="56"/>
  <c r="Q66" i="56"/>
  <c r="Q42" i="56"/>
  <c r="BC165" i="54"/>
  <c r="BC281" i="54"/>
  <c r="BC299" i="54"/>
  <c r="AS285" i="54"/>
  <c r="BC309" i="54"/>
  <c r="BC161" i="54"/>
  <c r="BC203" i="54"/>
  <c r="BC311" i="54"/>
  <c r="BB83" i="54"/>
  <c r="BC83" i="54" s="1"/>
  <c r="BC95" i="54"/>
  <c r="BC335" i="54"/>
  <c r="BC273" i="54"/>
  <c r="BC297" i="54"/>
  <c r="BC237" i="54"/>
  <c r="BB333" i="54"/>
  <c r="BC333" i="54" s="1"/>
  <c r="BC191" i="54"/>
  <c r="BB201" i="54"/>
  <c r="BC201" i="54" s="1"/>
  <c r="BC149" i="54"/>
  <c r="BC189" i="54"/>
  <c r="AS237" i="54"/>
  <c r="BB93" i="54"/>
  <c r="BC93" i="54" s="1"/>
  <c r="BB101" i="54"/>
  <c r="BC101" i="54" s="1"/>
  <c r="BB215" i="54"/>
  <c r="BC215" i="54" s="1"/>
  <c r="BC275" i="54"/>
  <c r="AS107" i="54"/>
  <c r="AS249" i="54"/>
  <c r="AS93" i="54"/>
  <c r="AS239" i="54"/>
  <c r="AS371" i="54"/>
  <c r="BC323" i="54"/>
  <c r="BC137" i="54"/>
  <c r="AS287" i="54"/>
  <c r="BC285" i="54"/>
  <c r="BC345" i="54"/>
  <c r="BC293" i="54"/>
  <c r="BC125" i="54"/>
  <c r="BC269" i="54"/>
  <c r="BC341" i="54"/>
  <c r="BC143" i="54"/>
  <c r="BC167" i="54"/>
  <c r="AS263" i="54"/>
  <c r="AS261" i="54"/>
  <c r="AS251" i="54"/>
  <c r="AR357" i="54"/>
  <c r="AS357" i="54" s="1"/>
  <c r="AR201" i="54"/>
  <c r="AS201" i="54" s="1"/>
  <c r="AS297" i="54"/>
  <c r="AR215" i="54"/>
  <c r="AS215" i="54" s="1"/>
  <c r="AS179" i="54"/>
  <c r="AS299" i="54"/>
  <c r="AS347" i="54"/>
  <c r="O237" i="54"/>
  <c r="O299" i="54"/>
  <c r="O357" i="54"/>
  <c r="O117" i="54"/>
  <c r="O227" i="54"/>
  <c r="N249" i="54"/>
  <c r="O249" i="54" s="1"/>
  <c r="N311" i="54"/>
  <c r="O311" i="54" s="1"/>
  <c r="O345" i="54"/>
  <c r="N335" i="54"/>
  <c r="O335" i="54" s="1"/>
  <c r="N371" i="54"/>
  <c r="O371" i="54" s="1"/>
  <c r="O215" i="54"/>
  <c r="N287" i="54"/>
  <c r="O287" i="54" s="1"/>
  <c r="N333" i="54"/>
  <c r="O333" i="54" s="1"/>
  <c r="O201" i="54"/>
  <c r="N369" i="54"/>
  <c r="O369" i="54" s="1"/>
  <c r="N321" i="54"/>
  <c r="O321" i="54" s="1"/>
  <c r="N81" i="54"/>
  <c r="O81" i="54" s="1"/>
  <c r="N129" i="54"/>
  <c r="O129" i="54" s="1"/>
  <c r="O155" i="54"/>
  <c r="O285" i="54"/>
  <c r="O141" i="54"/>
  <c r="O309" i="54"/>
  <c r="O45" i="54"/>
  <c r="BD25" i="1"/>
  <c r="CB37" i="1"/>
  <c r="BZ37" i="1"/>
  <c r="CA36" i="1"/>
  <c r="CA37" i="1"/>
  <c r="CB26" i="1"/>
  <c r="CA25" i="1"/>
  <c r="CB36" i="1"/>
  <c r="CA26" i="1"/>
  <c r="CA38" i="1"/>
  <c r="BZ38" i="1"/>
  <c r="CB38" i="1"/>
  <c r="CB25" i="1"/>
  <c r="AW26" i="1"/>
  <c r="BG26" i="1" s="1"/>
  <c r="AX36" i="1"/>
  <c r="AT36" i="1"/>
  <c r="BD36" i="1" s="1"/>
  <c r="BZ36" i="1" s="1"/>
  <c r="AT28" i="1"/>
  <c r="BD28" i="1" s="1"/>
  <c r="AU23" i="1"/>
  <c r="BE23" i="1" s="1"/>
  <c r="AX23" i="1"/>
  <c r="BH23" i="1" s="1"/>
  <c r="AX37" i="1"/>
  <c r="AX20" i="1"/>
  <c r="BH20" i="1" s="1"/>
  <c r="AX26" i="1"/>
  <c r="BH26" i="1" s="1"/>
  <c r="AX32" i="1"/>
  <c r="AV32" i="1"/>
  <c r="BF32" i="1" s="1"/>
  <c r="AW32" i="1"/>
  <c r="AW37" i="1"/>
  <c r="AW23" i="1"/>
  <c r="BG23" i="1" s="1"/>
  <c r="AU20" i="1"/>
  <c r="BE20" i="1" s="1"/>
  <c r="AW28" i="1"/>
  <c r="AT23" i="1"/>
  <c r="BD23" i="1" s="1"/>
  <c r="AX28" i="1"/>
  <c r="AV23" i="1"/>
  <c r="BF23" i="1" s="1"/>
  <c r="AW36" i="1"/>
  <c r="BQ25" i="1"/>
  <c r="AV14" i="1"/>
  <c r="BF14" i="1" s="1"/>
  <c r="AX30" i="1"/>
  <c r="AT14" i="1"/>
  <c r="BD14" i="1" s="1"/>
  <c r="AV30" i="1"/>
  <c r="BF30" i="1" s="1"/>
  <c r="AU30" i="1"/>
  <c r="BE30" i="1" s="1"/>
  <c r="AU14" i="1"/>
  <c r="BE14" i="1" s="1"/>
  <c r="AX14" i="1"/>
  <c r="BH14" i="1" s="1"/>
  <c r="AT30" i="1"/>
  <c r="BD30" i="1" s="1"/>
  <c r="AW30" i="1"/>
  <c r="AW14" i="1"/>
  <c r="BG14" i="1" s="1"/>
  <c r="AO216" i="56" l="1"/>
  <c r="AO192" i="56"/>
  <c r="AO248" i="56"/>
  <c r="AN40" i="56"/>
  <c r="AO40" i="56" s="1"/>
  <c r="AO242" i="56"/>
  <c r="AO168" i="56"/>
  <c r="O359" i="54"/>
  <c r="O177" i="54"/>
  <c r="AS141" i="54"/>
  <c r="BB107" i="54"/>
  <c r="BC107" i="54" s="1"/>
  <c r="Y179" i="54"/>
  <c r="AI141" i="54"/>
  <c r="BC185" i="54"/>
  <c r="Y131" i="54"/>
  <c r="AI113" i="54"/>
  <c r="O69" i="54"/>
  <c r="O273" i="54"/>
  <c r="BC129" i="54"/>
  <c r="AO136" i="56"/>
  <c r="AN152" i="56"/>
  <c r="AO152" i="56" s="1"/>
  <c r="AI329" i="54"/>
  <c r="Y69" i="54"/>
  <c r="AS335" i="54"/>
  <c r="AS167" i="54"/>
  <c r="AI155" i="54"/>
  <c r="AI167" i="54"/>
  <c r="AG179" i="54"/>
  <c r="AH179" i="54" s="1"/>
  <c r="AG359" i="54"/>
  <c r="AH359" i="54" s="1"/>
  <c r="AG83" i="54"/>
  <c r="AH83" i="54" s="1"/>
  <c r="AG215" i="54"/>
  <c r="AH215" i="54" s="1"/>
  <c r="AG161" i="54"/>
  <c r="AH161" i="54" s="1"/>
  <c r="AG257" i="54"/>
  <c r="AH257" i="54" s="1"/>
  <c r="BZ29" i="1"/>
  <c r="CD13" i="1"/>
  <c r="CA13" i="1"/>
  <c r="CB33" i="1"/>
  <c r="CA33" i="1"/>
  <c r="CD18" i="1"/>
  <c r="CD24" i="1"/>
  <c r="CB28" i="1"/>
  <c r="CA17" i="1"/>
  <c r="CD19" i="1"/>
  <c r="BZ13" i="1"/>
  <c r="CB14" i="1"/>
  <c r="BZ24" i="1"/>
  <c r="BZ23" i="1"/>
  <c r="CC17" i="1"/>
  <c r="CA18" i="1"/>
  <c r="CA21" i="1"/>
  <c r="CD20" i="1"/>
  <c r="BZ32" i="1"/>
  <c r="CB24" i="1"/>
  <c r="AF255" i="54" s="1"/>
  <c r="AG255" i="54" s="1"/>
  <c r="AH255" i="54" s="1"/>
  <c r="BZ28" i="1"/>
  <c r="CA34" i="1"/>
  <c r="CB19" i="1"/>
  <c r="CA16" i="1"/>
  <c r="CB21" i="1"/>
  <c r="AF16" i="54" s="1"/>
  <c r="AG16" i="54" s="1"/>
  <c r="AH16" i="54" s="1"/>
  <c r="AI16" i="54" s="1"/>
  <c r="BZ14" i="1"/>
  <c r="CB35" i="1"/>
  <c r="CC20" i="1"/>
  <c r="CA32" i="1"/>
  <c r="CD23" i="1"/>
  <c r="BZ17" i="1"/>
  <c r="CC19" i="1"/>
  <c r="BZ33" i="1"/>
  <c r="BZ19" i="1"/>
  <c r="CB16" i="1"/>
  <c r="CA14" i="1"/>
  <c r="BZ18" i="1"/>
  <c r="CB13" i="1"/>
  <c r="BW25" i="1"/>
  <c r="CH25" i="1" s="1"/>
  <c r="CC25" i="1"/>
  <c r="BX25" i="1"/>
  <c r="CD25" i="1"/>
  <c r="CC13" i="1"/>
  <c r="BZ30" i="1"/>
  <c r="CB20" i="1"/>
  <c r="AF20" i="54" s="1"/>
  <c r="AG20" i="54" s="1"/>
  <c r="AH20" i="54" s="1"/>
  <c r="AI20" i="54" s="1"/>
  <c r="CA23" i="1"/>
  <c r="CA29" i="1"/>
  <c r="BZ16" i="1"/>
  <c r="CC14" i="1"/>
  <c r="BZ20" i="1"/>
  <c r="CB32" i="1"/>
  <c r="CA24" i="1"/>
  <c r="CC23" i="1"/>
  <c r="BZ34" i="1"/>
  <c r="CC18" i="1"/>
  <c r="BZ35" i="1"/>
  <c r="CD21" i="1"/>
  <c r="CA20" i="1"/>
  <c r="BX26" i="1"/>
  <c r="CD26" i="1"/>
  <c r="BW26" i="1"/>
  <c r="CC26" i="1"/>
  <c r="CB23" i="1"/>
  <c r="AF238" i="54" s="1"/>
  <c r="AG238" i="54" s="1"/>
  <c r="AH238" i="54" s="1"/>
  <c r="AI238" i="54" s="1"/>
  <c r="CA19" i="1"/>
  <c r="BT25" i="1"/>
  <c r="BZ25" i="1"/>
  <c r="CB18" i="1"/>
  <c r="CA35" i="1"/>
  <c r="BT26" i="1"/>
  <c r="BZ26" i="1"/>
  <c r="CC24" i="1"/>
  <c r="CA28" i="1"/>
  <c r="CB29" i="1"/>
  <c r="CD16" i="1"/>
  <c r="CC21" i="1"/>
  <c r="CC16" i="1"/>
  <c r="BZ21" i="1"/>
  <c r="CA30" i="1"/>
  <c r="CB30" i="1"/>
  <c r="CD14" i="1"/>
  <c r="BR25" i="1"/>
  <c r="CI25" i="1" l="1"/>
  <c r="AI215" i="54"/>
  <c r="AI257" i="54"/>
  <c r="AI83" i="54"/>
  <c r="AI179" i="54"/>
  <c r="AI161" i="54"/>
  <c r="AI359" i="54"/>
  <c r="AL246" i="56"/>
  <c r="AM246" i="56" s="1"/>
  <c r="AN246" i="56" s="1"/>
  <c r="AL182" i="56"/>
  <c r="AM182" i="56" s="1"/>
  <c r="AL118" i="56"/>
  <c r="AM118" i="56" s="1"/>
  <c r="AL198" i="56"/>
  <c r="AM198" i="56" s="1"/>
  <c r="AN198" i="56" s="1"/>
  <c r="AO198" i="56" s="1"/>
  <c r="AL134" i="56"/>
  <c r="AM134" i="56" s="1"/>
  <c r="AN134" i="56" s="1"/>
  <c r="AL70" i="56"/>
  <c r="AM70" i="56" s="1"/>
  <c r="AN70" i="56" s="1"/>
  <c r="AO70" i="56" s="1"/>
  <c r="AL214" i="56"/>
  <c r="AM214" i="56" s="1"/>
  <c r="AN214" i="56" s="1"/>
  <c r="AO214" i="56" s="1"/>
  <c r="AL150" i="56"/>
  <c r="AM150" i="56" s="1"/>
  <c r="AL230" i="56"/>
  <c r="AM230" i="56" s="1"/>
  <c r="AN230" i="56" s="1"/>
  <c r="AO230" i="56" s="1"/>
  <c r="AL166" i="56"/>
  <c r="AM166" i="56" s="1"/>
  <c r="AN166" i="56" s="1"/>
  <c r="AO166" i="56" s="1"/>
  <c r="AL102" i="56"/>
  <c r="AM102" i="56" s="1"/>
  <c r="AN102" i="56" s="1"/>
  <c r="AO102" i="56" s="1"/>
  <c r="AL38" i="56"/>
  <c r="AM38" i="56" s="1"/>
  <c r="AN38" i="56" s="1"/>
  <c r="AO38" i="56" s="1"/>
  <c r="AL86" i="56"/>
  <c r="AM86" i="56" s="1"/>
  <c r="AN86" i="56" s="1"/>
  <c r="AO86" i="56" s="1"/>
  <c r="AL54" i="56"/>
  <c r="AM54" i="56" s="1"/>
  <c r="AN54" i="56" s="1"/>
  <c r="AL254" i="56"/>
  <c r="AM254" i="56" s="1"/>
  <c r="AN254" i="56" s="1"/>
  <c r="AL190" i="56"/>
  <c r="AM190" i="56" s="1"/>
  <c r="AN190" i="56" s="1"/>
  <c r="AO190" i="56" s="1"/>
  <c r="AL46" i="56"/>
  <c r="AM46" i="56" s="1"/>
  <c r="AN46" i="56" s="1"/>
  <c r="AO46" i="56" s="1"/>
  <c r="AL30" i="56"/>
  <c r="AM30" i="56" s="1"/>
  <c r="AN30" i="56" s="1"/>
  <c r="AO30" i="56" s="1"/>
  <c r="AL110" i="56"/>
  <c r="AM110" i="56" s="1"/>
  <c r="AL174" i="56"/>
  <c r="AM174" i="56" s="1"/>
  <c r="AN174" i="56" s="1"/>
  <c r="AO174" i="56" s="1"/>
  <c r="AL238" i="56"/>
  <c r="AM238" i="56" s="1"/>
  <c r="AN238" i="56" s="1"/>
  <c r="AO238" i="56" s="1"/>
  <c r="AL126" i="56"/>
  <c r="AM126" i="56" s="1"/>
  <c r="AN126" i="56" s="1"/>
  <c r="AO126" i="56" s="1"/>
  <c r="AL142" i="56"/>
  <c r="AM142" i="56" s="1"/>
  <c r="AN142" i="56" s="1"/>
  <c r="AL94" i="56"/>
  <c r="AM94" i="56" s="1"/>
  <c r="AN94" i="56" s="1"/>
  <c r="AO94" i="56" s="1"/>
  <c r="AL206" i="56"/>
  <c r="AM206" i="56" s="1"/>
  <c r="AN206" i="56" s="1"/>
  <c r="AO206" i="56" s="1"/>
  <c r="AL158" i="56"/>
  <c r="AM158" i="56" s="1"/>
  <c r="AN158" i="56" s="1"/>
  <c r="AL62" i="56"/>
  <c r="AM62" i="56" s="1"/>
  <c r="AN62" i="56" s="1"/>
  <c r="AO62" i="56" s="1"/>
  <c r="AL222" i="56"/>
  <c r="AM222" i="56" s="1"/>
  <c r="AN222" i="56" s="1"/>
  <c r="AO222" i="56" s="1"/>
  <c r="AL22" i="56"/>
  <c r="AM22" i="56" s="1"/>
  <c r="AN22" i="56" s="1"/>
  <c r="AO22" i="56" s="1"/>
  <c r="AL78" i="56"/>
  <c r="AM78" i="56" s="1"/>
  <c r="AN78" i="56" s="1"/>
  <c r="AO78" i="56" s="1"/>
  <c r="Z254" i="56"/>
  <c r="AA254" i="56" s="1"/>
  <c r="AB254" i="56" s="1"/>
  <c r="Z230" i="56"/>
  <c r="AA230" i="56" s="1"/>
  <c r="AB230" i="56" s="1"/>
  <c r="Z166" i="56"/>
  <c r="AA166" i="56" s="1"/>
  <c r="AB166" i="56" s="1"/>
  <c r="AC166" i="56" s="1"/>
  <c r="Z102" i="56"/>
  <c r="AA102" i="56" s="1"/>
  <c r="AB102" i="56" s="1"/>
  <c r="Z38" i="56"/>
  <c r="AA38" i="56" s="1"/>
  <c r="AB38" i="56" s="1"/>
  <c r="AC38" i="56" s="1"/>
  <c r="Z238" i="56"/>
  <c r="AA238" i="56" s="1"/>
  <c r="AB238" i="56" s="1"/>
  <c r="AC238" i="56" s="1"/>
  <c r="Z246" i="56"/>
  <c r="AA246" i="56" s="1"/>
  <c r="AB246" i="56" s="1"/>
  <c r="AC246" i="56" s="1"/>
  <c r="Z182" i="56"/>
  <c r="AA182" i="56" s="1"/>
  <c r="AB182" i="56" s="1"/>
  <c r="AC182" i="56" s="1"/>
  <c r="Z118" i="56"/>
  <c r="AA118" i="56" s="1"/>
  <c r="AB118" i="56" s="1"/>
  <c r="Z54" i="56"/>
  <c r="AA54" i="56" s="1"/>
  <c r="AB54" i="56" s="1"/>
  <c r="AC54" i="56" s="1"/>
  <c r="Z198" i="56"/>
  <c r="AA198" i="56" s="1"/>
  <c r="AB198" i="56" s="1"/>
  <c r="AC198" i="56" s="1"/>
  <c r="Z134" i="56"/>
  <c r="AA134" i="56" s="1"/>
  <c r="AB134" i="56" s="1"/>
  <c r="AC134" i="56" s="1"/>
  <c r="Z70" i="56"/>
  <c r="AA70" i="56" s="1"/>
  <c r="Z214" i="56"/>
  <c r="AA214" i="56" s="1"/>
  <c r="Z150" i="56"/>
  <c r="AA150" i="56" s="1"/>
  <c r="AB150" i="56" s="1"/>
  <c r="AC150" i="56" s="1"/>
  <c r="Z86" i="56"/>
  <c r="AA86" i="56" s="1"/>
  <c r="Z22" i="56"/>
  <c r="AA22" i="56" s="1"/>
  <c r="AB22" i="56" s="1"/>
  <c r="AC22" i="56" s="1"/>
  <c r="Z190" i="56"/>
  <c r="AA190" i="56" s="1"/>
  <c r="AB190" i="56" s="1"/>
  <c r="AC190" i="56" s="1"/>
  <c r="Z126" i="56"/>
  <c r="AA126" i="56" s="1"/>
  <c r="AB126" i="56" s="1"/>
  <c r="Z62" i="56"/>
  <c r="AA62" i="56" s="1"/>
  <c r="AB62" i="56" s="1"/>
  <c r="AC62" i="56" s="1"/>
  <c r="Z206" i="56"/>
  <c r="AA206" i="56" s="1"/>
  <c r="AB206" i="56" s="1"/>
  <c r="AC206" i="56" s="1"/>
  <c r="Z142" i="56"/>
  <c r="AA142" i="56" s="1"/>
  <c r="AB142" i="56" s="1"/>
  <c r="Z78" i="56"/>
  <c r="AA78" i="56" s="1"/>
  <c r="AB78" i="56" s="1"/>
  <c r="AC78" i="56" s="1"/>
  <c r="Z222" i="56"/>
  <c r="AA222" i="56" s="1"/>
  <c r="Z158" i="56"/>
  <c r="AA158" i="56" s="1"/>
  <c r="AB158" i="56" s="1"/>
  <c r="Z94" i="56"/>
  <c r="AA94" i="56" s="1"/>
  <c r="AB94" i="56" s="1"/>
  <c r="AC94" i="56" s="1"/>
  <c r="Z30" i="56"/>
  <c r="AA30" i="56" s="1"/>
  <c r="AB30" i="56" s="1"/>
  <c r="Z174" i="56"/>
  <c r="AA174" i="56" s="1"/>
  <c r="Z110" i="56"/>
  <c r="AA110" i="56" s="1"/>
  <c r="Z46" i="56"/>
  <c r="AA46" i="56" s="1"/>
  <c r="AB46" i="56" s="1"/>
  <c r="L160" i="54"/>
  <c r="M160" i="54" s="1"/>
  <c r="L232" i="54"/>
  <c r="M232" i="54" s="1"/>
  <c r="N232" i="54" s="1"/>
  <c r="L112" i="54"/>
  <c r="M112" i="54" s="1"/>
  <c r="N112" i="54" s="1"/>
  <c r="L220" i="54"/>
  <c r="M220" i="54" s="1"/>
  <c r="N220" i="54" s="1"/>
  <c r="O220" i="54" s="1"/>
  <c r="L124" i="54"/>
  <c r="M124" i="54" s="1"/>
  <c r="L136" i="54"/>
  <c r="M136" i="54" s="1"/>
  <c r="L88" i="54"/>
  <c r="M88" i="54" s="1"/>
  <c r="N88" i="54" s="1"/>
  <c r="O88" i="54" s="1"/>
  <c r="L280" i="54"/>
  <c r="M280" i="54" s="1"/>
  <c r="N280" i="54" s="1"/>
  <c r="L64" i="54"/>
  <c r="M64" i="54" s="1"/>
  <c r="N64" i="54" s="1"/>
  <c r="L184" i="54"/>
  <c r="M184" i="54" s="1"/>
  <c r="N184" i="54" s="1"/>
  <c r="O184" i="54" s="1"/>
  <c r="L76" i="54"/>
  <c r="M76" i="54" s="1"/>
  <c r="N76" i="54" s="1"/>
  <c r="O76" i="54" s="1"/>
  <c r="AL105" i="56"/>
  <c r="AM105" i="56" s="1"/>
  <c r="AN105" i="56" s="1"/>
  <c r="AL169" i="56"/>
  <c r="AM169" i="56" s="1"/>
  <c r="AN169" i="56" s="1"/>
  <c r="AL41" i="56"/>
  <c r="AM41" i="56" s="1"/>
  <c r="AN41" i="56" s="1"/>
  <c r="AO41" i="56" s="1"/>
  <c r="AL249" i="56"/>
  <c r="AM249" i="56" s="1"/>
  <c r="AN249" i="56" s="1"/>
  <c r="AO249" i="56" s="1"/>
  <c r="AL225" i="56"/>
  <c r="AM225" i="56" s="1"/>
  <c r="AN225" i="56" s="1"/>
  <c r="AL161" i="56"/>
  <c r="AM161" i="56" s="1"/>
  <c r="AN161" i="56" s="1"/>
  <c r="AO161" i="56" s="1"/>
  <c r="AL97" i="56"/>
  <c r="AM97" i="56" s="1"/>
  <c r="AN97" i="56" s="1"/>
  <c r="AO97" i="56" s="1"/>
  <c r="AL177" i="56"/>
  <c r="AM177" i="56" s="1"/>
  <c r="AN177" i="56" s="1"/>
  <c r="AL193" i="56"/>
  <c r="AM193" i="56" s="1"/>
  <c r="AN193" i="56" s="1"/>
  <c r="AL129" i="56"/>
  <c r="AM129" i="56" s="1"/>
  <c r="AN129" i="56" s="1"/>
  <c r="AO129" i="56" s="1"/>
  <c r="AL209" i="56"/>
  <c r="AM209" i="56" s="1"/>
  <c r="AN209" i="56" s="1"/>
  <c r="AO209" i="56" s="1"/>
  <c r="AL145" i="56"/>
  <c r="AM145" i="56" s="1"/>
  <c r="AN145" i="56" s="1"/>
  <c r="AO145" i="56" s="1"/>
  <c r="AL81" i="56"/>
  <c r="AM81" i="56" s="1"/>
  <c r="AN81" i="56" s="1"/>
  <c r="AO81" i="56" s="1"/>
  <c r="AL113" i="56"/>
  <c r="AM113" i="56" s="1"/>
  <c r="AN113" i="56" s="1"/>
  <c r="AO113" i="56" s="1"/>
  <c r="AL33" i="56"/>
  <c r="AM33" i="56" s="1"/>
  <c r="AL49" i="56"/>
  <c r="AM49" i="56" s="1"/>
  <c r="AN49" i="56" s="1"/>
  <c r="AO49" i="56" s="1"/>
  <c r="AL65" i="56"/>
  <c r="AM65" i="56" s="1"/>
  <c r="AN65" i="56" s="1"/>
  <c r="AO65" i="56" s="1"/>
  <c r="AL17" i="56"/>
  <c r="AM17" i="56" s="1"/>
  <c r="AL25" i="56"/>
  <c r="AM25" i="56" s="1"/>
  <c r="AN25" i="56" s="1"/>
  <c r="AO25" i="56" s="1"/>
  <c r="AL233" i="56"/>
  <c r="AM233" i="56" s="1"/>
  <c r="AN233" i="56" s="1"/>
  <c r="AO233" i="56" s="1"/>
  <c r="Z245" i="56"/>
  <c r="AA245" i="56" s="1"/>
  <c r="AB245" i="56" s="1"/>
  <c r="AC245" i="56" s="1"/>
  <c r="Z229" i="56"/>
  <c r="AA229" i="56" s="1"/>
  <c r="AB229" i="56" s="1"/>
  <c r="Z253" i="56"/>
  <c r="AA253" i="56" s="1"/>
  <c r="Z165" i="56"/>
  <c r="AA165" i="56" s="1"/>
  <c r="AB165" i="56" s="1"/>
  <c r="AC165" i="56" s="1"/>
  <c r="Z101" i="56"/>
  <c r="AA101" i="56" s="1"/>
  <c r="AB101" i="56" s="1"/>
  <c r="Z37" i="56"/>
  <c r="AA37" i="56" s="1"/>
  <c r="AB37" i="56" s="1"/>
  <c r="Z221" i="56"/>
  <c r="AA221" i="56" s="1"/>
  <c r="AB221" i="56" s="1"/>
  <c r="AC221" i="56" s="1"/>
  <c r="Z181" i="56"/>
  <c r="AA181" i="56" s="1"/>
  <c r="AB181" i="56" s="1"/>
  <c r="AC181" i="56" s="1"/>
  <c r="Z117" i="56"/>
  <c r="AA117" i="56" s="1"/>
  <c r="Z53" i="56"/>
  <c r="AA53" i="56" s="1"/>
  <c r="AB53" i="56" s="1"/>
  <c r="AC53" i="56" s="1"/>
  <c r="Z237" i="56"/>
  <c r="AA237" i="56" s="1"/>
  <c r="AB237" i="56" s="1"/>
  <c r="AC237" i="56" s="1"/>
  <c r="Z197" i="56"/>
  <c r="AA197" i="56" s="1"/>
  <c r="AB197" i="56" s="1"/>
  <c r="Z133" i="56"/>
  <c r="AA133" i="56" s="1"/>
  <c r="AB133" i="56" s="1"/>
  <c r="AC133" i="56" s="1"/>
  <c r="Z69" i="56"/>
  <c r="AA69" i="56" s="1"/>
  <c r="AB69" i="56" s="1"/>
  <c r="AC69" i="56" s="1"/>
  <c r="Z213" i="56"/>
  <c r="AA213" i="56" s="1"/>
  <c r="AB213" i="56" s="1"/>
  <c r="AC213" i="56" s="1"/>
  <c r="Z149" i="56"/>
  <c r="AA149" i="56" s="1"/>
  <c r="AB149" i="56" s="1"/>
  <c r="Z85" i="56"/>
  <c r="AA85" i="56" s="1"/>
  <c r="Z21" i="56"/>
  <c r="AA21" i="56" s="1"/>
  <c r="AB21" i="56" s="1"/>
  <c r="AC21" i="56" s="1"/>
  <c r="Z205" i="56"/>
  <c r="AA205" i="56" s="1"/>
  <c r="AB205" i="56" s="1"/>
  <c r="Z141" i="56"/>
  <c r="AA141" i="56" s="1"/>
  <c r="AB141" i="56" s="1"/>
  <c r="Z77" i="56"/>
  <c r="AA77" i="56" s="1"/>
  <c r="AB77" i="56" s="1"/>
  <c r="Z157" i="56"/>
  <c r="AA157" i="56" s="1"/>
  <c r="Z93" i="56"/>
  <c r="AA93" i="56" s="1"/>
  <c r="AB93" i="56" s="1"/>
  <c r="AC93" i="56" s="1"/>
  <c r="Z29" i="56"/>
  <c r="AA29" i="56" s="1"/>
  <c r="Z173" i="56"/>
  <c r="AA173" i="56" s="1"/>
  <c r="AB173" i="56" s="1"/>
  <c r="Z109" i="56"/>
  <c r="AA109" i="56" s="1"/>
  <c r="Z189" i="56"/>
  <c r="AA189" i="56" s="1"/>
  <c r="AB189" i="56" s="1"/>
  <c r="AC189" i="56" s="1"/>
  <c r="Z125" i="56"/>
  <c r="AA125" i="56" s="1"/>
  <c r="Z61" i="56"/>
  <c r="AA61" i="56" s="1"/>
  <c r="AB61" i="56" s="1"/>
  <c r="AC61" i="56" s="1"/>
  <c r="Z45" i="56"/>
  <c r="AA45" i="56" s="1"/>
  <c r="AB45" i="56" s="1"/>
  <c r="Z255" i="56"/>
  <c r="AA255" i="56" s="1"/>
  <c r="AB255" i="56" s="1"/>
  <c r="AC255" i="56" s="1"/>
  <c r="Z247" i="56"/>
  <c r="AA247" i="56" s="1"/>
  <c r="AB247" i="56" s="1"/>
  <c r="Z239" i="56"/>
  <c r="AA239" i="56" s="1"/>
  <c r="AB239" i="56" s="1"/>
  <c r="Z175" i="56"/>
  <c r="AA175" i="56" s="1"/>
  <c r="AB175" i="56" s="1"/>
  <c r="AC175" i="56" s="1"/>
  <c r="Z111" i="56"/>
  <c r="AA111" i="56" s="1"/>
  <c r="Z47" i="56"/>
  <c r="AA47" i="56" s="1"/>
  <c r="Z191" i="56"/>
  <c r="AA191" i="56" s="1"/>
  <c r="AB191" i="56" s="1"/>
  <c r="Z127" i="56"/>
  <c r="AA127" i="56" s="1"/>
  <c r="AB127" i="56" s="1"/>
  <c r="AC127" i="56" s="1"/>
  <c r="Z63" i="56"/>
  <c r="AA63" i="56" s="1"/>
  <c r="AB63" i="56" s="1"/>
  <c r="AC63" i="56" s="1"/>
  <c r="Z231" i="56"/>
  <c r="AA231" i="56" s="1"/>
  <c r="AB231" i="56" s="1"/>
  <c r="AC231" i="56" s="1"/>
  <c r="Z207" i="56"/>
  <c r="AA207" i="56" s="1"/>
  <c r="AB207" i="56" s="1"/>
  <c r="Z143" i="56"/>
  <c r="AA143" i="56" s="1"/>
  <c r="AB143" i="56" s="1"/>
  <c r="Z79" i="56"/>
  <c r="AA79" i="56" s="1"/>
  <c r="AB79" i="56" s="1"/>
  <c r="Z223" i="56"/>
  <c r="AA223" i="56" s="1"/>
  <c r="Z159" i="56"/>
  <c r="AA159" i="56" s="1"/>
  <c r="AB159" i="56" s="1"/>
  <c r="AC159" i="56" s="1"/>
  <c r="Z95" i="56"/>
  <c r="AA95" i="56" s="1"/>
  <c r="AB95" i="56" s="1"/>
  <c r="AC95" i="56" s="1"/>
  <c r="Z31" i="56"/>
  <c r="AA31" i="56" s="1"/>
  <c r="AB31" i="56" s="1"/>
  <c r="AC31" i="56" s="1"/>
  <c r="Z151" i="56"/>
  <c r="AA151" i="56" s="1"/>
  <c r="AB151" i="56" s="1"/>
  <c r="AC151" i="56" s="1"/>
  <c r="Z87" i="56"/>
  <c r="AA87" i="56" s="1"/>
  <c r="AB87" i="56" s="1"/>
  <c r="AC87" i="56" s="1"/>
  <c r="Z23" i="56"/>
  <c r="AA23" i="56" s="1"/>
  <c r="AB23" i="56" s="1"/>
  <c r="Z167" i="56"/>
  <c r="AA167" i="56" s="1"/>
  <c r="AB167" i="56" s="1"/>
  <c r="AC167" i="56" s="1"/>
  <c r="Z103" i="56"/>
  <c r="AA103" i="56" s="1"/>
  <c r="AB103" i="56" s="1"/>
  <c r="AC103" i="56" s="1"/>
  <c r="Z39" i="56"/>
  <c r="AA39" i="56" s="1"/>
  <c r="Z215" i="56"/>
  <c r="AA215" i="56" s="1"/>
  <c r="AB215" i="56" s="1"/>
  <c r="Z183" i="56"/>
  <c r="AA183" i="56" s="1"/>
  <c r="AB183" i="56" s="1"/>
  <c r="Z119" i="56"/>
  <c r="AA119" i="56" s="1"/>
  <c r="AB119" i="56" s="1"/>
  <c r="AC119" i="56" s="1"/>
  <c r="Z199" i="56"/>
  <c r="AA199" i="56" s="1"/>
  <c r="AB199" i="56" s="1"/>
  <c r="AC199" i="56" s="1"/>
  <c r="Z135" i="56"/>
  <c r="AA135" i="56" s="1"/>
  <c r="Z71" i="56"/>
  <c r="AA71" i="56" s="1"/>
  <c r="AB71" i="56" s="1"/>
  <c r="AC71" i="56" s="1"/>
  <c r="Z55" i="56"/>
  <c r="AA55" i="56" s="1"/>
  <c r="AB55" i="56" s="1"/>
  <c r="AC55" i="56" s="1"/>
  <c r="V54" i="54"/>
  <c r="W54" i="54" s="1"/>
  <c r="V246" i="54"/>
  <c r="W246" i="54" s="1"/>
  <c r="X246" i="54" s="1"/>
  <c r="V258" i="54"/>
  <c r="W258" i="54" s="1"/>
  <c r="X258" i="54" s="1"/>
  <c r="V66" i="54"/>
  <c r="W66" i="54" s="1"/>
  <c r="X66" i="54" s="1"/>
  <c r="Y66" i="54" s="1"/>
  <c r="V150" i="54"/>
  <c r="W150" i="54" s="1"/>
  <c r="X150" i="54" s="1"/>
  <c r="Y150" i="54" s="1"/>
  <c r="V342" i="54"/>
  <c r="W342" i="54" s="1"/>
  <c r="X342" i="54" s="1"/>
  <c r="Y342" i="54" s="1"/>
  <c r="V188" i="54"/>
  <c r="W188" i="54" s="1"/>
  <c r="X188" i="54" s="1"/>
  <c r="Y188" i="54" s="1"/>
  <c r="V272" i="54"/>
  <c r="W272" i="54" s="1"/>
  <c r="X272" i="54" s="1"/>
  <c r="Y272" i="54" s="1"/>
  <c r="V80" i="54"/>
  <c r="W80" i="54" s="1"/>
  <c r="X80" i="54" s="1"/>
  <c r="Y80" i="54" s="1"/>
  <c r="N239" i="56"/>
  <c r="O239" i="56" s="1"/>
  <c r="P239" i="56" s="1"/>
  <c r="Q239" i="56" s="1"/>
  <c r="N255" i="56"/>
  <c r="O255" i="56" s="1"/>
  <c r="P255" i="56" s="1"/>
  <c r="Q255" i="56" s="1"/>
  <c r="N183" i="56"/>
  <c r="O183" i="56" s="1"/>
  <c r="P183" i="56" s="1"/>
  <c r="Q183" i="56" s="1"/>
  <c r="N119" i="56"/>
  <c r="O119" i="56" s="1"/>
  <c r="P119" i="56" s="1"/>
  <c r="Q119" i="56" s="1"/>
  <c r="N55" i="56"/>
  <c r="O55" i="56" s="1"/>
  <c r="P55" i="56" s="1"/>
  <c r="Q55" i="56" s="1"/>
  <c r="N199" i="56"/>
  <c r="O199" i="56" s="1"/>
  <c r="P199" i="56" s="1"/>
  <c r="Q199" i="56" s="1"/>
  <c r="N135" i="56"/>
  <c r="O135" i="56" s="1"/>
  <c r="P135" i="56" s="1"/>
  <c r="Q135" i="56" s="1"/>
  <c r="N71" i="56"/>
  <c r="O71" i="56" s="1"/>
  <c r="P71" i="56" s="1"/>
  <c r="Q71" i="56" s="1"/>
  <c r="N247" i="56"/>
  <c r="O247" i="56" s="1"/>
  <c r="P247" i="56" s="1"/>
  <c r="Q247" i="56" s="1"/>
  <c r="N231" i="56"/>
  <c r="O231" i="56" s="1"/>
  <c r="P231" i="56" s="1"/>
  <c r="Q231" i="56" s="1"/>
  <c r="N167" i="56"/>
  <c r="O167" i="56" s="1"/>
  <c r="P167" i="56" s="1"/>
  <c r="Q167" i="56" s="1"/>
  <c r="N103" i="56"/>
  <c r="O103" i="56" s="1"/>
  <c r="P103" i="56" s="1"/>
  <c r="Q103" i="56" s="1"/>
  <c r="N39" i="56"/>
  <c r="O39" i="56" s="1"/>
  <c r="P39" i="56" s="1"/>
  <c r="Q39" i="56" s="1"/>
  <c r="N151" i="56"/>
  <c r="O151" i="56" s="1"/>
  <c r="P151" i="56" s="1"/>
  <c r="N175" i="56"/>
  <c r="O175" i="56" s="1"/>
  <c r="P175" i="56" s="1"/>
  <c r="N111" i="56"/>
  <c r="O111" i="56" s="1"/>
  <c r="P111" i="56" s="1"/>
  <c r="Q111" i="56" s="1"/>
  <c r="N47" i="56"/>
  <c r="O47" i="56" s="1"/>
  <c r="P47" i="56" s="1"/>
  <c r="Q47" i="56" s="1"/>
  <c r="N215" i="56"/>
  <c r="O215" i="56" s="1"/>
  <c r="P215" i="56" s="1"/>
  <c r="Q215" i="56" s="1"/>
  <c r="N191" i="56"/>
  <c r="O191" i="56" s="1"/>
  <c r="P191" i="56" s="1"/>
  <c r="Q191" i="56" s="1"/>
  <c r="N127" i="56"/>
  <c r="O127" i="56" s="1"/>
  <c r="N63" i="56"/>
  <c r="O63" i="56" s="1"/>
  <c r="P63" i="56" s="1"/>
  <c r="Q63" i="56" s="1"/>
  <c r="N23" i="56"/>
  <c r="O23" i="56" s="1"/>
  <c r="N207" i="56"/>
  <c r="O207" i="56" s="1"/>
  <c r="P207" i="56" s="1"/>
  <c r="N143" i="56"/>
  <c r="O143" i="56" s="1"/>
  <c r="P143" i="56" s="1"/>
  <c r="Q143" i="56" s="1"/>
  <c r="N79" i="56"/>
  <c r="O79" i="56" s="1"/>
  <c r="N87" i="56"/>
  <c r="O87" i="56" s="1"/>
  <c r="P87" i="56" s="1"/>
  <c r="N223" i="56"/>
  <c r="O223" i="56" s="1"/>
  <c r="N159" i="56"/>
  <c r="O159" i="56" s="1"/>
  <c r="P159" i="56" s="1"/>
  <c r="Q159" i="56" s="1"/>
  <c r="N95" i="56"/>
  <c r="O95" i="56" s="1"/>
  <c r="P95" i="56" s="1"/>
  <c r="N31" i="56"/>
  <c r="O31" i="56" s="1"/>
  <c r="P31" i="56" s="1"/>
  <c r="Q31" i="56" s="1"/>
  <c r="N248" i="56"/>
  <c r="O248" i="56" s="1"/>
  <c r="P248" i="56" s="1"/>
  <c r="Q248" i="56" s="1"/>
  <c r="N232" i="56"/>
  <c r="O232" i="56" s="1"/>
  <c r="P232" i="56" s="1"/>
  <c r="Q232" i="56" s="1"/>
  <c r="N216" i="56"/>
  <c r="O216" i="56" s="1"/>
  <c r="P216" i="56" s="1"/>
  <c r="Q216" i="56" s="1"/>
  <c r="N240" i="56"/>
  <c r="O240" i="56" s="1"/>
  <c r="P240" i="56" s="1"/>
  <c r="Q240" i="56" s="1"/>
  <c r="N184" i="56"/>
  <c r="O184" i="56" s="1"/>
  <c r="P184" i="56" s="1"/>
  <c r="N136" i="56"/>
  <c r="O136" i="56" s="1"/>
  <c r="N72" i="56"/>
  <c r="O72" i="56" s="1"/>
  <c r="P72" i="56" s="1"/>
  <c r="Q72" i="56" s="1"/>
  <c r="N224" i="56"/>
  <c r="O224" i="56" s="1"/>
  <c r="P224" i="56" s="1"/>
  <c r="N160" i="56"/>
  <c r="O160" i="56" s="1"/>
  <c r="P160" i="56" s="1"/>
  <c r="Q160" i="56" s="1"/>
  <c r="N96" i="56"/>
  <c r="O96" i="56" s="1"/>
  <c r="P96" i="56" s="1"/>
  <c r="Q96" i="56" s="1"/>
  <c r="N32" i="56"/>
  <c r="O32" i="56" s="1"/>
  <c r="P32" i="56" s="1"/>
  <c r="N200" i="56"/>
  <c r="O200" i="56" s="1"/>
  <c r="P200" i="56" s="1"/>
  <c r="Q200" i="56" s="1"/>
  <c r="N152" i="56"/>
  <c r="O152" i="56" s="1"/>
  <c r="P152" i="56" s="1"/>
  <c r="N88" i="56"/>
  <c r="O88" i="56" s="1"/>
  <c r="N24" i="56"/>
  <c r="O24" i="56" s="1"/>
  <c r="P24" i="56" s="1"/>
  <c r="Q24" i="56" s="1"/>
  <c r="N176" i="56"/>
  <c r="O176" i="56" s="1"/>
  <c r="P176" i="56" s="1"/>
  <c r="Q176" i="56" s="1"/>
  <c r="N112" i="56"/>
  <c r="O112" i="56" s="1"/>
  <c r="P112" i="56" s="1"/>
  <c r="Q112" i="56" s="1"/>
  <c r="N48" i="56"/>
  <c r="O48" i="56" s="1"/>
  <c r="P48" i="56" s="1"/>
  <c r="Q48" i="56" s="1"/>
  <c r="N168" i="56"/>
  <c r="O168" i="56" s="1"/>
  <c r="P168" i="56" s="1"/>
  <c r="N104" i="56"/>
  <c r="O104" i="56" s="1"/>
  <c r="P104" i="56" s="1"/>
  <c r="Q104" i="56" s="1"/>
  <c r="N40" i="56"/>
  <c r="O40" i="56" s="1"/>
  <c r="P40" i="56" s="1"/>
  <c r="Q40" i="56" s="1"/>
  <c r="N192" i="56"/>
  <c r="O192" i="56" s="1"/>
  <c r="P192" i="56" s="1"/>
  <c r="Q192" i="56" s="1"/>
  <c r="N128" i="56"/>
  <c r="O128" i="56" s="1"/>
  <c r="N64" i="56"/>
  <c r="O64" i="56" s="1"/>
  <c r="P64" i="56" s="1"/>
  <c r="N120" i="56"/>
  <c r="O120" i="56" s="1"/>
  <c r="P120" i="56" s="1"/>
  <c r="Q120" i="56" s="1"/>
  <c r="N56" i="56"/>
  <c r="O56" i="56" s="1"/>
  <c r="P56" i="56" s="1"/>
  <c r="Q56" i="56" s="1"/>
  <c r="N208" i="56"/>
  <c r="O208" i="56" s="1"/>
  <c r="P208" i="56" s="1"/>
  <c r="N144" i="56"/>
  <c r="O144" i="56" s="1"/>
  <c r="P144" i="56" s="1"/>
  <c r="Q144" i="56" s="1"/>
  <c r="N80" i="56"/>
  <c r="O80" i="56" s="1"/>
  <c r="P80" i="56" s="1"/>
  <c r="Q80" i="56" s="1"/>
  <c r="N16" i="56"/>
  <c r="O16" i="56" s="1"/>
  <c r="P16" i="56" s="1"/>
  <c r="Q16" i="56" s="1"/>
  <c r="V123" i="54"/>
  <c r="W123" i="54" s="1"/>
  <c r="X123" i="54" s="1"/>
  <c r="Y123" i="54" s="1"/>
  <c r="V135" i="54"/>
  <c r="W135" i="54" s="1"/>
  <c r="X135" i="54" s="1"/>
  <c r="V327" i="54"/>
  <c r="W327" i="54" s="1"/>
  <c r="X327" i="54" s="1"/>
  <c r="V219" i="54"/>
  <c r="W219" i="54" s="1"/>
  <c r="X219" i="54" s="1"/>
  <c r="V27" i="54"/>
  <c r="W27" i="54" s="1"/>
  <c r="X27" i="54" s="1"/>
  <c r="AL252" i="56"/>
  <c r="AM252" i="56" s="1"/>
  <c r="AN252" i="56" s="1"/>
  <c r="AO252" i="56" s="1"/>
  <c r="AL172" i="56"/>
  <c r="AM172" i="56" s="1"/>
  <c r="AN172" i="56" s="1"/>
  <c r="AO172" i="56" s="1"/>
  <c r="AL108" i="56"/>
  <c r="AM108" i="56" s="1"/>
  <c r="AN108" i="56" s="1"/>
  <c r="AL236" i="56"/>
  <c r="AM236" i="56" s="1"/>
  <c r="AN236" i="56" s="1"/>
  <c r="AO236" i="56" s="1"/>
  <c r="AL188" i="56"/>
  <c r="AM188" i="56" s="1"/>
  <c r="AN188" i="56" s="1"/>
  <c r="AO188" i="56" s="1"/>
  <c r="AL124" i="56"/>
  <c r="AM124" i="56" s="1"/>
  <c r="AN124" i="56" s="1"/>
  <c r="AL60" i="56"/>
  <c r="AM60" i="56" s="1"/>
  <c r="AN60" i="56" s="1"/>
  <c r="AO60" i="56" s="1"/>
  <c r="AL204" i="56"/>
  <c r="AM204" i="56" s="1"/>
  <c r="AN204" i="56" s="1"/>
  <c r="AO204" i="56" s="1"/>
  <c r="AL140" i="56"/>
  <c r="AM140" i="56" s="1"/>
  <c r="AN140" i="56" s="1"/>
  <c r="AO140" i="56" s="1"/>
  <c r="AL220" i="56"/>
  <c r="AM220" i="56" s="1"/>
  <c r="AL156" i="56"/>
  <c r="AM156" i="56" s="1"/>
  <c r="AN156" i="56" s="1"/>
  <c r="AL92" i="56"/>
  <c r="AM92" i="56" s="1"/>
  <c r="AN92" i="56" s="1"/>
  <c r="AO92" i="56" s="1"/>
  <c r="AL76" i="56"/>
  <c r="AM76" i="56" s="1"/>
  <c r="AL44" i="56"/>
  <c r="AM44" i="56" s="1"/>
  <c r="AN44" i="56" s="1"/>
  <c r="AL244" i="56"/>
  <c r="AM244" i="56" s="1"/>
  <c r="AN244" i="56" s="1"/>
  <c r="AL100" i="56"/>
  <c r="AM100" i="56" s="1"/>
  <c r="AN100" i="56" s="1"/>
  <c r="AO100" i="56" s="1"/>
  <c r="AL52" i="56"/>
  <c r="AM52" i="56" s="1"/>
  <c r="AN52" i="56" s="1"/>
  <c r="AO52" i="56" s="1"/>
  <c r="AL20" i="56"/>
  <c r="AM20" i="56" s="1"/>
  <c r="AN20" i="56" s="1"/>
  <c r="AO20" i="56" s="1"/>
  <c r="AL164" i="56"/>
  <c r="AM164" i="56" s="1"/>
  <c r="AL116" i="56"/>
  <c r="AM116" i="56" s="1"/>
  <c r="AN116" i="56" s="1"/>
  <c r="AO116" i="56" s="1"/>
  <c r="AL228" i="56"/>
  <c r="AM228" i="56" s="1"/>
  <c r="AN228" i="56" s="1"/>
  <c r="AL180" i="56"/>
  <c r="AM180" i="56" s="1"/>
  <c r="AN180" i="56" s="1"/>
  <c r="AO180" i="56" s="1"/>
  <c r="AL196" i="56"/>
  <c r="AM196" i="56" s="1"/>
  <c r="AN196" i="56" s="1"/>
  <c r="AO196" i="56" s="1"/>
  <c r="AL148" i="56"/>
  <c r="AM148" i="56" s="1"/>
  <c r="AL212" i="56"/>
  <c r="AM212" i="56" s="1"/>
  <c r="AN212" i="56" s="1"/>
  <c r="AO212" i="56" s="1"/>
  <c r="AL68" i="56"/>
  <c r="AM68" i="56" s="1"/>
  <c r="AN68" i="56" s="1"/>
  <c r="AO68" i="56" s="1"/>
  <c r="AL36" i="56"/>
  <c r="AM36" i="56" s="1"/>
  <c r="AN36" i="56" s="1"/>
  <c r="AO36" i="56" s="1"/>
  <c r="AL132" i="56"/>
  <c r="AM132" i="56" s="1"/>
  <c r="AN132" i="56" s="1"/>
  <c r="AO132" i="56" s="1"/>
  <c r="AL84" i="56"/>
  <c r="AM84" i="56" s="1"/>
  <c r="AN84" i="56" s="1"/>
  <c r="AO84" i="56" s="1"/>
  <c r="AL28" i="56"/>
  <c r="AM28" i="56" s="1"/>
  <c r="AN28" i="56" s="1"/>
  <c r="AO28" i="56" s="1"/>
  <c r="L188" i="54"/>
  <c r="M188" i="54" s="1"/>
  <c r="N188" i="54" s="1"/>
  <c r="O188" i="54" s="1"/>
  <c r="L284" i="54"/>
  <c r="M284" i="54" s="1"/>
  <c r="N284" i="54" s="1"/>
  <c r="O284" i="54" s="1"/>
  <c r="L344" i="54"/>
  <c r="M344" i="54" s="1"/>
  <c r="L44" i="54"/>
  <c r="M44" i="54" s="1"/>
  <c r="N44" i="54" s="1"/>
  <c r="O44" i="54" s="1"/>
  <c r="L32" i="54"/>
  <c r="M32" i="54" s="1"/>
  <c r="N32" i="54" s="1"/>
  <c r="L20" i="54"/>
  <c r="M20" i="54" s="1"/>
  <c r="N20" i="54" s="1"/>
  <c r="L356" i="54"/>
  <c r="M356" i="54" s="1"/>
  <c r="N356" i="54" s="1"/>
  <c r="L176" i="54"/>
  <c r="M176" i="54" s="1"/>
  <c r="N176" i="54" s="1"/>
  <c r="O176" i="54" s="1"/>
  <c r="L272" i="54"/>
  <c r="M272" i="54" s="1"/>
  <c r="N272" i="54" s="1"/>
  <c r="O272" i="54" s="1"/>
  <c r="L164" i="54"/>
  <c r="M164" i="54" s="1"/>
  <c r="N164" i="54" s="1"/>
  <c r="L236" i="54"/>
  <c r="M236" i="54" s="1"/>
  <c r="N236" i="54" s="1"/>
  <c r="L128" i="54"/>
  <c r="M128" i="54" s="1"/>
  <c r="N128" i="54" s="1"/>
  <c r="O128" i="54" s="1"/>
  <c r="L116" i="54"/>
  <c r="M116" i="54" s="1"/>
  <c r="N116" i="54" s="1"/>
  <c r="O116" i="54" s="1"/>
  <c r="L140" i="54"/>
  <c r="M140" i="54" s="1"/>
  <c r="N140" i="54" s="1"/>
  <c r="O140" i="54" s="1"/>
  <c r="L205" i="54"/>
  <c r="M205" i="54" s="1"/>
  <c r="N205" i="54" s="1"/>
  <c r="O205" i="54" s="1"/>
  <c r="L361" i="54"/>
  <c r="M361" i="54" s="1"/>
  <c r="N361" i="54" s="1"/>
  <c r="L61" i="54"/>
  <c r="M61" i="54" s="1"/>
  <c r="N61" i="54" s="1"/>
  <c r="L49" i="54"/>
  <c r="M49" i="54" s="1"/>
  <c r="N49" i="54" s="1"/>
  <c r="L37" i="54"/>
  <c r="M37" i="54" s="1"/>
  <c r="L373" i="54"/>
  <c r="M373" i="54" s="1"/>
  <c r="N373" i="54" s="1"/>
  <c r="L193" i="54"/>
  <c r="M193" i="54" s="1"/>
  <c r="N193" i="54" s="1"/>
  <c r="L289" i="54"/>
  <c r="M289" i="54" s="1"/>
  <c r="N289" i="54" s="1"/>
  <c r="O289" i="54" s="1"/>
  <c r="L253" i="54"/>
  <c r="M253" i="54" s="1"/>
  <c r="N253" i="54" s="1"/>
  <c r="L145" i="54"/>
  <c r="M145" i="54" s="1"/>
  <c r="N145" i="54" s="1"/>
  <c r="O145" i="54" s="1"/>
  <c r="L133" i="54"/>
  <c r="M133" i="54" s="1"/>
  <c r="N133" i="54" s="1"/>
  <c r="L157" i="54"/>
  <c r="M157" i="54" s="1"/>
  <c r="N157" i="54" s="1"/>
  <c r="O157" i="54" s="1"/>
  <c r="Z241" i="56"/>
  <c r="AA241" i="56" s="1"/>
  <c r="AB241" i="56" s="1"/>
  <c r="AC241" i="56" s="1"/>
  <c r="Z249" i="56"/>
  <c r="AA249" i="56" s="1"/>
  <c r="AB249" i="56" s="1"/>
  <c r="Z209" i="56"/>
  <c r="AA209" i="56" s="1"/>
  <c r="AB209" i="56" s="1"/>
  <c r="AC209" i="56" s="1"/>
  <c r="Z145" i="56"/>
  <c r="AA145" i="56" s="1"/>
  <c r="AB145" i="56" s="1"/>
  <c r="Z81" i="56"/>
  <c r="AA81" i="56" s="1"/>
  <c r="AB81" i="56" s="1"/>
  <c r="Z17" i="56"/>
  <c r="AA17" i="56" s="1"/>
  <c r="AB17" i="56" s="1"/>
  <c r="AC17" i="56" s="1"/>
  <c r="Z161" i="56"/>
  <c r="AA161" i="56" s="1"/>
  <c r="AB161" i="56" s="1"/>
  <c r="AC161" i="56" s="1"/>
  <c r="Z97" i="56"/>
  <c r="AA97" i="56" s="1"/>
  <c r="AB97" i="56" s="1"/>
  <c r="Z33" i="56"/>
  <c r="AA33" i="56" s="1"/>
  <c r="Z217" i="56"/>
  <c r="AA217" i="56" s="1"/>
  <c r="AB217" i="56" s="1"/>
  <c r="Z177" i="56"/>
  <c r="AA177" i="56" s="1"/>
  <c r="AB177" i="56" s="1"/>
  <c r="AC177" i="56" s="1"/>
  <c r="Z113" i="56"/>
  <c r="AA113" i="56" s="1"/>
  <c r="AB113" i="56" s="1"/>
  <c r="AC113" i="56" s="1"/>
  <c r="Z49" i="56"/>
  <c r="AA49" i="56" s="1"/>
  <c r="AB49" i="56" s="1"/>
  <c r="AC49" i="56" s="1"/>
  <c r="Z193" i="56"/>
  <c r="AA193" i="56" s="1"/>
  <c r="AB193" i="56" s="1"/>
  <c r="Z129" i="56"/>
  <c r="AA129" i="56" s="1"/>
  <c r="AB129" i="56" s="1"/>
  <c r="AC129" i="56" s="1"/>
  <c r="Z65" i="56"/>
  <c r="AA65" i="56" s="1"/>
  <c r="AB65" i="56" s="1"/>
  <c r="Z233" i="56"/>
  <c r="AA233" i="56" s="1"/>
  <c r="AB233" i="56" s="1"/>
  <c r="AC233" i="56" s="1"/>
  <c r="Z185" i="56"/>
  <c r="AA185" i="56" s="1"/>
  <c r="AB185" i="56" s="1"/>
  <c r="AC185" i="56" s="1"/>
  <c r="Z121" i="56"/>
  <c r="AA121" i="56" s="1"/>
  <c r="AB121" i="56" s="1"/>
  <c r="AC121" i="56" s="1"/>
  <c r="Z57" i="56"/>
  <c r="AA57" i="56" s="1"/>
  <c r="AB57" i="56" s="1"/>
  <c r="Z201" i="56"/>
  <c r="AA201" i="56" s="1"/>
  <c r="AB201" i="56" s="1"/>
  <c r="Z137" i="56"/>
  <c r="AA137" i="56" s="1"/>
  <c r="AB137" i="56" s="1"/>
  <c r="Z73" i="56"/>
  <c r="AA73" i="56" s="1"/>
  <c r="AB73" i="56" s="1"/>
  <c r="AC73" i="56" s="1"/>
  <c r="Z153" i="56"/>
  <c r="AA153" i="56" s="1"/>
  <c r="AB153" i="56" s="1"/>
  <c r="Z89" i="56"/>
  <c r="AA89" i="56" s="1"/>
  <c r="AB89" i="56" s="1"/>
  <c r="AC89" i="56" s="1"/>
  <c r="Z225" i="56"/>
  <c r="AA225" i="56" s="1"/>
  <c r="AB225" i="56" s="1"/>
  <c r="Z169" i="56"/>
  <c r="AA169" i="56" s="1"/>
  <c r="AB169" i="56" s="1"/>
  <c r="Z105" i="56"/>
  <c r="AA105" i="56" s="1"/>
  <c r="AB105" i="56" s="1"/>
  <c r="AC105" i="56" s="1"/>
  <c r="Z41" i="56"/>
  <c r="AA41" i="56" s="1"/>
  <c r="Z25" i="56"/>
  <c r="AA25" i="56" s="1"/>
  <c r="AB25" i="56" s="1"/>
  <c r="AC25" i="56" s="1"/>
  <c r="V106" i="54"/>
  <c r="W106" i="54" s="1"/>
  <c r="X106" i="54" s="1"/>
  <c r="V118" i="54"/>
  <c r="W118" i="54" s="1"/>
  <c r="X118" i="54" s="1"/>
  <c r="V310" i="54"/>
  <c r="W310" i="54" s="1"/>
  <c r="X310" i="54" s="1"/>
  <c r="V202" i="54"/>
  <c r="W202" i="54" s="1"/>
  <c r="X202" i="54" s="1"/>
  <c r="N238" i="56"/>
  <c r="O238" i="56" s="1"/>
  <c r="P238" i="56" s="1"/>
  <c r="N246" i="56"/>
  <c r="O246" i="56" s="1"/>
  <c r="P246" i="56" s="1"/>
  <c r="N254" i="56"/>
  <c r="O254" i="56" s="1"/>
  <c r="P254" i="56" s="1"/>
  <c r="N198" i="56"/>
  <c r="O198" i="56" s="1"/>
  <c r="P198" i="56" s="1"/>
  <c r="Q198" i="56" s="1"/>
  <c r="N230" i="56"/>
  <c r="O230" i="56" s="1"/>
  <c r="P230" i="56" s="1"/>
  <c r="Q230" i="56" s="1"/>
  <c r="N166" i="56"/>
  <c r="O166" i="56" s="1"/>
  <c r="N102" i="56"/>
  <c r="O102" i="56" s="1"/>
  <c r="P102" i="56" s="1"/>
  <c r="Q102" i="56" s="1"/>
  <c r="N38" i="56"/>
  <c r="O38" i="56" s="1"/>
  <c r="P38" i="56" s="1"/>
  <c r="Q38" i="56" s="1"/>
  <c r="N190" i="56"/>
  <c r="O190" i="56" s="1"/>
  <c r="N126" i="56"/>
  <c r="O126" i="56" s="1"/>
  <c r="N62" i="56"/>
  <c r="O62" i="56" s="1"/>
  <c r="P62" i="56" s="1"/>
  <c r="N182" i="56"/>
  <c r="O182" i="56" s="1"/>
  <c r="P182" i="56" s="1"/>
  <c r="N118" i="56"/>
  <c r="O118" i="56" s="1"/>
  <c r="P118" i="56" s="1"/>
  <c r="Q118" i="56" s="1"/>
  <c r="N54" i="56"/>
  <c r="O54" i="56" s="1"/>
  <c r="P54" i="56" s="1"/>
  <c r="Q54" i="56" s="1"/>
  <c r="N206" i="56"/>
  <c r="O206" i="56" s="1"/>
  <c r="P206" i="56" s="1"/>
  <c r="Q206" i="56" s="1"/>
  <c r="N142" i="56"/>
  <c r="O142" i="56" s="1"/>
  <c r="P142" i="56" s="1"/>
  <c r="N78" i="56"/>
  <c r="O78" i="56" s="1"/>
  <c r="P78" i="56" s="1"/>
  <c r="Q78" i="56" s="1"/>
  <c r="N214" i="56"/>
  <c r="O214" i="56" s="1"/>
  <c r="P214" i="56" s="1"/>
  <c r="Q214" i="56" s="1"/>
  <c r="N134" i="56"/>
  <c r="O134" i="56" s="1"/>
  <c r="P134" i="56" s="1"/>
  <c r="Q134" i="56" s="1"/>
  <c r="N70" i="56"/>
  <c r="O70" i="56" s="1"/>
  <c r="P70" i="56" s="1"/>
  <c r="Q70" i="56" s="1"/>
  <c r="N222" i="56"/>
  <c r="O222" i="56" s="1"/>
  <c r="P222" i="56" s="1"/>
  <c r="Q222" i="56" s="1"/>
  <c r="N158" i="56"/>
  <c r="O158" i="56" s="1"/>
  <c r="P158" i="56" s="1"/>
  <c r="Q158" i="56" s="1"/>
  <c r="N94" i="56"/>
  <c r="O94" i="56" s="1"/>
  <c r="P94" i="56" s="1"/>
  <c r="Q94" i="56" s="1"/>
  <c r="N30" i="56"/>
  <c r="O30" i="56" s="1"/>
  <c r="N150" i="56"/>
  <c r="O150" i="56" s="1"/>
  <c r="P150" i="56" s="1"/>
  <c r="N86" i="56"/>
  <c r="O86" i="56" s="1"/>
  <c r="P86" i="56" s="1"/>
  <c r="N22" i="56"/>
  <c r="O22" i="56" s="1"/>
  <c r="P22" i="56" s="1"/>
  <c r="Q22" i="56" s="1"/>
  <c r="N174" i="56"/>
  <c r="O174" i="56" s="1"/>
  <c r="P174" i="56" s="1"/>
  <c r="Q174" i="56" s="1"/>
  <c r="N110" i="56"/>
  <c r="O110" i="56" s="1"/>
  <c r="P110" i="56" s="1"/>
  <c r="Q110" i="56" s="1"/>
  <c r="N46" i="56"/>
  <c r="O46" i="56" s="1"/>
  <c r="P46" i="56" s="1"/>
  <c r="L326" i="54"/>
  <c r="M326" i="54" s="1"/>
  <c r="N326" i="54" s="1"/>
  <c r="O326" i="54" s="1"/>
  <c r="L266" i="54"/>
  <c r="M266" i="54" s="1"/>
  <c r="N266" i="54" s="1"/>
  <c r="O266" i="54" s="1"/>
  <c r="L26" i="54"/>
  <c r="M26" i="54" s="1"/>
  <c r="N26" i="54" s="1"/>
  <c r="O26" i="54" s="1"/>
  <c r="L338" i="54"/>
  <c r="M338" i="54" s="1"/>
  <c r="N338" i="54" s="1"/>
  <c r="L146" i="54"/>
  <c r="M146" i="54" s="1"/>
  <c r="N146" i="54" s="1"/>
  <c r="L254" i="54"/>
  <c r="M254" i="54" s="1"/>
  <c r="N254" i="54" s="1"/>
  <c r="L158" i="54"/>
  <c r="M158" i="54" s="1"/>
  <c r="N158" i="54" s="1"/>
  <c r="L170" i="54"/>
  <c r="M170" i="54" s="1"/>
  <c r="N170" i="54" s="1"/>
  <c r="L122" i="54"/>
  <c r="M122" i="54" s="1"/>
  <c r="N122" i="54" s="1"/>
  <c r="L218" i="54"/>
  <c r="M218" i="54" s="1"/>
  <c r="N218" i="54" s="1"/>
  <c r="L98" i="54"/>
  <c r="M98" i="54" s="1"/>
  <c r="N98" i="54" s="1"/>
  <c r="L110" i="54"/>
  <c r="M110" i="54" s="1"/>
  <c r="N110" i="54" s="1"/>
  <c r="O110" i="54" s="1"/>
  <c r="V228" i="54"/>
  <c r="W228" i="54" s="1"/>
  <c r="X228" i="54" s="1"/>
  <c r="V36" i="54"/>
  <c r="W36" i="54" s="1"/>
  <c r="X36" i="54" s="1"/>
  <c r="Y36" i="54" s="1"/>
  <c r="V48" i="54"/>
  <c r="W48" i="54" s="1"/>
  <c r="X48" i="54" s="1"/>
  <c r="Y48" i="54" s="1"/>
  <c r="V240" i="54"/>
  <c r="W240" i="54" s="1"/>
  <c r="X240" i="54" s="1"/>
  <c r="Y240" i="54" s="1"/>
  <c r="V324" i="54"/>
  <c r="W324" i="54" s="1"/>
  <c r="X324" i="54" s="1"/>
  <c r="V132" i="54"/>
  <c r="W132" i="54" s="1"/>
  <c r="X132" i="54" s="1"/>
  <c r="Y132" i="54" s="1"/>
  <c r="L258" i="54"/>
  <c r="M258" i="54" s="1"/>
  <c r="L114" i="54"/>
  <c r="M114" i="54" s="1"/>
  <c r="N114" i="54" s="1"/>
  <c r="L294" i="54"/>
  <c r="M294" i="54" s="1"/>
  <c r="N294" i="54" s="1"/>
  <c r="O294" i="54" s="1"/>
  <c r="L90" i="54"/>
  <c r="M90" i="54" s="1"/>
  <c r="N90" i="54" s="1"/>
  <c r="L102" i="54"/>
  <c r="M102" i="54" s="1"/>
  <c r="N102" i="54" s="1"/>
  <c r="O102" i="54" s="1"/>
  <c r="L246" i="54"/>
  <c r="M246" i="54" s="1"/>
  <c r="N246" i="54" s="1"/>
  <c r="L42" i="54"/>
  <c r="M42" i="54" s="1"/>
  <c r="N42" i="54" s="1"/>
  <c r="O42" i="54" s="1"/>
  <c r="L54" i="54"/>
  <c r="M54" i="54" s="1"/>
  <c r="N54" i="54" s="1"/>
  <c r="O54" i="54" s="1"/>
  <c r="L66" i="54"/>
  <c r="M66" i="54" s="1"/>
  <c r="N66" i="54" s="1"/>
  <c r="O66" i="54" s="1"/>
  <c r="L318" i="54"/>
  <c r="M318" i="54" s="1"/>
  <c r="N318" i="54" s="1"/>
  <c r="O318" i="54" s="1"/>
  <c r="L18" i="54"/>
  <c r="M18" i="54" s="1"/>
  <c r="N18" i="54" s="1"/>
  <c r="O18" i="54" s="1"/>
  <c r="L210" i="54"/>
  <c r="M210" i="54" s="1"/>
  <c r="N210" i="54" s="1"/>
  <c r="N235" i="56"/>
  <c r="O235" i="56" s="1"/>
  <c r="P235" i="56" s="1"/>
  <c r="Q235" i="56" s="1"/>
  <c r="N251" i="56"/>
  <c r="O251" i="56" s="1"/>
  <c r="P251" i="56" s="1"/>
  <c r="N243" i="56"/>
  <c r="O243" i="56" s="1"/>
  <c r="P243" i="56" s="1"/>
  <c r="Q243" i="56" s="1"/>
  <c r="N227" i="56"/>
  <c r="O227" i="56" s="1"/>
  <c r="P227" i="56" s="1"/>
  <c r="Q227" i="56" s="1"/>
  <c r="N163" i="56"/>
  <c r="O163" i="56" s="1"/>
  <c r="P163" i="56" s="1"/>
  <c r="Q163" i="56" s="1"/>
  <c r="N99" i="56"/>
  <c r="O99" i="56" s="1"/>
  <c r="P99" i="56" s="1"/>
  <c r="N35" i="56"/>
  <c r="O35" i="56" s="1"/>
  <c r="P35" i="56" s="1"/>
  <c r="Q35" i="56" s="1"/>
  <c r="N179" i="56"/>
  <c r="O179" i="56" s="1"/>
  <c r="P179" i="56" s="1"/>
  <c r="Q179" i="56" s="1"/>
  <c r="N115" i="56"/>
  <c r="O115" i="56" s="1"/>
  <c r="P115" i="56" s="1"/>
  <c r="Q115" i="56" s="1"/>
  <c r="N51" i="56"/>
  <c r="O51" i="56" s="1"/>
  <c r="P51" i="56" s="1"/>
  <c r="Q51" i="56" s="1"/>
  <c r="N211" i="56"/>
  <c r="O211" i="56" s="1"/>
  <c r="P211" i="56" s="1"/>
  <c r="Q211" i="56" s="1"/>
  <c r="N147" i="56"/>
  <c r="O147" i="56" s="1"/>
  <c r="P147" i="56" s="1"/>
  <c r="Q147" i="56" s="1"/>
  <c r="N83" i="56"/>
  <c r="O83" i="56" s="1"/>
  <c r="P83" i="56" s="1"/>
  <c r="N19" i="56"/>
  <c r="O19" i="56" s="1"/>
  <c r="P19" i="56" s="1"/>
  <c r="N219" i="56"/>
  <c r="O219" i="56" s="1"/>
  <c r="P219" i="56" s="1"/>
  <c r="N155" i="56"/>
  <c r="O155" i="56" s="1"/>
  <c r="P155" i="56" s="1"/>
  <c r="Q155" i="56" s="1"/>
  <c r="N91" i="56"/>
  <c r="O91" i="56" s="1"/>
  <c r="P91" i="56" s="1"/>
  <c r="N27" i="56"/>
  <c r="O27" i="56" s="1"/>
  <c r="P27" i="56" s="1"/>
  <c r="Q27" i="56" s="1"/>
  <c r="N67" i="56"/>
  <c r="O67" i="56" s="1"/>
  <c r="P67" i="56" s="1"/>
  <c r="Q67" i="56" s="1"/>
  <c r="N171" i="56"/>
  <c r="O171" i="56" s="1"/>
  <c r="P171" i="56" s="1"/>
  <c r="N107" i="56"/>
  <c r="O107" i="56" s="1"/>
  <c r="P107" i="56" s="1"/>
  <c r="Q107" i="56" s="1"/>
  <c r="N43" i="56"/>
  <c r="O43" i="56" s="1"/>
  <c r="P43" i="56" s="1"/>
  <c r="Q43" i="56" s="1"/>
  <c r="N131" i="56"/>
  <c r="O131" i="56" s="1"/>
  <c r="P131" i="56" s="1"/>
  <c r="Q131" i="56" s="1"/>
  <c r="N187" i="56"/>
  <c r="O187" i="56" s="1"/>
  <c r="P187" i="56" s="1"/>
  <c r="Q187" i="56" s="1"/>
  <c r="N123" i="56"/>
  <c r="O123" i="56" s="1"/>
  <c r="P123" i="56" s="1"/>
  <c r="N59" i="56"/>
  <c r="O59" i="56" s="1"/>
  <c r="P59" i="56" s="1"/>
  <c r="Q59" i="56" s="1"/>
  <c r="N195" i="56"/>
  <c r="O195" i="56" s="1"/>
  <c r="P195" i="56" s="1"/>
  <c r="Q195" i="56" s="1"/>
  <c r="N203" i="56"/>
  <c r="O203" i="56" s="1"/>
  <c r="P203" i="56" s="1"/>
  <c r="N139" i="56"/>
  <c r="O139" i="56" s="1"/>
  <c r="P139" i="56" s="1"/>
  <c r="Q139" i="56" s="1"/>
  <c r="N75" i="56"/>
  <c r="O75" i="56" s="1"/>
  <c r="L197" i="54"/>
  <c r="M197" i="54" s="1"/>
  <c r="N197" i="54" s="1"/>
  <c r="O197" i="54" s="1"/>
  <c r="L125" i="54"/>
  <c r="M125" i="54" s="1"/>
  <c r="N125" i="54" s="1"/>
  <c r="L137" i="54"/>
  <c r="M137" i="54" s="1"/>
  <c r="N137" i="54" s="1"/>
  <c r="O137" i="54" s="1"/>
  <c r="L149" i="54"/>
  <c r="M149" i="54" s="1"/>
  <c r="N149" i="54" s="1"/>
  <c r="O149" i="54" s="1"/>
  <c r="L281" i="54"/>
  <c r="M281" i="54" s="1"/>
  <c r="N281" i="54" s="1"/>
  <c r="L185" i="54"/>
  <c r="M185" i="54" s="1"/>
  <c r="N185" i="54" s="1"/>
  <c r="L77" i="54"/>
  <c r="M77" i="54" s="1"/>
  <c r="N77" i="54" s="1"/>
  <c r="L89" i="54"/>
  <c r="M89" i="54" s="1"/>
  <c r="N89" i="54" s="1"/>
  <c r="L101" i="54"/>
  <c r="M101" i="54" s="1"/>
  <c r="N101" i="54" s="1"/>
  <c r="L353" i="54"/>
  <c r="M353" i="54" s="1"/>
  <c r="N353" i="54" s="1"/>
  <c r="L29" i="54"/>
  <c r="M29" i="54" s="1"/>
  <c r="N29" i="54" s="1"/>
  <c r="O29" i="54" s="1"/>
  <c r="L305" i="54"/>
  <c r="M305" i="54" s="1"/>
  <c r="N305" i="54" s="1"/>
  <c r="O305" i="54" s="1"/>
  <c r="L245" i="54"/>
  <c r="M245" i="54" s="1"/>
  <c r="N245" i="54" s="1"/>
  <c r="O245" i="54" s="1"/>
  <c r="L41" i="54"/>
  <c r="M41" i="54" s="1"/>
  <c r="N41" i="54" s="1"/>
  <c r="L53" i="54"/>
  <c r="M53" i="54" s="1"/>
  <c r="N53" i="54" s="1"/>
  <c r="Z244" i="56"/>
  <c r="AA244" i="56" s="1"/>
  <c r="AB244" i="56" s="1"/>
  <c r="Z220" i="56"/>
  <c r="AA220" i="56" s="1"/>
  <c r="AB220" i="56" s="1"/>
  <c r="Z156" i="56"/>
  <c r="AA156" i="56" s="1"/>
  <c r="AB156" i="56" s="1"/>
  <c r="AC156" i="56" s="1"/>
  <c r="Z92" i="56"/>
  <c r="AA92" i="56" s="1"/>
  <c r="Z28" i="56"/>
  <c r="AA28" i="56" s="1"/>
  <c r="AB28" i="56" s="1"/>
  <c r="AC28" i="56" s="1"/>
  <c r="Z236" i="56"/>
  <c r="AA236" i="56" s="1"/>
  <c r="AB236" i="56" s="1"/>
  <c r="AC236" i="56" s="1"/>
  <c r="Z172" i="56"/>
  <c r="AA172" i="56" s="1"/>
  <c r="Z108" i="56"/>
  <c r="AA108" i="56" s="1"/>
  <c r="AB108" i="56" s="1"/>
  <c r="Z44" i="56"/>
  <c r="AA44" i="56" s="1"/>
  <c r="AB44" i="56" s="1"/>
  <c r="AC44" i="56" s="1"/>
  <c r="Z252" i="56"/>
  <c r="AA252" i="56" s="1"/>
  <c r="AB252" i="56" s="1"/>
  <c r="Z188" i="56"/>
  <c r="AA188" i="56" s="1"/>
  <c r="AB188" i="56" s="1"/>
  <c r="AC188" i="56" s="1"/>
  <c r="Z124" i="56"/>
  <c r="AA124" i="56" s="1"/>
  <c r="Z60" i="56"/>
  <c r="AA60" i="56" s="1"/>
  <c r="Z204" i="56"/>
  <c r="AA204" i="56" s="1"/>
  <c r="AB204" i="56" s="1"/>
  <c r="Z140" i="56"/>
  <c r="AA140" i="56" s="1"/>
  <c r="AB140" i="56" s="1"/>
  <c r="Z76" i="56"/>
  <c r="AA76" i="56" s="1"/>
  <c r="AB76" i="56" s="1"/>
  <c r="AC76" i="56" s="1"/>
  <c r="Z180" i="56"/>
  <c r="AA180" i="56" s="1"/>
  <c r="AB180" i="56" s="1"/>
  <c r="Z116" i="56"/>
  <c r="AA116" i="56" s="1"/>
  <c r="AB116" i="56" s="1"/>
  <c r="Z52" i="56"/>
  <c r="AA52" i="56" s="1"/>
  <c r="AB52" i="56" s="1"/>
  <c r="AC52" i="56" s="1"/>
  <c r="Z228" i="56"/>
  <c r="AA228" i="56" s="1"/>
  <c r="AB228" i="56" s="1"/>
  <c r="Z196" i="56"/>
  <c r="AA196" i="56" s="1"/>
  <c r="AB196" i="56" s="1"/>
  <c r="Z132" i="56"/>
  <c r="AA132" i="56" s="1"/>
  <c r="AB132" i="56" s="1"/>
  <c r="Z68" i="56"/>
  <c r="AA68" i="56" s="1"/>
  <c r="AB68" i="56" s="1"/>
  <c r="AC68" i="56" s="1"/>
  <c r="Z212" i="56"/>
  <c r="AA212" i="56" s="1"/>
  <c r="AB212" i="56" s="1"/>
  <c r="AC212" i="56" s="1"/>
  <c r="Z148" i="56"/>
  <c r="AA148" i="56" s="1"/>
  <c r="AB148" i="56" s="1"/>
  <c r="Z84" i="56"/>
  <c r="AA84" i="56" s="1"/>
  <c r="AB84" i="56" s="1"/>
  <c r="AC84" i="56" s="1"/>
  <c r="Z164" i="56"/>
  <c r="AA164" i="56" s="1"/>
  <c r="AB164" i="56" s="1"/>
  <c r="Z100" i="56"/>
  <c r="AA100" i="56" s="1"/>
  <c r="AB100" i="56" s="1"/>
  <c r="AC100" i="56" s="1"/>
  <c r="Z20" i="56"/>
  <c r="AA20" i="56" s="1"/>
  <c r="Z36" i="56"/>
  <c r="AA36" i="56" s="1"/>
  <c r="AB36" i="56" s="1"/>
  <c r="AL71" i="56"/>
  <c r="AM71" i="56" s="1"/>
  <c r="AL135" i="56"/>
  <c r="AM135" i="56" s="1"/>
  <c r="AN135" i="56" s="1"/>
  <c r="AO135" i="56" s="1"/>
  <c r="AL191" i="56"/>
  <c r="AM191" i="56" s="1"/>
  <c r="AN191" i="56" s="1"/>
  <c r="AL127" i="56"/>
  <c r="AM127" i="56" s="1"/>
  <c r="AN127" i="56" s="1"/>
  <c r="AO127" i="56" s="1"/>
  <c r="AL207" i="56"/>
  <c r="AM207" i="56" s="1"/>
  <c r="AN207" i="56" s="1"/>
  <c r="AO207" i="56" s="1"/>
  <c r="AL143" i="56"/>
  <c r="AM143" i="56" s="1"/>
  <c r="AN143" i="56" s="1"/>
  <c r="AO143" i="56" s="1"/>
  <c r="AL223" i="56"/>
  <c r="AM223" i="56" s="1"/>
  <c r="AN223" i="56" s="1"/>
  <c r="AO223" i="56" s="1"/>
  <c r="AL159" i="56"/>
  <c r="AM159" i="56" s="1"/>
  <c r="AL95" i="56"/>
  <c r="AM95" i="56" s="1"/>
  <c r="AN95" i="56" s="1"/>
  <c r="AO95" i="56" s="1"/>
  <c r="AL175" i="56"/>
  <c r="AM175" i="56" s="1"/>
  <c r="AN175" i="56" s="1"/>
  <c r="AO175" i="56" s="1"/>
  <c r="AL111" i="56"/>
  <c r="AM111" i="56" s="1"/>
  <c r="AN111" i="56" s="1"/>
  <c r="AL63" i="56"/>
  <c r="AM63" i="56" s="1"/>
  <c r="AN63" i="56" s="1"/>
  <c r="AO63" i="56" s="1"/>
  <c r="AL79" i="56"/>
  <c r="AM79" i="56" s="1"/>
  <c r="AN79" i="56" s="1"/>
  <c r="AO79" i="56" s="1"/>
  <c r="AL31" i="56"/>
  <c r="AM31" i="56" s="1"/>
  <c r="AN31" i="56" s="1"/>
  <c r="AL47" i="56"/>
  <c r="AM47" i="56" s="1"/>
  <c r="AN47" i="56" s="1"/>
  <c r="AO47" i="56" s="1"/>
  <c r="AL39" i="56"/>
  <c r="AM39" i="56" s="1"/>
  <c r="AN39" i="56" s="1"/>
  <c r="AO39" i="56" s="1"/>
  <c r="AL23" i="56"/>
  <c r="AM23" i="56" s="1"/>
  <c r="L240" i="54"/>
  <c r="M240" i="54" s="1"/>
  <c r="N240" i="54" s="1"/>
  <c r="L96" i="54"/>
  <c r="M96" i="54" s="1"/>
  <c r="N96" i="54" s="1"/>
  <c r="O96" i="54" s="1"/>
  <c r="L84" i="54"/>
  <c r="M84" i="54" s="1"/>
  <c r="N84" i="54" s="1"/>
  <c r="O84" i="54" s="1"/>
  <c r="L72" i="54"/>
  <c r="M72" i="54" s="1"/>
  <c r="N72" i="54" s="1"/>
  <c r="L228" i="54"/>
  <c r="M228" i="54" s="1"/>
  <c r="N228" i="54" s="1"/>
  <c r="L300" i="54"/>
  <c r="M300" i="54" s="1"/>
  <c r="N300" i="54" s="1"/>
  <c r="L48" i="54"/>
  <c r="M48" i="54" s="1"/>
  <c r="N48" i="54" s="1"/>
  <c r="O48" i="54" s="1"/>
  <c r="L24" i="54"/>
  <c r="M24" i="54" s="1"/>
  <c r="N24" i="54" s="1"/>
  <c r="O24" i="54" s="1"/>
  <c r="L36" i="54"/>
  <c r="M36" i="54" s="1"/>
  <c r="N36" i="54" s="1"/>
  <c r="L192" i="54"/>
  <c r="M192" i="54" s="1"/>
  <c r="N192" i="54" s="1"/>
  <c r="L168" i="54"/>
  <c r="M168" i="54" s="1"/>
  <c r="N168" i="54" s="1"/>
  <c r="O168" i="54" s="1"/>
  <c r="L288" i="54"/>
  <c r="M288" i="54" s="1"/>
  <c r="N288" i="54" s="1"/>
  <c r="V205" i="54"/>
  <c r="W205" i="54" s="1"/>
  <c r="X205" i="54" s="1"/>
  <c r="Y205" i="54" s="1"/>
  <c r="V97" i="54"/>
  <c r="W97" i="54" s="1"/>
  <c r="X97" i="54" s="1"/>
  <c r="Y97" i="54" s="1"/>
  <c r="V289" i="54"/>
  <c r="W289" i="54" s="1"/>
  <c r="X289" i="54" s="1"/>
  <c r="Y289" i="54" s="1"/>
  <c r="AF42" i="54"/>
  <c r="AG42" i="54" s="1"/>
  <c r="AH42" i="54" s="1"/>
  <c r="AI42" i="54" s="1"/>
  <c r="AF186" i="54"/>
  <c r="AG186" i="54" s="1"/>
  <c r="AH186" i="54" s="1"/>
  <c r="AI186" i="54" s="1"/>
  <c r="Z200" i="56"/>
  <c r="AA200" i="56" s="1"/>
  <c r="AB200" i="56" s="1"/>
  <c r="Z136" i="56"/>
  <c r="AA136" i="56" s="1"/>
  <c r="AB136" i="56" s="1"/>
  <c r="Z72" i="56"/>
  <c r="AA72" i="56" s="1"/>
  <c r="AB72" i="56" s="1"/>
  <c r="AC72" i="56" s="1"/>
  <c r="Z240" i="56"/>
  <c r="AA240" i="56" s="1"/>
  <c r="AB240" i="56" s="1"/>
  <c r="Z216" i="56"/>
  <c r="AA216" i="56" s="1"/>
  <c r="AB216" i="56" s="1"/>
  <c r="Z152" i="56"/>
  <c r="AA152" i="56" s="1"/>
  <c r="AB152" i="56" s="1"/>
  <c r="AC152" i="56" s="1"/>
  <c r="Z88" i="56"/>
  <c r="AA88" i="56" s="1"/>
  <c r="AB88" i="56" s="1"/>
  <c r="Z24" i="56"/>
  <c r="AA24" i="56" s="1"/>
  <c r="AB24" i="56" s="1"/>
  <c r="AC24" i="56" s="1"/>
  <c r="Z232" i="56"/>
  <c r="AA232" i="56" s="1"/>
  <c r="Z224" i="56"/>
  <c r="AA224" i="56" s="1"/>
  <c r="AB224" i="56" s="1"/>
  <c r="AC224" i="56" s="1"/>
  <c r="Z168" i="56"/>
  <c r="AA168" i="56" s="1"/>
  <c r="AB168" i="56" s="1"/>
  <c r="AC168" i="56" s="1"/>
  <c r="Z104" i="56"/>
  <c r="AA104" i="56" s="1"/>
  <c r="AB104" i="56" s="1"/>
  <c r="Z40" i="56"/>
  <c r="AA40" i="56" s="1"/>
  <c r="AB40" i="56" s="1"/>
  <c r="AC40" i="56" s="1"/>
  <c r="Z248" i="56"/>
  <c r="AA248" i="56" s="1"/>
  <c r="AB248" i="56" s="1"/>
  <c r="Z184" i="56"/>
  <c r="AA184" i="56" s="1"/>
  <c r="Z120" i="56"/>
  <c r="AA120" i="56" s="1"/>
  <c r="AB120" i="56" s="1"/>
  <c r="Z56" i="56"/>
  <c r="AA56" i="56" s="1"/>
  <c r="AB56" i="56" s="1"/>
  <c r="AC56" i="56" s="1"/>
  <c r="Z160" i="56"/>
  <c r="AA160" i="56" s="1"/>
  <c r="AB160" i="56" s="1"/>
  <c r="Z96" i="56"/>
  <c r="AA96" i="56" s="1"/>
  <c r="AB96" i="56" s="1"/>
  <c r="AC96" i="56" s="1"/>
  <c r="Z32" i="56"/>
  <c r="AA32" i="56" s="1"/>
  <c r="AB32" i="56" s="1"/>
  <c r="Z176" i="56"/>
  <c r="AA176" i="56" s="1"/>
  <c r="AB176" i="56" s="1"/>
  <c r="AC176" i="56" s="1"/>
  <c r="Z112" i="56"/>
  <c r="AA112" i="56" s="1"/>
  <c r="AB112" i="56" s="1"/>
  <c r="AC112" i="56" s="1"/>
  <c r="Z48" i="56"/>
  <c r="AA48" i="56" s="1"/>
  <c r="AB48" i="56" s="1"/>
  <c r="AC48" i="56" s="1"/>
  <c r="Z192" i="56"/>
  <c r="AA192" i="56" s="1"/>
  <c r="AB192" i="56" s="1"/>
  <c r="AC192" i="56" s="1"/>
  <c r="Z128" i="56"/>
  <c r="AA128" i="56" s="1"/>
  <c r="AB128" i="56" s="1"/>
  <c r="Z64" i="56"/>
  <c r="AA64" i="56" s="1"/>
  <c r="AB64" i="56" s="1"/>
  <c r="AC64" i="56" s="1"/>
  <c r="Z208" i="56"/>
  <c r="AA208" i="56" s="1"/>
  <c r="AB208" i="56" s="1"/>
  <c r="AC208" i="56" s="1"/>
  <c r="Z144" i="56"/>
  <c r="AA144" i="56" s="1"/>
  <c r="AB144" i="56" s="1"/>
  <c r="Z80" i="56"/>
  <c r="AA80" i="56" s="1"/>
  <c r="AB80" i="56" s="1"/>
  <c r="AC80" i="56" s="1"/>
  <c r="Z16" i="56"/>
  <c r="AA16" i="56" s="1"/>
  <c r="AB16" i="56" s="1"/>
  <c r="N245" i="56"/>
  <c r="O245" i="56" s="1"/>
  <c r="P245" i="56" s="1"/>
  <c r="Q245" i="56" s="1"/>
  <c r="N253" i="56"/>
  <c r="O253" i="56" s="1"/>
  <c r="P253" i="56" s="1"/>
  <c r="Q253" i="56" s="1"/>
  <c r="N173" i="56"/>
  <c r="O173" i="56" s="1"/>
  <c r="P173" i="56" s="1"/>
  <c r="Q173" i="56" s="1"/>
  <c r="N109" i="56"/>
  <c r="O109" i="56" s="1"/>
  <c r="P109" i="56" s="1"/>
  <c r="Q109" i="56" s="1"/>
  <c r="N45" i="56"/>
  <c r="O45" i="56" s="1"/>
  <c r="P45" i="56" s="1"/>
  <c r="Q45" i="56" s="1"/>
  <c r="N189" i="56"/>
  <c r="O189" i="56" s="1"/>
  <c r="P189" i="56" s="1"/>
  <c r="Q189" i="56" s="1"/>
  <c r="N125" i="56"/>
  <c r="O125" i="56" s="1"/>
  <c r="P125" i="56" s="1"/>
  <c r="Q125" i="56" s="1"/>
  <c r="N61" i="56"/>
  <c r="O61" i="56" s="1"/>
  <c r="P61" i="56" s="1"/>
  <c r="Q61" i="56" s="1"/>
  <c r="N237" i="56"/>
  <c r="O237" i="56" s="1"/>
  <c r="P237" i="56" s="1"/>
  <c r="Q237" i="56" s="1"/>
  <c r="N221" i="56"/>
  <c r="O221" i="56" s="1"/>
  <c r="P221" i="56" s="1"/>
  <c r="Q221" i="56" s="1"/>
  <c r="N157" i="56"/>
  <c r="O157" i="56" s="1"/>
  <c r="P157" i="56" s="1"/>
  <c r="Q157" i="56" s="1"/>
  <c r="N93" i="56"/>
  <c r="O93" i="56" s="1"/>
  <c r="P93" i="56" s="1"/>
  <c r="N29" i="56"/>
  <c r="O29" i="56" s="1"/>
  <c r="P29" i="56" s="1"/>
  <c r="Q29" i="56" s="1"/>
  <c r="N205" i="56"/>
  <c r="O205" i="56" s="1"/>
  <c r="P205" i="56" s="1"/>
  <c r="Q205" i="56" s="1"/>
  <c r="N229" i="56"/>
  <c r="O229" i="56" s="1"/>
  <c r="P229" i="56" s="1"/>
  <c r="Q229" i="56" s="1"/>
  <c r="N165" i="56"/>
  <c r="O165" i="56" s="1"/>
  <c r="P165" i="56" s="1"/>
  <c r="N101" i="56"/>
  <c r="O101" i="56" s="1"/>
  <c r="P101" i="56" s="1"/>
  <c r="Q101" i="56" s="1"/>
  <c r="N37" i="56"/>
  <c r="O37" i="56" s="1"/>
  <c r="P37" i="56" s="1"/>
  <c r="Q37" i="56" s="1"/>
  <c r="N181" i="56"/>
  <c r="O181" i="56" s="1"/>
  <c r="P181" i="56" s="1"/>
  <c r="Q181" i="56" s="1"/>
  <c r="N117" i="56"/>
  <c r="O117" i="56" s="1"/>
  <c r="P117" i="56" s="1"/>
  <c r="Q117" i="56" s="1"/>
  <c r="N53" i="56"/>
  <c r="O53" i="56" s="1"/>
  <c r="P53" i="56" s="1"/>
  <c r="Q53" i="56" s="1"/>
  <c r="N77" i="56"/>
  <c r="O77" i="56" s="1"/>
  <c r="P77" i="56" s="1"/>
  <c r="Q77" i="56" s="1"/>
  <c r="N197" i="56"/>
  <c r="O197" i="56" s="1"/>
  <c r="N133" i="56"/>
  <c r="O133" i="56" s="1"/>
  <c r="P133" i="56" s="1"/>
  <c r="Q133" i="56" s="1"/>
  <c r="N69" i="56"/>
  <c r="O69" i="56" s="1"/>
  <c r="P69" i="56" s="1"/>
  <c r="Q69" i="56" s="1"/>
  <c r="N141" i="56"/>
  <c r="O141" i="56" s="1"/>
  <c r="P141" i="56" s="1"/>
  <c r="N213" i="56"/>
  <c r="O213" i="56" s="1"/>
  <c r="P213" i="56" s="1"/>
  <c r="N149" i="56"/>
  <c r="O149" i="56" s="1"/>
  <c r="P149" i="56" s="1"/>
  <c r="Q149" i="56" s="1"/>
  <c r="N85" i="56"/>
  <c r="O85" i="56" s="1"/>
  <c r="P85" i="56" s="1"/>
  <c r="Q85" i="56" s="1"/>
  <c r="N21" i="56"/>
  <c r="O21" i="56" s="1"/>
  <c r="P21" i="56" s="1"/>
  <c r="Q21" i="56" s="1"/>
  <c r="N252" i="56"/>
  <c r="O252" i="56" s="1"/>
  <c r="P252" i="56" s="1"/>
  <c r="Q252" i="56" s="1"/>
  <c r="N236" i="56"/>
  <c r="O236" i="56" s="1"/>
  <c r="P236" i="56" s="1"/>
  <c r="Q236" i="56" s="1"/>
  <c r="N244" i="56"/>
  <c r="O244" i="56" s="1"/>
  <c r="P244" i="56" s="1"/>
  <c r="N188" i="56"/>
  <c r="O188" i="56" s="1"/>
  <c r="P188" i="56" s="1"/>
  <c r="N204" i="56"/>
  <c r="O204" i="56" s="1"/>
  <c r="P204" i="56" s="1"/>
  <c r="Q204" i="56" s="1"/>
  <c r="N156" i="56"/>
  <c r="O156" i="56" s="1"/>
  <c r="P156" i="56" s="1"/>
  <c r="N92" i="56"/>
  <c r="O92" i="56" s="1"/>
  <c r="N28" i="56"/>
  <c r="O28" i="56" s="1"/>
  <c r="P28" i="56" s="1"/>
  <c r="Q28" i="56" s="1"/>
  <c r="N180" i="56"/>
  <c r="O180" i="56" s="1"/>
  <c r="P180" i="56" s="1"/>
  <c r="Q180" i="56" s="1"/>
  <c r="N116" i="56"/>
  <c r="O116" i="56" s="1"/>
  <c r="P116" i="56" s="1"/>
  <c r="Q116" i="56" s="1"/>
  <c r="N52" i="56"/>
  <c r="O52" i="56" s="1"/>
  <c r="P52" i="56" s="1"/>
  <c r="N220" i="56"/>
  <c r="O220" i="56" s="1"/>
  <c r="N172" i="56"/>
  <c r="O172" i="56" s="1"/>
  <c r="P172" i="56" s="1"/>
  <c r="N108" i="56"/>
  <c r="O108" i="56" s="1"/>
  <c r="P108" i="56" s="1"/>
  <c r="Q108" i="56" s="1"/>
  <c r="N44" i="56"/>
  <c r="O44" i="56" s="1"/>
  <c r="P44" i="56" s="1"/>
  <c r="Q44" i="56" s="1"/>
  <c r="N196" i="56"/>
  <c r="O196" i="56" s="1"/>
  <c r="P196" i="56" s="1"/>
  <c r="Q196" i="56" s="1"/>
  <c r="N132" i="56"/>
  <c r="O132" i="56" s="1"/>
  <c r="P132" i="56" s="1"/>
  <c r="N68" i="56"/>
  <c r="O68" i="56" s="1"/>
  <c r="P68" i="56" s="1"/>
  <c r="Q68" i="56" s="1"/>
  <c r="N124" i="56"/>
  <c r="O124" i="56" s="1"/>
  <c r="P124" i="56" s="1"/>
  <c r="Q124" i="56" s="1"/>
  <c r="N60" i="56"/>
  <c r="O60" i="56" s="1"/>
  <c r="P60" i="56" s="1"/>
  <c r="Q60" i="56" s="1"/>
  <c r="N212" i="56"/>
  <c r="O212" i="56" s="1"/>
  <c r="P212" i="56" s="1"/>
  <c r="Q212" i="56" s="1"/>
  <c r="N148" i="56"/>
  <c r="O148" i="56" s="1"/>
  <c r="P148" i="56" s="1"/>
  <c r="Q148" i="56" s="1"/>
  <c r="N84" i="56"/>
  <c r="O84" i="56" s="1"/>
  <c r="P84" i="56" s="1"/>
  <c r="Q84" i="56" s="1"/>
  <c r="N20" i="56"/>
  <c r="O20" i="56" s="1"/>
  <c r="P20" i="56" s="1"/>
  <c r="Q20" i="56" s="1"/>
  <c r="N140" i="56"/>
  <c r="O140" i="56" s="1"/>
  <c r="P140" i="56" s="1"/>
  <c r="Q140" i="56" s="1"/>
  <c r="N76" i="56"/>
  <c r="O76" i="56" s="1"/>
  <c r="P76" i="56" s="1"/>
  <c r="N228" i="56"/>
  <c r="O228" i="56" s="1"/>
  <c r="P228" i="56" s="1"/>
  <c r="N164" i="56"/>
  <c r="O164" i="56" s="1"/>
  <c r="P164" i="56" s="1"/>
  <c r="Q164" i="56" s="1"/>
  <c r="N100" i="56"/>
  <c r="O100" i="56" s="1"/>
  <c r="P100" i="56" s="1"/>
  <c r="N36" i="56"/>
  <c r="O36" i="56" s="1"/>
  <c r="P36" i="56" s="1"/>
  <c r="V124" i="54"/>
  <c r="W124" i="54" s="1"/>
  <c r="X124" i="54" s="1"/>
  <c r="Y124" i="54" s="1"/>
  <c r="V136" i="54"/>
  <c r="W136" i="54" s="1"/>
  <c r="X136" i="54" s="1"/>
  <c r="V328" i="54"/>
  <c r="W328" i="54" s="1"/>
  <c r="X328" i="54" s="1"/>
  <c r="Y328" i="54" s="1"/>
  <c r="V28" i="54"/>
  <c r="W28" i="54" s="1"/>
  <c r="X28" i="54" s="1"/>
  <c r="Y28" i="54" s="1"/>
  <c r="V220" i="54"/>
  <c r="W220" i="54" s="1"/>
  <c r="V170" i="54"/>
  <c r="W170" i="54" s="1"/>
  <c r="X170" i="54" s="1"/>
  <c r="Y170" i="54" s="1"/>
  <c r="V362" i="54"/>
  <c r="W362" i="54" s="1"/>
  <c r="X362" i="54" s="1"/>
  <c r="Y362" i="54" s="1"/>
  <c r="V62" i="54"/>
  <c r="W62" i="54" s="1"/>
  <c r="V254" i="54"/>
  <c r="W254" i="54" s="1"/>
  <c r="X254" i="54" s="1"/>
  <c r="Y254" i="54" s="1"/>
  <c r="L214" i="54"/>
  <c r="M214" i="54" s="1"/>
  <c r="N214" i="54" s="1"/>
  <c r="O214" i="54" s="1"/>
  <c r="L142" i="54"/>
  <c r="M142" i="54" s="1"/>
  <c r="N142" i="54" s="1"/>
  <c r="O142" i="54" s="1"/>
  <c r="L154" i="54"/>
  <c r="M154" i="54" s="1"/>
  <c r="N154" i="54" s="1"/>
  <c r="O154" i="54" s="1"/>
  <c r="L166" i="54"/>
  <c r="M166" i="54" s="1"/>
  <c r="N166" i="54" s="1"/>
  <c r="L202" i="54"/>
  <c r="M202" i="54" s="1"/>
  <c r="N202" i="54" s="1"/>
  <c r="L118" i="54"/>
  <c r="M118" i="54" s="1"/>
  <c r="N118" i="54" s="1"/>
  <c r="L94" i="54"/>
  <c r="M94" i="54" s="1"/>
  <c r="N94" i="54" s="1"/>
  <c r="O94" i="54" s="1"/>
  <c r="L106" i="54"/>
  <c r="M106" i="54" s="1"/>
  <c r="N106" i="54" s="1"/>
  <c r="O106" i="54" s="1"/>
  <c r="L262" i="54"/>
  <c r="M262" i="54" s="1"/>
  <c r="N262" i="54" s="1"/>
  <c r="O262" i="54" s="1"/>
  <c r="L58" i="54"/>
  <c r="M58" i="54" s="1"/>
  <c r="N58" i="54" s="1"/>
  <c r="L370" i="54"/>
  <c r="M370" i="54" s="1"/>
  <c r="N370" i="54" s="1"/>
  <c r="L70" i="54"/>
  <c r="M70" i="54" s="1"/>
  <c r="N70" i="54" s="1"/>
  <c r="L46" i="54"/>
  <c r="M46" i="54" s="1"/>
  <c r="N46" i="54" s="1"/>
  <c r="O46" i="54" s="1"/>
  <c r="L231" i="54"/>
  <c r="M231" i="54" s="1"/>
  <c r="N231" i="54" s="1"/>
  <c r="L159" i="54"/>
  <c r="M159" i="54" s="1"/>
  <c r="N159" i="54" s="1"/>
  <c r="L171" i="54"/>
  <c r="M171" i="54" s="1"/>
  <c r="N171" i="54" s="1"/>
  <c r="L219" i="54"/>
  <c r="M219" i="54" s="1"/>
  <c r="N219" i="54" s="1"/>
  <c r="L135" i="54"/>
  <c r="M135" i="54" s="1"/>
  <c r="N135" i="54" s="1"/>
  <c r="L111" i="54"/>
  <c r="M111" i="54" s="1"/>
  <c r="N111" i="54" s="1"/>
  <c r="L123" i="54"/>
  <c r="M123" i="54" s="1"/>
  <c r="N123" i="54" s="1"/>
  <c r="L75" i="54"/>
  <c r="M75" i="54" s="1"/>
  <c r="N75" i="54" s="1"/>
  <c r="O75" i="54" s="1"/>
  <c r="L279" i="54"/>
  <c r="M279" i="54" s="1"/>
  <c r="N279" i="54" s="1"/>
  <c r="O279" i="54" s="1"/>
  <c r="L63" i="54"/>
  <c r="M63" i="54" s="1"/>
  <c r="N63" i="54" s="1"/>
  <c r="L87" i="54"/>
  <c r="M87" i="54" s="1"/>
  <c r="N87" i="54" s="1"/>
  <c r="L183" i="54"/>
  <c r="M183" i="54" s="1"/>
  <c r="N183" i="54" s="1"/>
  <c r="O183" i="54" s="1"/>
  <c r="L223" i="54"/>
  <c r="M223" i="54" s="1"/>
  <c r="N223" i="54" s="1"/>
  <c r="L79" i="54"/>
  <c r="M79" i="54" s="1"/>
  <c r="L55" i="54"/>
  <c r="M55" i="54" s="1"/>
  <c r="N55" i="54" s="1"/>
  <c r="L67" i="54"/>
  <c r="M67" i="54" s="1"/>
  <c r="N67" i="54" s="1"/>
  <c r="O67" i="54" s="1"/>
  <c r="L307" i="54"/>
  <c r="M307" i="54" s="1"/>
  <c r="N307" i="54" s="1"/>
  <c r="L211" i="54"/>
  <c r="M211" i="54" s="1"/>
  <c r="N211" i="54" s="1"/>
  <c r="L31" i="54"/>
  <c r="M31" i="54" s="1"/>
  <c r="N31" i="54" s="1"/>
  <c r="O31" i="54" s="1"/>
  <c r="L19" i="54"/>
  <c r="M19" i="54" s="1"/>
  <c r="N19" i="54" s="1"/>
  <c r="O19" i="54" s="1"/>
  <c r="L163" i="54"/>
  <c r="M163" i="54" s="1"/>
  <c r="N163" i="54" s="1"/>
  <c r="O163" i="54" s="1"/>
  <c r="L175" i="54"/>
  <c r="M175" i="54" s="1"/>
  <c r="N175" i="54" s="1"/>
  <c r="O175" i="54" s="1"/>
  <c r="L271" i="54"/>
  <c r="M271" i="54" s="1"/>
  <c r="L151" i="54"/>
  <c r="M151" i="54" s="1"/>
  <c r="V89" i="54"/>
  <c r="W89" i="54" s="1"/>
  <c r="V101" i="54"/>
  <c r="W101" i="54" s="1"/>
  <c r="X101" i="54" s="1"/>
  <c r="Y101" i="54" s="1"/>
  <c r="V293" i="54"/>
  <c r="W293" i="54" s="1"/>
  <c r="X293" i="54" s="1"/>
  <c r="Y293" i="54" s="1"/>
  <c r="V185" i="54"/>
  <c r="W185" i="54" s="1"/>
  <c r="X185" i="54" s="1"/>
  <c r="Y185" i="54" s="1"/>
  <c r="AL61" i="56"/>
  <c r="AM61" i="56" s="1"/>
  <c r="AN61" i="56" s="1"/>
  <c r="AL125" i="56"/>
  <c r="AM125" i="56" s="1"/>
  <c r="AN125" i="56" s="1"/>
  <c r="AO125" i="56" s="1"/>
  <c r="AL181" i="56"/>
  <c r="AM181" i="56" s="1"/>
  <c r="AN181" i="56" s="1"/>
  <c r="AL117" i="56"/>
  <c r="AM117" i="56" s="1"/>
  <c r="AN117" i="56" s="1"/>
  <c r="AO117" i="56" s="1"/>
  <c r="AL197" i="56"/>
  <c r="AM197" i="56" s="1"/>
  <c r="AN197" i="56" s="1"/>
  <c r="AO197" i="56" s="1"/>
  <c r="AL133" i="56"/>
  <c r="AM133" i="56" s="1"/>
  <c r="AN133" i="56" s="1"/>
  <c r="AO133" i="56" s="1"/>
  <c r="AL213" i="56"/>
  <c r="AM213" i="56" s="1"/>
  <c r="AN213" i="56" s="1"/>
  <c r="AO213" i="56" s="1"/>
  <c r="AL149" i="56"/>
  <c r="AM149" i="56" s="1"/>
  <c r="AN149" i="56" s="1"/>
  <c r="AO149" i="56" s="1"/>
  <c r="AL229" i="56"/>
  <c r="AM229" i="56" s="1"/>
  <c r="AN229" i="56" s="1"/>
  <c r="AL165" i="56"/>
  <c r="AM165" i="56" s="1"/>
  <c r="AN165" i="56" s="1"/>
  <c r="AO165" i="56" s="1"/>
  <c r="AL101" i="56"/>
  <c r="AM101" i="56" s="1"/>
  <c r="AN101" i="56" s="1"/>
  <c r="AO101" i="56" s="1"/>
  <c r="AL85" i="56"/>
  <c r="AM85" i="56" s="1"/>
  <c r="AL53" i="56"/>
  <c r="AM53" i="56" s="1"/>
  <c r="AN53" i="56" s="1"/>
  <c r="AO53" i="56" s="1"/>
  <c r="AL253" i="56"/>
  <c r="AM253" i="56" s="1"/>
  <c r="AN253" i="56" s="1"/>
  <c r="AO253" i="56" s="1"/>
  <c r="AL69" i="56"/>
  <c r="AM69" i="56" s="1"/>
  <c r="AN69" i="56" s="1"/>
  <c r="AO69" i="56" s="1"/>
  <c r="AL21" i="56"/>
  <c r="AM21" i="56" s="1"/>
  <c r="AN21" i="56" s="1"/>
  <c r="AL37" i="56"/>
  <c r="AM37" i="56" s="1"/>
  <c r="AL29" i="56"/>
  <c r="AM29" i="56" s="1"/>
  <c r="AN29" i="56" s="1"/>
  <c r="AO29" i="56" s="1"/>
  <c r="Z251" i="56"/>
  <c r="AA251" i="56" s="1"/>
  <c r="AB251" i="56" s="1"/>
  <c r="AC251" i="56" s="1"/>
  <c r="Z243" i="56"/>
  <c r="AA243" i="56" s="1"/>
  <c r="Z219" i="56"/>
  <c r="AA219" i="56" s="1"/>
  <c r="AB219" i="56" s="1"/>
  <c r="Z155" i="56"/>
  <c r="AA155" i="56" s="1"/>
  <c r="Z91" i="56"/>
  <c r="AA91" i="56" s="1"/>
  <c r="AB91" i="56" s="1"/>
  <c r="Z27" i="56"/>
  <c r="AA27" i="56" s="1"/>
  <c r="AB27" i="56" s="1"/>
  <c r="AC27" i="56" s="1"/>
  <c r="Z227" i="56"/>
  <c r="AA227" i="56" s="1"/>
  <c r="AB227" i="56" s="1"/>
  <c r="AC227" i="56" s="1"/>
  <c r="Z211" i="56"/>
  <c r="AA211" i="56" s="1"/>
  <c r="AB211" i="56" s="1"/>
  <c r="Z171" i="56"/>
  <c r="AA171" i="56" s="1"/>
  <c r="Z107" i="56"/>
  <c r="AA107" i="56" s="1"/>
  <c r="AB107" i="56" s="1"/>
  <c r="AC107" i="56" s="1"/>
  <c r="Z43" i="56"/>
  <c r="AA43" i="56" s="1"/>
  <c r="Z235" i="56"/>
  <c r="AA235" i="56" s="1"/>
  <c r="AB235" i="56" s="1"/>
  <c r="Z187" i="56"/>
  <c r="AA187" i="56" s="1"/>
  <c r="AB187" i="56" s="1"/>
  <c r="Z123" i="56"/>
  <c r="AA123" i="56" s="1"/>
  <c r="AB123" i="56" s="1"/>
  <c r="AC123" i="56" s="1"/>
  <c r="Z59" i="56"/>
  <c r="AA59" i="56" s="1"/>
  <c r="AB59" i="56" s="1"/>
  <c r="AC59" i="56" s="1"/>
  <c r="Z203" i="56"/>
  <c r="AA203" i="56" s="1"/>
  <c r="Z139" i="56"/>
  <c r="AA139" i="56" s="1"/>
  <c r="Z75" i="56"/>
  <c r="AA75" i="56" s="1"/>
  <c r="AB75" i="56" s="1"/>
  <c r="AC75" i="56" s="1"/>
  <c r="Z195" i="56"/>
  <c r="AA195" i="56" s="1"/>
  <c r="AB195" i="56" s="1"/>
  <c r="AC195" i="56" s="1"/>
  <c r="Z131" i="56"/>
  <c r="AA131" i="56" s="1"/>
  <c r="Z67" i="56"/>
  <c r="AA67" i="56" s="1"/>
  <c r="AB67" i="56" s="1"/>
  <c r="Z147" i="56"/>
  <c r="AA147" i="56" s="1"/>
  <c r="AB147" i="56" s="1"/>
  <c r="AC147" i="56" s="1"/>
  <c r="Z83" i="56"/>
  <c r="AA83" i="56" s="1"/>
  <c r="AB83" i="56" s="1"/>
  <c r="AC83" i="56" s="1"/>
  <c r="Z19" i="56"/>
  <c r="AA19" i="56" s="1"/>
  <c r="Z163" i="56"/>
  <c r="AA163" i="56" s="1"/>
  <c r="AB163" i="56" s="1"/>
  <c r="Z99" i="56"/>
  <c r="AA99" i="56" s="1"/>
  <c r="AB99" i="56" s="1"/>
  <c r="AC99" i="56" s="1"/>
  <c r="Z179" i="56"/>
  <c r="AA179" i="56" s="1"/>
  <c r="AB179" i="56" s="1"/>
  <c r="Z115" i="56"/>
  <c r="AA115" i="56" s="1"/>
  <c r="AB115" i="56" s="1"/>
  <c r="AC115" i="56" s="1"/>
  <c r="Z51" i="56"/>
  <c r="AA51" i="56" s="1"/>
  <c r="AB51" i="56" s="1"/>
  <c r="AC51" i="56" s="1"/>
  <c r="Z35" i="56"/>
  <c r="AA35" i="56" s="1"/>
  <c r="AL51" i="56"/>
  <c r="AM51" i="56" s="1"/>
  <c r="AN51" i="56" s="1"/>
  <c r="AO51" i="56" s="1"/>
  <c r="AL115" i="56"/>
  <c r="AM115" i="56" s="1"/>
  <c r="AN115" i="56" s="1"/>
  <c r="AO115" i="56" s="1"/>
  <c r="AL171" i="56"/>
  <c r="AM171" i="56" s="1"/>
  <c r="AL107" i="56"/>
  <c r="AM107" i="56" s="1"/>
  <c r="AL187" i="56"/>
  <c r="AM187" i="56" s="1"/>
  <c r="AL203" i="56"/>
  <c r="AM203" i="56" s="1"/>
  <c r="AN203" i="56" s="1"/>
  <c r="AO203" i="56" s="1"/>
  <c r="AL139" i="56"/>
  <c r="AM139" i="56" s="1"/>
  <c r="AN139" i="56" s="1"/>
  <c r="AO139" i="56" s="1"/>
  <c r="AL219" i="56"/>
  <c r="AM219" i="56" s="1"/>
  <c r="AL155" i="56"/>
  <c r="AM155" i="56" s="1"/>
  <c r="AN155" i="56" s="1"/>
  <c r="AO155" i="56" s="1"/>
  <c r="AL91" i="56"/>
  <c r="AM91" i="56" s="1"/>
  <c r="AN91" i="56" s="1"/>
  <c r="AO91" i="56" s="1"/>
  <c r="AL43" i="56"/>
  <c r="AM43" i="56" s="1"/>
  <c r="AN43" i="56" s="1"/>
  <c r="AO43" i="56" s="1"/>
  <c r="AL123" i="56"/>
  <c r="AM123" i="56" s="1"/>
  <c r="AN123" i="56" s="1"/>
  <c r="AO123" i="56" s="1"/>
  <c r="AL59" i="56"/>
  <c r="AM59" i="56" s="1"/>
  <c r="AN59" i="56" s="1"/>
  <c r="AO59" i="56" s="1"/>
  <c r="AL243" i="56"/>
  <c r="AM243" i="56" s="1"/>
  <c r="AN243" i="56" s="1"/>
  <c r="AO243" i="56" s="1"/>
  <c r="AL75" i="56"/>
  <c r="AM75" i="56" s="1"/>
  <c r="AN75" i="56" s="1"/>
  <c r="AL27" i="56"/>
  <c r="AM27" i="56" s="1"/>
  <c r="AN27" i="56" s="1"/>
  <c r="AL19" i="56"/>
  <c r="AM19" i="56" s="1"/>
  <c r="AN19" i="56" s="1"/>
  <c r="AL35" i="56"/>
  <c r="AM35" i="56" s="1"/>
  <c r="AN35" i="56" s="1"/>
  <c r="AO35" i="56" s="1"/>
  <c r="V211" i="54"/>
  <c r="W211" i="54" s="1"/>
  <c r="X211" i="54" s="1"/>
  <c r="V19" i="54"/>
  <c r="W19" i="54" s="1"/>
  <c r="X19" i="54" s="1"/>
  <c r="V31" i="54"/>
  <c r="W31" i="54" s="1"/>
  <c r="X31" i="54" s="1"/>
  <c r="Y31" i="54" s="1"/>
  <c r="V223" i="54"/>
  <c r="W223" i="54" s="1"/>
  <c r="X223" i="54" s="1"/>
  <c r="Y223" i="54" s="1"/>
  <c r="V307" i="54"/>
  <c r="W307" i="54" s="1"/>
  <c r="X307" i="54" s="1"/>
  <c r="Y307" i="54" s="1"/>
  <c r="V115" i="54"/>
  <c r="W115" i="54" s="1"/>
  <c r="X115" i="54" s="1"/>
  <c r="Y115" i="54" s="1"/>
  <c r="N241" i="56"/>
  <c r="O241" i="56" s="1"/>
  <c r="P241" i="56" s="1"/>
  <c r="Q241" i="56" s="1"/>
  <c r="N217" i="56"/>
  <c r="O217" i="56" s="1"/>
  <c r="P217" i="56" s="1"/>
  <c r="Q217" i="56" s="1"/>
  <c r="N153" i="56"/>
  <c r="O153" i="56" s="1"/>
  <c r="N89" i="56"/>
  <c r="O89" i="56" s="1"/>
  <c r="P89" i="56" s="1"/>
  <c r="N25" i="56"/>
  <c r="O25" i="56" s="1"/>
  <c r="P25" i="56" s="1"/>
  <c r="N249" i="56"/>
  <c r="O249" i="56" s="1"/>
  <c r="P249" i="56" s="1"/>
  <c r="Q249" i="56" s="1"/>
  <c r="N169" i="56"/>
  <c r="O169" i="56" s="1"/>
  <c r="P169" i="56" s="1"/>
  <c r="Q169" i="56" s="1"/>
  <c r="N105" i="56"/>
  <c r="O105" i="56" s="1"/>
  <c r="P105" i="56" s="1"/>
  <c r="Q105" i="56" s="1"/>
  <c r="N41" i="56"/>
  <c r="O41" i="56" s="1"/>
  <c r="P41" i="56" s="1"/>
  <c r="Q41" i="56" s="1"/>
  <c r="N201" i="56"/>
  <c r="O201" i="56" s="1"/>
  <c r="P201" i="56" s="1"/>
  <c r="Q201" i="56" s="1"/>
  <c r="N137" i="56"/>
  <c r="O137" i="56" s="1"/>
  <c r="P137" i="56" s="1"/>
  <c r="N73" i="56"/>
  <c r="O73" i="56" s="1"/>
  <c r="P73" i="56" s="1"/>
  <c r="Q73" i="56" s="1"/>
  <c r="N57" i="56"/>
  <c r="O57" i="56" s="1"/>
  <c r="P57" i="56" s="1"/>
  <c r="Q57" i="56" s="1"/>
  <c r="N233" i="56"/>
  <c r="O233" i="56" s="1"/>
  <c r="P233" i="56" s="1"/>
  <c r="Q233" i="56" s="1"/>
  <c r="N209" i="56"/>
  <c r="O209" i="56" s="1"/>
  <c r="P209" i="56" s="1"/>
  <c r="N145" i="56"/>
  <c r="O145" i="56" s="1"/>
  <c r="P145" i="56" s="1"/>
  <c r="Q145" i="56" s="1"/>
  <c r="N81" i="56"/>
  <c r="O81" i="56" s="1"/>
  <c r="P81" i="56" s="1"/>
  <c r="Q81" i="56" s="1"/>
  <c r="N17" i="56"/>
  <c r="O17" i="56" s="1"/>
  <c r="P17" i="56" s="1"/>
  <c r="Q17" i="56" s="1"/>
  <c r="N121" i="56"/>
  <c r="O121" i="56" s="1"/>
  <c r="P121" i="56" s="1"/>
  <c r="Q121" i="56" s="1"/>
  <c r="N225" i="56"/>
  <c r="O225" i="56" s="1"/>
  <c r="P225" i="56" s="1"/>
  <c r="Q225" i="56" s="1"/>
  <c r="N161" i="56"/>
  <c r="O161" i="56" s="1"/>
  <c r="P161" i="56" s="1"/>
  <c r="Q161" i="56" s="1"/>
  <c r="N97" i="56"/>
  <c r="O97" i="56" s="1"/>
  <c r="P97" i="56" s="1"/>
  <c r="Q97" i="56" s="1"/>
  <c r="N33" i="56"/>
  <c r="O33" i="56" s="1"/>
  <c r="P33" i="56" s="1"/>
  <c r="Q33" i="56" s="1"/>
  <c r="N185" i="56"/>
  <c r="O185" i="56" s="1"/>
  <c r="P185" i="56" s="1"/>
  <c r="N177" i="56"/>
  <c r="O177" i="56" s="1"/>
  <c r="P177" i="56" s="1"/>
  <c r="Q177" i="56" s="1"/>
  <c r="N113" i="56"/>
  <c r="O113" i="56" s="1"/>
  <c r="P113" i="56" s="1"/>
  <c r="Q113" i="56" s="1"/>
  <c r="N49" i="56"/>
  <c r="O49" i="56" s="1"/>
  <c r="P49" i="56" s="1"/>
  <c r="Q49" i="56" s="1"/>
  <c r="N193" i="56"/>
  <c r="O193" i="56" s="1"/>
  <c r="P193" i="56" s="1"/>
  <c r="N129" i="56"/>
  <c r="O129" i="56" s="1"/>
  <c r="P129" i="56" s="1"/>
  <c r="Q129" i="56" s="1"/>
  <c r="N65" i="56"/>
  <c r="O65" i="56" s="1"/>
  <c r="AZ348" i="54"/>
  <c r="BA348" i="54" s="1"/>
  <c r="BB348" i="54" s="1"/>
  <c r="BC348" i="54" s="1"/>
  <c r="AZ360" i="54"/>
  <c r="BA360" i="54" s="1"/>
  <c r="BB360" i="54" s="1"/>
  <c r="BC360" i="54" s="1"/>
  <c r="AZ240" i="54"/>
  <c r="BA240" i="54" s="1"/>
  <c r="BB240" i="54" s="1"/>
  <c r="BC240" i="54" s="1"/>
  <c r="AZ144" i="54"/>
  <c r="BA144" i="54" s="1"/>
  <c r="BB144" i="54" s="1"/>
  <c r="AZ216" i="54"/>
  <c r="BA216" i="54" s="1"/>
  <c r="BB216" i="54" s="1"/>
  <c r="AZ132" i="54"/>
  <c r="BA132" i="54" s="1"/>
  <c r="BB132" i="54" s="1"/>
  <c r="AZ96" i="54"/>
  <c r="BA96" i="54" s="1"/>
  <c r="BB96" i="54" s="1"/>
  <c r="BC96" i="54" s="1"/>
  <c r="AZ24" i="54"/>
  <c r="BA24" i="54" s="1"/>
  <c r="BB24" i="54" s="1"/>
  <c r="BC24" i="54" s="1"/>
  <c r="AZ276" i="54"/>
  <c r="BA276" i="54" s="1"/>
  <c r="AZ192" i="54"/>
  <c r="BA192" i="54" s="1"/>
  <c r="BB192" i="54" s="1"/>
  <c r="BC192" i="54" s="1"/>
  <c r="AZ264" i="54"/>
  <c r="BA264" i="54" s="1"/>
  <c r="BB264" i="54" s="1"/>
  <c r="BC264" i="54" s="1"/>
  <c r="AZ300" i="54"/>
  <c r="BA300" i="54" s="1"/>
  <c r="BB300" i="54" s="1"/>
  <c r="BC300" i="54" s="1"/>
  <c r="AZ228" i="54"/>
  <c r="BA228" i="54" s="1"/>
  <c r="BB228" i="54" s="1"/>
  <c r="AZ180" i="54"/>
  <c r="BA180" i="54" s="1"/>
  <c r="BB180" i="54" s="1"/>
  <c r="BC180" i="54" s="1"/>
  <c r="AZ72" i="54"/>
  <c r="BA72" i="54" s="1"/>
  <c r="BB72" i="54" s="1"/>
  <c r="BC72" i="54" s="1"/>
  <c r="AZ372" i="54"/>
  <c r="BA372" i="54" s="1"/>
  <c r="BB372" i="54" s="1"/>
  <c r="BC372" i="54" s="1"/>
  <c r="AZ288" i="54"/>
  <c r="BA288" i="54" s="1"/>
  <c r="BB288" i="54" s="1"/>
  <c r="AZ324" i="54"/>
  <c r="BA324" i="54" s="1"/>
  <c r="BB324" i="54" s="1"/>
  <c r="AZ156" i="54"/>
  <c r="BA156" i="54" s="1"/>
  <c r="AZ120" i="54"/>
  <c r="BA120" i="54" s="1"/>
  <c r="BB120" i="54" s="1"/>
  <c r="AZ84" i="54"/>
  <c r="BA84" i="54" s="1"/>
  <c r="BB84" i="54" s="1"/>
  <c r="AZ36" i="54"/>
  <c r="BA36" i="54" s="1"/>
  <c r="BB36" i="54" s="1"/>
  <c r="BC36" i="54" s="1"/>
  <c r="AZ336" i="54"/>
  <c r="BA336" i="54" s="1"/>
  <c r="BB336" i="54" s="1"/>
  <c r="BC336" i="54" s="1"/>
  <c r="AZ312" i="54"/>
  <c r="BA312" i="54" s="1"/>
  <c r="BB312" i="54" s="1"/>
  <c r="BC312" i="54" s="1"/>
  <c r="AZ252" i="54"/>
  <c r="BA252" i="54" s="1"/>
  <c r="BB252" i="54" s="1"/>
  <c r="AZ204" i="54"/>
  <c r="BA204" i="54" s="1"/>
  <c r="AZ168" i="54"/>
  <c r="BA168" i="54" s="1"/>
  <c r="BB168" i="54" s="1"/>
  <c r="BC168" i="54" s="1"/>
  <c r="AZ48" i="54"/>
  <c r="BA48" i="54" s="1"/>
  <c r="BB48" i="54" s="1"/>
  <c r="BC48" i="54" s="1"/>
  <c r="AZ108" i="54"/>
  <c r="BA108" i="54" s="1"/>
  <c r="BB108" i="54" s="1"/>
  <c r="BC108" i="54" s="1"/>
  <c r="AZ60" i="54"/>
  <c r="BA60" i="54" s="1"/>
  <c r="BB60" i="54" s="1"/>
  <c r="BC60" i="54" s="1"/>
  <c r="L316" i="54"/>
  <c r="M316" i="54" s="1"/>
  <c r="N316" i="54" s="1"/>
  <c r="O316" i="54" s="1"/>
  <c r="L352" i="54"/>
  <c r="M352" i="54" s="1"/>
  <c r="N352" i="54" s="1"/>
  <c r="O352" i="54" s="1"/>
  <c r="L148" i="54"/>
  <c r="M148" i="54" s="1"/>
  <c r="N148" i="54" s="1"/>
  <c r="O148" i="54" s="1"/>
  <c r="L208" i="54"/>
  <c r="M208" i="54" s="1"/>
  <c r="N208" i="54" s="1"/>
  <c r="O208" i="54" s="1"/>
  <c r="L16" i="54"/>
  <c r="M16" i="54" s="1"/>
  <c r="N16" i="54" s="1"/>
  <c r="O16" i="54" s="1"/>
  <c r="L364" i="54"/>
  <c r="M364" i="54" s="1"/>
  <c r="N364" i="54" s="1"/>
  <c r="L292" i="54"/>
  <c r="M292" i="54" s="1"/>
  <c r="N292" i="54" s="1"/>
  <c r="L196" i="54"/>
  <c r="M196" i="54" s="1"/>
  <c r="N196" i="54" s="1"/>
  <c r="O196" i="54" s="1"/>
  <c r="L340" i="54"/>
  <c r="M340" i="54" s="1"/>
  <c r="N340" i="54" s="1"/>
  <c r="L256" i="54"/>
  <c r="M256" i="54" s="1"/>
  <c r="N256" i="54" s="1"/>
  <c r="O256" i="54" s="1"/>
  <c r="L28" i="54"/>
  <c r="M28" i="54" s="1"/>
  <c r="N28" i="54" s="1"/>
  <c r="L328" i="54"/>
  <c r="M328" i="54" s="1"/>
  <c r="N328" i="54" s="1"/>
  <c r="L304" i="54"/>
  <c r="M304" i="54" s="1"/>
  <c r="N304" i="54" s="1"/>
  <c r="L244" i="54"/>
  <c r="M244" i="54" s="1"/>
  <c r="N244" i="54" s="1"/>
  <c r="O244" i="54" s="1"/>
  <c r="L52" i="54"/>
  <c r="M52" i="54" s="1"/>
  <c r="N52" i="54" s="1"/>
  <c r="O52" i="54" s="1"/>
  <c r="L172" i="54"/>
  <c r="M172" i="54" s="1"/>
  <c r="N172" i="54" s="1"/>
  <c r="L40" i="54"/>
  <c r="M40" i="54" s="1"/>
  <c r="N40" i="54" s="1"/>
  <c r="O40" i="54" s="1"/>
  <c r="L100" i="54"/>
  <c r="M100" i="54" s="1"/>
  <c r="N100" i="54" s="1"/>
  <c r="L268" i="54"/>
  <c r="M268" i="54" s="1"/>
  <c r="N268" i="54" s="1"/>
  <c r="O268" i="54" s="1"/>
  <c r="AP325" i="54"/>
  <c r="AQ325" i="54" s="1"/>
  <c r="AR325" i="54" s="1"/>
  <c r="AS325" i="54" s="1"/>
  <c r="AP205" i="54"/>
  <c r="AQ205" i="54" s="1"/>
  <c r="AR205" i="54" s="1"/>
  <c r="AP133" i="54"/>
  <c r="AQ133" i="54" s="1"/>
  <c r="AR133" i="54" s="1"/>
  <c r="AS133" i="54" s="1"/>
  <c r="AP301" i="54"/>
  <c r="AQ301" i="54" s="1"/>
  <c r="AR301" i="54" s="1"/>
  <c r="AS301" i="54" s="1"/>
  <c r="AP337" i="54"/>
  <c r="AQ337" i="54" s="1"/>
  <c r="AR337" i="54" s="1"/>
  <c r="AP253" i="54"/>
  <c r="AQ253" i="54" s="1"/>
  <c r="AR253" i="54" s="1"/>
  <c r="AP169" i="54"/>
  <c r="AQ169" i="54" s="1"/>
  <c r="AR169" i="54" s="1"/>
  <c r="AP181" i="54"/>
  <c r="AQ181" i="54" s="1"/>
  <c r="AR181" i="54" s="1"/>
  <c r="AS181" i="54" s="1"/>
  <c r="AP349" i="54"/>
  <c r="AQ349" i="54" s="1"/>
  <c r="AR349" i="54" s="1"/>
  <c r="AS349" i="54" s="1"/>
  <c r="AP373" i="54"/>
  <c r="AQ373" i="54" s="1"/>
  <c r="AR373" i="54" s="1"/>
  <c r="AS373" i="54" s="1"/>
  <c r="AP109" i="54"/>
  <c r="AQ109" i="54" s="1"/>
  <c r="AR109" i="54" s="1"/>
  <c r="AS109" i="54" s="1"/>
  <c r="AP217" i="54"/>
  <c r="AQ217" i="54" s="1"/>
  <c r="AR217" i="54" s="1"/>
  <c r="AP229" i="54"/>
  <c r="AQ229" i="54" s="1"/>
  <c r="AP313" i="54"/>
  <c r="AQ313" i="54" s="1"/>
  <c r="AR313" i="54" s="1"/>
  <c r="AS313" i="54" s="1"/>
  <c r="AP157" i="54"/>
  <c r="AQ157" i="54" s="1"/>
  <c r="AR157" i="54" s="1"/>
  <c r="AS157" i="54" s="1"/>
  <c r="AP361" i="54"/>
  <c r="AQ361" i="54" s="1"/>
  <c r="AP265" i="54"/>
  <c r="AQ265" i="54" s="1"/>
  <c r="AR265" i="54" s="1"/>
  <c r="AP277" i="54"/>
  <c r="AQ277" i="54" s="1"/>
  <c r="AR277" i="54" s="1"/>
  <c r="AS277" i="54" s="1"/>
  <c r="AP97" i="54"/>
  <c r="AQ97" i="54" s="1"/>
  <c r="AR97" i="54" s="1"/>
  <c r="AP193" i="54"/>
  <c r="AQ193" i="54" s="1"/>
  <c r="AR193" i="54" s="1"/>
  <c r="AS193" i="54" s="1"/>
  <c r="AP73" i="54"/>
  <c r="AQ73" i="54" s="1"/>
  <c r="AR73" i="54" s="1"/>
  <c r="AS73" i="54" s="1"/>
  <c r="AP49" i="54"/>
  <c r="AQ49" i="54" s="1"/>
  <c r="AR49" i="54" s="1"/>
  <c r="AS49" i="54" s="1"/>
  <c r="AP145" i="54"/>
  <c r="AQ145" i="54" s="1"/>
  <c r="AR145" i="54" s="1"/>
  <c r="AP61" i="54"/>
  <c r="AQ61" i="54" s="1"/>
  <c r="AR61" i="54" s="1"/>
  <c r="AS61" i="54" s="1"/>
  <c r="AP37" i="54"/>
  <c r="AQ37" i="54" s="1"/>
  <c r="AR37" i="54" s="1"/>
  <c r="AS37" i="54" s="1"/>
  <c r="AP289" i="54"/>
  <c r="AQ289" i="54" s="1"/>
  <c r="AR289" i="54" s="1"/>
  <c r="AP25" i="54"/>
  <c r="AQ25" i="54" s="1"/>
  <c r="AR25" i="54" s="1"/>
  <c r="AS25" i="54" s="1"/>
  <c r="AP85" i="54"/>
  <c r="AQ85" i="54" s="1"/>
  <c r="AR85" i="54" s="1"/>
  <c r="AS85" i="54" s="1"/>
  <c r="AP241" i="54"/>
  <c r="AQ241" i="54" s="1"/>
  <c r="AR241" i="54" s="1"/>
  <c r="AP121" i="54"/>
  <c r="AQ121" i="54" s="1"/>
  <c r="AR121" i="54" s="1"/>
  <c r="AS121" i="54" s="1"/>
  <c r="AP364" i="54"/>
  <c r="AQ364" i="54" s="1"/>
  <c r="AR364" i="54" s="1"/>
  <c r="AP136" i="54"/>
  <c r="AQ136" i="54" s="1"/>
  <c r="AR136" i="54" s="1"/>
  <c r="AS136" i="54" s="1"/>
  <c r="AP244" i="54"/>
  <c r="AQ244" i="54" s="1"/>
  <c r="AR244" i="54" s="1"/>
  <c r="AS244" i="54" s="1"/>
  <c r="AP256" i="54"/>
  <c r="AQ256" i="54" s="1"/>
  <c r="AR256" i="54" s="1"/>
  <c r="AS256" i="54" s="1"/>
  <c r="AP184" i="54"/>
  <c r="AQ184" i="54" s="1"/>
  <c r="AR184" i="54" s="1"/>
  <c r="AS184" i="54" s="1"/>
  <c r="AP292" i="54"/>
  <c r="AQ292" i="54" s="1"/>
  <c r="AR292" i="54" s="1"/>
  <c r="AS292" i="54" s="1"/>
  <c r="AP232" i="54"/>
  <c r="AQ232" i="54" s="1"/>
  <c r="AR232" i="54" s="1"/>
  <c r="AP148" i="54"/>
  <c r="AQ148" i="54" s="1"/>
  <c r="AR148" i="54" s="1"/>
  <c r="AS148" i="54" s="1"/>
  <c r="AP328" i="54"/>
  <c r="AQ328" i="54" s="1"/>
  <c r="AR328" i="54" s="1"/>
  <c r="AS328" i="54" s="1"/>
  <c r="AP352" i="54"/>
  <c r="AQ352" i="54" s="1"/>
  <c r="AR352" i="54" s="1"/>
  <c r="AS352" i="54" s="1"/>
  <c r="AP280" i="54"/>
  <c r="AQ280" i="54" s="1"/>
  <c r="AP88" i="54"/>
  <c r="AQ88" i="54" s="1"/>
  <c r="AR88" i="54" s="1"/>
  <c r="AS88" i="54" s="1"/>
  <c r="AP196" i="54"/>
  <c r="AQ196" i="54" s="1"/>
  <c r="AR196" i="54" s="1"/>
  <c r="AP208" i="54"/>
  <c r="AQ208" i="54" s="1"/>
  <c r="AR208" i="54" s="1"/>
  <c r="AS208" i="54" s="1"/>
  <c r="AP76" i="54"/>
  <c r="AQ76" i="54" s="1"/>
  <c r="AR76" i="54" s="1"/>
  <c r="AS76" i="54" s="1"/>
  <c r="AP304" i="54"/>
  <c r="AQ304" i="54" s="1"/>
  <c r="AR304" i="54" s="1"/>
  <c r="AS304" i="54" s="1"/>
  <c r="AP316" i="54"/>
  <c r="AQ316" i="54" s="1"/>
  <c r="AR316" i="54" s="1"/>
  <c r="AP340" i="54"/>
  <c r="AQ340" i="54" s="1"/>
  <c r="AR340" i="54" s="1"/>
  <c r="AP52" i="54"/>
  <c r="AQ52" i="54" s="1"/>
  <c r="AR52" i="54" s="1"/>
  <c r="AS52" i="54" s="1"/>
  <c r="AP64" i="54"/>
  <c r="AQ64" i="54" s="1"/>
  <c r="AR64" i="54" s="1"/>
  <c r="AS64" i="54" s="1"/>
  <c r="AP172" i="54"/>
  <c r="AQ172" i="54" s="1"/>
  <c r="AP160" i="54"/>
  <c r="AQ160" i="54" s="1"/>
  <c r="AR160" i="54" s="1"/>
  <c r="AS160" i="54" s="1"/>
  <c r="AP220" i="54"/>
  <c r="AQ220" i="54" s="1"/>
  <c r="AR220" i="54" s="1"/>
  <c r="AS220" i="54" s="1"/>
  <c r="AP268" i="54"/>
  <c r="AQ268" i="54" s="1"/>
  <c r="AR268" i="54" s="1"/>
  <c r="AS268" i="54" s="1"/>
  <c r="AP100" i="54"/>
  <c r="AQ100" i="54" s="1"/>
  <c r="AR100" i="54" s="1"/>
  <c r="AS100" i="54" s="1"/>
  <c r="AP28" i="54"/>
  <c r="AQ28" i="54" s="1"/>
  <c r="AR28" i="54" s="1"/>
  <c r="AS28" i="54" s="1"/>
  <c r="AP40" i="54"/>
  <c r="AQ40" i="54" s="1"/>
  <c r="AR40" i="54" s="1"/>
  <c r="AS40" i="54" s="1"/>
  <c r="AP124" i="54"/>
  <c r="AQ124" i="54" s="1"/>
  <c r="AR124" i="54" s="1"/>
  <c r="AS124" i="54" s="1"/>
  <c r="AP112" i="54"/>
  <c r="AQ112" i="54" s="1"/>
  <c r="AR112" i="54" s="1"/>
  <c r="AP16" i="54"/>
  <c r="AQ16" i="54" s="1"/>
  <c r="AR16" i="54" s="1"/>
  <c r="AS16" i="54" s="1"/>
  <c r="AZ349" i="54"/>
  <c r="BA349" i="54" s="1"/>
  <c r="BB349" i="54" s="1"/>
  <c r="AZ325" i="54"/>
  <c r="BA325" i="54" s="1"/>
  <c r="BB325" i="54" s="1"/>
  <c r="BC325" i="54" s="1"/>
  <c r="AZ217" i="54"/>
  <c r="BA217" i="54" s="1"/>
  <c r="BB217" i="54" s="1"/>
  <c r="BC217" i="54" s="1"/>
  <c r="AZ181" i="54"/>
  <c r="BA181" i="54" s="1"/>
  <c r="BB181" i="54" s="1"/>
  <c r="BC181" i="54" s="1"/>
  <c r="AZ145" i="54"/>
  <c r="BA145" i="54" s="1"/>
  <c r="BB145" i="54" s="1"/>
  <c r="AZ61" i="54"/>
  <c r="BA61" i="54" s="1"/>
  <c r="BB61" i="54" s="1"/>
  <c r="BC61" i="54" s="1"/>
  <c r="AZ25" i="54"/>
  <c r="BA25" i="54" s="1"/>
  <c r="BB25" i="54" s="1"/>
  <c r="BC25" i="54" s="1"/>
  <c r="AZ361" i="54"/>
  <c r="BA361" i="54" s="1"/>
  <c r="BB361" i="54" s="1"/>
  <c r="BC361" i="54" s="1"/>
  <c r="AZ373" i="54"/>
  <c r="BA373" i="54" s="1"/>
  <c r="BB373" i="54" s="1"/>
  <c r="BC373" i="54" s="1"/>
  <c r="AZ313" i="54"/>
  <c r="BA313" i="54" s="1"/>
  <c r="BB313" i="54" s="1"/>
  <c r="AZ277" i="54"/>
  <c r="BA277" i="54" s="1"/>
  <c r="AZ253" i="54"/>
  <c r="BA253" i="54" s="1"/>
  <c r="BB253" i="54" s="1"/>
  <c r="BC253" i="54" s="1"/>
  <c r="AZ157" i="54"/>
  <c r="BA157" i="54" s="1"/>
  <c r="BB157" i="54" s="1"/>
  <c r="BC157" i="54" s="1"/>
  <c r="AZ229" i="54"/>
  <c r="BA229" i="54" s="1"/>
  <c r="BB229" i="54" s="1"/>
  <c r="BC229" i="54" s="1"/>
  <c r="AZ109" i="54"/>
  <c r="BA109" i="54" s="1"/>
  <c r="BB109" i="54" s="1"/>
  <c r="BC109" i="54" s="1"/>
  <c r="AZ37" i="54"/>
  <c r="BA37" i="54" s="1"/>
  <c r="BB37" i="54" s="1"/>
  <c r="BC37" i="54" s="1"/>
  <c r="AZ337" i="54"/>
  <c r="BA337" i="54" s="1"/>
  <c r="BB337" i="54" s="1"/>
  <c r="BC337" i="54" s="1"/>
  <c r="AZ289" i="54"/>
  <c r="BA289" i="54" s="1"/>
  <c r="BB289" i="54" s="1"/>
  <c r="AZ205" i="54"/>
  <c r="BA205" i="54" s="1"/>
  <c r="AZ241" i="54"/>
  <c r="BA241" i="54" s="1"/>
  <c r="BB241" i="54" s="1"/>
  <c r="BC241" i="54" s="1"/>
  <c r="AZ49" i="54"/>
  <c r="BA49" i="54" s="1"/>
  <c r="BB49" i="54" s="1"/>
  <c r="BC49" i="54" s="1"/>
  <c r="AZ301" i="54"/>
  <c r="BA301" i="54" s="1"/>
  <c r="BB301" i="54" s="1"/>
  <c r="AZ265" i="54"/>
  <c r="BA265" i="54" s="1"/>
  <c r="BB265" i="54" s="1"/>
  <c r="BC265" i="54" s="1"/>
  <c r="AZ169" i="54"/>
  <c r="BA169" i="54" s="1"/>
  <c r="BB169" i="54" s="1"/>
  <c r="AZ133" i="54"/>
  <c r="BA133" i="54" s="1"/>
  <c r="BB133" i="54" s="1"/>
  <c r="AZ97" i="54"/>
  <c r="BA97" i="54" s="1"/>
  <c r="AZ121" i="54"/>
  <c r="BA121" i="54" s="1"/>
  <c r="BB121" i="54" s="1"/>
  <c r="BC121" i="54" s="1"/>
  <c r="AZ193" i="54"/>
  <c r="BA193" i="54" s="1"/>
  <c r="BB193" i="54" s="1"/>
  <c r="AZ73" i="54"/>
  <c r="BA73" i="54" s="1"/>
  <c r="BB73" i="54" s="1"/>
  <c r="BC73" i="54" s="1"/>
  <c r="AZ85" i="54"/>
  <c r="BA85" i="54" s="1"/>
  <c r="BB85" i="54" s="1"/>
  <c r="BC85" i="54" s="1"/>
  <c r="AL217" i="56"/>
  <c r="AM217" i="56" s="1"/>
  <c r="AN217" i="56" s="1"/>
  <c r="AL153" i="56"/>
  <c r="AM153" i="56" s="1"/>
  <c r="AN153" i="56" s="1"/>
  <c r="AO153" i="56" s="1"/>
  <c r="AL89" i="56"/>
  <c r="AM89" i="56" s="1"/>
  <c r="AN89" i="56" s="1"/>
  <c r="AO89" i="56" s="1"/>
  <c r="AL241" i="56"/>
  <c r="AM241" i="56" s="1"/>
  <c r="AN241" i="56" s="1"/>
  <c r="AL185" i="56"/>
  <c r="AM185" i="56" s="1"/>
  <c r="AL121" i="56"/>
  <c r="AM121" i="56" s="1"/>
  <c r="AN121" i="56" s="1"/>
  <c r="AO121" i="56" s="1"/>
  <c r="AL57" i="56"/>
  <c r="AM57" i="56" s="1"/>
  <c r="AN57" i="56" s="1"/>
  <c r="AO57" i="56" s="1"/>
  <c r="AL201" i="56"/>
  <c r="AM201" i="56" s="1"/>
  <c r="AN201" i="56" s="1"/>
  <c r="AL137" i="56"/>
  <c r="AM137" i="56" s="1"/>
  <c r="AN137" i="56" s="1"/>
  <c r="AL73" i="56"/>
  <c r="AM73" i="56" s="1"/>
  <c r="AN73" i="56" s="1"/>
  <c r="AO73" i="56" s="1"/>
  <c r="AP375" i="54"/>
  <c r="AQ375" i="54" s="1"/>
  <c r="AR375" i="54" s="1"/>
  <c r="AP135" i="54"/>
  <c r="AQ135" i="54" s="1"/>
  <c r="AR135" i="54" s="1"/>
  <c r="AS135" i="54" s="1"/>
  <c r="AP243" i="54"/>
  <c r="AQ243" i="54" s="1"/>
  <c r="AR243" i="54" s="1"/>
  <c r="AP255" i="54"/>
  <c r="AQ255" i="54" s="1"/>
  <c r="AR255" i="54" s="1"/>
  <c r="AP183" i="54"/>
  <c r="AQ183" i="54" s="1"/>
  <c r="AR183" i="54" s="1"/>
  <c r="AS183" i="54" s="1"/>
  <c r="AP291" i="54"/>
  <c r="AQ291" i="54" s="1"/>
  <c r="AR291" i="54" s="1"/>
  <c r="AP363" i="54"/>
  <c r="AQ363" i="54" s="1"/>
  <c r="AP231" i="54"/>
  <c r="AQ231" i="54" s="1"/>
  <c r="AP147" i="54"/>
  <c r="AQ147" i="54" s="1"/>
  <c r="AR147" i="54" s="1"/>
  <c r="AS147" i="54" s="1"/>
  <c r="AP327" i="54"/>
  <c r="AQ327" i="54" s="1"/>
  <c r="AR327" i="54" s="1"/>
  <c r="AS327" i="54" s="1"/>
  <c r="AP351" i="54"/>
  <c r="AQ351" i="54" s="1"/>
  <c r="AR351" i="54" s="1"/>
  <c r="AP279" i="54"/>
  <c r="AQ279" i="54" s="1"/>
  <c r="AR279" i="54" s="1"/>
  <c r="AS279" i="54" s="1"/>
  <c r="AP195" i="54"/>
  <c r="AQ195" i="54" s="1"/>
  <c r="AP207" i="54"/>
  <c r="AQ207" i="54" s="1"/>
  <c r="AR207" i="54" s="1"/>
  <c r="AS207" i="54" s="1"/>
  <c r="AP159" i="54"/>
  <c r="AQ159" i="54" s="1"/>
  <c r="AR159" i="54" s="1"/>
  <c r="AS159" i="54" s="1"/>
  <c r="AP75" i="54"/>
  <c r="AQ75" i="54" s="1"/>
  <c r="AR75" i="54" s="1"/>
  <c r="AS75" i="54" s="1"/>
  <c r="AP87" i="54"/>
  <c r="AQ87" i="54" s="1"/>
  <c r="AR87" i="54" s="1"/>
  <c r="AS87" i="54" s="1"/>
  <c r="AP315" i="54"/>
  <c r="AQ315" i="54" s="1"/>
  <c r="AR315" i="54" s="1"/>
  <c r="AS315" i="54" s="1"/>
  <c r="AP111" i="54"/>
  <c r="AQ111" i="54" s="1"/>
  <c r="AP63" i="54"/>
  <c r="AQ63" i="54" s="1"/>
  <c r="AR63" i="54" s="1"/>
  <c r="AS63" i="54" s="1"/>
  <c r="AP171" i="54"/>
  <c r="AQ171" i="54" s="1"/>
  <c r="AR171" i="54" s="1"/>
  <c r="AP219" i="54"/>
  <c r="AQ219" i="54" s="1"/>
  <c r="AR219" i="54" s="1"/>
  <c r="AS219" i="54" s="1"/>
  <c r="AP267" i="54"/>
  <c r="AQ267" i="54" s="1"/>
  <c r="AR267" i="54" s="1"/>
  <c r="AP123" i="54"/>
  <c r="AQ123" i="54" s="1"/>
  <c r="AR123" i="54" s="1"/>
  <c r="AS123" i="54" s="1"/>
  <c r="AP51" i="54"/>
  <c r="AQ51" i="54" s="1"/>
  <c r="AR51" i="54" s="1"/>
  <c r="AS51" i="54" s="1"/>
  <c r="AP303" i="54"/>
  <c r="AQ303" i="54" s="1"/>
  <c r="AR303" i="54" s="1"/>
  <c r="AS303" i="54" s="1"/>
  <c r="AP339" i="54"/>
  <c r="AQ339" i="54" s="1"/>
  <c r="AR339" i="54" s="1"/>
  <c r="AP27" i="54"/>
  <c r="AQ27" i="54" s="1"/>
  <c r="AR27" i="54" s="1"/>
  <c r="AS27" i="54" s="1"/>
  <c r="AP39" i="54"/>
  <c r="AQ39" i="54" s="1"/>
  <c r="AR39" i="54" s="1"/>
  <c r="AS39" i="54" s="1"/>
  <c r="AP99" i="54"/>
  <c r="AQ99" i="54" s="1"/>
  <c r="AR99" i="54" s="1"/>
  <c r="AS99" i="54" s="1"/>
  <c r="AF290" i="54"/>
  <c r="AG290" i="54" s="1"/>
  <c r="AH290" i="54" s="1"/>
  <c r="AI290" i="54" s="1"/>
  <c r="AF254" i="54"/>
  <c r="AG254" i="54" s="1"/>
  <c r="AH254" i="54" s="1"/>
  <c r="AI254" i="54" s="1"/>
  <c r="AF62" i="54"/>
  <c r="AG62" i="54" s="1"/>
  <c r="AH62" i="54" s="1"/>
  <c r="AI62" i="54" s="1"/>
  <c r="AF278" i="54"/>
  <c r="AG278" i="54" s="1"/>
  <c r="AH278" i="54" s="1"/>
  <c r="AF170" i="54"/>
  <c r="AG170" i="54" s="1"/>
  <c r="AH170" i="54" s="1"/>
  <c r="AF230" i="54"/>
  <c r="AG230" i="54" s="1"/>
  <c r="AH230" i="54" s="1"/>
  <c r="AF326" i="54"/>
  <c r="AG326" i="54" s="1"/>
  <c r="AH326" i="54" s="1"/>
  <c r="AI326" i="54" s="1"/>
  <c r="AF338" i="54"/>
  <c r="AG338" i="54" s="1"/>
  <c r="AH338" i="54" s="1"/>
  <c r="AI338" i="54" s="1"/>
  <c r="AF110" i="54"/>
  <c r="AG110" i="54" s="1"/>
  <c r="AH110" i="54" s="1"/>
  <c r="AI110" i="54" s="1"/>
  <c r="AF218" i="54"/>
  <c r="AG218" i="54" s="1"/>
  <c r="AH218" i="54" s="1"/>
  <c r="AI218" i="54" s="1"/>
  <c r="AF362" i="54"/>
  <c r="AG362" i="54" s="1"/>
  <c r="AH362" i="54" s="1"/>
  <c r="AF86" i="54"/>
  <c r="AG86" i="54" s="1"/>
  <c r="AF146" i="54"/>
  <c r="AG146" i="54" s="1"/>
  <c r="AH146" i="54" s="1"/>
  <c r="AI146" i="54" s="1"/>
  <c r="AF38" i="54"/>
  <c r="AG38" i="54" s="1"/>
  <c r="AH38" i="54" s="1"/>
  <c r="AI38" i="54" s="1"/>
  <c r="AF374" i="54"/>
  <c r="AG374" i="54" s="1"/>
  <c r="AH374" i="54" s="1"/>
  <c r="AI374" i="54" s="1"/>
  <c r="AF302" i="54"/>
  <c r="AG302" i="54" s="1"/>
  <c r="AH302" i="54" s="1"/>
  <c r="AI302" i="54" s="1"/>
  <c r="AF158" i="54"/>
  <c r="AG158" i="54" s="1"/>
  <c r="AH158" i="54" s="1"/>
  <c r="AI158" i="54" s="1"/>
  <c r="AF314" i="54"/>
  <c r="AG314" i="54" s="1"/>
  <c r="AH314" i="54" s="1"/>
  <c r="AI314" i="54" s="1"/>
  <c r="AF74" i="54"/>
  <c r="AG74" i="54" s="1"/>
  <c r="AH74" i="54" s="1"/>
  <c r="AI74" i="54" s="1"/>
  <c r="AF134" i="54"/>
  <c r="AG134" i="54" s="1"/>
  <c r="AH134" i="54" s="1"/>
  <c r="AI134" i="54" s="1"/>
  <c r="AF50" i="54"/>
  <c r="AG50" i="54" s="1"/>
  <c r="AH50" i="54" s="1"/>
  <c r="AI50" i="54" s="1"/>
  <c r="AF26" i="54"/>
  <c r="AG26" i="54" s="1"/>
  <c r="AH26" i="54" s="1"/>
  <c r="AI26" i="54" s="1"/>
  <c r="AF242" i="54"/>
  <c r="AG242" i="54" s="1"/>
  <c r="AH242" i="54" s="1"/>
  <c r="AI242" i="54" s="1"/>
  <c r="AF350" i="54"/>
  <c r="AG350" i="54" s="1"/>
  <c r="AH350" i="54" s="1"/>
  <c r="AI350" i="54" s="1"/>
  <c r="AF206" i="54"/>
  <c r="AG206" i="54" s="1"/>
  <c r="AH206" i="54" s="1"/>
  <c r="AF266" i="54"/>
  <c r="AG266" i="54" s="1"/>
  <c r="AH266" i="54" s="1"/>
  <c r="AF122" i="54"/>
  <c r="AG122" i="54" s="1"/>
  <c r="AH122" i="54" s="1"/>
  <c r="AI122" i="54" s="1"/>
  <c r="AF182" i="54"/>
  <c r="AG182" i="54" s="1"/>
  <c r="AH182" i="54" s="1"/>
  <c r="AI182" i="54" s="1"/>
  <c r="AF194" i="54"/>
  <c r="AG194" i="54" s="1"/>
  <c r="AH194" i="54" s="1"/>
  <c r="AI194" i="54" s="1"/>
  <c r="AF98" i="54"/>
  <c r="AG98" i="54" s="1"/>
  <c r="AH98" i="54" s="1"/>
  <c r="AI98" i="54" s="1"/>
  <c r="V270" i="54"/>
  <c r="W270" i="54" s="1"/>
  <c r="X270" i="54" s="1"/>
  <c r="Y270" i="54" s="1"/>
  <c r="V78" i="54"/>
  <c r="W78" i="54" s="1"/>
  <c r="X78" i="54" s="1"/>
  <c r="V186" i="54"/>
  <c r="W186" i="54" s="1"/>
  <c r="X186" i="54" s="1"/>
  <c r="V306" i="54"/>
  <c r="W306" i="54" s="1"/>
  <c r="X306" i="54" s="1"/>
  <c r="V198" i="54"/>
  <c r="W198" i="54" s="1"/>
  <c r="X198" i="54" s="1"/>
  <c r="V318" i="54"/>
  <c r="W318" i="54" s="1"/>
  <c r="X318" i="54" s="1"/>
  <c r="Y318" i="54" s="1"/>
  <c r="V126" i="54"/>
  <c r="W126" i="54" s="1"/>
  <c r="X126" i="54" s="1"/>
  <c r="V234" i="54"/>
  <c r="W234" i="54" s="1"/>
  <c r="X234" i="54" s="1"/>
  <c r="V42" i="54"/>
  <c r="W42" i="54" s="1"/>
  <c r="X42" i="54" s="1"/>
  <c r="Y42" i="54" s="1"/>
  <c r="V18" i="54"/>
  <c r="W18" i="54" s="1"/>
  <c r="X18" i="54" s="1"/>
  <c r="Y18" i="54" s="1"/>
  <c r="V294" i="54"/>
  <c r="W294" i="54" s="1"/>
  <c r="X294" i="54" s="1"/>
  <c r="Y294" i="54" s="1"/>
  <c r="V162" i="54"/>
  <c r="W162" i="54" s="1"/>
  <c r="X162" i="54" s="1"/>
  <c r="Y162" i="54" s="1"/>
  <c r="V366" i="54"/>
  <c r="W366" i="54" s="1"/>
  <c r="X366" i="54" s="1"/>
  <c r="V174" i="54"/>
  <c r="W174" i="54" s="1"/>
  <c r="X174" i="54" s="1"/>
  <c r="Y174" i="54" s="1"/>
  <c r="V282" i="54"/>
  <c r="W282" i="54" s="1"/>
  <c r="X282" i="54" s="1"/>
  <c r="Y282" i="54" s="1"/>
  <c r="V90" i="54"/>
  <c r="W90" i="54" s="1"/>
  <c r="X90" i="54" s="1"/>
  <c r="Y90" i="54" s="1"/>
  <c r="V114" i="54"/>
  <c r="W114" i="54" s="1"/>
  <c r="X114" i="54" s="1"/>
  <c r="V354" i="54"/>
  <c r="W354" i="54" s="1"/>
  <c r="X354" i="54" s="1"/>
  <c r="Y354" i="54" s="1"/>
  <c r="V222" i="54"/>
  <c r="W222" i="54" s="1"/>
  <c r="X222" i="54" s="1"/>
  <c r="V30" i="54"/>
  <c r="W30" i="54" s="1"/>
  <c r="X30" i="54" s="1"/>
  <c r="Y30" i="54" s="1"/>
  <c r="V330" i="54"/>
  <c r="W330" i="54" s="1"/>
  <c r="X330" i="54" s="1"/>
  <c r="Y330" i="54" s="1"/>
  <c r="V138" i="54"/>
  <c r="W138" i="54" s="1"/>
  <c r="X138" i="54" s="1"/>
  <c r="Y138" i="54" s="1"/>
  <c r="V210" i="54"/>
  <c r="W210" i="54" s="1"/>
  <c r="X210" i="54" s="1"/>
  <c r="Y210" i="54" s="1"/>
  <c r="V102" i="54"/>
  <c r="W102" i="54" s="1"/>
  <c r="X102" i="54" s="1"/>
  <c r="Y102" i="54" s="1"/>
  <c r="AF346" i="54"/>
  <c r="AG346" i="54" s="1"/>
  <c r="AF274" i="54"/>
  <c r="AG274" i="54" s="1"/>
  <c r="AF202" i="54"/>
  <c r="AG202" i="54" s="1"/>
  <c r="AH202" i="54" s="1"/>
  <c r="AI202" i="54" s="1"/>
  <c r="AF118" i="54"/>
  <c r="AG118" i="54" s="1"/>
  <c r="AH118" i="54" s="1"/>
  <c r="AI118" i="54" s="1"/>
  <c r="AF310" i="54"/>
  <c r="AG310" i="54" s="1"/>
  <c r="AH310" i="54" s="1"/>
  <c r="AI310" i="54" s="1"/>
  <c r="AF178" i="54"/>
  <c r="AG178" i="54" s="1"/>
  <c r="AH178" i="54" s="1"/>
  <c r="AF94" i="54"/>
  <c r="AG94" i="54" s="1"/>
  <c r="AH94" i="54" s="1"/>
  <c r="AI94" i="54" s="1"/>
  <c r="AF358" i="54"/>
  <c r="AG358" i="54" s="1"/>
  <c r="AH358" i="54" s="1"/>
  <c r="AF286" i="54"/>
  <c r="AG286" i="54" s="1"/>
  <c r="AH286" i="54" s="1"/>
  <c r="AI286" i="54" s="1"/>
  <c r="AF250" i="54"/>
  <c r="AG250" i="54" s="1"/>
  <c r="AH250" i="54" s="1"/>
  <c r="AI250" i="54" s="1"/>
  <c r="AF58" i="54"/>
  <c r="AG58" i="54" s="1"/>
  <c r="AH58" i="54" s="1"/>
  <c r="AI58" i="54" s="1"/>
  <c r="AF166" i="54"/>
  <c r="AG166" i="54" s="1"/>
  <c r="AH166" i="54" s="1"/>
  <c r="AI166" i="54" s="1"/>
  <c r="AF226" i="54"/>
  <c r="AG226" i="54" s="1"/>
  <c r="AH226" i="54" s="1"/>
  <c r="AI226" i="54" s="1"/>
  <c r="AF34" i="54"/>
  <c r="AG34" i="54" s="1"/>
  <c r="AH34" i="54" s="1"/>
  <c r="AI34" i="54" s="1"/>
  <c r="AF190" i="54"/>
  <c r="AG190" i="54" s="1"/>
  <c r="AH190" i="54" s="1"/>
  <c r="AI190" i="54" s="1"/>
  <c r="AF322" i="54"/>
  <c r="AG322" i="54" s="1"/>
  <c r="AH322" i="54" s="1"/>
  <c r="AI322" i="54" s="1"/>
  <c r="AF334" i="54"/>
  <c r="AG334" i="54" s="1"/>
  <c r="AH334" i="54" s="1"/>
  <c r="AI334" i="54" s="1"/>
  <c r="AF106" i="54"/>
  <c r="AG106" i="54" s="1"/>
  <c r="AH106" i="54" s="1"/>
  <c r="AI106" i="54" s="1"/>
  <c r="AF214" i="54"/>
  <c r="AG214" i="54" s="1"/>
  <c r="AF82" i="54"/>
  <c r="AG82" i="54" s="1"/>
  <c r="AH82" i="54" s="1"/>
  <c r="AF46" i="54"/>
  <c r="AG46" i="54" s="1"/>
  <c r="AH46" i="54" s="1"/>
  <c r="AI46" i="54" s="1"/>
  <c r="AF142" i="54"/>
  <c r="AG142" i="54" s="1"/>
  <c r="AH142" i="54" s="1"/>
  <c r="AI142" i="54" s="1"/>
  <c r="AF370" i="54"/>
  <c r="AG370" i="54" s="1"/>
  <c r="AH370" i="54" s="1"/>
  <c r="AI370" i="54" s="1"/>
  <c r="AF298" i="54"/>
  <c r="AG298" i="54" s="1"/>
  <c r="AH298" i="54" s="1"/>
  <c r="AI298" i="54" s="1"/>
  <c r="AF262" i="54"/>
  <c r="AG262" i="54" s="1"/>
  <c r="AF154" i="54"/>
  <c r="AG154" i="54" s="1"/>
  <c r="AH154" i="54" s="1"/>
  <c r="AF70" i="54"/>
  <c r="AG70" i="54" s="1"/>
  <c r="AH70" i="54" s="1"/>
  <c r="AI70" i="54" s="1"/>
  <c r="AF130" i="54"/>
  <c r="AG130" i="54" s="1"/>
  <c r="AH130" i="54" s="1"/>
  <c r="AI130" i="54" s="1"/>
  <c r="AF22" i="54"/>
  <c r="AG22" i="54" s="1"/>
  <c r="AH22" i="54" s="1"/>
  <c r="AI22" i="54" s="1"/>
  <c r="V200" i="54"/>
  <c r="W200" i="54" s="1"/>
  <c r="X200" i="54" s="1"/>
  <c r="V308" i="54"/>
  <c r="W308" i="54" s="1"/>
  <c r="X308" i="54" s="1"/>
  <c r="V116" i="54"/>
  <c r="W116" i="54" s="1"/>
  <c r="X116" i="54" s="1"/>
  <c r="V236" i="54"/>
  <c r="W236" i="54" s="1"/>
  <c r="X236" i="54" s="1"/>
  <c r="Y236" i="54" s="1"/>
  <c r="V128" i="54"/>
  <c r="W128" i="54" s="1"/>
  <c r="X128" i="54" s="1"/>
  <c r="V284" i="54"/>
  <c r="W284" i="54" s="1"/>
  <c r="X284" i="54" s="1"/>
  <c r="Y284" i="54" s="1"/>
  <c r="V368" i="54"/>
  <c r="W368" i="54" s="1"/>
  <c r="X368" i="54" s="1"/>
  <c r="V248" i="54"/>
  <c r="W248" i="54" s="1"/>
  <c r="X248" i="54" s="1"/>
  <c r="V56" i="54"/>
  <c r="W56" i="54" s="1"/>
  <c r="X56" i="54" s="1"/>
  <c r="Y56" i="54" s="1"/>
  <c r="V356" i="54"/>
  <c r="W356" i="54" s="1"/>
  <c r="X356" i="54" s="1"/>
  <c r="Y356" i="54" s="1"/>
  <c r="V164" i="54"/>
  <c r="W164" i="54" s="1"/>
  <c r="X164" i="54" s="1"/>
  <c r="V332" i="54"/>
  <c r="W332" i="54" s="1"/>
  <c r="X332" i="54" s="1"/>
  <c r="Y332" i="54" s="1"/>
  <c r="V224" i="54"/>
  <c r="W224" i="54" s="1"/>
  <c r="X224" i="54" s="1"/>
  <c r="V296" i="54"/>
  <c r="W296" i="54" s="1"/>
  <c r="X296" i="54" s="1"/>
  <c r="V104" i="54"/>
  <c r="W104" i="54" s="1"/>
  <c r="X104" i="54" s="1"/>
  <c r="Y104" i="54" s="1"/>
  <c r="V212" i="54"/>
  <c r="W212" i="54" s="1"/>
  <c r="X212" i="54" s="1"/>
  <c r="Y212" i="54" s="1"/>
  <c r="V20" i="54"/>
  <c r="W20" i="54" s="1"/>
  <c r="X20" i="54" s="1"/>
  <c r="Y20" i="54" s="1"/>
  <c r="V44" i="54"/>
  <c r="W44" i="54" s="1"/>
  <c r="V320" i="54"/>
  <c r="W320" i="54" s="1"/>
  <c r="X320" i="54" s="1"/>
  <c r="Y320" i="54" s="1"/>
  <c r="V344" i="54"/>
  <c r="W344" i="54" s="1"/>
  <c r="X344" i="54" s="1"/>
  <c r="Y344" i="54" s="1"/>
  <c r="V152" i="54"/>
  <c r="V260" i="54"/>
  <c r="W260" i="54" s="1"/>
  <c r="X260" i="54" s="1"/>
  <c r="Y260" i="54" s="1"/>
  <c r="V68" i="54"/>
  <c r="W68" i="54" s="1"/>
  <c r="X68" i="54" s="1"/>
  <c r="Y68" i="54" s="1"/>
  <c r="V140" i="54"/>
  <c r="W140" i="54" s="1"/>
  <c r="X140" i="54" s="1"/>
  <c r="Y140" i="54" s="1"/>
  <c r="V32" i="54"/>
  <c r="W32" i="54" s="1"/>
  <c r="X32" i="54" s="1"/>
  <c r="Y32" i="54" s="1"/>
  <c r="V92" i="54"/>
  <c r="W92" i="54" s="1"/>
  <c r="X92" i="54" s="1"/>
  <c r="Y92" i="54" s="1"/>
  <c r="V176" i="54"/>
  <c r="W176" i="54" s="1"/>
  <c r="X176" i="54" s="1"/>
  <c r="Y176" i="54" s="1"/>
  <c r="AZ280" i="54"/>
  <c r="BA280" i="54" s="1"/>
  <c r="BB280" i="54" s="1"/>
  <c r="BC280" i="54" s="1"/>
  <c r="AZ292" i="54"/>
  <c r="BA292" i="54" s="1"/>
  <c r="AZ148" i="54"/>
  <c r="BA148" i="54" s="1"/>
  <c r="BB148" i="54" s="1"/>
  <c r="AZ112" i="54"/>
  <c r="BA112" i="54" s="1"/>
  <c r="BB112" i="54" s="1"/>
  <c r="BC112" i="54" s="1"/>
  <c r="AZ76" i="54"/>
  <c r="BA76" i="54" s="1"/>
  <c r="BB76" i="54" s="1"/>
  <c r="BC76" i="54" s="1"/>
  <c r="AZ172" i="54"/>
  <c r="BA172" i="54" s="1"/>
  <c r="BB172" i="54" s="1"/>
  <c r="AZ124" i="54"/>
  <c r="BA124" i="54" s="1"/>
  <c r="BB124" i="54" s="1"/>
  <c r="AZ28" i="54"/>
  <c r="BA28" i="54" s="1"/>
  <c r="BB28" i="54" s="1"/>
  <c r="BC28" i="54" s="1"/>
  <c r="AZ328" i="54"/>
  <c r="BA328" i="54" s="1"/>
  <c r="BB328" i="54" s="1"/>
  <c r="BC328" i="54" s="1"/>
  <c r="AZ196" i="54"/>
  <c r="BA196" i="54" s="1"/>
  <c r="BB196" i="54" s="1"/>
  <c r="AZ160" i="54"/>
  <c r="BA160" i="54" s="1"/>
  <c r="BB160" i="54" s="1"/>
  <c r="BC160" i="54" s="1"/>
  <c r="AZ40" i="54"/>
  <c r="BA40" i="54" s="1"/>
  <c r="BB40" i="54" s="1"/>
  <c r="BC40" i="54" s="1"/>
  <c r="AZ256" i="54"/>
  <c r="BA256" i="54" s="1"/>
  <c r="BB256" i="54" s="1"/>
  <c r="BC256" i="54" s="1"/>
  <c r="AZ100" i="54"/>
  <c r="BA100" i="54" s="1"/>
  <c r="BB100" i="54" s="1"/>
  <c r="BC100" i="54" s="1"/>
  <c r="AZ340" i="54"/>
  <c r="BA340" i="54" s="1"/>
  <c r="BB340" i="54" s="1"/>
  <c r="BC340" i="54" s="1"/>
  <c r="AZ352" i="54"/>
  <c r="BA352" i="54" s="1"/>
  <c r="BB352" i="54" s="1"/>
  <c r="BC352" i="54" s="1"/>
  <c r="AZ232" i="54"/>
  <c r="BA232" i="54" s="1"/>
  <c r="BB232" i="54" s="1"/>
  <c r="BC232" i="54" s="1"/>
  <c r="AZ220" i="54"/>
  <c r="BA220" i="54" s="1"/>
  <c r="BB220" i="54" s="1"/>
  <c r="BC220" i="54" s="1"/>
  <c r="AZ136" i="54"/>
  <c r="BA136" i="54" s="1"/>
  <c r="BB136" i="54" s="1"/>
  <c r="AZ208" i="54"/>
  <c r="BA208" i="54" s="1"/>
  <c r="BB208" i="54" s="1"/>
  <c r="BC208" i="54" s="1"/>
  <c r="AZ244" i="54"/>
  <c r="BA244" i="54" s="1"/>
  <c r="BB244" i="54" s="1"/>
  <c r="BC244" i="54" s="1"/>
  <c r="AZ88" i="54"/>
  <c r="BA88" i="54" s="1"/>
  <c r="AZ364" i="54"/>
  <c r="BA364" i="54" s="1"/>
  <c r="BB364" i="54" s="1"/>
  <c r="AZ304" i="54"/>
  <c r="BA304" i="54" s="1"/>
  <c r="BB304" i="54" s="1"/>
  <c r="BC304" i="54" s="1"/>
  <c r="AZ268" i="54"/>
  <c r="BA268" i="54" s="1"/>
  <c r="BB268" i="54" s="1"/>
  <c r="AZ316" i="54"/>
  <c r="BA316" i="54" s="1"/>
  <c r="BB316" i="54" s="1"/>
  <c r="AZ184" i="54"/>
  <c r="BA184" i="54" s="1"/>
  <c r="BB184" i="54" s="1"/>
  <c r="BC184" i="54" s="1"/>
  <c r="AZ52" i="54"/>
  <c r="BA52" i="54" s="1"/>
  <c r="BB52" i="54" s="1"/>
  <c r="BC52" i="54" s="1"/>
  <c r="AZ16" i="54"/>
  <c r="BA16" i="54" s="1"/>
  <c r="BB16" i="54" s="1"/>
  <c r="BC16" i="54" s="1"/>
  <c r="AZ64" i="54"/>
  <c r="BA64" i="54" s="1"/>
  <c r="BB64" i="54" s="1"/>
  <c r="BC64" i="54" s="1"/>
  <c r="AP170" i="54"/>
  <c r="AQ170" i="54" s="1"/>
  <c r="AR170" i="54" s="1"/>
  <c r="AS170" i="54" s="1"/>
  <c r="AP278" i="54"/>
  <c r="AQ278" i="54" s="1"/>
  <c r="AR278" i="54" s="1"/>
  <c r="AP290" i="54"/>
  <c r="AQ290" i="54" s="1"/>
  <c r="AR290" i="54" s="1"/>
  <c r="AP218" i="54"/>
  <c r="AQ218" i="54" s="1"/>
  <c r="AR218" i="54" s="1"/>
  <c r="AS218" i="54" s="1"/>
  <c r="AP134" i="54"/>
  <c r="AQ134" i="54" s="1"/>
  <c r="AR134" i="54" s="1"/>
  <c r="AS134" i="54" s="1"/>
  <c r="AP350" i="54"/>
  <c r="AQ350" i="54" s="1"/>
  <c r="AR350" i="54" s="1"/>
  <c r="AS350" i="54" s="1"/>
  <c r="AP314" i="54"/>
  <c r="AQ314" i="54" s="1"/>
  <c r="AR314" i="54" s="1"/>
  <c r="AS314" i="54" s="1"/>
  <c r="AP338" i="54"/>
  <c r="AQ338" i="54" s="1"/>
  <c r="AR338" i="54" s="1"/>
  <c r="AP302" i="54"/>
  <c r="AQ302" i="54" s="1"/>
  <c r="AR302" i="54" s="1"/>
  <c r="AS302" i="54" s="1"/>
  <c r="AP266" i="54"/>
  <c r="AQ266" i="54" s="1"/>
  <c r="AR266" i="54" s="1"/>
  <c r="AS266" i="54" s="1"/>
  <c r="AP182" i="54"/>
  <c r="AQ182" i="54" s="1"/>
  <c r="AR182" i="54" s="1"/>
  <c r="AP362" i="54"/>
  <c r="AQ362" i="54" s="1"/>
  <c r="AP122" i="54"/>
  <c r="AQ122" i="54" s="1"/>
  <c r="AR122" i="54" s="1"/>
  <c r="AS122" i="54" s="1"/>
  <c r="AP230" i="54"/>
  <c r="AQ230" i="54" s="1"/>
  <c r="AR230" i="54" s="1"/>
  <c r="AP242" i="54"/>
  <c r="AQ242" i="54" s="1"/>
  <c r="AR242" i="54" s="1"/>
  <c r="AP38" i="54"/>
  <c r="AQ38" i="54" s="1"/>
  <c r="AR38" i="54" s="1"/>
  <c r="AS38" i="54" s="1"/>
  <c r="AP194" i="54"/>
  <c r="AQ194" i="54" s="1"/>
  <c r="AR194" i="54" s="1"/>
  <c r="AS194" i="54" s="1"/>
  <c r="AP146" i="54"/>
  <c r="AQ146" i="54" s="1"/>
  <c r="AR146" i="54" s="1"/>
  <c r="AS146" i="54" s="1"/>
  <c r="AP374" i="54"/>
  <c r="AQ374" i="54" s="1"/>
  <c r="AR374" i="54" s="1"/>
  <c r="AS374" i="54" s="1"/>
  <c r="AP86" i="54"/>
  <c r="AQ86" i="54" s="1"/>
  <c r="AR86" i="54" s="1"/>
  <c r="AS86" i="54" s="1"/>
  <c r="AP110" i="54"/>
  <c r="AQ110" i="54" s="1"/>
  <c r="AR110" i="54" s="1"/>
  <c r="AS110" i="54" s="1"/>
  <c r="AP254" i="54"/>
  <c r="AQ254" i="54" s="1"/>
  <c r="AR254" i="54" s="1"/>
  <c r="AS254" i="54" s="1"/>
  <c r="AP26" i="54"/>
  <c r="AQ26" i="54" s="1"/>
  <c r="AR26" i="54" s="1"/>
  <c r="AS26" i="54" s="1"/>
  <c r="AP98" i="54"/>
  <c r="AQ98" i="54" s="1"/>
  <c r="AR98" i="54" s="1"/>
  <c r="AS98" i="54" s="1"/>
  <c r="AP326" i="54"/>
  <c r="AQ326" i="54" s="1"/>
  <c r="AR326" i="54" s="1"/>
  <c r="AS326" i="54" s="1"/>
  <c r="AP50" i="54"/>
  <c r="AQ50" i="54" s="1"/>
  <c r="AR50" i="54" s="1"/>
  <c r="AS50" i="54" s="1"/>
  <c r="AP62" i="54"/>
  <c r="AQ62" i="54" s="1"/>
  <c r="AR62" i="54" s="1"/>
  <c r="AS62" i="54" s="1"/>
  <c r="AP74" i="54"/>
  <c r="AQ74" i="54" s="1"/>
  <c r="AR74" i="54" s="1"/>
  <c r="AS74" i="54" s="1"/>
  <c r="AP158" i="54"/>
  <c r="AQ158" i="54" s="1"/>
  <c r="AR158" i="54" s="1"/>
  <c r="AP206" i="54"/>
  <c r="AQ206" i="54" s="1"/>
  <c r="AR206" i="54" s="1"/>
  <c r="AP358" i="54"/>
  <c r="AQ358" i="54" s="1"/>
  <c r="AR358" i="54" s="1"/>
  <c r="AS358" i="54" s="1"/>
  <c r="AP118" i="54"/>
  <c r="AQ118" i="54" s="1"/>
  <c r="AP370" i="54"/>
  <c r="AQ370" i="54" s="1"/>
  <c r="AR370" i="54" s="1"/>
  <c r="AS370" i="54" s="1"/>
  <c r="AP226" i="54"/>
  <c r="AQ226" i="54" s="1"/>
  <c r="AR226" i="54" s="1"/>
  <c r="AP322" i="54"/>
  <c r="AQ322" i="54" s="1"/>
  <c r="AR322" i="54" s="1"/>
  <c r="AS322" i="54" s="1"/>
  <c r="AP238" i="54"/>
  <c r="AQ238" i="54" s="1"/>
  <c r="AR238" i="54" s="1"/>
  <c r="AP166" i="54"/>
  <c r="AQ166" i="54" s="1"/>
  <c r="AR166" i="54" s="1"/>
  <c r="AS166" i="54" s="1"/>
  <c r="AP274" i="54"/>
  <c r="AQ274" i="54" s="1"/>
  <c r="AP334" i="54"/>
  <c r="AQ334" i="54" s="1"/>
  <c r="AR334" i="54" s="1"/>
  <c r="AP286" i="54"/>
  <c r="AQ286" i="54" s="1"/>
  <c r="AR286" i="54" s="1"/>
  <c r="AP346" i="54"/>
  <c r="AQ346" i="54" s="1"/>
  <c r="AR346" i="54" s="1"/>
  <c r="AS346" i="54" s="1"/>
  <c r="AP214" i="54"/>
  <c r="AQ214" i="54" s="1"/>
  <c r="AP130" i="54"/>
  <c r="AQ130" i="54" s="1"/>
  <c r="AR130" i="54" s="1"/>
  <c r="AS130" i="54" s="1"/>
  <c r="AP310" i="54"/>
  <c r="AQ310" i="54" s="1"/>
  <c r="AR310" i="54" s="1"/>
  <c r="AS310" i="54" s="1"/>
  <c r="AP262" i="54"/>
  <c r="AQ262" i="54" s="1"/>
  <c r="AR262" i="54" s="1"/>
  <c r="AP178" i="54"/>
  <c r="AQ178" i="54" s="1"/>
  <c r="AR178" i="54" s="1"/>
  <c r="AS178" i="54" s="1"/>
  <c r="AP190" i="54"/>
  <c r="AQ190" i="54" s="1"/>
  <c r="AR190" i="54" s="1"/>
  <c r="AS190" i="54" s="1"/>
  <c r="AP58" i="54"/>
  <c r="AQ58" i="54" s="1"/>
  <c r="AR58" i="54" s="1"/>
  <c r="AS58" i="54" s="1"/>
  <c r="AP70" i="54"/>
  <c r="AQ70" i="54" s="1"/>
  <c r="AR70" i="54" s="1"/>
  <c r="AS70" i="54" s="1"/>
  <c r="AP94" i="54"/>
  <c r="AQ94" i="54" s="1"/>
  <c r="AR94" i="54" s="1"/>
  <c r="AS94" i="54" s="1"/>
  <c r="AP46" i="54"/>
  <c r="AQ46" i="54" s="1"/>
  <c r="AR46" i="54" s="1"/>
  <c r="AS46" i="54" s="1"/>
  <c r="AP202" i="54"/>
  <c r="AQ202" i="54" s="1"/>
  <c r="AR202" i="54" s="1"/>
  <c r="AP250" i="54"/>
  <c r="AQ250" i="54" s="1"/>
  <c r="AR250" i="54" s="1"/>
  <c r="AS250" i="54" s="1"/>
  <c r="AP106" i="54"/>
  <c r="AQ106" i="54" s="1"/>
  <c r="AR106" i="54" s="1"/>
  <c r="AS106" i="54" s="1"/>
  <c r="AP34" i="54"/>
  <c r="AQ34" i="54" s="1"/>
  <c r="AR34" i="54" s="1"/>
  <c r="AS34" i="54" s="1"/>
  <c r="AP154" i="54"/>
  <c r="AQ154" i="54" s="1"/>
  <c r="AR154" i="54" s="1"/>
  <c r="AS154" i="54" s="1"/>
  <c r="AP142" i="54"/>
  <c r="AQ142" i="54" s="1"/>
  <c r="AR142" i="54" s="1"/>
  <c r="AS142" i="54" s="1"/>
  <c r="AP82" i="54"/>
  <c r="AQ82" i="54" s="1"/>
  <c r="AR82" i="54" s="1"/>
  <c r="AS82" i="54" s="1"/>
  <c r="AP22" i="54"/>
  <c r="AQ22" i="54" s="1"/>
  <c r="AR22" i="54" s="1"/>
  <c r="AS22" i="54" s="1"/>
  <c r="AP298" i="54"/>
  <c r="AQ298" i="54" s="1"/>
  <c r="AR298" i="54" s="1"/>
  <c r="AS298" i="54" s="1"/>
  <c r="V339" i="54"/>
  <c r="W339" i="54" s="1"/>
  <c r="V147" i="54"/>
  <c r="W147" i="54" s="1"/>
  <c r="X147" i="54" s="1"/>
  <c r="Y147" i="54" s="1"/>
  <c r="V255" i="54"/>
  <c r="W255" i="54" s="1"/>
  <c r="X255" i="54" s="1"/>
  <c r="V63" i="54"/>
  <c r="W63" i="54" s="1"/>
  <c r="X63" i="54" s="1"/>
  <c r="Y63" i="54" s="1"/>
  <c r="V183" i="54"/>
  <c r="W183" i="54" s="1"/>
  <c r="X183" i="54" s="1"/>
  <c r="V75" i="54"/>
  <c r="W75" i="54" s="1"/>
  <c r="X75" i="54" s="1"/>
  <c r="Y75" i="54" s="1"/>
  <c r="V195" i="54"/>
  <c r="W195" i="54" s="1"/>
  <c r="X195" i="54" s="1"/>
  <c r="Y195" i="54" s="1"/>
  <c r="V303" i="54"/>
  <c r="W303" i="54" s="1"/>
  <c r="X303" i="54" s="1"/>
  <c r="V111" i="54"/>
  <c r="W111" i="54" s="1"/>
  <c r="X111" i="54" s="1"/>
  <c r="V279" i="54"/>
  <c r="W279" i="54" s="1"/>
  <c r="X279" i="54" s="1"/>
  <c r="Y279" i="54" s="1"/>
  <c r="V171" i="54"/>
  <c r="W171" i="54" s="1"/>
  <c r="X171" i="54" s="1"/>
  <c r="Y171" i="54" s="1"/>
  <c r="V39" i="54"/>
  <c r="W39" i="54" s="1"/>
  <c r="X39" i="54" s="1"/>
  <c r="V243" i="54"/>
  <c r="W243" i="54" s="1"/>
  <c r="X243" i="54" s="1"/>
  <c r="V51" i="54"/>
  <c r="W51" i="54" s="1"/>
  <c r="X51" i="54" s="1"/>
  <c r="Y51" i="54" s="1"/>
  <c r="V351" i="54"/>
  <c r="W351" i="54" s="1"/>
  <c r="X351" i="54" s="1"/>
  <c r="Y351" i="54" s="1"/>
  <c r="V159" i="54"/>
  <c r="W159" i="54" s="1"/>
  <c r="X159" i="54" s="1"/>
  <c r="Y159" i="54" s="1"/>
  <c r="V375" i="54"/>
  <c r="W375" i="54" s="1"/>
  <c r="X375" i="54" s="1"/>
  <c r="Y375" i="54" s="1"/>
  <c r="V267" i="54"/>
  <c r="W267" i="54" s="1"/>
  <c r="X267" i="54" s="1"/>
  <c r="Y267" i="54" s="1"/>
  <c r="V231" i="54"/>
  <c r="W231" i="54" s="1"/>
  <c r="X231" i="54" s="1"/>
  <c r="Y231" i="54" s="1"/>
  <c r="V315" i="54"/>
  <c r="W315" i="54" s="1"/>
  <c r="X315" i="54" s="1"/>
  <c r="Y315" i="54" s="1"/>
  <c r="V291" i="54"/>
  <c r="W291" i="54" s="1"/>
  <c r="X291" i="54" s="1"/>
  <c r="Y291" i="54" s="1"/>
  <c r="V99" i="54"/>
  <c r="W99" i="54" s="1"/>
  <c r="V207" i="54"/>
  <c r="W207" i="54" s="1"/>
  <c r="X207" i="54" s="1"/>
  <c r="Y207" i="54" s="1"/>
  <c r="V87" i="54"/>
  <c r="W87" i="54" s="1"/>
  <c r="X87" i="54" s="1"/>
  <c r="Y87" i="54" s="1"/>
  <c r="V363" i="54"/>
  <c r="W363" i="54" s="1"/>
  <c r="X363" i="54" s="1"/>
  <c r="Y363" i="54" s="1"/>
  <c r="L368" i="54"/>
  <c r="M368" i="54" s="1"/>
  <c r="N368" i="54" s="1"/>
  <c r="L200" i="54"/>
  <c r="M200" i="54" s="1"/>
  <c r="N200" i="54" s="1"/>
  <c r="L260" i="54"/>
  <c r="M260" i="54" s="1"/>
  <c r="N260" i="54" s="1"/>
  <c r="O260" i="54" s="1"/>
  <c r="L224" i="54"/>
  <c r="M224" i="54" s="1"/>
  <c r="N224" i="54" s="1"/>
  <c r="O224" i="54" s="1"/>
  <c r="L80" i="54"/>
  <c r="M80" i="54" s="1"/>
  <c r="N80" i="54" s="1"/>
  <c r="O80" i="54" s="1"/>
  <c r="L332" i="54"/>
  <c r="M332" i="54" s="1"/>
  <c r="N332" i="54" s="1"/>
  <c r="L248" i="54"/>
  <c r="M248" i="54" s="1"/>
  <c r="N248" i="54" s="1"/>
  <c r="O248" i="54" s="1"/>
  <c r="L56" i="54"/>
  <c r="M56" i="54" s="1"/>
  <c r="N56" i="54" s="1"/>
  <c r="L92" i="54"/>
  <c r="M92" i="54" s="1"/>
  <c r="N92" i="54" s="1"/>
  <c r="L104" i="54"/>
  <c r="M104" i="54" s="1"/>
  <c r="N104" i="54" s="1"/>
  <c r="O104" i="54" s="1"/>
  <c r="L296" i="54"/>
  <c r="M296" i="54" s="1"/>
  <c r="N296" i="54" s="1"/>
  <c r="L320" i="54"/>
  <c r="M320" i="54" s="1"/>
  <c r="N320" i="54" s="1"/>
  <c r="O320" i="54" s="1"/>
  <c r="L152" i="54"/>
  <c r="M152" i="54" s="1"/>
  <c r="N152" i="54" s="1"/>
  <c r="L308" i="54"/>
  <c r="M308" i="54" s="1"/>
  <c r="N308" i="54" s="1"/>
  <c r="O308" i="54" s="1"/>
  <c r="L212" i="54"/>
  <c r="M212" i="54" s="1"/>
  <c r="N212" i="54" s="1"/>
  <c r="O212" i="54" s="1"/>
  <c r="L68" i="54"/>
  <c r="M68" i="54" s="1"/>
  <c r="N68" i="54" s="1"/>
  <c r="AP240" i="54"/>
  <c r="AQ240" i="54" s="1"/>
  <c r="AR240" i="54" s="1"/>
  <c r="AP312" i="54"/>
  <c r="AQ312" i="54" s="1"/>
  <c r="AR312" i="54" s="1"/>
  <c r="AS312" i="54" s="1"/>
  <c r="AP156" i="54"/>
  <c r="AQ156" i="54" s="1"/>
  <c r="AR156" i="54" s="1"/>
  <c r="AS156" i="54" s="1"/>
  <c r="AP168" i="54"/>
  <c r="AQ168" i="54" s="1"/>
  <c r="AR168" i="54" s="1"/>
  <c r="AS168" i="54" s="1"/>
  <c r="AP336" i="54"/>
  <c r="AQ336" i="54" s="1"/>
  <c r="AR336" i="54" s="1"/>
  <c r="AS336" i="54" s="1"/>
  <c r="AP360" i="54"/>
  <c r="AQ360" i="54" s="1"/>
  <c r="AR360" i="54" s="1"/>
  <c r="AP288" i="54"/>
  <c r="AQ288" i="54" s="1"/>
  <c r="AR288" i="54" s="1"/>
  <c r="AP96" i="54"/>
  <c r="AQ96" i="54" s="1"/>
  <c r="AR96" i="54" s="1"/>
  <c r="AS96" i="54" s="1"/>
  <c r="AP324" i="54"/>
  <c r="AQ324" i="54" s="1"/>
  <c r="AR324" i="54" s="1"/>
  <c r="AS324" i="54" s="1"/>
  <c r="AP204" i="54"/>
  <c r="AQ204" i="54" s="1"/>
  <c r="AR204" i="54" s="1"/>
  <c r="AS204" i="54" s="1"/>
  <c r="AP216" i="54"/>
  <c r="AQ216" i="54" s="1"/>
  <c r="AP144" i="54"/>
  <c r="AQ144" i="54" s="1"/>
  <c r="AR144" i="54" s="1"/>
  <c r="AS144" i="54" s="1"/>
  <c r="AP252" i="54"/>
  <c r="AQ252" i="54" s="1"/>
  <c r="AR252" i="54" s="1"/>
  <c r="AS252" i="54" s="1"/>
  <c r="AP264" i="54"/>
  <c r="AQ264" i="54" s="1"/>
  <c r="AR264" i="54" s="1"/>
  <c r="AP372" i="54"/>
  <c r="AQ372" i="54" s="1"/>
  <c r="AR372" i="54" s="1"/>
  <c r="AS372" i="54" s="1"/>
  <c r="AP192" i="54"/>
  <c r="AQ192" i="54" s="1"/>
  <c r="AR192" i="54" s="1"/>
  <c r="AS192" i="54" s="1"/>
  <c r="AP300" i="54"/>
  <c r="AQ300" i="54" s="1"/>
  <c r="AR300" i="54" s="1"/>
  <c r="AS300" i="54" s="1"/>
  <c r="AP348" i="54"/>
  <c r="AQ348" i="54" s="1"/>
  <c r="AR348" i="54" s="1"/>
  <c r="AP24" i="54"/>
  <c r="AQ24" i="54" s="1"/>
  <c r="AR24" i="54" s="1"/>
  <c r="AS24" i="54" s="1"/>
  <c r="AP108" i="54"/>
  <c r="AQ108" i="54" s="1"/>
  <c r="AR108" i="54" s="1"/>
  <c r="AS108" i="54" s="1"/>
  <c r="AP36" i="54"/>
  <c r="AQ36" i="54" s="1"/>
  <c r="AR36" i="54" s="1"/>
  <c r="AS36" i="54" s="1"/>
  <c r="AP48" i="54"/>
  <c r="AQ48" i="54" s="1"/>
  <c r="AR48" i="54" s="1"/>
  <c r="AS48" i="54" s="1"/>
  <c r="AP228" i="54"/>
  <c r="AQ228" i="54" s="1"/>
  <c r="AR228" i="54" s="1"/>
  <c r="AP120" i="54"/>
  <c r="AQ120" i="54" s="1"/>
  <c r="AR120" i="54" s="1"/>
  <c r="AP84" i="54"/>
  <c r="AQ84" i="54" s="1"/>
  <c r="AR84" i="54" s="1"/>
  <c r="AS84" i="54" s="1"/>
  <c r="AP132" i="54"/>
  <c r="AQ132" i="54" s="1"/>
  <c r="AR132" i="54" s="1"/>
  <c r="AS132" i="54" s="1"/>
  <c r="AP180" i="54"/>
  <c r="AQ180" i="54" s="1"/>
  <c r="AR180" i="54" s="1"/>
  <c r="AP60" i="54"/>
  <c r="AQ60" i="54" s="1"/>
  <c r="AR60" i="54" s="1"/>
  <c r="AS60" i="54" s="1"/>
  <c r="AP276" i="54"/>
  <c r="AQ276" i="54" s="1"/>
  <c r="AR276" i="54" s="1"/>
  <c r="AS276" i="54" s="1"/>
  <c r="AP72" i="54"/>
  <c r="AQ72" i="54" s="1"/>
  <c r="AR72" i="54" s="1"/>
  <c r="AS72" i="54" s="1"/>
  <c r="L301" i="54"/>
  <c r="M301" i="54" s="1"/>
  <c r="N301" i="54" s="1"/>
  <c r="O301" i="54" s="1"/>
  <c r="L217" i="54"/>
  <c r="M217" i="54" s="1"/>
  <c r="N217" i="54" s="1"/>
  <c r="O217" i="54" s="1"/>
  <c r="L25" i="54"/>
  <c r="M25" i="54" s="1"/>
  <c r="N25" i="54" s="1"/>
  <c r="L277" i="54"/>
  <c r="M277" i="54" s="1"/>
  <c r="N277" i="54" s="1"/>
  <c r="L241" i="54"/>
  <c r="M241" i="54" s="1"/>
  <c r="L97" i="54"/>
  <c r="M97" i="54" s="1"/>
  <c r="N97" i="54" s="1"/>
  <c r="O97" i="54" s="1"/>
  <c r="L349" i="54"/>
  <c r="M349" i="54" s="1"/>
  <c r="L325" i="54"/>
  <c r="M325" i="54" s="1"/>
  <c r="N325" i="54" s="1"/>
  <c r="O325" i="54" s="1"/>
  <c r="L265" i="54"/>
  <c r="M265" i="54" s="1"/>
  <c r="N265" i="54" s="1"/>
  <c r="O265" i="54" s="1"/>
  <c r="L73" i="54"/>
  <c r="M73" i="54" s="1"/>
  <c r="N73" i="54" s="1"/>
  <c r="L109" i="54"/>
  <c r="M109" i="54" s="1"/>
  <c r="N109" i="54" s="1"/>
  <c r="L121" i="54"/>
  <c r="M121" i="54" s="1"/>
  <c r="N121" i="54" s="1"/>
  <c r="O121" i="54" s="1"/>
  <c r="L313" i="54"/>
  <c r="M313" i="54" s="1"/>
  <c r="N313" i="54" s="1"/>
  <c r="O313" i="54" s="1"/>
  <c r="L181" i="54"/>
  <c r="M181" i="54" s="1"/>
  <c r="N181" i="54" s="1"/>
  <c r="L337" i="54"/>
  <c r="M337" i="54" s="1"/>
  <c r="N337" i="54" s="1"/>
  <c r="L169" i="54"/>
  <c r="M169" i="54" s="1"/>
  <c r="N169" i="54" s="1"/>
  <c r="O169" i="54" s="1"/>
  <c r="L229" i="54"/>
  <c r="M229" i="54" s="1"/>
  <c r="N229" i="54" s="1"/>
  <c r="O229" i="54" s="1"/>
  <c r="L85" i="54"/>
  <c r="M85" i="54" s="1"/>
  <c r="V322" i="54"/>
  <c r="W322" i="54" s="1"/>
  <c r="X322" i="54" s="1"/>
  <c r="Y322" i="54" s="1"/>
  <c r="V130" i="54"/>
  <c r="W130" i="54" s="1"/>
  <c r="X130" i="54" s="1"/>
  <c r="Y130" i="54" s="1"/>
  <c r="V238" i="54"/>
  <c r="W238" i="54" s="1"/>
  <c r="X238" i="54" s="1"/>
  <c r="V46" i="54"/>
  <c r="W46" i="54" s="1"/>
  <c r="X46" i="54" s="1"/>
  <c r="Y46" i="54" s="1"/>
  <c r="V166" i="54"/>
  <c r="W166" i="54" s="1"/>
  <c r="X166" i="54" s="1"/>
  <c r="V58" i="54"/>
  <c r="W58" i="54" s="1"/>
  <c r="X58" i="54" s="1"/>
  <c r="Y58" i="54" s="1"/>
  <c r="V370" i="54"/>
  <c r="W370" i="54" s="1"/>
  <c r="X370" i="54" s="1"/>
  <c r="Y370" i="54" s="1"/>
  <c r="V178" i="54"/>
  <c r="W178" i="54" s="1"/>
  <c r="X178" i="54" s="1"/>
  <c r="V286" i="54"/>
  <c r="W286" i="54" s="1"/>
  <c r="X286" i="54" s="1"/>
  <c r="Y286" i="54" s="1"/>
  <c r="V94" i="54"/>
  <c r="W94" i="54" s="1"/>
  <c r="X94" i="54" s="1"/>
  <c r="Y94" i="54" s="1"/>
  <c r="V262" i="54"/>
  <c r="W262" i="54" s="1"/>
  <c r="X262" i="54" s="1"/>
  <c r="Y262" i="54" s="1"/>
  <c r="V154" i="54"/>
  <c r="W154" i="54" s="1"/>
  <c r="X154" i="54" s="1"/>
  <c r="Y154" i="54" s="1"/>
  <c r="V22" i="54"/>
  <c r="W22" i="54" s="1"/>
  <c r="X22" i="54" s="1"/>
  <c r="Y22" i="54" s="1"/>
  <c r="V226" i="54"/>
  <c r="W226" i="54" s="1"/>
  <c r="X226" i="54" s="1"/>
  <c r="V34" i="54"/>
  <c r="W34" i="54" s="1"/>
  <c r="X34" i="54" s="1"/>
  <c r="V334" i="54"/>
  <c r="W334" i="54" s="1"/>
  <c r="X334" i="54" s="1"/>
  <c r="Y334" i="54" s="1"/>
  <c r="V142" i="54"/>
  <c r="W142" i="54" s="1"/>
  <c r="X142" i="54" s="1"/>
  <c r="Y142" i="54" s="1"/>
  <c r="V358" i="54"/>
  <c r="W358" i="54" s="1"/>
  <c r="X358" i="54" s="1"/>
  <c r="Y358" i="54" s="1"/>
  <c r="V250" i="54"/>
  <c r="W250" i="54" s="1"/>
  <c r="X250" i="54" s="1"/>
  <c r="V214" i="54"/>
  <c r="W214" i="54" s="1"/>
  <c r="X214" i="54" s="1"/>
  <c r="Y214" i="54" s="1"/>
  <c r="V298" i="54"/>
  <c r="W298" i="54" s="1"/>
  <c r="X298" i="54" s="1"/>
  <c r="V274" i="54"/>
  <c r="W274" i="54" s="1"/>
  <c r="X274" i="54" s="1"/>
  <c r="Y274" i="54" s="1"/>
  <c r="V82" i="54"/>
  <c r="W82" i="54" s="1"/>
  <c r="X82" i="54" s="1"/>
  <c r="V190" i="54"/>
  <c r="W190" i="54" s="1"/>
  <c r="X190" i="54" s="1"/>
  <c r="Y190" i="54" s="1"/>
  <c r="V70" i="54"/>
  <c r="W70" i="54" s="1"/>
  <c r="X70" i="54" s="1"/>
  <c r="Y70" i="54" s="1"/>
  <c r="V346" i="54"/>
  <c r="W346" i="54" s="1"/>
  <c r="X346" i="54" s="1"/>
  <c r="Y346" i="54" s="1"/>
  <c r="AF296" i="54"/>
  <c r="AG296" i="54" s="1"/>
  <c r="AH296" i="54" s="1"/>
  <c r="AF308" i="54"/>
  <c r="AG308" i="54" s="1"/>
  <c r="AH308" i="54" s="1"/>
  <c r="AI308" i="54" s="1"/>
  <c r="AF80" i="54"/>
  <c r="AG80" i="54" s="1"/>
  <c r="AH80" i="54" s="1"/>
  <c r="AF188" i="54"/>
  <c r="AG188" i="54" s="1"/>
  <c r="AH188" i="54" s="1"/>
  <c r="AI188" i="54" s="1"/>
  <c r="AF248" i="54"/>
  <c r="AG248" i="54" s="1"/>
  <c r="AH248" i="54" s="1"/>
  <c r="AI248" i="54" s="1"/>
  <c r="AF284" i="54"/>
  <c r="AG284" i="54" s="1"/>
  <c r="AH284" i="54" s="1"/>
  <c r="AI284" i="54" s="1"/>
  <c r="AF212" i="54"/>
  <c r="AG212" i="54" s="1"/>
  <c r="AH212" i="54" s="1"/>
  <c r="AI212" i="54" s="1"/>
  <c r="AF56" i="54"/>
  <c r="AG56" i="54" s="1"/>
  <c r="AH56" i="54" s="1"/>
  <c r="AI56" i="54" s="1"/>
  <c r="AF344" i="54"/>
  <c r="AG344" i="54" s="1"/>
  <c r="AH344" i="54" s="1"/>
  <c r="AI344" i="54" s="1"/>
  <c r="AF356" i="54"/>
  <c r="AG356" i="54" s="1"/>
  <c r="AF128" i="54"/>
  <c r="AG128" i="54" s="1"/>
  <c r="AF272" i="54"/>
  <c r="AG272" i="54" s="1"/>
  <c r="AH272" i="54" s="1"/>
  <c r="AI272" i="54" s="1"/>
  <c r="AF236" i="54"/>
  <c r="AG236" i="54" s="1"/>
  <c r="AH236" i="54" s="1"/>
  <c r="AI236" i="54" s="1"/>
  <c r="AF104" i="54"/>
  <c r="AG104" i="54" s="1"/>
  <c r="AH104" i="54" s="1"/>
  <c r="AI104" i="54" s="1"/>
  <c r="AF320" i="54"/>
  <c r="AG320" i="54" s="1"/>
  <c r="AH320" i="54" s="1"/>
  <c r="AI320" i="54" s="1"/>
  <c r="AF176" i="54"/>
  <c r="AG176" i="54" s="1"/>
  <c r="AH176" i="54" s="1"/>
  <c r="AF92" i="54"/>
  <c r="AG92" i="54" s="1"/>
  <c r="AH92" i="54" s="1"/>
  <c r="AI92" i="54" s="1"/>
  <c r="AF152" i="54"/>
  <c r="AG152" i="54" s="1"/>
  <c r="AH152" i="54" s="1"/>
  <c r="AF164" i="54"/>
  <c r="AG164" i="54" s="1"/>
  <c r="AH164" i="54" s="1"/>
  <c r="AF68" i="54"/>
  <c r="AG68" i="54" s="1"/>
  <c r="AH68" i="54" s="1"/>
  <c r="AI68" i="54" s="1"/>
  <c r="AF260" i="54"/>
  <c r="AG260" i="54" s="1"/>
  <c r="AF368" i="54"/>
  <c r="AG368" i="54" s="1"/>
  <c r="AH368" i="54" s="1"/>
  <c r="AI368" i="54" s="1"/>
  <c r="AF224" i="54"/>
  <c r="AG224" i="54" s="1"/>
  <c r="AH224" i="54" s="1"/>
  <c r="AF32" i="54"/>
  <c r="AG32" i="54" s="1"/>
  <c r="AH32" i="54" s="1"/>
  <c r="AI32" i="54" s="1"/>
  <c r="AF332" i="54"/>
  <c r="AG332" i="54" s="1"/>
  <c r="AH332" i="54" s="1"/>
  <c r="AF140" i="54"/>
  <c r="AG140" i="54" s="1"/>
  <c r="AH140" i="54" s="1"/>
  <c r="AI140" i="54" s="1"/>
  <c r="AF200" i="54"/>
  <c r="AG200" i="54" s="1"/>
  <c r="AH200" i="54" s="1"/>
  <c r="AI200" i="54" s="1"/>
  <c r="AF44" i="54"/>
  <c r="AG44" i="54" s="1"/>
  <c r="AH44" i="54" s="1"/>
  <c r="AI44" i="54" s="1"/>
  <c r="AF116" i="54"/>
  <c r="AG116" i="54" s="1"/>
  <c r="AH116" i="54" s="1"/>
  <c r="AI116" i="54" s="1"/>
  <c r="AP223" i="54"/>
  <c r="AQ223" i="54" s="1"/>
  <c r="AR223" i="54" s="1"/>
  <c r="AP139" i="54"/>
  <c r="AQ139" i="54" s="1"/>
  <c r="AR139" i="54" s="1"/>
  <c r="AS139" i="54" s="1"/>
  <c r="AP151" i="54"/>
  <c r="AQ151" i="54" s="1"/>
  <c r="AR151" i="54" s="1"/>
  <c r="AS151" i="54" s="1"/>
  <c r="AP319" i="54"/>
  <c r="AQ319" i="54" s="1"/>
  <c r="AR319" i="54" s="1"/>
  <c r="AS319" i="54" s="1"/>
  <c r="AP343" i="54"/>
  <c r="AQ343" i="54" s="1"/>
  <c r="AR343" i="54" s="1"/>
  <c r="AP271" i="54"/>
  <c r="AQ271" i="54" s="1"/>
  <c r="AR271" i="54" s="1"/>
  <c r="AS271" i="54" s="1"/>
  <c r="AP307" i="54"/>
  <c r="AQ307" i="54" s="1"/>
  <c r="AR307" i="54" s="1"/>
  <c r="AS307" i="54" s="1"/>
  <c r="AP187" i="54"/>
  <c r="AQ187" i="54" s="1"/>
  <c r="AP199" i="54"/>
  <c r="AQ199" i="54" s="1"/>
  <c r="AR199" i="54" s="1"/>
  <c r="AP367" i="54"/>
  <c r="AQ367" i="54" s="1"/>
  <c r="AR367" i="54" s="1"/>
  <c r="AS367" i="54" s="1"/>
  <c r="AP331" i="54"/>
  <c r="AQ331" i="54" s="1"/>
  <c r="AR331" i="54" s="1"/>
  <c r="AP127" i="54"/>
  <c r="AQ127" i="54" s="1"/>
  <c r="AR127" i="54" s="1"/>
  <c r="AS127" i="54" s="1"/>
  <c r="AP235" i="54"/>
  <c r="AQ235" i="54" s="1"/>
  <c r="AR235" i="54" s="1"/>
  <c r="AP247" i="54"/>
  <c r="AQ247" i="54" s="1"/>
  <c r="AR247" i="54" s="1"/>
  <c r="AP355" i="54"/>
  <c r="AQ355" i="54" s="1"/>
  <c r="AR355" i="54" s="1"/>
  <c r="AP175" i="54"/>
  <c r="AQ175" i="54" s="1"/>
  <c r="AR175" i="54" s="1"/>
  <c r="AS175" i="54" s="1"/>
  <c r="AP283" i="54"/>
  <c r="AQ283" i="54" s="1"/>
  <c r="AP295" i="54"/>
  <c r="AQ295" i="54" s="1"/>
  <c r="AR295" i="54" s="1"/>
  <c r="AP259" i="54"/>
  <c r="AQ259" i="54" s="1"/>
  <c r="AR259" i="54" s="1"/>
  <c r="AP91" i="54"/>
  <c r="AQ91" i="54" s="1"/>
  <c r="AR91" i="54" s="1"/>
  <c r="AS91" i="54" s="1"/>
  <c r="AP19" i="54"/>
  <c r="AQ19" i="54" s="1"/>
  <c r="AR19" i="54" s="1"/>
  <c r="AS19" i="54" s="1"/>
  <c r="AP31" i="54"/>
  <c r="AQ31" i="54" s="1"/>
  <c r="AR31" i="54" s="1"/>
  <c r="AS31" i="54" s="1"/>
  <c r="AP211" i="54"/>
  <c r="AQ211" i="54" s="1"/>
  <c r="AR211" i="54" s="1"/>
  <c r="AS211" i="54" s="1"/>
  <c r="AP103" i="54"/>
  <c r="AQ103" i="54" s="1"/>
  <c r="AR103" i="54" s="1"/>
  <c r="AS103" i="54" s="1"/>
  <c r="AP67" i="54"/>
  <c r="AQ67" i="54" s="1"/>
  <c r="AR67" i="54" s="1"/>
  <c r="AS67" i="54" s="1"/>
  <c r="AP79" i="54"/>
  <c r="AQ79" i="54" s="1"/>
  <c r="AR79" i="54" s="1"/>
  <c r="AS79" i="54" s="1"/>
  <c r="AP115" i="54"/>
  <c r="AQ115" i="54" s="1"/>
  <c r="AR115" i="54" s="1"/>
  <c r="AS115" i="54" s="1"/>
  <c r="AP163" i="54"/>
  <c r="AQ163" i="54" s="1"/>
  <c r="AR163" i="54" s="1"/>
  <c r="AP43" i="54"/>
  <c r="AQ43" i="54" s="1"/>
  <c r="AR43" i="54" s="1"/>
  <c r="AS43" i="54" s="1"/>
  <c r="AP55" i="54"/>
  <c r="AQ55" i="54" s="1"/>
  <c r="AR55" i="54" s="1"/>
  <c r="AS55" i="54" s="1"/>
  <c r="AF331" i="54"/>
  <c r="AG331" i="54" s="1"/>
  <c r="AH331" i="54" s="1"/>
  <c r="AF343" i="54"/>
  <c r="AG343" i="54" s="1"/>
  <c r="AH343" i="54" s="1"/>
  <c r="AI343" i="54" s="1"/>
  <c r="AF115" i="54"/>
  <c r="AG115" i="54" s="1"/>
  <c r="AH115" i="54" s="1"/>
  <c r="AF367" i="54"/>
  <c r="AG367" i="54" s="1"/>
  <c r="AH367" i="54" s="1"/>
  <c r="AI367" i="54" s="1"/>
  <c r="AF223" i="54"/>
  <c r="AG223" i="54" s="1"/>
  <c r="AH223" i="54" s="1"/>
  <c r="AI223" i="54" s="1"/>
  <c r="AF91" i="54"/>
  <c r="AG91" i="54" s="1"/>
  <c r="AH91" i="54" s="1"/>
  <c r="AI91" i="54" s="1"/>
  <c r="AF31" i="54"/>
  <c r="AG31" i="54" s="1"/>
  <c r="AH31" i="54" s="1"/>
  <c r="AI31" i="54" s="1"/>
  <c r="AF307" i="54"/>
  <c r="AG307" i="54" s="1"/>
  <c r="AH307" i="54" s="1"/>
  <c r="AF163" i="54"/>
  <c r="AG163" i="54" s="1"/>
  <c r="AH163" i="54" s="1"/>
  <c r="AF79" i="54"/>
  <c r="AG79" i="54" s="1"/>
  <c r="AH79" i="54" s="1"/>
  <c r="AF139" i="54"/>
  <c r="AG139" i="54" s="1"/>
  <c r="AF247" i="54"/>
  <c r="AG247" i="54" s="1"/>
  <c r="AH247" i="54" s="1"/>
  <c r="AI247" i="54" s="1"/>
  <c r="AF43" i="54"/>
  <c r="AG43" i="54" s="1"/>
  <c r="AH43" i="54" s="1"/>
  <c r="AI43" i="54" s="1"/>
  <c r="AF355" i="54"/>
  <c r="AG355" i="54" s="1"/>
  <c r="AH355" i="54" s="1"/>
  <c r="AI355" i="54" s="1"/>
  <c r="AF319" i="54"/>
  <c r="AG319" i="54" s="1"/>
  <c r="AH319" i="54" s="1"/>
  <c r="AF211" i="54"/>
  <c r="AG211" i="54" s="1"/>
  <c r="AH211" i="54" s="1"/>
  <c r="AI211" i="54" s="1"/>
  <c r="AF127" i="54"/>
  <c r="AG127" i="54" s="1"/>
  <c r="AH127" i="54" s="1"/>
  <c r="AI127" i="54" s="1"/>
  <c r="AF259" i="54"/>
  <c r="AG259" i="54" s="1"/>
  <c r="AH259" i="54" s="1"/>
  <c r="AI259" i="54" s="1"/>
  <c r="AF187" i="54"/>
  <c r="AG187" i="54" s="1"/>
  <c r="AH187" i="54" s="1"/>
  <c r="AI187" i="54" s="1"/>
  <c r="AF55" i="54"/>
  <c r="AG55" i="54" s="1"/>
  <c r="AH55" i="54" s="1"/>
  <c r="AI55" i="54" s="1"/>
  <c r="AF151" i="54"/>
  <c r="AG151" i="54" s="1"/>
  <c r="AH151" i="54" s="1"/>
  <c r="AI151" i="54" s="1"/>
  <c r="AF283" i="54"/>
  <c r="AG283" i="54" s="1"/>
  <c r="AH283" i="54" s="1"/>
  <c r="AI283" i="54" s="1"/>
  <c r="AF295" i="54"/>
  <c r="AG295" i="54" s="1"/>
  <c r="AH295" i="54" s="1"/>
  <c r="AI295" i="54" s="1"/>
  <c r="AF67" i="54"/>
  <c r="AG67" i="54" s="1"/>
  <c r="AH67" i="54" s="1"/>
  <c r="AI67" i="54" s="1"/>
  <c r="AF175" i="54"/>
  <c r="AG175" i="54" s="1"/>
  <c r="AH175" i="54" s="1"/>
  <c r="AF271" i="54"/>
  <c r="AG271" i="54" s="1"/>
  <c r="AF235" i="54"/>
  <c r="AG235" i="54" s="1"/>
  <c r="AH235" i="54" s="1"/>
  <c r="AI235" i="54" s="1"/>
  <c r="AF199" i="54"/>
  <c r="AG199" i="54" s="1"/>
  <c r="AH199" i="54" s="1"/>
  <c r="AI199" i="54" s="1"/>
  <c r="AF19" i="54"/>
  <c r="AG19" i="54" s="1"/>
  <c r="AH19" i="54" s="1"/>
  <c r="AI19" i="54" s="1"/>
  <c r="AF103" i="54"/>
  <c r="AG103" i="54" s="1"/>
  <c r="AH103" i="54" s="1"/>
  <c r="AI103" i="54" s="1"/>
  <c r="L350" i="54"/>
  <c r="M350" i="54" s="1"/>
  <c r="N350" i="54" s="1"/>
  <c r="L182" i="54"/>
  <c r="M182" i="54" s="1"/>
  <c r="N182" i="54" s="1"/>
  <c r="L242" i="54"/>
  <c r="M242" i="54" s="1"/>
  <c r="N242" i="54" s="1"/>
  <c r="O242" i="54" s="1"/>
  <c r="L50" i="54"/>
  <c r="M50" i="54" s="1"/>
  <c r="N50" i="54" s="1"/>
  <c r="L314" i="54"/>
  <c r="M314" i="54" s="1"/>
  <c r="L230" i="54"/>
  <c r="M230" i="54" s="1"/>
  <c r="N230" i="54" s="1"/>
  <c r="O230" i="54" s="1"/>
  <c r="L38" i="54"/>
  <c r="M38" i="54" s="1"/>
  <c r="N38" i="54" s="1"/>
  <c r="L374" i="54"/>
  <c r="M374" i="54" s="1"/>
  <c r="N374" i="54" s="1"/>
  <c r="L302" i="54"/>
  <c r="M302" i="54" s="1"/>
  <c r="N302" i="54" s="1"/>
  <c r="L290" i="54"/>
  <c r="M290" i="54" s="1"/>
  <c r="N290" i="54" s="1"/>
  <c r="L62" i="54"/>
  <c r="M62" i="54" s="1"/>
  <c r="N62" i="54" s="1"/>
  <c r="O62" i="54" s="1"/>
  <c r="L362" i="54"/>
  <c r="M362" i="54" s="1"/>
  <c r="L278" i="54"/>
  <c r="M278" i="54" s="1"/>
  <c r="N278" i="54" s="1"/>
  <c r="L86" i="54"/>
  <c r="M86" i="54" s="1"/>
  <c r="N86" i="54" s="1"/>
  <c r="L206" i="54"/>
  <c r="M206" i="54" s="1"/>
  <c r="N206" i="54" s="1"/>
  <c r="O206" i="54" s="1"/>
  <c r="L74" i="54"/>
  <c r="M74" i="54" s="1"/>
  <c r="L134" i="54"/>
  <c r="M134" i="54" s="1"/>
  <c r="L194" i="54"/>
  <c r="M194" i="54" s="1"/>
  <c r="N194" i="54" s="1"/>
  <c r="O194" i="54" s="1"/>
  <c r="V252" i="54"/>
  <c r="W252" i="54" s="1"/>
  <c r="V60" i="54"/>
  <c r="W60" i="54" s="1"/>
  <c r="X60" i="54" s="1"/>
  <c r="V360" i="54"/>
  <c r="W360" i="54" s="1"/>
  <c r="X360" i="54" s="1"/>
  <c r="Y360" i="54" s="1"/>
  <c r="V168" i="54"/>
  <c r="W168" i="54" s="1"/>
  <c r="X168" i="54" s="1"/>
  <c r="Y168" i="54" s="1"/>
  <c r="V96" i="54"/>
  <c r="W96" i="54" s="1"/>
  <c r="X96" i="54" s="1"/>
  <c r="Y96" i="54" s="1"/>
  <c r="V372" i="54"/>
  <c r="W372" i="54" s="1"/>
  <c r="X372" i="54" s="1"/>
  <c r="V144" i="54"/>
  <c r="W144" i="54" s="1"/>
  <c r="X144" i="54" s="1"/>
  <c r="V300" i="54"/>
  <c r="W300" i="54" s="1"/>
  <c r="X300" i="54" s="1"/>
  <c r="Y300" i="54" s="1"/>
  <c r="V108" i="54"/>
  <c r="W108" i="54" s="1"/>
  <c r="X108" i="54" s="1"/>
  <c r="V216" i="54"/>
  <c r="W216" i="54" s="1"/>
  <c r="X216" i="54" s="1"/>
  <c r="Y216" i="54" s="1"/>
  <c r="V24" i="54"/>
  <c r="W24" i="54" s="1"/>
  <c r="X24" i="54" s="1"/>
  <c r="V192" i="54"/>
  <c r="W192" i="54" s="1"/>
  <c r="X192" i="54" s="1"/>
  <c r="Y192" i="54" s="1"/>
  <c r="V84" i="54"/>
  <c r="W84" i="54" s="1"/>
  <c r="X84" i="54" s="1"/>
  <c r="Y84" i="54" s="1"/>
  <c r="V336" i="54"/>
  <c r="W336" i="54" s="1"/>
  <c r="X336" i="54" s="1"/>
  <c r="V348" i="54"/>
  <c r="W348" i="54" s="1"/>
  <c r="X348" i="54" s="1"/>
  <c r="Y348" i="54" s="1"/>
  <c r="V156" i="54"/>
  <c r="W156" i="54" s="1"/>
  <c r="X156" i="54" s="1"/>
  <c r="Y156" i="54" s="1"/>
  <c r="V264" i="54"/>
  <c r="W264" i="54" s="1"/>
  <c r="X264" i="54" s="1"/>
  <c r="Y264" i="54" s="1"/>
  <c r="V72" i="54"/>
  <c r="W72" i="54" s="1"/>
  <c r="X72" i="54" s="1"/>
  <c r="Y72" i="54" s="1"/>
  <c r="V288" i="54"/>
  <c r="W288" i="54" s="1"/>
  <c r="X288" i="54" s="1"/>
  <c r="Y288" i="54" s="1"/>
  <c r="V180" i="54"/>
  <c r="W180" i="54" s="1"/>
  <c r="X180" i="54" s="1"/>
  <c r="Y180" i="54" s="1"/>
  <c r="V204" i="54"/>
  <c r="W204" i="54" s="1"/>
  <c r="X204" i="54" s="1"/>
  <c r="Y204" i="54" s="1"/>
  <c r="V312" i="54"/>
  <c r="W312" i="54" s="1"/>
  <c r="X312" i="54" s="1"/>
  <c r="V120" i="54"/>
  <c r="W120" i="54" s="1"/>
  <c r="X120" i="54" s="1"/>
  <c r="Y120" i="54" s="1"/>
  <c r="V276" i="54"/>
  <c r="W276" i="54" s="1"/>
  <c r="X276" i="54" s="1"/>
  <c r="AF313" i="54"/>
  <c r="AG313" i="54" s="1"/>
  <c r="AH313" i="54" s="1"/>
  <c r="AI313" i="54" s="1"/>
  <c r="AF325" i="54"/>
  <c r="AG325" i="54" s="1"/>
  <c r="AH325" i="54" s="1"/>
  <c r="AI325" i="54" s="1"/>
  <c r="AF97" i="54"/>
  <c r="AG97" i="54" s="1"/>
  <c r="AH97" i="54" s="1"/>
  <c r="AI97" i="54" s="1"/>
  <c r="AF205" i="54"/>
  <c r="AG205" i="54" s="1"/>
  <c r="AH205" i="54" s="1"/>
  <c r="AI205" i="54" s="1"/>
  <c r="AF73" i="54"/>
  <c r="AG73" i="54" s="1"/>
  <c r="AH73" i="54" s="1"/>
  <c r="AI73" i="54" s="1"/>
  <c r="AF229" i="54"/>
  <c r="AG229" i="54" s="1"/>
  <c r="AH229" i="54" s="1"/>
  <c r="AI229" i="54" s="1"/>
  <c r="AF25" i="54"/>
  <c r="AG25" i="54" s="1"/>
  <c r="AH25" i="54" s="1"/>
  <c r="AI25" i="54" s="1"/>
  <c r="AF361" i="54"/>
  <c r="AG361" i="54" s="1"/>
  <c r="AF373" i="54"/>
  <c r="AG373" i="54" s="1"/>
  <c r="AH373" i="54" s="1"/>
  <c r="AI373" i="54" s="1"/>
  <c r="AF301" i="54"/>
  <c r="AG301" i="54" s="1"/>
  <c r="AH301" i="54" s="1"/>
  <c r="AI301" i="54" s="1"/>
  <c r="AF289" i="54"/>
  <c r="AG289" i="54" s="1"/>
  <c r="AH289" i="54" s="1"/>
  <c r="AI289" i="54" s="1"/>
  <c r="AF145" i="54"/>
  <c r="AG145" i="54" s="1"/>
  <c r="AH145" i="54" s="1"/>
  <c r="AI145" i="54" s="1"/>
  <c r="AF253" i="54"/>
  <c r="AG253" i="54" s="1"/>
  <c r="AH253" i="54" s="1"/>
  <c r="AF265" i="54"/>
  <c r="AG265" i="54" s="1"/>
  <c r="AH265" i="54" s="1"/>
  <c r="AF121" i="54"/>
  <c r="AG121" i="54" s="1"/>
  <c r="AH121" i="54" s="1"/>
  <c r="AI121" i="54" s="1"/>
  <c r="AF337" i="54"/>
  <c r="AG337" i="54" s="1"/>
  <c r="AH337" i="54" s="1"/>
  <c r="AF193" i="54"/>
  <c r="AG193" i="54" s="1"/>
  <c r="AH193" i="54" s="1"/>
  <c r="AF109" i="54"/>
  <c r="AG109" i="54" s="1"/>
  <c r="AH109" i="54" s="1"/>
  <c r="AI109" i="54" s="1"/>
  <c r="AF169" i="54"/>
  <c r="AG169" i="54" s="1"/>
  <c r="AH169" i="54" s="1"/>
  <c r="AF181" i="54"/>
  <c r="AG181" i="54" s="1"/>
  <c r="AH181" i="54" s="1"/>
  <c r="AF85" i="54"/>
  <c r="AG85" i="54" s="1"/>
  <c r="AH85" i="54" s="1"/>
  <c r="AF133" i="54"/>
  <c r="AG133" i="54" s="1"/>
  <c r="AH133" i="54" s="1"/>
  <c r="AI133" i="54" s="1"/>
  <c r="AF277" i="54"/>
  <c r="AG277" i="54" s="1"/>
  <c r="AH277" i="54" s="1"/>
  <c r="AF241" i="54"/>
  <c r="AG241" i="54" s="1"/>
  <c r="AH241" i="54" s="1"/>
  <c r="AI241" i="54" s="1"/>
  <c r="AF49" i="54"/>
  <c r="AG49" i="54" s="1"/>
  <c r="AH49" i="54" s="1"/>
  <c r="AI49" i="54" s="1"/>
  <c r="AF349" i="54"/>
  <c r="AG349" i="54" s="1"/>
  <c r="AH349" i="54" s="1"/>
  <c r="AI349" i="54" s="1"/>
  <c r="AF157" i="54"/>
  <c r="AG157" i="54" s="1"/>
  <c r="AH157" i="54" s="1"/>
  <c r="AF217" i="54"/>
  <c r="AG217" i="54" s="1"/>
  <c r="AH217" i="54" s="1"/>
  <c r="AI217" i="54" s="1"/>
  <c r="AF61" i="54"/>
  <c r="AG61" i="54" s="1"/>
  <c r="AH61" i="54" s="1"/>
  <c r="AI61" i="54" s="1"/>
  <c r="AF37" i="54"/>
  <c r="AG37" i="54" s="1"/>
  <c r="AH37" i="54" s="1"/>
  <c r="AI37" i="54" s="1"/>
  <c r="L354" i="54"/>
  <c r="M354" i="54" s="1"/>
  <c r="N354" i="54" s="1"/>
  <c r="O354" i="54" s="1"/>
  <c r="L270" i="54"/>
  <c r="M270" i="54" s="1"/>
  <c r="N270" i="54" s="1"/>
  <c r="L78" i="54"/>
  <c r="M78" i="54" s="1"/>
  <c r="N78" i="54" s="1"/>
  <c r="L330" i="54"/>
  <c r="M330" i="54" s="1"/>
  <c r="N330" i="54" s="1"/>
  <c r="O330" i="54" s="1"/>
  <c r="L126" i="54"/>
  <c r="M126" i="54" s="1"/>
  <c r="N126" i="54" s="1"/>
  <c r="L186" i="54"/>
  <c r="M186" i="54" s="1"/>
  <c r="N186" i="54" s="1"/>
  <c r="O186" i="54" s="1"/>
  <c r="L138" i="54"/>
  <c r="M138" i="54" s="1"/>
  <c r="N138" i="54" s="1"/>
  <c r="L342" i="54"/>
  <c r="M342" i="54" s="1"/>
  <c r="N342" i="54" s="1"/>
  <c r="O342" i="54" s="1"/>
  <c r="L174" i="54"/>
  <c r="M174" i="54" s="1"/>
  <c r="N174" i="54" s="1"/>
  <c r="O174" i="54" s="1"/>
  <c r="L366" i="54"/>
  <c r="M366" i="54" s="1"/>
  <c r="L234" i="54"/>
  <c r="M234" i="54" s="1"/>
  <c r="N234" i="54" s="1"/>
  <c r="O234" i="54" s="1"/>
  <c r="L150" i="54"/>
  <c r="M150" i="54" s="1"/>
  <c r="L306" i="54"/>
  <c r="M306" i="54" s="1"/>
  <c r="N306" i="54" s="1"/>
  <c r="O306" i="54" s="1"/>
  <c r="L222" i="54"/>
  <c r="M222" i="54" s="1"/>
  <c r="N222" i="54" s="1"/>
  <c r="O222" i="54" s="1"/>
  <c r="L30" i="54"/>
  <c r="M30" i="54" s="1"/>
  <c r="N30" i="54" s="1"/>
  <c r="L282" i="54"/>
  <c r="M282" i="54" s="1"/>
  <c r="N282" i="54" s="1"/>
  <c r="L198" i="54"/>
  <c r="M198" i="54" s="1"/>
  <c r="N198" i="54" s="1"/>
  <c r="O198" i="54" s="1"/>
  <c r="L162" i="54"/>
  <c r="M162" i="54" s="1"/>
  <c r="AP306" i="54"/>
  <c r="AQ306" i="54" s="1"/>
  <c r="AR306" i="54" s="1"/>
  <c r="AS306" i="54" s="1"/>
  <c r="AP258" i="54"/>
  <c r="AQ258" i="54" s="1"/>
  <c r="AR258" i="54" s="1"/>
  <c r="AS258" i="54" s="1"/>
  <c r="AP174" i="54"/>
  <c r="AQ174" i="54" s="1"/>
  <c r="AR174" i="54" s="1"/>
  <c r="AS174" i="54" s="1"/>
  <c r="AP186" i="54"/>
  <c r="AQ186" i="54" s="1"/>
  <c r="AR186" i="54" s="1"/>
  <c r="AS186" i="54" s="1"/>
  <c r="AP354" i="54"/>
  <c r="AQ354" i="54" s="1"/>
  <c r="AP114" i="54"/>
  <c r="AQ114" i="54" s="1"/>
  <c r="AR114" i="54" s="1"/>
  <c r="AP222" i="54"/>
  <c r="AQ222" i="54" s="1"/>
  <c r="AR222" i="54" s="1"/>
  <c r="AS222" i="54" s="1"/>
  <c r="AP234" i="54"/>
  <c r="AQ234" i="54" s="1"/>
  <c r="AP162" i="54"/>
  <c r="AQ162" i="54" s="1"/>
  <c r="AR162" i="54" s="1"/>
  <c r="AS162" i="54" s="1"/>
  <c r="AP318" i="54"/>
  <c r="AQ318" i="54" s="1"/>
  <c r="AR318" i="54" s="1"/>
  <c r="AP270" i="54"/>
  <c r="AQ270" i="54" s="1"/>
  <c r="AP342" i="54"/>
  <c r="AQ342" i="54" s="1"/>
  <c r="AR342" i="54" s="1"/>
  <c r="AS342" i="54" s="1"/>
  <c r="AP282" i="54"/>
  <c r="AQ282" i="54" s="1"/>
  <c r="AR282" i="54" s="1"/>
  <c r="AP210" i="54"/>
  <c r="AQ210" i="54" s="1"/>
  <c r="AR210" i="54" s="1"/>
  <c r="AS210" i="54" s="1"/>
  <c r="AP330" i="54"/>
  <c r="AQ330" i="54" s="1"/>
  <c r="AR330" i="54" s="1"/>
  <c r="AP126" i="54"/>
  <c r="AQ126" i="54" s="1"/>
  <c r="AR126" i="54" s="1"/>
  <c r="AS126" i="54" s="1"/>
  <c r="AP150" i="54"/>
  <c r="AQ150" i="54" s="1"/>
  <c r="AR150" i="54" s="1"/>
  <c r="AP198" i="54"/>
  <c r="AQ198" i="54" s="1"/>
  <c r="AR198" i="54" s="1"/>
  <c r="AS198" i="54" s="1"/>
  <c r="AP90" i="54"/>
  <c r="AQ90" i="54" s="1"/>
  <c r="AR90" i="54" s="1"/>
  <c r="AS90" i="54" s="1"/>
  <c r="AP18" i="54"/>
  <c r="AQ18" i="54" s="1"/>
  <c r="AR18" i="54" s="1"/>
  <c r="AS18" i="54" s="1"/>
  <c r="AP54" i="54"/>
  <c r="AQ54" i="54" s="1"/>
  <c r="AR54" i="54" s="1"/>
  <c r="AS54" i="54" s="1"/>
  <c r="AP102" i="54"/>
  <c r="AQ102" i="54" s="1"/>
  <c r="AR102" i="54" s="1"/>
  <c r="AP66" i="54"/>
  <c r="AQ66" i="54" s="1"/>
  <c r="AR66" i="54" s="1"/>
  <c r="AS66" i="54" s="1"/>
  <c r="AP42" i="54"/>
  <c r="AQ42" i="54" s="1"/>
  <c r="AR42" i="54" s="1"/>
  <c r="AS42" i="54" s="1"/>
  <c r="AP366" i="54"/>
  <c r="AQ366" i="54" s="1"/>
  <c r="AR366" i="54" s="1"/>
  <c r="AS366" i="54" s="1"/>
  <c r="AP246" i="54"/>
  <c r="AQ246" i="54" s="1"/>
  <c r="AR246" i="54" s="1"/>
  <c r="AS246" i="54" s="1"/>
  <c r="AP30" i="54"/>
  <c r="AQ30" i="54" s="1"/>
  <c r="AR30" i="54" s="1"/>
  <c r="AS30" i="54" s="1"/>
  <c r="AP294" i="54"/>
  <c r="AQ294" i="54" s="1"/>
  <c r="AR294" i="54" s="1"/>
  <c r="AS294" i="54" s="1"/>
  <c r="AP138" i="54"/>
  <c r="AQ138" i="54" s="1"/>
  <c r="AR138" i="54" s="1"/>
  <c r="AS138" i="54" s="1"/>
  <c r="AP78" i="54"/>
  <c r="AQ78" i="54" s="1"/>
  <c r="AR78" i="54" s="1"/>
  <c r="AS78" i="54" s="1"/>
  <c r="L113" i="54"/>
  <c r="M113" i="54" s="1"/>
  <c r="N113" i="54" s="1"/>
  <c r="L173" i="54"/>
  <c r="M173" i="54" s="1"/>
  <c r="N173" i="54" s="1"/>
  <c r="L329" i="54"/>
  <c r="M329" i="54" s="1"/>
  <c r="N329" i="54" s="1"/>
  <c r="O329" i="54" s="1"/>
  <c r="L161" i="54"/>
  <c r="M161" i="54" s="1"/>
  <c r="N161" i="54" s="1"/>
  <c r="O161" i="54" s="1"/>
  <c r="L221" i="54"/>
  <c r="M221" i="54" s="1"/>
  <c r="N221" i="54" s="1"/>
  <c r="O221" i="54" s="1"/>
  <c r="L365" i="54"/>
  <c r="M365" i="54" s="1"/>
  <c r="N365" i="54" s="1"/>
  <c r="O365" i="54" s="1"/>
  <c r="L233" i="54"/>
  <c r="M233" i="54" s="1"/>
  <c r="N233" i="54" s="1"/>
  <c r="O233" i="54" s="1"/>
  <c r="L293" i="54"/>
  <c r="M293" i="54" s="1"/>
  <c r="N293" i="54" s="1"/>
  <c r="O293" i="54" s="1"/>
  <c r="L317" i="54"/>
  <c r="M317" i="54" s="1"/>
  <c r="N317" i="54" s="1"/>
  <c r="O317" i="54" s="1"/>
  <c r="L209" i="54"/>
  <c r="M209" i="54" s="1"/>
  <c r="N209" i="54" s="1"/>
  <c r="L17" i="54"/>
  <c r="M17" i="54" s="1"/>
  <c r="N17" i="54" s="1"/>
  <c r="O17" i="54" s="1"/>
  <c r="L269" i="54"/>
  <c r="M269" i="54" s="1"/>
  <c r="N269" i="54" s="1"/>
  <c r="L341" i="54"/>
  <c r="M341" i="54" s="1"/>
  <c r="N341" i="54" s="1"/>
  <c r="O341" i="54" s="1"/>
  <c r="L257" i="54"/>
  <c r="M257" i="54" s="1"/>
  <c r="N257" i="54" s="1"/>
  <c r="O257" i="54" s="1"/>
  <c r="L65" i="54"/>
  <c r="M65" i="54" s="1"/>
  <c r="N65" i="54" s="1"/>
  <c r="AZ298" i="54"/>
  <c r="BA298" i="54" s="1"/>
  <c r="BB298" i="54" s="1"/>
  <c r="AZ214" i="54"/>
  <c r="BA214" i="54" s="1"/>
  <c r="AZ34" i="54"/>
  <c r="BA34" i="54" s="1"/>
  <c r="BB34" i="54" s="1"/>
  <c r="BC34" i="54" s="1"/>
  <c r="AZ310" i="54"/>
  <c r="BA310" i="54" s="1"/>
  <c r="AZ178" i="54"/>
  <c r="BA178" i="54" s="1"/>
  <c r="BB178" i="54" s="1"/>
  <c r="AZ142" i="54"/>
  <c r="BA142" i="54" s="1"/>
  <c r="AZ250" i="54"/>
  <c r="BA250" i="54" s="1"/>
  <c r="AZ202" i="54"/>
  <c r="BA202" i="54" s="1"/>
  <c r="AZ106" i="54"/>
  <c r="BA106" i="54" s="1"/>
  <c r="BB106" i="54" s="1"/>
  <c r="BC106" i="54" s="1"/>
  <c r="AZ22" i="54"/>
  <c r="BA22" i="54" s="1"/>
  <c r="BB22" i="54" s="1"/>
  <c r="BC22" i="54" s="1"/>
  <c r="AZ226" i="54"/>
  <c r="BA226" i="54" s="1"/>
  <c r="AZ82" i="54"/>
  <c r="BA82" i="54" s="1"/>
  <c r="BB82" i="54" s="1"/>
  <c r="AZ46" i="54"/>
  <c r="BA46" i="54" s="1"/>
  <c r="BB46" i="54" s="1"/>
  <c r="BC46" i="54" s="1"/>
  <c r="AZ154" i="54"/>
  <c r="BA154" i="54" s="1"/>
  <c r="BB154" i="54" s="1"/>
  <c r="AZ94" i="54"/>
  <c r="BA94" i="54" s="1"/>
  <c r="BB94" i="54" s="1"/>
  <c r="BC94" i="54" s="1"/>
  <c r="AZ358" i="54"/>
  <c r="BA358" i="54" s="1"/>
  <c r="BB358" i="54" s="1"/>
  <c r="AZ334" i="54"/>
  <c r="BA334" i="54" s="1"/>
  <c r="BB334" i="54" s="1"/>
  <c r="BC334" i="54" s="1"/>
  <c r="AZ346" i="54"/>
  <c r="BA346" i="54" s="1"/>
  <c r="BB346" i="54" s="1"/>
  <c r="AZ322" i="54"/>
  <c r="BA322" i="54" s="1"/>
  <c r="AZ190" i="54"/>
  <c r="BA190" i="54" s="1"/>
  <c r="BB190" i="54" s="1"/>
  <c r="BC190" i="54" s="1"/>
  <c r="AZ70" i="54"/>
  <c r="BA70" i="54" s="1"/>
  <c r="BB70" i="54" s="1"/>
  <c r="BC70" i="54" s="1"/>
  <c r="AZ58" i="54"/>
  <c r="BA58" i="54" s="1"/>
  <c r="BB58" i="54" s="1"/>
  <c r="BC58" i="54" s="1"/>
  <c r="AZ370" i="54"/>
  <c r="BA370" i="54" s="1"/>
  <c r="AZ286" i="54"/>
  <c r="BA286" i="54" s="1"/>
  <c r="BB286" i="54" s="1"/>
  <c r="AZ274" i="54"/>
  <c r="BA274" i="54" s="1"/>
  <c r="AZ262" i="54"/>
  <c r="BA262" i="54" s="1"/>
  <c r="AZ166" i="54"/>
  <c r="BA166" i="54" s="1"/>
  <c r="BB166" i="54" s="1"/>
  <c r="BC166" i="54" s="1"/>
  <c r="AZ238" i="54"/>
  <c r="BA238" i="54" s="1"/>
  <c r="BB238" i="54" s="1"/>
  <c r="BC238" i="54" s="1"/>
  <c r="AZ130" i="54"/>
  <c r="BA130" i="54" s="1"/>
  <c r="BB130" i="54" s="1"/>
  <c r="AZ118" i="54"/>
  <c r="BA118" i="54" s="1"/>
  <c r="AP308" i="54"/>
  <c r="AQ308" i="54" s="1"/>
  <c r="AR308" i="54" s="1"/>
  <c r="AS308" i="54" s="1"/>
  <c r="AP188" i="54"/>
  <c r="AQ188" i="54" s="1"/>
  <c r="AR188" i="54" s="1"/>
  <c r="AP296" i="54"/>
  <c r="AQ296" i="54" s="1"/>
  <c r="AR296" i="54" s="1"/>
  <c r="AS296" i="54" s="1"/>
  <c r="AP320" i="54"/>
  <c r="AQ320" i="54" s="1"/>
  <c r="AR320" i="54" s="1"/>
  <c r="AP236" i="54"/>
  <c r="AQ236" i="54" s="1"/>
  <c r="AR236" i="54" s="1"/>
  <c r="AP152" i="54"/>
  <c r="AQ152" i="54" s="1"/>
  <c r="AR152" i="54" s="1"/>
  <c r="AS152" i="54" s="1"/>
  <c r="AP332" i="54"/>
  <c r="AQ332" i="54" s="1"/>
  <c r="AP356" i="54"/>
  <c r="AQ356" i="54" s="1"/>
  <c r="AP284" i="54"/>
  <c r="AQ284" i="54" s="1"/>
  <c r="AR284" i="54" s="1"/>
  <c r="AP92" i="54"/>
  <c r="AQ92" i="54" s="1"/>
  <c r="AR92" i="54" s="1"/>
  <c r="AS92" i="54" s="1"/>
  <c r="AP200" i="54"/>
  <c r="AQ200" i="54" s="1"/>
  <c r="AP212" i="54"/>
  <c r="AQ212" i="54" s="1"/>
  <c r="AR212" i="54" s="1"/>
  <c r="AS212" i="54" s="1"/>
  <c r="AP140" i="54"/>
  <c r="AQ140" i="54" s="1"/>
  <c r="AR140" i="54" s="1"/>
  <c r="AS140" i="54" s="1"/>
  <c r="AP344" i="54"/>
  <c r="AQ344" i="54" s="1"/>
  <c r="AP248" i="54"/>
  <c r="AQ248" i="54" s="1"/>
  <c r="AR248" i="54" s="1"/>
  <c r="AS248" i="54" s="1"/>
  <c r="AP368" i="54"/>
  <c r="AQ368" i="54" s="1"/>
  <c r="AR368" i="54" s="1"/>
  <c r="AS368" i="54" s="1"/>
  <c r="AP260" i="54"/>
  <c r="AQ260" i="54" s="1"/>
  <c r="AR260" i="54" s="1"/>
  <c r="AS260" i="54" s="1"/>
  <c r="AP176" i="54"/>
  <c r="AQ176" i="54" s="1"/>
  <c r="AR176" i="54" s="1"/>
  <c r="AP56" i="54"/>
  <c r="AQ56" i="54" s="1"/>
  <c r="AR56" i="54" s="1"/>
  <c r="AS56" i="54" s="1"/>
  <c r="AP116" i="54"/>
  <c r="AQ116" i="54" s="1"/>
  <c r="AR116" i="54" s="1"/>
  <c r="AS116" i="54" s="1"/>
  <c r="AP68" i="54"/>
  <c r="AQ68" i="54" s="1"/>
  <c r="AR68" i="54" s="1"/>
  <c r="AS68" i="54" s="1"/>
  <c r="AP104" i="54"/>
  <c r="AQ104" i="54" s="1"/>
  <c r="AR104" i="54" s="1"/>
  <c r="AS104" i="54" s="1"/>
  <c r="AP164" i="54"/>
  <c r="AQ164" i="54" s="1"/>
  <c r="AR164" i="54" s="1"/>
  <c r="AS164" i="54" s="1"/>
  <c r="AP224" i="54"/>
  <c r="AQ224" i="54" s="1"/>
  <c r="AR224" i="54" s="1"/>
  <c r="AS224" i="54" s="1"/>
  <c r="AP32" i="54"/>
  <c r="AQ32" i="54" s="1"/>
  <c r="AR32" i="54" s="1"/>
  <c r="AS32" i="54" s="1"/>
  <c r="AP128" i="54"/>
  <c r="AQ128" i="54" s="1"/>
  <c r="AR128" i="54" s="1"/>
  <c r="AS128" i="54" s="1"/>
  <c r="AP44" i="54"/>
  <c r="AQ44" i="54" s="1"/>
  <c r="AR44" i="54" s="1"/>
  <c r="AS44" i="54" s="1"/>
  <c r="AP20" i="54"/>
  <c r="AQ20" i="54" s="1"/>
  <c r="AR20" i="54" s="1"/>
  <c r="AS20" i="54" s="1"/>
  <c r="AP272" i="54"/>
  <c r="AQ272" i="54" s="1"/>
  <c r="AR272" i="54" s="1"/>
  <c r="AS272" i="54" s="1"/>
  <c r="AP80" i="54"/>
  <c r="AQ80" i="54" s="1"/>
  <c r="AR80" i="54" s="1"/>
  <c r="AS80" i="54" s="1"/>
  <c r="AL255" i="56"/>
  <c r="AM255" i="56" s="1"/>
  <c r="AL247" i="56"/>
  <c r="AM247" i="56" s="1"/>
  <c r="AN247" i="56" s="1"/>
  <c r="AO247" i="56" s="1"/>
  <c r="AL183" i="56"/>
  <c r="AM183" i="56" s="1"/>
  <c r="AN183" i="56" s="1"/>
  <c r="AO183" i="56" s="1"/>
  <c r="AL119" i="56"/>
  <c r="AM119" i="56" s="1"/>
  <c r="AN119" i="56" s="1"/>
  <c r="AO119" i="56" s="1"/>
  <c r="AL55" i="56"/>
  <c r="AM55" i="56" s="1"/>
  <c r="AN55" i="56" s="1"/>
  <c r="AO55" i="56" s="1"/>
  <c r="AL199" i="56"/>
  <c r="AM199" i="56" s="1"/>
  <c r="AN199" i="56" s="1"/>
  <c r="AO199" i="56" s="1"/>
  <c r="AL215" i="56"/>
  <c r="AM215" i="56" s="1"/>
  <c r="AN215" i="56" s="1"/>
  <c r="AL151" i="56"/>
  <c r="AM151" i="56" s="1"/>
  <c r="AN151" i="56" s="1"/>
  <c r="AO151" i="56" s="1"/>
  <c r="AL87" i="56"/>
  <c r="AM87" i="56" s="1"/>
  <c r="AL239" i="56"/>
  <c r="AM239" i="56" s="1"/>
  <c r="AN239" i="56" s="1"/>
  <c r="AL231" i="56"/>
  <c r="AM231" i="56" s="1"/>
  <c r="AN231" i="56" s="1"/>
  <c r="AO231" i="56" s="1"/>
  <c r="AL167" i="56"/>
  <c r="AM167" i="56" s="1"/>
  <c r="AN167" i="56" s="1"/>
  <c r="AO167" i="56" s="1"/>
  <c r="AL103" i="56"/>
  <c r="AM103" i="56" s="1"/>
  <c r="AN103" i="56" s="1"/>
  <c r="AO103" i="56" s="1"/>
  <c r="L336" i="54"/>
  <c r="M336" i="54" s="1"/>
  <c r="N336" i="54" s="1"/>
  <c r="L252" i="54"/>
  <c r="M252" i="54" s="1"/>
  <c r="N252" i="54" s="1"/>
  <c r="O252" i="54" s="1"/>
  <c r="L60" i="54"/>
  <c r="M60" i="54" s="1"/>
  <c r="N60" i="54" s="1"/>
  <c r="L348" i="54"/>
  <c r="M348" i="54" s="1"/>
  <c r="N348" i="54" s="1"/>
  <c r="L144" i="54"/>
  <c r="M144" i="54" s="1"/>
  <c r="N144" i="54" s="1"/>
  <c r="O144" i="54" s="1"/>
  <c r="L108" i="54"/>
  <c r="M108" i="54" s="1"/>
  <c r="L180" i="54"/>
  <c r="M180" i="54" s="1"/>
  <c r="N180" i="54" s="1"/>
  <c r="L324" i="54"/>
  <c r="M324" i="54" s="1"/>
  <c r="L156" i="54"/>
  <c r="M156" i="54" s="1"/>
  <c r="L216" i="54"/>
  <c r="M216" i="54" s="1"/>
  <c r="N216" i="54" s="1"/>
  <c r="O216" i="54" s="1"/>
  <c r="L276" i="54"/>
  <c r="M276" i="54" s="1"/>
  <c r="N276" i="54" s="1"/>
  <c r="L120" i="54"/>
  <c r="M120" i="54" s="1"/>
  <c r="N120" i="54" s="1"/>
  <c r="O120" i="54" s="1"/>
  <c r="L372" i="54"/>
  <c r="M372" i="54" s="1"/>
  <c r="N372" i="54" s="1"/>
  <c r="L360" i="54"/>
  <c r="M360" i="54" s="1"/>
  <c r="L204" i="54"/>
  <c r="M204" i="54" s="1"/>
  <c r="N204" i="54" s="1"/>
  <c r="O204" i="54" s="1"/>
  <c r="L264" i="54"/>
  <c r="M264" i="54" s="1"/>
  <c r="N264" i="54" s="1"/>
  <c r="O264" i="54" s="1"/>
  <c r="L312" i="54"/>
  <c r="M312" i="54" s="1"/>
  <c r="N312" i="54" s="1"/>
  <c r="L132" i="54"/>
  <c r="M132" i="54" s="1"/>
  <c r="N132" i="54" s="1"/>
  <c r="AF256" i="54"/>
  <c r="AG256" i="54" s="1"/>
  <c r="AH256" i="54" s="1"/>
  <c r="AF364" i="54"/>
  <c r="AG364" i="54" s="1"/>
  <c r="AH364" i="54" s="1"/>
  <c r="AI364" i="54" s="1"/>
  <c r="AF220" i="54"/>
  <c r="AG220" i="54" s="1"/>
  <c r="AH220" i="54" s="1"/>
  <c r="AI220" i="54" s="1"/>
  <c r="AF28" i="54"/>
  <c r="AG28" i="54" s="1"/>
  <c r="AH28" i="54" s="1"/>
  <c r="AI28" i="54" s="1"/>
  <c r="AF136" i="54"/>
  <c r="AG136" i="54" s="1"/>
  <c r="AH136" i="54" s="1"/>
  <c r="AI136" i="54" s="1"/>
  <c r="AF196" i="54"/>
  <c r="AG196" i="54" s="1"/>
  <c r="AH196" i="54" s="1"/>
  <c r="AI196" i="54" s="1"/>
  <c r="AF52" i="54"/>
  <c r="AG52" i="54" s="1"/>
  <c r="AH52" i="54" s="1"/>
  <c r="AI52" i="54" s="1"/>
  <c r="AF64" i="54"/>
  <c r="AG64" i="54" s="1"/>
  <c r="AH64" i="54" s="1"/>
  <c r="AI64" i="54" s="1"/>
  <c r="AF292" i="54"/>
  <c r="AG292" i="54" s="1"/>
  <c r="AH292" i="54" s="1"/>
  <c r="AI292" i="54" s="1"/>
  <c r="AF304" i="54"/>
  <c r="AG304" i="54" s="1"/>
  <c r="AH304" i="54" s="1"/>
  <c r="AI304" i="54" s="1"/>
  <c r="AF268" i="54"/>
  <c r="AG268" i="54" s="1"/>
  <c r="AH268" i="54" s="1"/>
  <c r="AI268" i="54" s="1"/>
  <c r="AF76" i="54"/>
  <c r="AG76" i="54" s="1"/>
  <c r="AH76" i="54" s="1"/>
  <c r="AF184" i="54"/>
  <c r="AG184" i="54" s="1"/>
  <c r="AH184" i="54" s="1"/>
  <c r="AI184" i="54" s="1"/>
  <c r="AF328" i="54"/>
  <c r="AG328" i="54" s="1"/>
  <c r="AF244" i="54"/>
  <c r="AG244" i="54" s="1"/>
  <c r="AH244" i="54" s="1"/>
  <c r="AI244" i="54" s="1"/>
  <c r="AF112" i="54"/>
  <c r="AG112" i="54" s="1"/>
  <c r="AH112" i="54" s="1"/>
  <c r="AI112" i="54" s="1"/>
  <c r="AF340" i="54"/>
  <c r="AG340" i="54" s="1"/>
  <c r="AH340" i="54" s="1"/>
  <c r="AI340" i="54" s="1"/>
  <c r="AF352" i="54"/>
  <c r="AG352" i="54" s="1"/>
  <c r="AH352" i="54" s="1"/>
  <c r="AF124" i="54"/>
  <c r="AG124" i="54" s="1"/>
  <c r="AH124" i="54" s="1"/>
  <c r="AI124" i="54" s="1"/>
  <c r="AF232" i="54"/>
  <c r="AG232" i="54" s="1"/>
  <c r="AH232" i="54" s="1"/>
  <c r="AI232" i="54" s="1"/>
  <c r="AF100" i="54"/>
  <c r="AG100" i="54" s="1"/>
  <c r="AH100" i="54" s="1"/>
  <c r="AI100" i="54" s="1"/>
  <c r="AF208" i="54"/>
  <c r="AG208" i="54" s="1"/>
  <c r="AH208" i="54" s="1"/>
  <c r="AI208" i="54" s="1"/>
  <c r="AF316" i="54"/>
  <c r="AG316" i="54" s="1"/>
  <c r="AH316" i="54" s="1"/>
  <c r="AF172" i="54"/>
  <c r="AG172" i="54" s="1"/>
  <c r="AH172" i="54" s="1"/>
  <c r="AF280" i="54"/>
  <c r="AG280" i="54" s="1"/>
  <c r="AH280" i="54" s="1"/>
  <c r="AF88" i="54"/>
  <c r="AG88" i="54" s="1"/>
  <c r="AH88" i="54" s="1"/>
  <c r="AI88" i="54" s="1"/>
  <c r="AF148" i="54"/>
  <c r="AG148" i="54" s="1"/>
  <c r="AH148" i="54" s="1"/>
  <c r="AI148" i="54" s="1"/>
  <c r="AF40" i="54"/>
  <c r="AG40" i="54" s="1"/>
  <c r="AH40" i="54" s="1"/>
  <c r="AI40" i="54" s="1"/>
  <c r="AF160" i="54"/>
  <c r="AG160" i="54" s="1"/>
  <c r="AH160" i="54" s="1"/>
  <c r="V217" i="54"/>
  <c r="W217" i="54" s="1"/>
  <c r="X217" i="54" s="1"/>
  <c r="V25" i="54"/>
  <c r="W25" i="54" s="1"/>
  <c r="X25" i="54" s="1"/>
  <c r="Y25" i="54" s="1"/>
  <c r="V325" i="54"/>
  <c r="W325" i="54" s="1"/>
  <c r="V133" i="54"/>
  <c r="W133" i="54" s="1"/>
  <c r="X133" i="54" s="1"/>
  <c r="Y133" i="54" s="1"/>
  <c r="V253" i="54"/>
  <c r="W253" i="54" s="1"/>
  <c r="X253" i="54" s="1"/>
  <c r="Y253" i="54" s="1"/>
  <c r="V145" i="54"/>
  <c r="W145" i="54" s="1"/>
  <c r="X145" i="54" s="1"/>
  <c r="Y145" i="54" s="1"/>
  <c r="V301" i="54"/>
  <c r="W301" i="54" s="1"/>
  <c r="X301" i="54" s="1"/>
  <c r="Y301" i="54" s="1"/>
  <c r="V265" i="54"/>
  <c r="W265" i="54" s="1"/>
  <c r="X265" i="54" s="1"/>
  <c r="Y265" i="54" s="1"/>
  <c r="V73" i="54"/>
  <c r="W73" i="54" s="1"/>
  <c r="V373" i="54"/>
  <c r="W373" i="54" s="1"/>
  <c r="X373" i="54" s="1"/>
  <c r="Y373" i="54" s="1"/>
  <c r="V181" i="54"/>
  <c r="W181" i="54" s="1"/>
  <c r="X181" i="54" s="1"/>
  <c r="V349" i="54"/>
  <c r="W349" i="54" s="1"/>
  <c r="X349" i="54" s="1"/>
  <c r="V241" i="54"/>
  <c r="W241" i="54" s="1"/>
  <c r="X241" i="54" s="1"/>
  <c r="V313" i="54"/>
  <c r="W313" i="54" s="1"/>
  <c r="X313" i="54" s="1"/>
  <c r="Y313" i="54" s="1"/>
  <c r="V121" i="54"/>
  <c r="W121" i="54" s="1"/>
  <c r="X121" i="54" s="1"/>
  <c r="Y121" i="54" s="1"/>
  <c r="V229" i="54"/>
  <c r="W229" i="54" s="1"/>
  <c r="X229" i="54" s="1"/>
  <c r="Y229" i="54" s="1"/>
  <c r="V37" i="54"/>
  <c r="W37" i="54" s="1"/>
  <c r="X37" i="54" s="1"/>
  <c r="Y37" i="54" s="1"/>
  <c r="V61" i="54"/>
  <c r="W61" i="54" s="1"/>
  <c r="X61" i="54" s="1"/>
  <c r="V337" i="54"/>
  <c r="W337" i="54" s="1"/>
  <c r="X337" i="54" s="1"/>
  <c r="V361" i="54"/>
  <c r="W361" i="54" s="1"/>
  <c r="X361" i="54" s="1"/>
  <c r="Y361" i="54" s="1"/>
  <c r="V169" i="54"/>
  <c r="W169" i="54" s="1"/>
  <c r="X169" i="54" s="1"/>
  <c r="V277" i="54"/>
  <c r="W277" i="54" s="1"/>
  <c r="X277" i="54" s="1"/>
  <c r="Y277" i="54" s="1"/>
  <c r="V85" i="54"/>
  <c r="W85" i="54" s="1"/>
  <c r="X85" i="54" s="1"/>
  <c r="V157" i="54"/>
  <c r="W157" i="54" s="1"/>
  <c r="V49" i="54"/>
  <c r="W49" i="54" s="1"/>
  <c r="X49" i="54" s="1"/>
  <c r="Y49" i="54" s="1"/>
  <c r="V109" i="54"/>
  <c r="W109" i="54" s="1"/>
  <c r="X109" i="54" s="1"/>
  <c r="Y109" i="54" s="1"/>
  <c r="V193" i="54"/>
  <c r="W193" i="54" s="1"/>
  <c r="X193" i="54" s="1"/>
  <c r="Y193" i="54" s="1"/>
  <c r="AF366" i="54"/>
  <c r="AG366" i="54" s="1"/>
  <c r="AH366" i="54" s="1"/>
  <c r="AI366" i="54" s="1"/>
  <c r="AF294" i="54"/>
  <c r="AG294" i="54" s="1"/>
  <c r="AH294" i="54" s="1"/>
  <c r="AF150" i="54"/>
  <c r="AG150" i="54" s="1"/>
  <c r="AH150" i="54" s="1"/>
  <c r="AF66" i="54"/>
  <c r="AG66" i="54" s="1"/>
  <c r="AH66" i="54" s="1"/>
  <c r="AI66" i="54" s="1"/>
  <c r="AF126" i="54"/>
  <c r="AG126" i="54" s="1"/>
  <c r="AH126" i="54" s="1"/>
  <c r="AI126" i="54" s="1"/>
  <c r="AF234" i="54"/>
  <c r="AG234" i="54" s="1"/>
  <c r="AH234" i="54" s="1"/>
  <c r="AI234" i="54" s="1"/>
  <c r="AF18" i="54"/>
  <c r="AG18" i="54" s="1"/>
  <c r="AH18" i="54" s="1"/>
  <c r="AI18" i="54" s="1"/>
  <c r="AF138" i="54"/>
  <c r="AG138" i="54" s="1"/>
  <c r="AH138" i="54" s="1"/>
  <c r="AI138" i="54" s="1"/>
  <c r="AF258" i="54"/>
  <c r="AG258" i="54" s="1"/>
  <c r="AH258" i="54" s="1"/>
  <c r="AF30" i="54"/>
  <c r="AG30" i="54" s="1"/>
  <c r="AH30" i="54" s="1"/>
  <c r="AI30" i="54" s="1"/>
  <c r="AF342" i="54"/>
  <c r="AG342" i="54" s="1"/>
  <c r="AH342" i="54" s="1"/>
  <c r="AF198" i="54"/>
  <c r="AG198" i="54" s="1"/>
  <c r="AH198" i="54" s="1"/>
  <c r="AI198" i="54" s="1"/>
  <c r="AF114" i="54"/>
  <c r="AG114" i="54" s="1"/>
  <c r="AH114" i="54" s="1"/>
  <c r="AI114" i="54" s="1"/>
  <c r="AF174" i="54"/>
  <c r="AG174" i="54" s="1"/>
  <c r="AH174" i="54" s="1"/>
  <c r="AI174" i="54" s="1"/>
  <c r="AF90" i="54"/>
  <c r="AG90" i="54" s="1"/>
  <c r="AH90" i="54" s="1"/>
  <c r="AI90" i="54" s="1"/>
  <c r="AF282" i="54"/>
  <c r="AG282" i="54" s="1"/>
  <c r="AH282" i="54" s="1"/>
  <c r="AI282" i="54" s="1"/>
  <c r="AF246" i="54"/>
  <c r="AG246" i="54" s="1"/>
  <c r="AH246" i="54" s="1"/>
  <c r="AI246" i="54" s="1"/>
  <c r="AF54" i="54"/>
  <c r="AG54" i="54" s="1"/>
  <c r="AH54" i="54" s="1"/>
  <c r="AI54" i="54" s="1"/>
  <c r="AF162" i="54"/>
  <c r="AG162" i="54" s="1"/>
  <c r="AH162" i="54" s="1"/>
  <c r="AF222" i="54"/>
  <c r="AG222" i="54" s="1"/>
  <c r="AH222" i="54" s="1"/>
  <c r="AF270" i="54"/>
  <c r="AG270" i="54" s="1"/>
  <c r="AH270" i="54" s="1"/>
  <c r="AF306" i="54"/>
  <c r="AG306" i="54" s="1"/>
  <c r="AH306" i="54" s="1"/>
  <c r="AI306" i="54" s="1"/>
  <c r="AF318" i="54"/>
  <c r="AG318" i="54" s="1"/>
  <c r="AH318" i="54" s="1"/>
  <c r="AF330" i="54"/>
  <c r="AG330" i="54" s="1"/>
  <c r="AH330" i="54" s="1"/>
  <c r="AI330" i="54" s="1"/>
  <c r="AF354" i="54"/>
  <c r="AG354" i="54" s="1"/>
  <c r="AH354" i="54" s="1"/>
  <c r="AF102" i="54"/>
  <c r="AG102" i="54" s="1"/>
  <c r="AH102" i="54" s="1"/>
  <c r="AI102" i="54" s="1"/>
  <c r="AF210" i="54"/>
  <c r="AG210" i="54" s="1"/>
  <c r="AH210" i="54" s="1"/>
  <c r="AF78" i="54"/>
  <c r="AG78" i="54" s="1"/>
  <c r="AH78" i="54" s="1"/>
  <c r="AF363" i="54"/>
  <c r="AG363" i="54" s="1"/>
  <c r="AF219" i="54"/>
  <c r="AG219" i="54" s="1"/>
  <c r="AH219" i="54" s="1"/>
  <c r="AI219" i="54" s="1"/>
  <c r="AF135" i="54"/>
  <c r="AG135" i="54" s="1"/>
  <c r="AH135" i="54" s="1"/>
  <c r="AI135" i="54" s="1"/>
  <c r="AF327" i="54"/>
  <c r="AG327" i="54" s="1"/>
  <c r="AH327" i="54" s="1"/>
  <c r="AI327" i="54" s="1"/>
  <c r="AF195" i="54"/>
  <c r="AG195" i="54" s="1"/>
  <c r="AH195" i="54" s="1"/>
  <c r="AI195" i="54" s="1"/>
  <c r="AF111" i="54"/>
  <c r="AG111" i="54" s="1"/>
  <c r="AH111" i="54" s="1"/>
  <c r="AI111" i="54" s="1"/>
  <c r="AF39" i="54"/>
  <c r="AG39" i="54" s="1"/>
  <c r="AH39" i="54" s="1"/>
  <c r="AI39" i="54" s="1"/>
  <c r="AF291" i="54"/>
  <c r="AG291" i="54" s="1"/>
  <c r="AH291" i="54" s="1"/>
  <c r="AI291" i="54" s="1"/>
  <c r="AF303" i="54"/>
  <c r="AG303" i="54" s="1"/>
  <c r="AH303" i="54" s="1"/>
  <c r="AF75" i="54"/>
  <c r="AG75" i="54" s="1"/>
  <c r="AH75" i="54" s="1"/>
  <c r="AI75" i="54" s="1"/>
  <c r="AF183" i="54"/>
  <c r="AG183" i="54" s="1"/>
  <c r="AH183" i="54" s="1"/>
  <c r="AI183" i="54" s="1"/>
  <c r="AF243" i="54"/>
  <c r="AG243" i="54" s="1"/>
  <c r="AH243" i="54" s="1"/>
  <c r="AI243" i="54" s="1"/>
  <c r="AF51" i="54"/>
  <c r="AG51" i="54" s="1"/>
  <c r="AH51" i="54" s="1"/>
  <c r="AI51" i="54" s="1"/>
  <c r="AF27" i="54"/>
  <c r="AG27" i="54" s="1"/>
  <c r="AH27" i="54" s="1"/>
  <c r="AI27" i="54" s="1"/>
  <c r="AF207" i="54"/>
  <c r="AG207" i="54" s="1"/>
  <c r="AH207" i="54" s="1"/>
  <c r="AI207" i="54" s="1"/>
  <c r="AF339" i="54"/>
  <c r="AG339" i="54" s="1"/>
  <c r="AH339" i="54" s="1"/>
  <c r="AF351" i="54"/>
  <c r="AG351" i="54" s="1"/>
  <c r="AH351" i="54" s="1"/>
  <c r="AI351" i="54" s="1"/>
  <c r="AF267" i="54"/>
  <c r="AG267" i="54" s="1"/>
  <c r="AH267" i="54" s="1"/>
  <c r="AI267" i="54" s="1"/>
  <c r="AF123" i="54"/>
  <c r="AG123" i="54" s="1"/>
  <c r="AH123" i="54" s="1"/>
  <c r="AI123" i="54" s="1"/>
  <c r="AF231" i="54"/>
  <c r="AG231" i="54" s="1"/>
  <c r="AH231" i="54" s="1"/>
  <c r="AF99" i="54"/>
  <c r="AG99" i="54" s="1"/>
  <c r="AH99" i="54" s="1"/>
  <c r="AI99" i="54" s="1"/>
  <c r="AF63" i="54"/>
  <c r="AG63" i="54" s="1"/>
  <c r="AH63" i="54" s="1"/>
  <c r="AI63" i="54" s="1"/>
  <c r="AF159" i="54"/>
  <c r="AG159" i="54" s="1"/>
  <c r="AH159" i="54" s="1"/>
  <c r="AI159" i="54" s="1"/>
  <c r="AF315" i="54"/>
  <c r="AG315" i="54" s="1"/>
  <c r="AH315" i="54" s="1"/>
  <c r="AF279" i="54"/>
  <c r="AG279" i="54" s="1"/>
  <c r="AH279" i="54" s="1"/>
  <c r="AF171" i="54"/>
  <c r="AG171" i="54" s="1"/>
  <c r="AH171" i="54" s="1"/>
  <c r="AI171" i="54" s="1"/>
  <c r="AF87" i="54"/>
  <c r="AG87" i="54" s="1"/>
  <c r="AH87" i="54" s="1"/>
  <c r="AF147" i="54"/>
  <c r="AG147" i="54" s="1"/>
  <c r="AH147" i="54" s="1"/>
  <c r="AI147" i="54" s="1"/>
  <c r="AF375" i="54"/>
  <c r="AG375" i="54" s="1"/>
  <c r="AH375" i="54" s="1"/>
  <c r="AI375" i="54" s="1"/>
  <c r="AZ332" i="54"/>
  <c r="BA332" i="54" s="1"/>
  <c r="BB332" i="54" s="1"/>
  <c r="BC332" i="54" s="1"/>
  <c r="AZ296" i="54"/>
  <c r="BA296" i="54" s="1"/>
  <c r="BB296" i="54" s="1"/>
  <c r="AZ200" i="54"/>
  <c r="BA200" i="54" s="1"/>
  <c r="BB200" i="54" s="1"/>
  <c r="AZ164" i="54"/>
  <c r="BA164" i="54" s="1"/>
  <c r="BB164" i="54" s="1"/>
  <c r="BC164" i="54" s="1"/>
  <c r="AZ128" i="54"/>
  <c r="BA128" i="54" s="1"/>
  <c r="BB128" i="54" s="1"/>
  <c r="AZ44" i="54"/>
  <c r="BA44" i="54" s="1"/>
  <c r="BB44" i="54" s="1"/>
  <c r="BC44" i="54" s="1"/>
  <c r="AZ104" i="54"/>
  <c r="BA104" i="54" s="1"/>
  <c r="BB104" i="54" s="1"/>
  <c r="BC104" i="54" s="1"/>
  <c r="AZ56" i="54"/>
  <c r="BA56" i="54" s="1"/>
  <c r="BB56" i="54" s="1"/>
  <c r="BC56" i="54" s="1"/>
  <c r="AZ344" i="54"/>
  <c r="BA344" i="54" s="1"/>
  <c r="BB344" i="54" s="1"/>
  <c r="BC344" i="54" s="1"/>
  <c r="AZ356" i="54"/>
  <c r="AZ236" i="54"/>
  <c r="BA236" i="54" s="1"/>
  <c r="BB236" i="54" s="1"/>
  <c r="BC236" i="54" s="1"/>
  <c r="AZ140" i="54"/>
  <c r="BA140" i="54" s="1"/>
  <c r="BB140" i="54" s="1"/>
  <c r="AZ260" i="54"/>
  <c r="BA260" i="54" s="1"/>
  <c r="BB260" i="54" s="1"/>
  <c r="BC260" i="54" s="1"/>
  <c r="AZ212" i="54"/>
  <c r="BA212" i="54" s="1"/>
  <c r="BB212" i="54" s="1"/>
  <c r="BC212" i="54" s="1"/>
  <c r="AZ92" i="54"/>
  <c r="BA92" i="54" s="1"/>
  <c r="AZ20" i="54"/>
  <c r="BA20" i="54" s="1"/>
  <c r="BB20" i="54" s="1"/>
  <c r="BC20" i="54" s="1"/>
  <c r="AZ308" i="54"/>
  <c r="BA308" i="54" s="1"/>
  <c r="BB308" i="54" s="1"/>
  <c r="BC308" i="54" s="1"/>
  <c r="AZ320" i="54"/>
  <c r="BA320" i="54" s="1"/>
  <c r="BB320" i="54" s="1"/>
  <c r="AZ272" i="54"/>
  <c r="BA272" i="54" s="1"/>
  <c r="BB272" i="54" s="1"/>
  <c r="AZ368" i="54"/>
  <c r="BA368" i="54" s="1"/>
  <c r="BB368" i="54" s="1"/>
  <c r="AZ188" i="54"/>
  <c r="BA188" i="54" s="1"/>
  <c r="BB188" i="54" s="1"/>
  <c r="BC188" i="54" s="1"/>
  <c r="AZ224" i="54"/>
  <c r="BA224" i="54" s="1"/>
  <c r="BB224" i="54" s="1"/>
  <c r="BC224" i="54" s="1"/>
  <c r="AZ32" i="54"/>
  <c r="BA32" i="54" s="1"/>
  <c r="BB32" i="54" s="1"/>
  <c r="BC32" i="54" s="1"/>
  <c r="AZ284" i="54"/>
  <c r="BA284" i="54" s="1"/>
  <c r="BB284" i="54" s="1"/>
  <c r="AZ248" i="54"/>
  <c r="BA248" i="54" s="1"/>
  <c r="BB248" i="54" s="1"/>
  <c r="AZ152" i="54"/>
  <c r="BA152" i="54" s="1"/>
  <c r="BB152" i="54" s="1"/>
  <c r="AZ116" i="54"/>
  <c r="BA116" i="54" s="1"/>
  <c r="BB116" i="54" s="1"/>
  <c r="AZ80" i="54"/>
  <c r="BA80" i="54" s="1"/>
  <c r="BB80" i="54" s="1"/>
  <c r="AZ176" i="54"/>
  <c r="BA176" i="54" s="1"/>
  <c r="BB176" i="54" s="1"/>
  <c r="AZ68" i="54"/>
  <c r="BA68" i="54" s="1"/>
  <c r="BB68" i="54" s="1"/>
  <c r="BC68" i="54" s="1"/>
  <c r="V340" i="54"/>
  <c r="W340" i="54" s="1"/>
  <c r="X340" i="54" s="1"/>
  <c r="Y340" i="54" s="1"/>
  <c r="V148" i="54"/>
  <c r="W148" i="54" s="1"/>
  <c r="X148" i="54" s="1"/>
  <c r="Y148" i="54" s="1"/>
  <c r="V256" i="54"/>
  <c r="W256" i="54" s="1"/>
  <c r="X256" i="54" s="1"/>
  <c r="Y256" i="54" s="1"/>
  <c r="V64" i="54"/>
  <c r="W64" i="54" s="1"/>
  <c r="X64" i="54" s="1"/>
  <c r="Y64" i="54" s="1"/>
  <c r="V268" i="54"/>
  <c r="W268" i="54" s="1"/>
  <c r="X268" i="54" s="1"/>
  <c r="V196" i="54"/>
  <c r="W196" i="54" s="1"/>
  <c r="X196" i="54" s="1"/>
  <c r="Y196" i="54" s="1"/>
  <c r="V304" i="54"/>
  <c r="W304" i="54" s="1"/>
  <c r="X304" i="54" s="1"/>
  <c r="Y304" i="54" s="1"/>
  <c r="V112" i="54"/>
  <c r="W112" i="54" s="1"/>
  <c r="X112" i="54" s="1"/>
  <c r="Y112" i="54" s="1"/>
  <c r="V88" i="54"/>
  <c r="W88" i="54" s="1"/>
  <c r="X88" i="54" s="1"/>
  <c r="Y88" i="54" s="1"/>
  <c r="V364" i="54"/>
  <c r="W364" i="54" s="1"/>
  <c r="X364" i="54" s="1"/>
  <c r="V244" i="54"/>
  <c r="W244" i="54" s="1"/>
  <c r="X244" i="54" s="1"/>
  <c r="V52" i="54"/>
  <c r="W52" i="54" s="1"/>
  <c r="X52" i="54" s="1"/>
  <c r="V352" i="54"/>
  <c r="W352" i="54" s="1"/>
  <c r="X352" i="54" s="1"/>
  <c r="Y352" i="54" s="1"/>
  <c r="V160" i="54"/>
  <c r="W160" i="54" s="1"/>
  <c r="X160" i="54" s="1"/>
  <c r="Y160" i="54" s="1"/>
  <c r="V184" i="54"/>
  <c r="W184" i="54" s="1"/>
  <c r="X184" i="54" s="1"/>
  <c r="Y184" i="54" s="1"/>
  <c r="V76" i="54"/>
  <c r="W76" i="54" s="1"/>
  <c r="X76" i="54" s="1"/>
  <c r="Y76" i="54" s="1"/>
  <c r="V40" i="54"/>
  <c r="W40" i="54" s="1"/>
  <c r="X40" i="54" s="1"/>
  <c r="V292" i="54"/>
  <c r="W292" i="54" s="1"/>
  <c r="X292" i="54" s="1"/>
  <c r="V100" i="54"/>
  <c r="W100" i="54" s="1"/>
  <c r="X100" i="54" s="1"/>
  <c r="V208" i="54"/>
  <c r="W208" i="54" s="1"/>
  <c r="X208" i="54" s="1"/>
  <c r="V16" i="54"/>
  <c r="W16" i="54" s="1"/>
  <c r="X16" i="54" s="1"/>
  <c r="V280" i="54"/>
  <c r="W280" i="54" s="1"/>
  <c r="X280" i="54" s="1"/>
  <c r="V172" i="54"/>
  <c r="W172" i="54" s="1"/>
  <c r="X172" i="54" s="1"/>
  <c r="Y172" i="54" s="1"/>
  <c r="V232" i="54"/>
  <c r="W232" i="54" s="1"/>
  <c r="X232" i="54" s="1"/>
  <c r="Y232" i="54" s="1"/>
  <c r="V316" i="54"/>
  <c r="W316" i="54" s="1"/>
  <c r="X316" i="54" s="1"/>
  <c r="Y316" i="54" s="1"/>
  <c r="V374" i="54"/>
  <c r="W374" i="54" s="1"/>
  <c r="X374" i="54" s="1"/>
  <c r="Y374" i="54" s="1"/>
  <c r="V182" i="54"/>
  <c r="W182" i="54" s="1"/>
  <c r="V290" i="54"/>
  <c r="W290" i="54" s="1"/>
  <c r="X290" i="54" s="1"/>
  <c r="Y290" i="54" s="1"/>
  <c r="V98" i="54"/>
  <c r="W98" i="54" s="1"/>
  <c r="X98" i="54" s="1"/>
  <c r="Y98" i="54" s="1"/>
  <c r="V26" i="54"/>
  <c r="W26" i="54" s="1"/>
  <c r="X26" i="54" s="1"/>
  <c r="Y26" i="54" s="1"/>
  <c r="V302" i="54"/>
  <c r="W302" i="54" s="1"/>
  <c r="X302" i="54" s="1"/>
  <c r="Y302" i="54" s="1"/>
  <c r="V230" i="54"/>
  <c r="W230" i="54" s="1"/>
  <c r="X230" i="54" s="1"/>
  <c r="V38" i="54"/>
  <c r="W38" i="54" s="1"/>
  <c r="X38" i="54" s="1"/>
  <c r="Y38" i="54" s="1"/>
  <c r="V338" i="54"/>
  <c r="W338" i="54" s="1"/>
  <c r="X338" i="54" s="1"/>
  <c r="Y338" i="54" s="1"/>
  <c r="V146" i="54"/>
  <c r="W146" i="54" s="1"/>
  <c r="X146" i="54" s="1"/>
  <c r="Y146" i="54" s="1"/>
  <c r="V122" i="54"/>
  <c r="W122" i="54" s="1"/>
  <c r="X122" i="54" s="1"/>
  <c r="V278" i="54"/>
  <c r="W278" i="54" s="1"/>
  <c r="X278" i="54" s="1"/>
  <c r="Y278" i="54" s="1"/>
  <c r="V86" i="54"/>
  <c r="W86" i="54" s="1"/>
  <c r="X86" i="54" s="1"/>
  <c r="Y86" i="54" s="1"/>
  <c r="V194" i="54"/>
  <c r="W194" i="54" s="1"/>
  <c r="X194" i="54" s="1"/>
  <c r="Y194" i="54" s="1"/>
  <c r="V218" i="54"/>
  <c r="W218" i="54" s="1"/>
  <c r="X218" i="54" s="1"/>
  <c r="Y218" i="54" s="1"/>
  <c r="V110" i="54"/>
  <c r="W110" i="54" s="1"/>
  <c r="X110" i="54" s="1"/>
  <c r="Y110" i="54" s="1"/>
  <c r="V74" i="54"/>
  <c r="W74" i="54" s="1"/>
  <c r="X74" i="54" s="1"/>
  <c r="Y74" i="54" s="1"/>
  <c r="V158" i="54"/>
  <c r="W158" i="54" s="1"/>
  <c r="X158" i="54" s="1"/>
  <c r="Y158" i="54" s="1"/>
  <c r="V326" i="54"/>
  <c r="W326" i="54" s="1"/>
  <c r="X326" i="54" s="1"/>
  <c r="Y326" i="54" s="1"/>
  <c r="V134" i="54"/>
  <c r="W134" i="54" s="1"/>
  <c r="X134" i="54" s="1"/>
  <c r="Y134" i="54" s="1"/>
  <c r="V242" i="54"/>
  <c r="W242" i="54" s="1"/>
  <c r="X242" i="54" s="1"/>
  <c r="Y242" i="54" s="1"/>
  <c r="V50" i="54"/>
  <c r="W50" i="54" s="1"/>
  <c r="X50" i="54" s="1"/>
  <c r="Y50" i="54" s="1"/>
  <c r="V314" i="54"/>
  <c r="W314" i="54" s="1"/>
  <c r="X314" i="54" s="1"/>
  <c r="Y314" i="54" s="1"/>
  <c r="V206" i="54"/>
  <c r="W206" i="54" s="1"/>
  <c r="V266" i="54"/>
  <c r="W266" i="54" s="1"/>
  <c r="X266" i="54" s="1"/>
  <c r="Y266" i="54" s="1"/>
  <c r="V350" i="54"/>
  <c r="W350" i="54" s="1"/>
  <c r="X350" i="54" s="1"/>
  <c r="Y350" i="54" s="1"/>
  <c r="AP341" i="54"/>
  <c r="AQ341" i="54" s="1"/>
  <c r="AR341" i="54" s="1"/>
  <c r="AS341" i="54" s="1"/>
  <c r="AP365" i="54"/>
  <c r="AQ365" i="54" s="1"/>
  <c r="AR365" i="54" s="1"/>
  <c r="AS365" i="54" s="1"/>
  <c r="AP293" i="54"/>
  <c r="AQ293" i="54" s="1"/>
  <c r="AR293" i="54" s="1"/>
  <c r="AP101" i="54"/>
  <c r="AQ101" i="54" s="1"/>
  <c r="AR101" i="54" s="1"/>
  <c r="AS101" i="54" s="1"/>
  <c r="AP353" i="54"/>
  <c r="AQ353" i="54" s="1"/>
  <c r="AP209" i="54"/>
  <c r="AQ209" i="54" s="1"/>
  <c r="AP305" i="54"/>
  <c r="AQ305" i="54" s="1"/>
  <c r="AR305" i="54" s="1"/>
  <c r="AS305" i="54" s="1"/>
  <c r="AP221" i="54"/>
  <c r="AQ221" i="54" s="1"/>
  <c r="AR221" i="54" s="1"/>
  <c r="AP149" i="54"/>
  <c r="AQ149" i="54" s="1"/>
  <c r="AR149" i="54" s="1"/>
  <c r="AS149" i="54" s="1"/>
  <c r="AP257" i="54"/>
  <c r="AQ257" i="54" s="1"/>
  <c r="AR257" i="54" s="1"/>
  <c r="AP317" i="54"/>
  <c r="AQ317" i="54" s="1"/>
  <c r="AR317" i="54" s="1"/>
  <c r="AS317" i="54" s="1"/>
  <c r="AP269" i="54"/>
  <c r="AQ269" i="54" s="1"/>
  <c r="AR269" i="54" s="1"/>
  <c r="AS269" i="54" s="1"/>
  <c r="AP197" i="54"/>
  <c r="AQ197" i="54" s="1"/>
  <c r="AP329" i="54"/>
  <c r="AQ329" i="54" s="1"/>
  <c r="AR329" i="54" s="1"/>
  <c r="AP245" i="54"/>
  <c r="AQ245" i="54" s="1"/>
  <c r="AP161" i="54"/>
  <c r="AQ161" i="54" s="1"/>
  <c r="AR161" i="54" s="1"/>
  <c r="AS161" i="54" s="1"/>
  <c r="AP173" i="54"/>
  <c r="AQ173" i="54" s="1"/>
  <c r="AR173" i="54" s="1"/>
  <c r="AS173" i="54" s="1"/>
  <c r="AP41" i="54"/>
  <c r="AQ41" i="54" s="1"/>
  <c r="AR41" i="54" s="1"/>
  <c r="AS41" i="54" s="1"/>
  <c r="AP53" i="54"/>
  <c r="AQ53" i="54" s="1"/>
  <c r="AR53" i="54" s="1"/>
  <c r="AS53" i="54" s="1"/>
  <c r="AP29" i="54"/>
  <c r="AQ29" i="54" s="1"/>
  <c r="AR29" i="54" s="1"/>
  <c r="AS29" i="54" s="1"/>
  <c r="AP185" i="54"/>
  <c r="AQ185" i="54" s="1"/>
  <c r="AR185" i="54" s="1"/>
  <c r="AS185" i="54" s="1"/>
  <c r="AP233" i="54"/>
  <c r="AQ233" i="54" s="1"/>
  <c r="AR233" i="54" s="1"/>
  <c r="AP89" i="54"/>
  <c r="AQ89" i="54" s="1"/>
  <c r="AR89" i="54" s="1"/>
  <c r="AP17" i="54"/>
  <c r="AQ17" i="54" s="1"/>
  <c r="AR17" i="54" s="1"/>
  <c r="AS17" i="54" s="1"/>
  <c r="AP125" i="54"/>
  <c r="AQ125" i="54" s="1"/>
  <c r="AR125" i="54" s="1"/>
  <c r="AS125" i="54" s="1"/>
  <c r="AP113" i="54"/>
  <c r="AQ113" i="54" s="1"/>
  <c r="AR113" i="54" s="1"/>
  <c r="AS113" i="54" s="1"/>
  <c r="AP65" i="54"/>
  <c r="AQ65" i="54" s="1"/>
  <c r="AR65" i="54" s="1"/>
  <c r="AS65" i="54" s="1"/>
  <c r="AP137" i="54"/>
  <c r="AQ137" i="54" s="1"/>
  <c r="AR137" i="54" s="1"/>
  <c r="AP77" i="54"/>
  <c r="AQ77" i="54" s="1"/>
  <c r="AR77" i="54" s="1"/>
  <c r="AS77" i="54" s="1"/>
  <c r="AP281" i="54"/>
  <c r="AQ281" i="54" s="1"/>
  <c r="AR281" i="54" s="1"/>
  <c r="L298" i="54"/>
  <c r="M298" i="54" s="1"/>
  <c r="L130" i="54"/>
  <c r="M130" i="54" s="1"/>
  <c r="N130" i="54" s="1"/>
  <c r="L190" i="54"/>
  <c r="M190" i="54" s="1"/>
  <c r="N190" i="54" s="1"/>
  <c r="O190" i="54" s="1"/>
  <c r="L346" i="54"/>
  <c r="M346" i="54" s="1"/>
  <c r="N346" i="54" s="1"/>
  <c r="L178" i="54"/>
  <c r="M178" i="54" s="1"/>
  <c r="N178" i="54" s="1"/>
  <c r="O178" i="54" s="1"/>
  <c r="L238" i="54"/>
  <c r="M238" i="54" s="1"/>
  <c r="N238" i="54" s="1"/>
  <c r="O238" i="54" s="1"/>
  <c r="L250" i="54"/>
  <c r="M250" i="54" s="1"/>
  <c r="N250" i="54" s="1"/>
  <c r="O250" i="54" s="1"/>
  <c r="L310" i="54"/>
  <c r="M310" i="54" s="1"/>
  <c r="N310" i="54" s="1"/>
  <c r="O310" i="54" s="1"/>
  <c r="L334" i="54"/>
  <c r="M334" i="54" s="1"/>
  <c r="N334" i="54" s="1"/>
  <c r="O334" i="54" s="1"/>
  <c r="L226" i="54"/>
  <c r="M226" i="54" s="1"/>
  <c r="N226" i="54" s="1"/>
  <c r="L34" i="54"/>
  <c r="M34" i="54" s="1"/>
  <c r="N34" i="54" s="1"/>
  <c r="L286" i="54"/>
  <c r="M286" i="54" s="1"/>
  <c r="N286" i="54" s="1"/>
  <c r="L358" i="54"/>
  <c r="M358" i="54" s="1"/>
  <c r="N358" i="54" s="1"/>
  <c r="L274" i="54"/>
  <c r="M274" i="54" s="1"/>
  <c r="N274" i="54" s="1"/>
  <c r="O274" i="54" s="1"/>
  <c r="L82" i="54"/>
  <c r="M82" i="54" s="1"/>
  <c r="N82" i="54" s="1"/>
  <c r="L322" i="54"/>
  <c r="M322" i="54" s="1"/>
  <c r="N322" i="54" s="1"/>
  <c r="O322" i="54" s="1"/>
  <c r="L22" i="54"/>
  <c r="M22" i="54" s="1"/>
  <c r="N22" i="54" s="1"/>
  <c r="O22" i="54" s="1"/>
  <c r="L315" i="54"/>
  <c r="M315" i="54" s="1"/>
  <c r="L147" i="54"/>
  <c r="M147" i="54" s="1"/>
  <c r="N147" i="54" s="1"/>
  <c r="L207" i="54"/>
  <c r="M207" i="54" s="1"/>
  <c r="N207" i="54" s="1"/>
  <c r="O207" i="54" s="1"/>
  <c r="L363" i="54"/>
  <c r="M363" i="54" s="1"/>
  <c r="N363" i="54" s="1"/>
  <c r="L195" i="54"/>
  <c r="M195" i="54" s="1"/>
  <c r="N195" i="54" s="1"/>
  <c r="O195" i="54" s="1"/>
  <c r="L255" i="54"/>
  <c r="M255" i="54" s="1"/>
  <c r="N255" i="54" s="1"/>
  <c r="O255" i="54" s="1"/>
  <c r="L267" i="54"/>
  <c r="M267" i="54" s="1"/>
  <c r="N267" i="54" s="1"/>
  <c r="L327" i="54"/>
  <c r="M327" i="54" s="1"/>
  <c r="L351" i="54"/>
  <c r="M351" i="54" s="1"/>
  <c r="N351" i="54" s="1"/>
  <c r="L243" i="54"/>
  <c r="M243" i="54" s="1"/>
  <c r="N243" i="54" s="1"/>
  <c r="L51" i="54"/>
  <c r="M51" i="54" s="1"/>
  <c r="N51" i="54" s="1"/>
  <c r="O51" i="54" s="1"/>
  <c r="L27" i="54"/>
  <c r="M27" i="54" s="1"/>
  <c r="N27" i="54" s="1"/>
  <c r="O27" i="54" s="1"/>
  <c r="L375" i="54"/>
  <c r="M375" i="54" s="1"/>
  <c r="N375" i="54" s="1"/>
  <c r="O375" i="54" s="1"/>
  <c r="L303" i="54"/>
  <c r="M303" i="54" s="1"/>
  <c r="N303" i="54" s="1"/>
  <c r="L291" i="54"/>
  <c r="M291" i="54" s="1"/>
  <c r="N291" i="54" s="1"/>
  <c r="O291" i="54" s="1"/>
  <c r="L99" i="54"/>
  <c r="M99" i="54" s="1"/>
  <c r="N99" i="54" s="1"/>
  <c r="O99" i="54" s="1"/>
  <c r="L339" i="54"/>
  <c r="M339" i="54" s="1"/>
  <c r="N339" i="54" s="1"/>
  <c r="L39" i="54"/>
  <c r="M39" i="54" s="1"/>
  <c r="N39" i="54" s="1"/>
  <c r="O39" i="54" s="1"/>
  <c r="AF348" i="54"/>
  <c r="AG348" i="54" s="1"/>
  <c r="AH348" i="54" s="1"/>
  <c r="AI348" i="54" s="1"/>
  <c r="AF360" i="54"/>
  <c r="AG360" i="54" s="1"/>
  <c r="AF132" i="54"/>
  <c r="AG132" i="54" s="1"/>
  <c r="AH132" i="54" s="1"/>
  <c r="AI132" i="54" s="1"/>
  <c r="AF240" i="54"/>
  <c r="AG240" i="54" s="1"/>
  <c r="AH240" i="54" s="1"/>
  <c r="AI240" i="54" s="1"/>
  <c r="AF108" i="54"/>
  <c r="AG108" i="54" s="1"/>
  <c r="AH108" i="54" s="1"/>
  <c r="AI108" i="54" s="1"/>
  <c r="AF72" i="54"/>
  <c r="AG72" i="54" s="1"/>
  <c r="AH72" i="54" s="1"/>
  <c r="AI72" i="54" s="1"/>
  <c r="AF48" i="54"/>
  <c r="AG48" i="54" s="1"/>
  <c r="AH48" i="54" s="1"/>
  <c r="AI48" i="54" s="1"/>
  <c r="AF324" i="54"/>
  <c r="AG324" i="54" s="1"/>
  <c r="AH324" i="54" s="1"/>
  <c r="AI324" i="54" s="1"/>
  <c r="AF180" i="54"/>
  <c r="AG180" i="54" s="1"/>
  <c r="AF96" i="54"/>
  <c r="AG96" i="54" s="1"/>
  <c r="AH96" i="54" s="1"/>
  <c r="AI96" i="54" s="1"/>
  <c r="AF156" i="54"/>
  <c r="AG156" i="54" s="1"/>
  <c r="AH156" i="54" s="1"/>
  <c r="AI156" i="54" s="1"/>
  <c r="AF60" i="54"/>
  <c r="AG60" i="54" s="1"/>
  <c r="AH60" i="54" s="1"/>
  <c r="AI60" i="54" s="1"/>
  <c r="AF168" i="54"/>
  <c r="AG168" i="54" s="1"/>
  <c r="AH168" i="54" s="1"/>
  <c r="AF264" i="54"/>
  <c r="AG264" i="54" s="1"/>
  <c r="AH264" i="54" s="1"/>
  <c r="AF372" i="54"/>
  <c r="AG372" i="54" s="1"/>
  <c r="AH372" i="54" s="1"/>
  <c r="AI372" i="54" s="1"/>
  <c r="AF336" i="54"/>
  <c r="AG336" i="54" s="1"/>
  <c r="AH336" i="54" s="1"/>
  <c r="AF228" i="54"/>
  <c r="AG228" i="54" s="1"/>
  <c r="AH228" i="54" s="1"/>
  <c r="AI228" i="54" s="1"/>
  <c r="AF36" i="54"/>
  <c r="AG36" i="54" s="1"/>
  <c r="AH36" i="54" s="1"/>
  <c r="AI36" i="54" s="1"/>
  <c r="AF288" i="54"/>
  <c r="AG288" i="54" s="1"/>
  <c r="AH288" i="54" s="1"/>
  <c r="AI288" i="54" s="1"/>
  <c r="AF144" i="54"/>
  <c r="AG144" i="54" s="1"/>
  <c r="AH144" i="54" s="1"/>
  <c r="AI144" i="54" s="1"/>
  <c r="AF276" i="54"/>
  <c r="AG276" i="54" s="1"/>
  <c r="AH276" i="54" s="1"/>
  <c r="AI276" i="54" s="1"/>
  <c r="AF204" i="54"/>
  <c r="AG204" i="54" s="1"/>
  <c r="AH204" i="54" s="1"/>
  <c r="AI204" i="54" s="1"/>
  <c r="AF300" i="54"/>
  <c r="AG300" i="54" s="1"/>
  <c r="AF312" i="54"/>
  <c r="AG312" i="54" s="1"/>
  <c r="AH312" i="54" s="1"/>
  <c r="AI312" i="54" s="1"/>
  <c r="AF84" i="54"/>
  <c r="AG84" i="54" s="1"/>
  <c r="AH84" i="54" s="1"/>
  <c r="AF192" i="54"/>
  <c r="AG192" i="54" s="1"/>
  <c r="AH192" i="54" s="1"/>
  <c r="AI192" i="54" s="1"/>
  <c r="AF252" i="54"/>
  <c r="AG252" i="54" s="1"/>
  <c r="AH252" i="54" s="1"/>
  <c r="AF216" i="54"/>
  <c r="AG216" i="54" s="1"/>
  <c r="AH216" i="54" s="1"/>
  <c r="AI216" i="54" s="1"/>
  <c r="AF120" i="54"/>
  <c r="AG120" i="54" s="1"/>
  <c r="AH120" i="54" s="1"/>
  <c r="AI120" i="54" s="1"/>
  <c r="AF24" i="54"/>
  <c r="AG24" i="54" s="1"/>
  <c r="AH24" i="54" s="1"/>
  <c r="AI24" i="54" s="1"/>
  <c r="L319" i="54"/>
  <c r="M319" i="54" s="1"/>
  <c r="N319" i="54" s="1"/>
  <c r="L235" i="54"/>
  <c r="M235" i="54" s="1"/>
  <c r="N235" i="54" s="1"/>
  <c r="O235" i="54" s="1"/>
  <c r="L43" i="54"/>
  <c r="M43" i="54" s="1"/>
  <c r="N43" i="54" s="1"/>
  <c r="L331" i="54"/>
  <c r="M331" i="54" s="1"/>
  <c r="N331" i="54" s="1"/>
  <c r="L127" i="54"/>
  <c r="M127" i="54" s="1"/>
  <c r="N127" i="54" s="1"/>
  <c r="L367" i="54"/>
  <c r="M367" i="54" s="1"/>
  <c r="N367" i="54" s="1"/>
  <c r="O367" i="54" s="1"/>
  <c r="L283" i="54"/>
  <c r="M283" i="54" s="1"/>
  <c r="L91" i="54"/>
  <c r="M91" i="54" s="1"/>
  <c r="N91" i="54" s="1"/>
  <c r="L295" i="54"/>
  <c r="M295" i="54" s="1"/>
  <c r="N295" i="54" s="1"/>
  <c r="L139" i="54"/>
  <c r="M139" i="54" s="1"/>
  <c r="N139" i="54" s="1"/>
  <c r="L199" i="54"/>
  <c r="M199" i="54" s="1"/>
  <c r="N199" i="54" s="1"/>
  <c r="O199" i="54" s="1"/>
  <c r="L259" i="54"/>
  <c r="M259" i="54" s="1"/>
  <c r="N259" i="54" s="1"/>
  <c r="O259" i="54" s="1"/>
  <c r="L103" i="54"/>
  <c r="M103" i="54" s="1"/>
  <c r="N103" i="54" s="1"/>
  <c r="L355" i="54"/>
  <c r="M355" i="54" s="1"/>
  <c r="N355" i="54" s="1"/>
  <c r="L343" i="54"/>
  <c r="M343" i="54" s="1"/>
  <c r="L187" i="54"/>
  <c r="M187" i="54" s="1"/>
  <c r="N187" i="54" s="1"/>
  <c r="O187" i="54" s="1"/>
  <c r="L247" i="54"/>
  <c r="M247" i="54" s="1"/>
  <c r="N247" i="54" s="1"/>
  <c r="O247" i="54" s="1"/>
  <c r="L115" i="54"/>
  <c r="M115" i="54" s="1"/>
  <c r="N115" i="54" s="1"/>
  <c r="AZ366" i="54"/>
  <c r="BA366" i="54" s="1"/>
  <c r="BB366" i="54" s="1"/>
  <c r="AZ282" i="54"/>
  <c r="BA282" i="54" s="1"/>
  <c r="BB282" i="54" s="1"/>
  <c r="AZ258" i="54"/>
  <c r="BA258" i="54" s="1"/>
  <c r="AZ270" i="54"/>
  <c r="BA270" i="54" s="1"/>
  <c r="BB270" i="54" s="1"/>
  <c r="BC270" i="54" s="1"/>
  <c r="AZ162" i="54"/>
  <c r="BA162" i="54" s="1"/>
  <c r="BB162" i="54" s="1"/>
  <c r="BC162" i="54" s="1"/>
  <c r="AZ246" i="54"/>
  <c r="BA246" i="54" s="1"/>
  <c r="BB246" i="54" s="1"/>
  <c r="BC246" i="54" s="1"/>
  <c r="AZ150" i="54"/>
  <c r="BA150" i="54" s="1"/>
  <c r="BB150" i="54" s="1"/>
  <c r="BC150" i="54" s="1"/>
  <c r="AZ294" i="54"/>
  <c r="BA294" i="54" s="1"/>
  <c r="BB294" i="54" s="1"/>
  <c r="AZ210" i="54"/>
  <c r="BA210" i="54" s="1"/>
  <c r="BB210" i="54" s="1"/>
  <c r="BC210" i="54" s="1"/>
  <c r="AZ54" i="54"/>
  <c r="BA54" i="54" s="1"/>
  <c r="BB54" i="54" s="1"/>
  <c r="BC54" i="54" s="1"/>
  <c r="AZ42" i="54"/>
  <c r="BA42" i="54" s="1"/>
  <c r="BB42" i="54" s="1"/>
  <c r="BC42" i="54" s="1"/>
  <c r="AZ342" i="54"/>
  <c r="BA342" i="54" s="1"/>
  <c r="BB342" i="54" s="1"/>
  <c r="AZ318" i="54"/>
  <c r="BA318" i="54" s="1"/>
  <c r="AZ306" i="54"/>
  <c r="BA306" i="54" s="1"/>
  <c r="BB306" i="54" s="1"/>
  <c r="BC306" i="54" s="1"/>
  <c r="AZ174" i="54"/>
  <c r="BA174" i="54" s="1"/>
  <c r="AZ222" i="54"/>
  <c r="BA222" i="54" s="1"/>
  <c r="BB222" i="54" s="1"/>
  <c r="BC222" i="54" s="1"/>
  <c r="AZ138" i="54"/>
  <c r="BA138" i="54" s="1"/>
  <c r="BB138" i="54" s="1"/>
  <c r="AZ102" i="54"/>
  <c r="BA102" i="54" s="1"/>
  <c r="BB102" i="54" s="1"/>
  <c r="BC102" i="54" s="1"/>
  <c r="AZ198" i="54"/>
  <c r="BA198" i="54" s="1"/>
  <c r="BB198" i="54" s="1"/>
  <c r="AZ18" i="54"/>
  <c r="BA18" i="54" s="1"/>
  <c r="BB18" i="54" s="1"/>
  <c r="BC18" i="54" s="1"/>
  <c r="AZ114" i="54"/>
  <c r="BA114" i="54" s="1"/>
  <c r="BB114" i="54" s="1"/>
  <c r="BC114" i="54" s="1"/>
  <c r="AZ78" i="54"/>
  <c r="BA78" i="54" s="1"/>
  <c r="BB78" i="54" s="1"/>
  <c r="AZ90" i="54"/>
  <c r="BA90" i="54" s="1"/>
  <c r="AZ354" i="54"/>
  <c r="BA354" i="54" s="1"/>
  <c r="BB354" i="54" s="1"/>
  <c r="BC354" i="54" s="1"/>
  <c r="AZ330" i="54"/>
  <c r="BA330" i="54" s="1"/>
  <c r="BB330" i="54" s="1"/>
  <c r="BC330" i="54" s="1"/>
  <c r="AZ234" i="54"/>
  <c r="BA234" i="54" s="1"/>
  <c r="BB234" i="54" s="1"/>
  <c r="BC234" i="54" s="1"/>
  <c r="AZ186" i="54"/>
  <c r="BA186" i="54" s="1"/>
  <c r="BB186" i="54" s="1"/>
  <c r="BC186" i="54" s="1"/>
  <c r="AZ66" i="54"/>
  <c r="BA66" i="54" s="1"/>
  <c r="BB66" i="54" s="1"/>
  <c r="BC66" i="54" s="1"/>
  <c r="AZ126" i="54"/>
  <c r="BA126" i="54" s="1"/>
  <c r="BB126" i="54" s="1"/>
  <c r="AZ30" i="54"/>
  <c r="BA30" i="54" s="1"/>
  <c r="BB30" i="54" s="1"/>
  <c r="BC30" i="54" s="1"/>
  <c r="V305" i="54"/>
  <c r="W305" i="54" s="1"/>
  <c r="V113" i="54"/>
  <c r="W113" i="54" s="1"/>
  <c r="X113" i="54" s="1"/>
  <c r="Y113" i="54" s="1"/>
  <c r="V221" i="54"/>
  <c r="W221" i="54" s="1"/>
  <c r="X221" i="54" s="1"/>
  <c r="Y221" i="54" s="1"/>
  <c r="V29" i="54"/>
  <c r="W29" i="54" s="1"/>
  <c r="X29" i="54" s="1"/>
  <c r="Y29" i="54" s="1"/>
  <c r="V149" i="54"/>
  <c r="W149" i="54" s="1"/>
  <c r="V41" i="54"/>
  <c r="W41" i="54" s="1"/>
  <c r="X41" i="54" s="1"/>
  <c r="Y41" i="54" s="1"/>
  <c r="V353" i="54"/>
  <c r="W353" i="54" s="1"/>
  <c r="X353" i="54" s="1"/>
  <c r="Y353" i="54" s="1"/>
  <c r="V161" i="54"/>
  <c r="W161" i="54" s="1"/>
  <c r="X161" i="54" s="1"/>
  <c r="Y161" i="54" s="1"/>
  <c r="V269" i="54"/>
  <c r="W269" i="54" s="1"/>
  <c r="X269" i="54" s="1"/>
  <c r="V77" i="54"/>
  <c r="W77" i="54" s="1"/>
  <c r="X77" i="54" s="1"/>
  <c r="Y77" i="54" s="1"/>
  <c r="V245" i="54"/>
  <c r="W245" i="54" s="1"/>
  <c r="X245" i="54" s="1"/>
  <c r="Y245" i="54" s="1"/>
  <c r="V137" i="54"/>
  <c r="W137" i="54" s="1"/>
  <c r="X137" i="54" s="1"/>
  <c r="Y137" i="54" s="1"/>
  <c r="V209" i="54"/>
  <c r="W209" i="54" s="1"/>
  <c r="X209" i="54" s="1"/>
  <c r="V17" i="54"/>
  <c r="W17" i="54" s="1"/>
  <c r="X17" i="54" s="1"/>
  <c r="Y17" i="54" s="1"/>
  <c r="V317" i="54"/>
  <c r="W317" i="54" s="1"/>
  <c r="V125" i="54"/>
  <c r="W125" i="54" s="1"/>
  <c r="X125" i="54" s="1"/>
  <c r="Y125" i="54" s="1"/>
  <c r="V341" i="54"/>
  <c r="W341" i="54" s="1"/>
  <c r="V233" i="54"/>
  <c r="W233" i="54" s="1"/>
  <c r="X233" i="54" s="1"/>
  <c r="Y233" i="54" s="1"/>
  <c r="V197" i="54"/>
  <c r="W197" i="54" s="1"/>
  <c r="X197" i="54" s="1"/>
  <c r="Y197" i="54" s="1"/>
  <c r="V281" i="54"/>
  <c r="W281" i="54" s="1"/>
  <c r="X281" i="54" s="1"/>
  <c r="Y281" i="54" s="1"/>
  <c r="V257" i="54"/>
  <c r="W257" i="54" s="1"/>
  <c r="X257" i="54" s="1"/>
  <c r="Y257" i="54" s="1"/>
  <c r="V65" i="54"/>
  <c r="W65" i="54" s="1"/>
  <c r="X65" i="54" s="1"/>
  <c r="V365" i="54"/>
  <c r="W365" i="54" s="1"/>
  <c r="X365" i="54" s="1"/>
  <c r="Y365" i="54" s="1"/>
  <c r="V173" i="54"/>
  <c r="W173" i="54" s="1"/>
  <c r="X173" i="54" s="1"/>
  <c r="Y173" i="54" s="1"/>
  <c r="V53" i="54"/>
  <c r="W53" i="54" s="1"/>
  <c r="V329" i="54"/>
  <c r="W329" i="54" s="1"/>
  <c r="X329" i="54" s="1"/>
  <c r="Y329" i="54" s="1"/>
  <c r="AL245" i="56"/>
  <c r="AM245" i="56" s="1"/>
  <c r="AN245" i="56" s="1"/>
  <c r="AO245" i="56" s="1"/>
  <c r="AL173" i="56"/>
  <c r="AM173" i="56" s="1"/>
  <c r="AL109" i="56"/>
  <c r="AM109" i="56" s="1"/>
  <c r="AL45" i="56"/>
  <c r="AM45" i="56" s="1"/>
  <c r="AL237" i="56"/>
  <c r="AM237" i="56" s="1"/>
  <c r="AN237" i="56" s="1"/>
  <c r="AO237" i="56" s="1"/>
  <c r="AL189" i="56"/>
  <c r="AM189" i="56" s="1"/>
  <c r="AN189" i="56" s="1"/>
  <c r="AL205" i="56"/>
  <c r="AM205" i="56" s="1"/>
  <c r="AN205" i="56" s="1"/>
  <c r="AL141" i="56"/>
  <c r="AM141" i="56" s="1"/>
  <c r="AN141" i="56" s="1"/>
  <c r="AO141" i="56" s="1"/>
  <c r="AL77" i="56"/>
  <c r="AM77" i="56" s="1"/>
  <c r="AN77" i="56" s="1"/>
  <c r="AL221" i="56"/>
  <c r="AM221" i="56" s="1"/>
  <c r="AN221" i="56" s="1"/>
  <c r="AL157" i="56"/>
  <c r="AM157" i="56" s="1"/>
  <c r="AN157" i="56" s="1"/>
  <c r="AL93" i="56"/>
  <c r="AM93" i="56" s="1"/>
  <c r="AN93" i="56" s="1"/>
  <c r="AO93" i="56" s="1"/>
  <c r="AZ279" i="54"/>
  <c r="BA279" i="54" s="1"/>
  <c r="AZ315" i="54"/>
  <c r="BA315" i="54" s="1"/>
  <c r="BB315" i="54" s="1"/>
  <c r="AZ147" i="54"/>
  <c r="BA147" i="54" s="1"/>
  <c r="AZ75" i="54"/>
  <c r="BA75" i="54" s="1"/>
  <c r="BB75" i="54" s="1"/>
  <c r="BC75" i="54" s="1"/>
  <c r="AZ123" i="54"/>
  <c r="BA123" i="54" s="1"/>
  <c r="BB123" i="54" s="1"/>
  <c r="BC123" i="54" s="1"/>
  <c r="AZ51" i="54"/>
  <c r="BA51" i="54" s="1"/>
  <c r="BB51" i="54" s="1"/>
  <c r="BC51" i="54" s="1"/>
  <c r="AZ171" i="54"/>
  <c r="BA171" i="54" s="1"/>
  <c r="BB171" i="54" s="1"/>
  <c r="AZ327" i="54"/>
  <c r="BA327" i="54" s="1"/>
  <c r="AZ195" i="54"/>
  <c r="BA195" i="54" s="1"/>
  <c r="BB195" i="54" s="1"/>
  <c r="AZ159" i="54"/>
  <c r="BA159" i="54" s="1"/>
  <c r="BB159" i="54" s="1"/>
  <c r="BC159" i="54" s="1"/>
  <c r="AZ39" i="54"/>
  <c r="BA39" i="54" s="1"/>
  <c r="BB39" i="54" s="1"/>
  <c r="BC39" i="54" s="1"/>
  <c r="AZ99" i="54"/>
  <c r="BA99" i="54" s="1"/>
  <c r="BB99" i="54" s="1"/>
  <c r="AZ63" i="54"/>
  <c r="BA63" i="54" s="1"/>
  <c r="BB63" i="54" s="1"/>
  <c r="BC63" i="54" s="1"/>
  <c r="AZ111" i="54"/>
  <c r="BA111" i="54" s="1"/>
  <c r="BB111" i="54" s="1"/>
  <c r="AZ375" i="54"/>
  <c r="BA375" i="54" s="1"/>
  <c r="BB375" i="54" s="1"/>
  <c r="AZ351" i="54"/>
  <c r="BA351" i="54" s="1"/>
  <c r="BB351" i="54" s="1"/>
  <c r="BC351" i="54" s="1"/>
  <c r="AZ363" i="54"/>
  <c r="BA363" i="54" s="1"/>
  <c r="BB363" i="54" s="1"/>
  <c r="AZ339" i="54"/>
  <c r="BA339" i="54" s="1"/>
  <c r="BB339" i="54" s="1"/>
  <c r="BC339" i="54" s="1"/>
  <c r="AZ267" i="54"/>
  <c r="BA267" i="54" s="1"/>
  <c r="BB267" i="54" s="1"/>
  <c r="BC267" i="54" s="1"/>
  <c r="AZ231" i="54"/>
  <c r="BA231" i="54" s="1"/>
  <c r="BB231" i="54" s="1"/>
  <c r="BC231" i="54" s="1"/>
  <c r="AZ135" i="54"/>
  <c r="BA135" i="54" s="1"/>
  <c r="AZ207" i="54"/>
  <c r="BA207" i="54" s="1"/>
  <c r="AZ87" i="54"/>
  <c r="BA87" i="54" s="1"/>
  <c r="AZ243" i="54"/>
  <c r="BA243" i="54" s="1"/>
  <c r="AZ303" i="54"/>
  <c r="BA303" i="54" s="1"/>
  <c r="BB303" i="54" s="1"/>
  <c r="AZ291" i="54"/>
  <c r="BA291" i="54" s="1"/>
  <c r="BB291" i="54" s="1"/>
  <c r="BC291" i="54" s="1"/>
  <c r="AZ219" i="54"/>
  <c r="BA219" i="54" s="1"/>
  <c r="BB219" i="54" s="1"/>
  <c r="AZ183" i="54"/>
  <c r="BA183" i="54" s="1"/>
  <c r="BB183" i="54" s="1"/>
  <c r="BC183" i="54" s="1"/>
  <c r="AZ255" i="54"/>
  <c r="BA255" i="54" s="1"/>
  <c r="BB255" i="54" s="1"/>
  <c r="BC255" i="54" s="1"/>
  <c r="AZ27" i="54"/>
  <c r="BA27" i="54" s="1"/>
  <c r="BB27" i="54" s="1"/>
  <c r="BC27" i="54" s="1"/>
  <c r="AZ314" i="54"/>
  <c r="BA314" i="54" s="1"/>
  <c r="BB314" i="54" s="1"/>
  <c r="AZ230" i="54"/>
  <c r="BA230" i="54" s="1"/>
  <c r="BB230" i="54" s="1"/>
  <c r="AZ182" i="54"/>
  <c r="BA182" i="54" s="1"/>
  <c r="BB182" i="54" s="1"/>
  <c r="AZ146" i="54"/>
  <c r="BA146" i="54" s="1"/>
  <c r="BB146" i="54" s="1"/>
  <c r="AZ110" i="54"/>
  <c r="BA110" i="54" s="1"/>
  <c r="BB110" i="54" s="1"/>
  <c r="BC110" i="54" s="1"/>
  <c r="AZ26" i="54"/>
  <c r="BA26" i="54" s="1"/>
  <c r="BB26" i="54" s="1"/>
  <c r="BC26" i="54" s="1"/>
  <c r="AZ86" i="54"/>
  <c r="BA86" i="54" s="1"/>
  <c r="BB86" i="54" s="1"/>
  <c r="AZ362" i="54"/>
  <c r="BA362" i="54" s="1"/>
  <c r="BB362" i="54" s="1"/>
  <c r="BC362" i="54" s="1"/>
  <c r="AZ338" i="54"/>
  <c r="BA338" i="54" s="1"/>
  <c r="BB338" i="54" s="1"/>
  <c r="BC338" i="54" s="1"/>
  <c r="AZ326" i="54"/>
  <c r="BA326" i="54" s="1"/>
  <c r="AZ218" i="54"/>
  <c r="BA218" i="54" s="1"/>
  <c r="AZ242" i="54"/>
  <c r="BA242" i="54" s="1"/>
  <c r="BB242" i="54" s="1"/>
  <c r="BC242" i="54" s="1"/>
  <c r="AZ194" i="54"/>
  <c r="BA194" i="54" s="1"/>
  <c r="BB194" i="54" s="1"/>
  <c r="BC194" i="54" s="1"/>
  <c r="AZ74" i="54"/>
  <c r="BA74" i="54" s="1"/>
  <c r="BB74" i="54" s="1"/>
  <c r="BC74" i="54" s="1"/>
  <c r="AZ62" i="54"/>
  <c r="BA62" i="54" s="1"/>
  <c r="BB62" i="54" s="1"/>
  <c r="BC62" i="54" s="1"/>
  <c r="AZ374" i="54"/>
  <c r="BA374" i="54" s="1"/>
  <c r="BB374" i="54" s="1"/>
  <c r="BC374" i="54" s="1"/>
  <c r="AZ290" i="54"/>
  <c r="BA290" i="54" s="1"/>
  <c r="AZ266" i="54"/>
  <c r="BA266" i="54" s="1"/>
  <c r="BB266" i="54" s="1"/>
  <c r="AZ254" i="54"/>
  <c r="BA254" i="54" s="1"/>
  <c r="AZ170" i="54"/>
  <c r="BA170" i="54" s="1"/>
  <c r="BB170" i="54" s="1"/>
  <c r="BC170" i="54" s="1"/>
  <c r="AZ122" i="54"/>
  <c r="BA122" i="54" s="1"/>
  <c r="BB122" i="54" s="1"/>
  <c r="BC122" i="54" s="1"/>
  <c r="AZ158" i="54"/>
  <c r="BA158" i="54" s="1"/>
  <c r="AZ206" i="54"/>
  <c r="BA206" i="54" s="1"/>
  <c r="BB206" i="54" s="1"/>
  <c r="AZ302" i="54"/>
  <c r="BA302" i="54" s="1"/>
  <c r="BB302" i="54" s="1"/>
  <c r="AZ278" i="54"/>
  <c r="BA278" i="54" s="1"/>
  <c r="BB278" i="54" s="1"/>
  <c r="BC278" i="54" s="1"/>
  <c r="AZ350" i="54"/>
  <c r="BA350" i="54" s="1"/>
  <c r="BB350" i="54" s="1"/>
  <c r="AZ134" i="54"/>
  <c r="BA134" i="54" s="1"/>
  <c r="AZ38" i="54"/>
  <c r="BA38" i="54" s="1"/>
  <c r="BB38" i="54" s="1"/>
  <c r="BC38" i="54" s="1"/>
  <c r="AZ50" i="54"/>
  <c r="BA50" i="54" s="1"/>
  <c r="BB50" i="54" s="1"/>
  <c r="BC50" i="54" s="1"/>
  <c r="AZ98" i="54"/>
  <c r="BA98" i="54" s="1"/>
  <c r="BB98" i="54" s="1"/>
  <c r="BC98" i="54" s="1"/>
  <c r="AL235" i="56"/>
  <c r="AM235" i="56" s="1"/>
  <c r="AL227" i="56"/>
  <c r="AM227" i="56" s="1"/>
  <c r="AN227" i="56" s="1"/>
  <c r="AO227" i="56" s="1"/>
  <c r="AL163" i="56"/>
  <c r="AM163" i="56" s="1"/>
  <c r="AN163" i="56" s="1"/>
  <c r="AL99" i="56"/>
  <c r="AM99" i="56" s="1"/>
  <c r="AN99" i="56" s="1"/>
  <c r="AO99" i="56" s="1"/>
  <c r="AL251" i="56"/>
  <c r="AM251" i="56" s="1"/>
  <c r="AN251" i="56" s="1"/>
  <c r="AO251" i="56" s="1"/>
  <c r="AL179" i="56"/>
  <c r="AM179" i="56" s="1"/>
  <c r="AN179" i="56" s="1"/>
  <c r="AO179" i="56" s="1"/>
  <c r="AL195" i="56"/>
  <c r="AM195" i="56" s="1"/>
  <c r="AN195" i="56" s="1"/>
  <c r="AO195" i="56" s="1"/>
  <c r="AL131" i="56"/>
  <c r="AM131" i="56" s="1"/>
  <c r="AN131" i="56" s="1"/>
  <c r="AO131" i="56" s="1"/>
  <c r="AL67" i="56"/>
  <c r="AM67" i="56" s="1"/>
  <c r="AL211" i="56"/>
  <c r="AM211" i="56" s="1"/>
  <c r="AL147" i="56"/>
  <c r="AM147" i="56" s="1"/>
  <c r="AN147" i="56" s="1"/>
  <c r="AO147" i="56" s="1"/>
  <c r="AL83" i="56"/>
  <c r="AM83" i="56" s="1"/>
  <c r="AN83" i="56" s="1"/>
  <c r="AO83" i="56" s="1"/>
  <c r="V235" i="54"/>
  <c r="W235" i="54" s="1"/>
  <c r="X235" i="54" s="1"/>
  <c r="Y235" i="54" s="1"/>
  <c r="V43" i="54"/>
  <c r="W43" i="54" s="1"/>
  <c r="X43" i="54" s="1"/>
  <c r="Y43" i="54" s="1"/>
  <c r="V343" i="54"/>
  <c r="W343" i="54" s="1"/>
  <c r="X343" i="54" s="1"/>
  <c r="Y343" i="54" s="1"/>
  <c r="V151" i="54"/>
  <c r="W151" i="54" s="1"/>
  <c r="X151" i="54" s="1"/>
  <c r="Y151" i="54" s="1"/>
  <c r="V79" i="54"/>
  <c r="W79" i="54" s="1"/>
  <c r="V355" i="54"/>
  <c r="W355" i="54" s="1"/>
  <c r="X355" i="54" s="1"/>
  <c r="Y355" i="54" s="1"/>
  <c r="V127" i="54"/>
  <c r="W127" i="54" s="1"/>
  <c r="X127" i="54" s="1"/>
  <c r="V283" i="54"/>
  <c r="W283" i="54" s="1"/>
  <c r="V91" i="54"/>
  <c r="W91" i="54" s="1"/>
  <c r="V199" i="54"/>
  <c r="W199" i="54" s="1"/>
  <c r="X199" i="54" s="1"/>
  <c r="Y199" i="54" s="1"/>
  <c r="V175" i="54"/>
  <c r="W175" i="54" s="1"/>
  <c r="X175" i="54" s="1"/>
  <c r="Y175" i="54" s="1"/>
  <c r="V67" i="54"/>
  <c r="W67" i="54" s="1"/>
  <c r="X67" i="54" s="1"/>
  <c r="Y67" i="54" s="1"/>
  <c r="V319" i="54"/>
  <c r="W319" i="54" s="1"/>
  <c r="X319" i="54" s="1"/>
  <c r="V331" i="54"/>
  <c r="W331" i="54" s="1"/>
  <c r="X331" i="54" s="1"/>
  <c r="Y331" i="54" s="1"/>
  <c r="V139" i="54"/>
  <c r="W139" i="54" s="1"/>
  <c r="X139" i="54" s="1"/>
  <c r="Y139" i="54" s="1"/>
  <c r="V247" i="54"/>
  <c r="W247" i="54" s="1"/>
  <c r="X247" i="54" s="1"/>
  <c r="Y247" i="54" s="1"/>
  <c r="V55" i="54"/>
  <c r="W55" i="54" s="1"/>
  <c r="X55" i="54" s="1"/>
  <c r="Y55" i="54" s="1"/>
  <c r="V271" i="54"/>
  <c r="W271" i="54" s="1"/>
  <c r="X271" i="54" s="1"/>
  <c r="Y271" i="54" s="1"/>
  <c r="V163" i="54"/>
  <c r="W163" i="54" s="1"/>
  <c r="X163" i="54" s="1"/>
  <c r="Y163" i="54" s="1"/>
  <c r="V187" i="54"/>
  <c r="W187" i="54" s="1"/>
  <c r="V295" i="54"/>
  <c r="W295" i="54" s="1"/>
  <c r="X295" i="54" s="1"/>
  <c r="Y295" i="54" s="1"/>
  <c r="V103" i="54"/>
  <c r="W103" i="54" s="1"/>
  <c r="X103" i="54" s="1"/>
  <c r="Y103" i="54" s="1"/>
  <c r="V367" i="54"/>
  <c r="W367" i="54" s="1"/>
  <c r="X367" i="54" s="1"/>
  <c r="Y367" i="54" s="1"/>
  <c r="V259" i="54"/>
  <c r="W259" i="54" s="1"/>
  <c r="X259" i="54" s="1"/>
  <c r="Y259" i="54" s="1"/>
  <c r="AZ367" i="54"/>
  <c r="BA367" i="54" s="1"/>
  <c r="BB367" i="54" s="1"/>
  <c r="BC367" i="54" s="1"/>
  <c r="AZ343" i="54"/>
  <c r="BA343" i="54" s="1"/>
  <c r="BB343" i="54" s="1"/>
  <c r="BC343" i="54" s="1"/>
  <c r="AZ259" i="54"/>
  <c r="BA259" i="54" s="1"/>
  <c r="BB259" i="54" s="1"/>
  <c r="BC259" i="54" s="1"/>
  <c r="AZ223" i="54"/>
  <c r="BA223" i="54" s="1"/>
  <c r="BB223" i="54" s="1"/>
  <c r="BC223" i="54" s="1"/>
  <c r="AZ247" i="54"/>
  <c r="BA247" i="54" s="1"/>
  <c r="BB247" i="54" s="1"/>
  <c r="BC247" i="54" s="1"/>
  <c r="AZ199" i="54"/>
  <c r="BA199" i="54" s="1"/>
  <c r="BB199" i="54" s="1"/>
  <c r="BC199" i="54" s="1"/>
  <c r="AZ115" i="54"/>
  <c r="BA115" i="54" s="1"/>
  <c r="BB115" i="54" s="1"/>
  <c r="BC115" i="54" s="1"/>
  <c r="AZ79" i="54"/>
  <c r="BA79" i="54" s="1"/>
  <c r="BB79" i="54" s="1"/>
  <c r="BC79" i="54" s="1"/>
  <c r="AZ211" i="54"/>
  <c r="BA211" i="54" s="1"/>
  <c r="AZ103" i="54"/>
  <c r="BA103" i="54" s="1"/>
  <c r="BB103" i="54" s="1"/>
  <c r="AZ55" i="54"/>
  <c r="BA55" i="54" s="1"/>
  <c r="BB55" i="54" s="1"/>
  <c r="BC55" i="54" s="1"/>
  <c r="AZ19" i="54"/>
  <c r="BA19" i="54" s="1"/>
  <c r="BB19" i="54" s="1"/>
  <c r="BC19" i="54" s="1"/>
  <c r="AZ295" i="54"/>
  <c r="BA295" i="54" s="1"/>
  <c r="BB295" i="54" s="1"/>
  <c r="AZ175" i="54"/>
  <c r="BA175" i="54" s="1"/>
  <c r="BB175" i="54" s="1"/>
  <c r="BC175" i="54" s="1"/>
  <c r="AZ163" i="54"/>
  <c r="BA163" i="54" s="1"/>
  <c r="BB163" i="54" s="1"/>
  <c r="AZ127" i="54"/>
  <c r="BA127" i="54" s="1"/>
  <c r="BB127" i="54" s="1"/>
  <c r="BC127" i="54" s="1"/>
  <c r="AZ307" i="54"/>
  <c r="BA307" i="54" s="1"/>
  <c r="BB307" i="54" s="1"/>
  <c r="BC307" i="54" s="1"/>
  <c r="AZ355" i="54"/>
  <c r="BA355" i="54" s="1"/>
  <c r="AZ271" i="54"/>
  <c r="BA271" i="54" s="1"/>
  <c r="BB271" i="54" s="1"/>
  <c r="AZ139" i="54"/>
  <c r="BA139" i="54" s="1"/>
  <c r="BB139" i="54" s="1"/>
  <c r="AZ283" i="54"/>
  <c r="BA283" i="54" s="1"/>
  <c r="AZ67" i="54"/>
  <c r="BA67" i="54" s="1"/>
  <c r="BB67" i="54" s="1"/>
  <c r="BC67" i="54" s="1"/>
  <c r="AZ319" i="54"/>
  <c r="BA319" i="54" s="1"/>
  <c r="AZ331" i="54"/>
  <c r="BA331" i="54" s="1"/>
  <c r="AZ235" i="54"/>
  <c r="BA235" i="54" s="1"/>
  <c r="AZ187" i="54"/>
  <c r="BA187" i="54" s="1"/>
  <c r="BB187" i="54" s="1"/>
  <c r="AZ151" i="54"/>
  <c r="BA151" i="54" s="1"/>
  <c r="BB151" i="54" s="1"/>
  <c r="AZ31" i="54"/>
  <c r="BA31" i="54" s="1"/>
  <c r="BB31" i="54" s="1"/>
  <c r="BC31" i="54" s="1"/>
  <c r="AZ91" i="54"/>
  <c r="BA91" i="54" s="1"/>
  <c r="BB91" i="54" s="1"/>
  <c r="AZ43" i="54"/>
  <c r="BA43" i="54" s="1"/>
  <c r="BB43" i="54" s="1"/>
  <c r="BC43" i="54" s="1"/>
  <c r="Y65" i="54"/>
  <c r="Y24" i="54"/>
  <c r="AI78" i="54"/>
  <c r="AI316" i="54"/>
  <c r="AI82" i="54"/>
  <c r="AI162" i="54"/>
  <c r="AI230" i="54"/>
  <c r="Y39" i="54"/>
  <c r="Y126" i="54"/>
  <c r="AI278" i="54"/>
  <c r="Y224" i="54"/>
  <c r="Y246" i="54"/>
  <c r="AI336" i="54"/>
  <c r="AO77" i="56"/>
  <c r="AI84" i="54"/>
  <c r="AI178" i="54"/>
  <c r="AI362" i="54"/>
  <c r="Y164" i="54"/>
  <c r="AI342" i="54"/>
  <c r="AI270" i="54"/>
  <c r="AI318" i="54"/>
  <c r="Y198" i="54"/>
  <c r="Y258" i="54"/>
  <c r="AI256" i="54"/>
  <c r="Y310" i="54"/>
  <c r="AO75" i="56"/>
  <c r="AI255" i="54"/>
  <c r="AI337" i="54"/>
  <c r="AH356" i="54"/>
  <c r="AI356" i="54" s="1"/>
  <c r="AI163" i="54"/>
  <c r="AI115" i="54"/>
  <c r="Y209" i="54"/>
  <c r="Y166" i="54"/>
  <c r="Y303" i="54"/>
  <c r="AI315" i="54"/>
  <c r="Y82" i="54"/>
  <c r="AI79" i="54"/>
  <c r="Y269" i="54"/>
  <c r="Y27" i="54"/>
  <c r="AN71" i="56"/>
  <c r="AO71" i="56" s="1"/>
  <c r="Y306" i="54"/>
  <c r="Y128" i="54"/>
  <c r="AI164" i="54"/>
  <c r="AI176" i="54"/>
  <c r="AO163" i="56"/>
  <c r="Y118" i="54"/>
  <c r="X206" i="54"/>
  <c r="Y206" i="54" s="1"/>
  <c r="X99" i="54"/>
  <c r="Y99" i="54" s="1"/>
  <c r="Y364" i="54"/>
  <c r="Y312" i="54"/>
  <c r="Y337" i="54"/>
  <c r="Y34" i="54"/>
  <c r="AN76" i="56"/>
  <c r="AO76" i="56" s="1"/>
  <c r="AN219" i="56"/>
  <c r="AO219" i="56" s="1"/>
  <c r="AH214" i="54"/>
  <c r="AI214" i="54" s="1"/>
  <c r="AO54" i="56"/>
  <c r="AI231" i="54"/>
  <c r="X157" i="54"/>
  <c r="Y157" i="54" s="1"/>
  <c r="AO157" i="56"/>
  <c r="X54" i="54"/>
  <c r="Y54" i="54" s="1"/>
  <c r="X252" i="54"/>
  <c r="Y252" i="54" s="1"/>
  <c r="AH86" i="54"/>
  <c r="AI86" i="54" s="1"/>
  <c r="AH361" i="54"/>
  <c r="AI361" i="54" s="1"/>
  <c r="AC136" i="56"/>
  <c r="AN187" i="56"/>
  <c r="AO187" i="56" s="1"/>
  <c r="Y61" i="54"/>
  <c r="X44" i="54"/>
  <c r="Y44" i="54" s="1"/>
  <c r="X187" i="54"/>
  <c r="Y187" i="54" s="1"/>
  <c r="X62" i="54"/>
  <c r="Y62" i="54" s="1"/>
  <c r="X305" i="54"/>
  <c r="Y305" i="54" s="1"/>
  <c r="X149" i="54"/>
  <c r="Y149" i="54" s="1"/>
  <c r="X182" i="54"/>
  <c r="Y182" i="54" s="1"/>
  <c r="Y327" i="54"/>
  <c r="X317" i="54"/>
  <c r="Y317" i="54" s="1"/>
  <c r="AH300" i="54"/>
  <c r="AI300" i="54" s="1"/>
  <c r="X220" i="54"/>
  <c r="Y220" i="54" s="1"/>
  <c r="AH260" i="54"/>
  <c r="AI260" i="54" s="1"/>
  <c r="AH262" i="54"/>
  <c r="AI262" i="54" s="1"/>
  <c r="AH363" i="54"/>
  <c r="AI363" i="54" s="1"/>
  <c r="X91" i="54"/>
  <c r="Y91" i="54" s="1"/>
  <c r="X53" i="54"/>
  <c r="Y53" i="54" s="1"/>
  <c r="AH346" i="54"/>
  <c r="AI346" i="54" s="1"/>
  <c r="AH271" i="54"/>
  <c r="AI271" i="54" s="1"/>
  <c r="AH139" i="54"/>
  <c r="AI139" i="54" s="1"/>
  <c r="AI265" i="54"/>
  <c r="AI175" i="54"/>
  <c r="X89" i="54"/>
  <c r="Y89" i="54" s="1"/>
  <c r="AH360" i="54"/>
  <c r="AI360" i="54" s="1"/>
  <c r="AH274" i="54"/>
  <c r="AI274" i="54" s="1"/>
  <c r="X283" i="54"/>
  <c r="Y283" i="54" s="1"/>
  <c r="AH180" i="54"/>
  <c r="AI180" i="54" s="1"/>
  <c r="X325" i="54"/>
  <c r="Y325" i="54" s="1"/>
  <c r="AH328" i="54"/>
  <c r="AI328" i="54" s="1"/>
  <c r="X79" i="54"/>
  <c r="Y79" i="54" s="1"/>
  <c r="AH128" i="54"/>
  <c r="AI128" i="54" s="1"/>
  <c r="X73" i="54"/>
  <c r="Y73" i="54" s="1"/>
  <c r="X339" i="54"/>
  <c r="Y339" i="54" s="1"/>
  <c r="Y135" i="54"/>
  <c r="Y255" i="54"/>
  <c r="Y324" i="54"/>
  <c r="AI294" i="54"/>
  <c r="AI170" i="54"/>
  <c r="Y19" i="54"/>
  <c r="Y319" i="54"/>
  <c r="AI307" i="54"/>
  <c r="AN87" i="56"/>
  <c r="AO87" i="56" s="1"/>
  <c r="AN182" i="56"/>
  <c r="AO182" i="56" s="1"/>
  <c r="Q228" i="56"/>
  <c r="AO193" i="56"/>
  <c r="AO217" i="56"/>
  <c r="AO61" i="56"/>
  <c r="AO191" i="56"/>
  <c r="AC65" i="56"/>
  <c r="AC193" i="56"/>
  <c r="X341" i="54"/>
  <c r="Y341" i="54" s="1"/>
  <c r="AC97" i="56"/>
  <c r="AC144" i="56"/>
  <c r="Y181" i="54"/>
  <c r="Y85" i="54"/>
  <c r="AI150" i="54"/>
  <c r="Y186" i="54"/>
  <c r="Y200" i="54"/>
  <c r="Y244" i="54"/>
  <c r="Y276" i="54"/>
  <c r="Y217" i="54"/>
  <c r="AI354" i="54"/>
  <c r="AI222" i="54"/>
  <c r="Y114" i="54"/>
  <c r="AI352" i="54"/>
  <c r="AI76" i="54"/>
  <c r="AI154" i="54"/>
  <c r="AI303" i="54"/>
  <c r="AI87" i="54"/>
  <c r="Y368" i="54"/>
  <c r="Y280" i="54"/>
  <c r="Y292" i="54"/>
  <c r="Y16" i="54"/>
  <c r="Y178" i="54"/>
  <c r="Y230" i="54"/>
  <c r="Y372" i="54"/>
  <c r="Y60" i="54"/>
  <c r="Y349" i="54"/>
  <c r="Y169" i="54"/>
  <c r="Y78" i="54"/>
  <c r="Y211" i="54"/>
  <c r="AI181" i="54"/>
  <c r="Y226" i="54"/>
  <c r="AI224" i="54"/>
  <c r="AI264" i="54"/>
  <c r="Y336" i="54"/>
  <c r="Y241" i="54"/>
  <c r="AI258" i="54"/>
  <c r="AI172" i="54"/>
  <c r="AI160" i="54"/>
  <c r="AI358" i="54"/>
  <c r="AI339" i="54"/>
  <c r="Y308" i="54"/>
  <c r="Y248" i="54"/>
  <c r="Y136" i="54"/>
  <c r="Y40" i="54"/>
  <c r="AI193" i="54"/>
  <c r="AI85" i="54"/>
  <c r="Y250" i="54"/>
  <c r="AI319" i="54"/>
  <c r="AI331" i="54"/>
  <c r="AI252" i="54"/>
  <c r="AI168" i="54"/>
  <c r="Y183" i="54"/>
  <c r="Y127" i="54"/>
  <c r="AI253" i="54"/>
  <c r="Y202" i="54"/>
  <c r="Y238" i="54"/>
  <c r="Y144" i="54"/>
  <c r="AI210" i="54"/>
  <c r="Y234" i="54"/>
  <c r="Y366" i="54"/>
  <c r="AI266" i="54"/>
  <c r="Y116" i="54"/>
  <c r="Y52" i="54"/>
  <c r="AI157" i="54"/>
  <c r="Y298" i="54"/>
  <c r="AI80" i="54"/>
  <c r="Y219" i="54"/>
  <c r="Y222" i="54"/>
  <c r="AI206" i="54"/>
  <c r="AI280" i="54"/>
  <c r="Y100" i="54"/>
  <c r="Y106" i="54"/>
  <c r="AI332" i="54"/>
  <c r="AI152" i="54"/>
  <c r="Y111" i="54"/>
  <c r="Y228" i="54"/>
  <c r="AI279" i="54"/>
  <c r="Y268" i="54"/>
  <c r="AI277" i="54"/>
  <c r="AI169" i="54"/>
  <c r="AI296" i="54"/>
  <c r="Y122" i="54"/>
  <c r="Y243" i="54"/>
  <c r="Y296" i="54"/>
  <c r="Y208" i="54"/>
  <c r="Y108" i="54"/>
  <c r="AN185" i="56"/>
  <c r="AO185" i="56" s="1"/>
  <c r="AC67" i="56"/>
  <c r="Q172" i="56"/>
  <c r="AC101" i="56"/>
  <c r="AO225" i="56"/>
  <c r="AN85" i="56"/>
  <c r="AO85" i="56" s="1"/>
  <c r="AO241" i="56"/>
  <c r="AO201" i="56"/>
  <c r="AO177" i="56"/>
  <c r="AO169" i="56"/>
  <c r="AN17" i="56"/>
  <c r="AO17" i="56" s="1"/>
  <c r="AN109" i="56"/>
  <c r="AO109" i="56" s="1"/>
  <c r="AO105" i="56"/>
  <c r="AN33" i="56"/>
  <c r="AO33" i="56" s="1"/>
  <c r="AN173" i="56"/>
  <c r="AO173" i="56" s="1"/>
  <c r="AO229" i="56"/>
  <c r="AO181" i="56"/>
  <c r="AO189" i="56"/>
  <c r="AO205" i="56"/>
  <c r="AO244" i="56"/>
  <c r="AO228" i="56"/>
  <c r="AN255" i="56"/>
  <c r="AO255" i="56" s="1"/>
  <c r="AN159" i="56"/>
  <c r="AO159" i="56" s="1"/>
  <c r="AO111" i="56"/>
  <c r="AO31" i="56"/>
  <c r="AN211" i="56"/>
  <c r="AO211" i="56" s="1"/>
  <c r="AO21" i="56"/>
  <c r="AO156" i="56"/>
  <c r="AO44" i="56"/>
  <c r="AO215" i="56"/>
  <c r="AN171" i="56"/>
  <c r="AO171" i="56" s="1"/>
  <c r="AO108" i="56"/>
  <c r="AN107" i="56"/>
  <c r="AO107" i="56" s="1"/>
  <c r="AN37" i="56"/>
  <c r="AO37" i="56" s="1"/>
  <c r="AN164" i="56"/>
  <c r="AO164" i="56" s="1"/>
  <c r="AN220" i="56"/>
  <c r="AO220" i="56" s="1"/>
  <c r="AN148" i="56"/>
  <c r="AO148" i="56" s="1"/>
  <c r="AO124" i="56"/>
  <c r="AN23" i="56"/>
  <c r="AO23" i="56" s="1"/>
  <c r="AN235" i="56"/>
  <c r="AO235" i="56" s="1"/>
  <c r="AO142" i="56"/>
  <c r="AO19" i="56"/>
  <c r="AO27" i="56"/>
  <c r="AN150" i="56"/>
  <c r="AO150" i="56" s="1"/>
  <c r="AO246" i="56"/>
  <c r="AO158" i="56"/>
  <c r="AN118" i="56"/>
  <c r="AO118" i="56" s="1"/>
  <c r="AN110" i="56"/>
  <c r="AO110" i="56" s="1"/>
  <c r="AO134" i="56"/>
  <c r="AO254" i="56"/>
  <c r="Q25" i="56"/>
  <c r="Q151" i="56"/>
  <c r="Q64" i="56"/>
  <c r="Q89" i="56"/>
  <c r="Q32" i="56"/>
  <c r="Q87" i="56"/>
  <c r="Q46" i="56"/>
  <c r="AC153" i="56"/>
  <c r="AC120" i="56"/>
  <c r="AC104" i="56"/>
  <c r="AC252" i="56"/>
  <c r="AB39" i="56"/>
  <c r="AC39" i="56" s="1"/>
  <c r="AC217" i="56"/>
  <c r="AB157" i="56"/>
  <c r="AC157" i="56" s="1"/>
  <c r="AC205" i="56"/>
  <c r="AC140" i="56"/>
  <c r="AC220" i="56"/>
  <c r="AC45" i="56"/>
  <c r="AB135" i="56"/>
  <c r="AC135" i="56" s="1"/>
  <c r="AC118" i="56"/>
  <c r="AB60" i="56"/>
  <c r="AC60" i="56" s="1"/>
  <c r="AC180" i="56"/>
  <c r="AC207" i="56"/>
  <c r="AB43" i="56"/>
  <c r="AC43" i="56" s="1"/>
  <c r="AC163" i="56"/>
  <c r="AC244" i="56"/>
  <c r="AC215" i="56"/>
  <c r="AC191" i="56"/>
  <c r="AC211" i="56"/>
  <c r="AB35" i="56"/>
  <c r="AC35" i="56" s="1"/>
  <c r="AC230" i="56"/>
  <c r="Q185" i="56"/>
  <c r="Q150" i="56"/>
  <c r="Q62" i="56"/>
  <c r="Q238" i="56"/>
  <c r="Q251" i="56"/>
  <c r="Q208" i="56"/>
  <c r="Q141" i="56"/>
  <c r="Q182" i="56"/>
  <c r="Q254" i="56"/>
  <c r="AB223" i="56"/>
  <c r="AC223" i="56" s="1"/>
  <c r="AC137" i="56"/>
  <c r="AC57" i="56"/>
  <c r="AB41" i="56"/>
  <c r="AC41" i="56" s="1"/>
  <c r="AC249" i="56"/>
  <c r="AB184" i="56"/>
  <c r="AC184" i="56" s="1"/>
  <c r="AC88" i="56"/>
  <c r="AC248" i="56"/>
  <c r="AC128" i="56"/>
  <c r="AB29" i="56"/>
  <c r="AC29" i="56" s="1"/>
  <c r="AC141" i="56"/>
  <c r="AB125" i="56"/>
  <c r="AC125" i="56" s="1"/>
  <c r="AB92" i="56"/>
  <c r="AC92" i="56" s="1"/>
  <c r="AC204" i="56"/>
  <c r="AB124" i="56"/>
  <c r="AC124" i="56" s="1"/>
  <c r="AC108" i="56"/>
  <c r="AC196" i="56"/>
  <c r="AB171" i="56"/>
  <c r="AC171" i="56" s="1"/>
  <c r="AC200" i="56"/>
  <c r="AB109" i="56"/>
  <c r="AC109" i="56" s="1"/>
  <c r="AC173" i="56"/>
  <c r="AC77" i="56"/>
  <c r="AB253" i="56"/>
  <c r="AC253" i="56" s="1"/>
  <c r="AC36" i="56"/>
  <c r="AB172" i="56"/>
  <c r="AC172" i="56" s="1"/>
  <c r="AB20" i="56"/>
  <c r="AC20" i="56" s="1"/>
  <c r="AC164" i="56"/>
  <c r="AC148" i="56"/>
  <c r="AC132" i="56"/>
  <c r="AC23" i="56"/>
  <c r="AB19" i="56"/>
  <c r="AC19" i="56" s="1"/>
  <c r="AC201" i="56"/>
  <c r="AC225" i="56"/>
  <c r="AC16" i="56"/>
  <c r="AC160" i="56"/>
  <c r="AC229" i="56"/>
  <c r="AB131" i="56"/>
  <c r="AC131" i="56" s="1"/>
  <c r="AC235" i="56"/>
  <c r="AC219" i="56"/>
  <c r="AB86" i="56"/>
  <c r="AC86" i="56" s="1"/>
  <c r="AB214" i="56"/>
  <c r="AC214" i="56" s="1"/>
  <c r="AC143" i="56"/>
  <c r="AC247" i="56"/>
  <c r="AC142" i="56"/>
  <c r="AC183" i="56"/>
  <c r="AC239" i="56"/>
  <c r="AC179" i="56"/>
  <c r="AB139" i="56"/>
  <c r="AC139" i="56" s="1"/>
  <c r="AB243" i="56"/>
  <c r="AC243" i="56" s="1"/>
  <c r="AC126" i="56"/>
  <c r="AC102" i="56"/>
  <c r="AC46" i="56"/>
  <c r="AC30" i="56"/>
  <c r="AC158" i="56"/>
  <c r="AC169" i="56"/>
  <c r="AB33" i="56"/>
  <c r="AC33" i="56" s="1"/>
  <c r="AC81" i="56"/>
  <c r="AC145" i="56"/>
  <c r="AC32" i="56"/>
  <c r="AB232" i="56"/>
  <c r="AC232" i="56" s="1"/>
  <c r="AC240" i="56"/>
  <c r="AC197" i="56"/>
  <c r="AB117" i="56"/>
  <c r="AC117" i="56" s="1"/>
  <c r="AC37" i="56"/>
  <c r="AB85" i="56"/>
  <c r="AC85" i="56" s="1"/>
  <c r="AC149" i="56"/>
  <c r="AC116" i="56"/>
  <c r="AC228" i="56"/>
  <c r="AC79" i="56"/>
  <c r="AB47" i="56"/>
  <c r="AC47" i="56" s="1"/>
  <c r="AB111" i="56"/>
  <c r="AC111" i="56" s="1"/>
  <c r="AC91" i="56"/>
  <c r="AB203" i="56"/>
  <c r="AC203" i="56" s="1"/>
  <c r="AC216" i="56"/>
  <c r="AB155" i="56"/>
  <c r="AC155" i="56" s="1"/>
  <c r="AB70" i="56"/>
  <c r="AC70" i="56" s="1"/>
  <c r="AB110" i="56"/>
  <c r="AC110" i="56" s="1"/>
  <c r="AB222" i="56"/>
  <c r="AC222" i="56" s="1"/>
  <c r="AC187" i="56"/>
  <c r="AB174" i="56"/>
  <c r="AC174" i="56" s="1"/>
  <c r="AC254" i="56"/>
  <c r="Q83" i="56"/>
  <c r="P75" i="56"/>
  <c r="Q75" i="56" s="1"/>
  <c r="Q99" i="56"/>
  <c r="Q219" i="56"/>
  <c r="Q209" i="56"/>
  <c r="Q19" i="56"/>
  <c r="Q91" i="56"/>
  <c r="Q123" i="56"/>
  <c r="Q171" i="56"/>
  <c r="Q137" i="56"/>
  <c r="P65" i="56"/>
  <c r="Q65" i="56" s="1"/>
  <c r="Q203" i="56"/>
  <c r="Q193" i="56"/>
  <c r="P153" i="56"/>
  <c r="Q153" i="56" s="1"/>
  <c r="P136" i="56"/>
  <c r="Q136" i="56" s="1"/>
  <c r="Q184" i="56"/>
  <c r="Q156" i="56"/>
  <c r="Q36" i="56"/>
  <c r="P30" i="56"/>
  <c r="Q30" i="56" s="1"/>
  <c r="P126" i="56"/>
  <c r="Q126" i="56" s="1"/>
  <c r="Q165" i="56"/>
  <c r="Q213" i="56"/>
  <c r="P166" i="56"/>
  <c r="Q166" i="56" s="1"/>
  <c r="P190" i="56"/>
  <c r="Q190" i="56" s="1"/>
  <c r="P128" i="56"/>
  <c r="Q128" i="56" s="1"/>
  <c r="P88" i="56"/>
  <c r="Q88" i="56" s="1"/>
  <c r="P220" i="56"/>
  <c r="Q220" i="56" s="1"/>
  <c r="Q132" i="56"/>
  <c r="Q76" i="56"/>
  <c r="Q188" i="56"/>
  <c r="Q100" i="56"/>
  <c r="P127" i="56"/>
  <c r="Q127" i="56" s="1"/>
  <c r="P223" i="56"/>
  <c r="Q223" i="56" s="1"/>
  <c r="Q168" i="56"/>
  <c r="Q152" i="56"/>
  <c r="Q224" i="56"/>
  <c r="Q93" i="56"/>
  <c r="P197" i="56"/>
  <c r="Q197" i="56" s="1"/>
  <c r="P92" i="56"/>
  <c r="Q92" i="56" s="1"/>
  <c r="Q52" i="56"/>
  <c r="Q244" i="56"/>
  <c r="P23" i="56"/>
  <c r="Q23" i="56" s="1"/>
  <c r="Q95" i="56"/>
  <c r="P79" i="56"/>
  <c r="Q79" i="56" s="1"/>
  <c r="Q142" i="56"/>
  <c r="Q246" i="56"/>
  <c r="Q86" i="56"/>
  <c r="Q175" i="56"/>
  <c r="Q207" i="56"/>
  <c r="BC136" i="54"/>
  <c r="BC294" i="54"/>
  <c r="AS206" i="54"/>
  <c r="BC172" i="54"/>
  <c r="BC138" i="54"/>
  <c r="BC198" i="54"/>
  <c r="BC78" i="54"/>
  <c r="BC363" i="54"/>
  <c r="BC182" i="54"/>
  <c r="BC230" i="54"/>
  <c r="BC132" i="54"/>
  <c r="BB142" i="54"/>
  <c r="BC142" i="54" s="1"/>
  <c r="AS89" i="54"/>
  <c r="AR118" i="54"/>
  <c r="AS118" i="54" s="1"/>
  <c r="AR172" i="54"/>
  <c r="AS172" i="54" s="1"/>
  <c r="BB322" i="54"/>
  <c r="BC322" i="54" s="1"/>
  <c r="AS295" i="54"/>
  <c r="AS343" i="54"/>
  <c r="BB204" i="54"/>
  <c r="BC204" i="54" s="1"/>
  <c r="BC219" i="54"/>
  <c r="BB254" i="54"/>
  <c r="BC254" i="54" s="1"/>
  <c r="BC196" i="54"/>
  <c r="BC193" i="54"/>
  <c r="BB87" i="54"/>
  <c r="BC87" i="54" s="1"/>
  <c r="BC315" i="54"/>
  <c r="BC195" i="54"/>
  <c r="BC80" i="54"/>
  <c r="BC152" i="54"/>
  <c r="AR234" i="54"/>
  <c r="AS234" i="54" s="1"/>
  <c r="AS340" i="54"/>
  <c r="AS288" i="54"/>
  <c r="BB88" i="54"/>
  <c r="BC88" i="54" s="1"/>
  <c r="BC148" i="54"/>
  <c r="BC298" i="54"/>
  <c r="BC178" i="54"/>
  <c r="BC130" i="54"/>
  <c r="BB92" i="54"/>
  <c r="BC92" i="54" s="1"/>
  <c r="BC176" i="54"/>
  <c r="AS112" i="54"/>
  <c r="AS351" i="54"/>
  <c r="AS291" i="54"/>
  <c r="BC268" i="54"/>
  <c r="BC171" i="54"/>
  <c r="BC140" i="54"/>
  <c r="BC116" i="54"/>
  <c r="BC320" i="54"/>
  <c r="BB331" i="54"/>
  <c r="BC331" i="54" s="1"/>
  <c r="BB355" i="54"/>
  <c r="BC355" i="54" s="1"/>
  <c r="BB274" i="54"/>
  <c r="BC274" i="54" s="1"/>
  <c r="BC296" i="54"/>
  <c r="AS253" i="54"/>
  <c r="AS97" i="54"/>
  <c r="AS223" i="54"/>
  <c r="AS228" i="54"/>
  <c r="BC316" i="54"/>
  <c r="BC286" i="54"/>
  <c r="BC99" i="54"/>
  <c r="BC111" i="54"/>
  <c r="BC206" i="54"/>
  <c r="BB235" i="54"/>
  <c r="BC235" i="54" s="1"/>
  <c r="BC139" i="54"/>
  <c r="BC252" i="54"/>
  <c r="BC324" i="54"/>
  <c r="BC84" i="54"/>
  <c r="BC364" i="54"/>
  <c r="AS329" i="54"/>
  <c r="AS320" i="54"/>
  <c r="BC200" i="54"/>
  <c r="BC146" i="54"/>
  <c r="BC151" i="54"/>
  <c r="BC120" i="54"/>
  <c r="BC366" i="54"/>
  <c r="BC368" i="54"/>
  <c r="AS120" i="54"/>
  <c r="AS286" i="54"/>
  <c r="AS232" i="54"/>
  <c r="AS169" i="54"/>
  <c r="AR214" i="54"/>
  <c r="AS214" i="54" s="1"/>
  <c r="AR344" i="54"/>
  <c r="AS344" i="54" s="1"/>
  <c r="AS221" i="54"/>
  <c r="AR216" i="54"/>
  <c r="AS216" i="54" s="1"/>
  <c r="AS355" i="54"/>
  <c r="AS364" i="54"/>
  <c r="AS255" i="54"/>
  <c r="AR197" i="54"/>
  <c r="AS197" i="54" s="1"/>
  <c r="AR245" i="54"/>
  <c r="AS245" i="54" s="1"/>
  <c r="AS230" i="54"/>
  <c r="AS360" i="54"/>
  <c r="AS150" i="54"/>
  <c r="AS196" i="54"/>
  <c r="AR353" i="54"/>
  <c r="AS353" i="54" s="1"/>
  <c r="AR200" i="54"/>
  <c r="AS200" i="54" s="1"/>
  <c r="BB318" i="54"/>
  <c r="BC318" i="54" s="1"/>
  <c r="BB118" i="54"/>
  <c r="BC118" i="54" s="1"/>
  <c r="AS226" i="54"/>
  <c r="AS188" i="54"/>
  <c r="AS339" i="54"/>
  <c r="AS316" i="54"/>
  <c r="BB277" i="54"/>
  <c r="BC277" i="54" s="1"/>
  <c r="BB90" i="54"/>
  <c r="BC90" i="54" s="1"/>
  <c r="BB135" i="54"/>
  <c r="BC135" i="54" s="1"/>
  <c r="BB279" i="54"/>
  <c r="BC279" i="54" s="1"/>
  <c r="AS262" i="54"/>
  <c r="BB205" i="54"/>
  <c r="BC205" i="54" s="1"/>
  <c r="BC145" i="54"/>
  <c r="BB97" i="54"/>
  <c r="BC97" i="54" s="1"/>
  <c r="BB174" i="54"/>
  <c r="BC174" i="54" s="1"/>
  <c r="BB243" i="54"/>
  <c r="BC243" i="54" s="1"/>
  <c r="AS217" i="54"/>
  <c r="AS205" i="54"/>
  <c r="AR274" i="54"/>
  <c r="AS274" i="54" s="1"/>
  <c r="AS243" i="54"/>
  <c r="AS331" i="54"/>
  <c r="BC124" i="54"/>
  <c r="BB250" i="54"/>
  <c r="BC250" i="54" s="1"/>
  <c r="BB310" i="54"/>
  <c r="BC310" i="54" s="1"/>
  <c r="BB214" i="54"/>
  <c r="BC214" i="54" s="1"/>
  <c r="BC358" i="54"/>
  <c r="BB327" i="54"/>
  <c r="BC327" i="54" s="1"/>
  <c r="BC248" i="54"/>
  <c r="BB218" i="54"/>
  <c r="BC218" i="54" s="1"/>
  <c r="BC133" i="54"/>
  <c r="BC313" i="54"/>
  <c r="BB258" i="54"/>
  <c r="BC258" i="54" s="1"/>
  <c r="BC282" i="54"/>
  <c r="BB262" i="54"/>
  <c r="BC262" i="54" s="1"/>
  <c r="BB202" i="54"/>
  <c r="BC202" i="54" s="1"/>
  <c r="BB207" i="54"/>
  <c r="BC207" i="54" s="1"/>
  <c r="BC128" i="54"/>
  <c r="BC289" i="54"/>
  <c r="BC169" i="54"/>
  <c r="BC349" i="54"/>
  <c r="BC126" i="54"/>
  <c r="BC342" i="54"/>
  <c r="BC154" i="54"/>
  <c r="BB226" i="54"/>
  <c r="BC226" i="54" s="1"/>
  <c r="BC346" i="54"/>
  <c r="BB147" i="54"/>
  <c r="BC147" i="54" s="1"/>
  <c r="BC303" i="54"/>
  <c r="BC82" i="54"/>
  <c r="BB158" i="54"/>
  <c r="BC158" i="54" s="1"/>
  <c r="BB134" i="54"/>
  <c r="BC134" i="54" s="1"/>
  <c r="BB290" i="54"/>
  <c r="BC290" i="54" s="1"/>
  <c r="BB326" i="54"/>
  <c r="BC326" i="54" s="1"/>
  <c r="BC314" i="54"/>
  <c r="BC302" i="54"/>
  <c r="BC266" i="54"/>
  <c r="BC86" i="54"/>
  <c r="BC350" i="54"/>
  <c r="BB211" i="54"/>
  <c r="BC211" i="54" s="1"/>
  <c r="BC91" i="54"/>
  <c r="BC103" i="54"/>
  <c r="BC295" i="54"/>
  <c r="BC144" i="54"/>
  <c r="BC228" i="54"/>
  <c r="BC216" i="54"/>
  <c r="BB156" i="54"/>
  <c r="BC156" i="54" s="1"/>
  <c r="BB276" i="54"/>
  <c r="BC276" i="54" s="1"/>
  <c r="BC187" i="54"/>
  <c r="BB292" i="54"/>
  <c r="BC292" i="54" s="1"/>
  <c r="BC301" i="54"/>
  <c r="BC272" i="54"/>
  <c r="BB283" i="54"/>
  <c r="BC283" i="54" s="1"/>
  <c r="BB370" i="54"/>
  <c r="BC370" i="54" s="1"/>
  <c r="BC375" i="54"/>
  <c r="BC284" i="54"/>
  <c r="BC288" i="54"/>
  <c r="AR229" i="54"/>
  <c r="AS229" i="54" s="1"/>
  <c r="AS242" i="54"/>
  <c r="AS202" i="54"/>
  <c r="AS238" i="54"/>
  <c r="AS259" i="54"/>
  <c r="AS247" i="54"/>
  <c r="AS199" i="54"/>
  <c r="AS267" i="54"/>
  <c r="AR111" i="54"/>
  <c r="AS111" i="54" s="1"/>
  <c r="AR280" i="54"/>
  <c r="AS280" i="54" s="1"/>
  <c r="AR361" i="54"/>
  <c r="AS361" i="54" s="1"/>
  <c r="AS290" i="54"/>
  <c r="AR363" i="54"/>
  <c r="AS363" i="54" s="1"/>
  <c r="AR356" i="54"/>
  <c r="AS356" i="54" s="1"/>
  <c r="AS338" i="54"/>
  <c r="AS330" i="54"/>
  <c r="AS334" i="54"/>
  <c r="AS265" i="54"/>
  <c r="AR354" i="54"/>
  <c r="AS354" i="54" s="1"/>
  <c r="AS257" i="54"/>
  <c r="AR231" i="54"/>
  <c r="AS231" i="54" s="1"/>
  <c r="AR195" i="54"/>
  <c r="AS195" i="54" s="1"/>
  <c r="AS284" i="54"/>
  <c r="AS236" i="54"/>
  <c r="AS182" i="54"/>
  <c r="AR362" i="54"/>
  <c r="AS362" i="54" s="1"/>
  <c r="AS145" i="54"/>
  <c r="AS102" i="54"/>
  <c r="AS137" i="54"/>
  <c r="AR209" i="54"/>
  <c r="AS209" i="54" s="1"/>
  <c r="AS293" i="54"/>
  <c r="AR187" i="54"/>
  <c r="AS187" i="54" s="1"/>
  <c r="AR283" i="54"/>
  <c r="AS283" i="54" s="1"/>
  <c r="AS158" i="54"/>
  <c r="AS348" i="54"/>
  <c r="AS240" i="54"/>
  <c r="AS281" i="54"/>
  <c r="AS318" i="54"/>
  <c r="AS375" i="54"/>
  <c r="AS233" i="54"/>
  <c r="AR270" i="54"/>
  <c r="AS270" i="54" s="1"/>
  <c r="AS241" i="54"/>
  <c r="AS289" i="54"/>
  <c r="AS171" i="54"/>
  <c r="AS176" i="54"/>
  <c r="AS337" i="54"/>
  <c r="AS282" i="54"/>
  <c r="AS264" i="54"/>
  <c r="AR332" i="54"/>
  <c r="AS332" i="54" s="1"/>
  <c r="AS278" i="54"/>
  <c r="AS114" i="54"/>
  <c r="AS163" i="54"/>
  <c r="AS180" i="54"/>
  <c r="AS235" i="54"/>
  <c r="O50" i="54"/>
  <c r="O28" i="54"/>
  <c r="O41" i="54"/>
  <c r="O82" i="54"/>
  <c r="O38" i="54"/>
  <c r="O56" i="54"/>
  <c r="O115" i="54"/>
  <c r="O166" i="54"/>
  <c r="O60" i="54"/>
  <c r="O36" i="54"/>
  <c r="O355" i="54"/>
  <c r="O211" i="54"/>
  <c r="O292" i="54"/>
  <c r="O240" i="54"/>
  <c r="O312" i="54"/>
  <c r="O72" i="54"/>
  <c r="O223" i="54"/>
  <c r="N283" i="54"/>
  <c r="O283" i="54" s="1"/>
  <c r="O109" i="54"/>
  <c r="O338" i="54"/>
  <c r="O170" i="54"/>
  <c r="O182" i="54"/>
  <c r="O86" i="54"/>
  <c r="O127" i="54"/>
  <c r="O43" i="54"/>
  <c r="O302" i="54"/>
  <c r="O336" i="54"/>
  <c r="O295" i="54"/>
  <c r="O304" i="54"/>
  <c r="O172" i="54"/>
  <c r="O353" i="54"/>
  <c r="O101" i="54"/>
  <c r="O370" i="54"/>
  <c r="O219" i="54"/>
  <c r="O332" i="54"/>
  <c r="O32" i="54"/>
  <c r="O364" i="54"/>
  <c r="O77" i="54"/>
  <c r="O63" i="54"/>
  <c r="O282" i="54"/>
  <c r="O267" i="54"/>
  <c r="O246" i="54"/>
  <c r="O111" i="54"/>
  <c r="O65" i="54"/>
  <c r="O348" i="54"/>
  <c r="N360" i="54"/>
  <c r="O360" i="54" s="1"/>
  <c r="O180" i="54"/>
  <c r="N108" i="54"/>
  <c r="O108" i="54" s="1"/>
  <c r="N343" i="54"/>
  <c r="O343" i="54" s="1"/>
  <c r="O103" i="54"/>
  <c r="O139" i="54"/>
  <c r="O25" i="54"/>
  <c r="O193" i="54"/>
  <c r="O61" i="54"/>
  <c r="O73" i="54"/>
  <c r="N324" i="54"/>
  <c r="O324" i="54" s="1"/>
  <c r="N79" i="54"/>
  <c r="O79" i="54" s="1"/>
  <c r="O91" i="54"/>
  <c r="O361" i="54"/>
  <c r="N156" i="54"/>
  <c r="O156" i="54" s="1"/>
  <c r="N151" i="54"/>
  <c r="O151" i="54" s="1"/>
  <c r="O373" i="54"/>
  <c r="N85" i="54"/>
  <c r="O85" i="54" s="1"/>
  <c r="O133" i="54"/>
  <c r="N37" i="54"/>
  <c r="O37" i="54" s="1"/>
  <c r="O277" i="54"/>
  <c r="O300" i="54"/>
  <c r="O288" i="54"/>
  <c r="O228" i="54"/>
  <c r="O276" i="54"/>
  <c r="O192" i="54"/>
  <c r="O331" i="54"/>
  <c r="N271" i="54"/>
  <c r="O271" i="54" s="1"/>
  <c r="O319" i="54"/>
  <c r="O307" i="54"/>
  <c r="O55" i="54"/>
  <c r="N349" i="54"/>
  <c r="O349" i="54" s="1"/>
  <c r="O337" i="54"/>
  <c r="N241" i="54"/>
  <c r="O241" i="54" s="1"/>
  <c r="N314" i="54"/>
  <c r="O314" i="54" s="1"/>
  <c r="O218" i="54"/>
  <c r="N362" i="54"/>
  <c r="O362" i="54" s="1"/>
  <c r="O290" i="54"/>
  <c r="O98" i="54"/>
  <c r="N74" i="54"/>
  <c r="O74" i="54" s="1"/>
  <c r="O278" i="54"/>
  <c r="O350" i="54"/>
  <c r="O374" i="54"/>
  <c r="N134" i="54"/>
  <c r="O134" i="54" s="1"/>
  <c r="O254" i="54"/>
  <c r="O122" i="54"/>
  <c r="O372" i="54"/>
  <c r="O132" i="54"/>
  <c r="O253" i="54"/>
  <c r="O181" i="54"/>
  <c r="O49" i="54"/>
  <c r="O158" i="54"/>
  <c r="N366" i="54"/>
  <c r="O366" i="54" s="1"/>
  <c r="N258" i="54"/>
  <c r="O258" i="54" s="1"/>
  <c r="O138" i="54"/>
  <c r="O114" i="54"/>
  <c r="O126" i="54"/>
  <c r="O90" i="54"/>
  <c r="O280" i="54"/>
  <c r="O328" i="54"/>
  <c r="O64" i="54"/>
  <c r="O146" i="54"/>
  <c r="N150" i="54"/>
  <c r="O150" i="54" s="1"/>
  <c r="N162" i="54"/>
  <c r="O162" i="54" s="1"/>
  <c r="O30" i="54"/>
  <c r="O340" i="54"/>
  <c r="O232" i="54"/>
  <c r="O100" i="54"/>
  <c r="O112" i="54"/>
  <c r="O210" i="54"/>
  <c r="O270" i="54"/>
  <c r="O78" i="54"/>
  <c r="N136" i="54"/>
  <c r="O136" i="54" s="1"/>
  <c r="N124" i="54"/>
  <c r="O124" i="54" s="1"/>
  <c r="N160" i="54"/>
  <c r="O160" i="54" s="1"/>
  <c r="O281" i="54"/>
  <c r="O89" i="54"/>
  <c r="O185" i="54"/>
  <c r="O358" i="54"/>
  <c r="O286" i="54"/>
  <c r="N298" i="54"/>
  <c r="O298" i="54" s="1"/>
  <c r="O58" i="54"/>
  <c r="O34" i="54"/>
  <c r="O202" i="54"/>
  <c r="O70" i="54"/>
  <c r="O363" i="54"/>
  <c r="N327" i="54"/>
  <c r="O327" i="54" s="1"/>
  <c r="O351" i="54"/>
  <c r="O231" i="54"/>
  <c r="O303" i="54"/>
  <c r="N315" i="54"/>
  <c r="O315" i="54" s="1"/>
  <c r="O171" i="54"/>
  <c r="O368" i="54"/>
  <c r="N344" i="54"/>
  <c r="O344" i="54" s="1"/>
  <c r="O356" i="54"/>
  <c r="O68" i="54"/>
  <c r="O20" i="54"/>
  <c r="O92" i="54"/>
  <c r="O269" i="54"/>
  <c r="O53" i="54"/>
  <c r="O346" i="54"/>
  <c r="O130" i="54"/>
  <c r="O339" i="54"/>
  <c r="O135" i="54"/>
  <c r="O147" i="54"/>
  <c r="O243" i="54"/>
  <c r="O87" i="54"/>
  <c r="O296" i="54"/>
  <c r="O152" i="54"/>
  <c r="O200" i="54"/>
  <c r="O173" i="54"/>
  <c r="O113" i="54"/>
  <c r="O118" i="54"/>
  <c r="O123" i="54"/>
  <c r="O159" i="54"/>
  <c r="O164" i="54"/>
  <c r="O209" i="54"/>
  <c r="O125" i="54"/>
  <c r="O226" i="54"/>
  <c r="O236" i="54"/>
  <c r="BR26" i="1"/>
  <c r="CI26" i="1" s="1"/>
  <c r="BQ26" i="1"/>
  <c r="CH26" i="1" s="1"/>
  <c r="AE38" i="1"/>
  <c r="C38" i="1"/>
  <c r="AE37" i="1"/>
  <c r="C37" i="1"/>
  <c r="AE36" i="1"/>
  <c r="C36" i="1"/>
  <c r="AO137" i="56" l="1"/>
  <c r="AO239" i="56"/>
  <c r="AN67" i="56"/>
  <c r="AO67" i="56" s="1"/>
  <c r="AN45" i="56"/>
  <c r="AO45" i="56" s="1"/>
  <c r="BC271" i="54"/>
  <c r="BB319" i="54"/>
  <c r="BC319" i="54" s="1"/>
  <c r="BC163" i="54"/>
  <c r="AO221" i="56"/>
  <c r="BA356" i="54"/>
  <c r="BB356" i="54" s="1"/>
  <c r="W152" i="54"/>
  <c r="X152" i="54" s="1"/>
  <c r="Y152" i="54" s="1"/>
  <c r="AH36" i="1"/>
  <c r="AG36" i="1"/>
  <c r="AF36" i="1"/>
  <c r="AH37" i="1"/>
  <c r="AG37" i="1"/>
  <c r="AF37" i="1"/>
  <c r="AG38" i="1"/>
  <c r="AF38" i="1"/>
  <c r="AH38" i="1"/>
  <c r="AO36" i="1"/>
  <c r="BV36" i="1" s="1"/>
  <c r="AN36" i="1"/>
  <c r="BU36" i="1" s="1"/>
  <c r="AM36" i="1"/>
  <c r="BT36" i="1" s="1"/>
  <c r="AO37" i="1"/>
  <c r="BV37" i="1" s="1"/>
  <c r="AN37" i="1"/>
  <c r="BU37" i="1" s="1"/>
  <c r="AM37" i="1"/>
  <c r="BT37" i="1" s="1"/>
  <c r="AM38" i="1"/>
  <c r="BT38" i="1" s="1"/>
  <c r="AO38" i="1"/>
  <c r="BV38" i="1" s="1"/>
  <c r="AN38" i="1"/>
  <c r="BU38" i="1" s="1"/>
  <c r="BC356" i="54" l="1"/>
  <c r="BY38" i="1"/>
  <c r="BY36" i="1"/>
  <c r="BY37" i="1"/>
  <c r="AR36" i="1"/>
  <c r="AR38" i="1"/>
  <c r="AR37" i="1"/>
  <c r="AE27" i="1" l="1"/>
  <c r="C27" i="1"/>
  <c r="AE26" i="1"/>
  <c r="C26" i="1"/>
  <c r="C25" i="1"/>
  <c r="AE25" i="1"/>
  <c r="AG25" i="1" l="1"/>
  <c r="AF25" i="1"/>
  <c r="AH25" i="1"/>
  <c r="AF26" i="1"/>
  <c r="AH26" i="1"/>
  <c r="AG26" i="1"/>
  <c r="AH27" i="1"/>
  <c r="AG27" i="1"/>
  <c r="AF27" i="1"/>
  <c r="AN25" i="1"/>
  <c r="BU25" i="1" s="1"/>
  <c r="AO25" i="1"/>
  <c r="BV25" i="1" s="1"/>
  <c r="AN26" i="1"/>
  <c r="BU26" i="1" s="1"/>
  <c r="AO26" i="1"/>
  <c r="BV26" i="1" s="1"/>
  <c r="AO27" i="1"/>
  <c r="AN27" i="1"/>
  <c r="BU27" i="1" s="1"/>
  <c r="BN27" i="1"/>
  <c r="CE27" i="1" s="1"/>
  <c r="C31" i="5"/>
  <c r="C30" i="5"/>
  <c r="C29" i="5"/>
  <c r="C28" i="5"/>
  <c r="C27" i="5"/>
  <c r="C26" i="5"/>
  <c r="C25" i="5"/>
  <c r="C24" i="5"/>
  <c r="C23" i="5"/>
  <c r="C22" i="5"/>
  <c r="C21" i="5"/>
  <c r="C20" i="5"/>
  <c r="C19" i="5"/>
  <c r="C18" i="5"/>
  <c r="C17" i="5"/>
  <c r="C16" i="5"/>
  <c r="C15" i="5"/>
  <c r="C14" i="5"/>
  <c r="C35" i="1"/>
  <c r="C31" i="1"/>
  <c r="C29" i="1"/>
  <c r="C33" i="1"/>
  <c r="C32" i="1"/>
  <c r="C34" i="1"/>
  <c r="C30" i="1"/>
  <c r="C28" i="1"/>
  <c r="C24" i="1"/>
  <c r="C23" i="1"/>
  <c r="C22" i="1"/>
  <c r="C21" i="1"/>
  <c r="C20" i="1"/>
  <c r="C19" i="1"/>
  <c r="C18" i="1"/>
  <c r="C17" i="1"/>
  <c r="C16" i="1"/>
  <c r="C15" i="1"/>
  <c r="BP27" i="1" l="1"/>
  <c r="BV27" i="1"/>
  <c r="BY26" i="1"/>
  <c r="BY25" i="1"/>
  <c r="AR27" i="1"/>
  <c r="AR26" i="1"/>
  <c r="AR25" i="1"/>
  <c r="BN26" i="1"/>
  <c r="CE26" i="1" s="1"/>
  <c r="BN25" i="1"/>
  <c r="CE25" i="1" s="1"/>
  <c r="BP26" i="1"/>
  <c r="CG26" i="1" s="1"/>
  <c r="BP25" i="1"/>
  <c r="CG25" i="1" s="1"/>
  <c r="BO27" i="1"/>
  <c r="CF27" i="1" s="1"/>
  <c r="BO26" i="1"/>
  <c r="CF26" i="1" s="1"/>
  <c r="BO25" i="1"/>
  <c r="CF25" i="1" s="1"/>
  <c r="S21" i="1"/>
  <c r="S19" i="1"/>
  <c r="S22" i="1"/>
  <c r="S13" i="1"/>
  <c r="S15" i="1"/>
  <c r="S17" i="1"/>
  <c r="S20" i="1"/>
  <c r="S23" i="1"/>
  <c r="S14" i="1"/>
  <c r="S16" i="1"/>
  <c r="S18" i="1"/>
  <c r="S24" i="1"/>
  <c r="CG27" i="1" l="1"/>
  <c r="X24" i="1"/>
  <c r="T24" i="1"/>
  <c r="W24" i="1"/>
  <c r="V24" i="1"/>
  <c r="U24" i="1"/>
  <c r="U18" i="1"/>
  <c r="W18" i="1"/>
  <c r="X18" i="1"/>
  <c r="V18" i="1"/>
  <c r="T18" i="1"/>
  <c r="X16" i="1"/>
  <c r="T16" i="1"/>
  <c r="W16" i="1"/>
  <c r="V16" i="1"/>
  <c r="U16" i="1"/>
  <c r="W14" i="1"/>
  <c r="V14" i="1"/>
  <c r="U14" i="1"/>
  <c r="T14" i="1"/>
  <c r="X14" i="1"/>
  <c r="V23" i="1"/>
  <c r="U23" i="1"/>
  <c r="X23" i="1"/>
  <c r="T23" i="1"/>
  <c r="W23" i="1"/>
  <c r="X20" i="1"/>
  <c r="T20" i="1"/>
  <c r="V20" i="1"/>
  <c r="U20" i="1"/>
  <c r="W20" i="1"/>
  <c r="V17" i="1"/>
  <c r="U17" i="1"/>
  <c r="X17" i="1"/>
  <c r="T17" i="1"/>
  <c r="W17" i="1"/>
  <c r="X15" i="1"/>
  <c r="T15" i="1"/>
  <c r="W15" i="1"/>
  <c r="V15" i="1"/>
  <c r="U15" i="1"/>
  <c r="U13" i="1"/>
  <c r="X13" i="1"/>
  <c r="T13" i="1"/>
  <c r="V13" i="1"/>
  <c r="W13" i="1"/>
  <c r="X22" i="1"/>
  <c r="T22" i="1"/>
  <c r="W22" i="1"/>
  <c r="V22" i="1"/>
  <c r="U22" i="1"/>
  <c r="X19" i="1"/>
  <c r="T19" i="1"/>
  <c r="V19" i="1"/>
  <c r="W19" i="1"/>
  <c r="U19" i="1"/>
  <c r="X21" i="1"/>
  <c r="T21" i="1"/>
  <c r="W21" i="1"/>
  <c r="V21" i="1"/>
  <c r="U21" i="1"/>
  <c r="BY27" i="1"/>
  <c r="BS27" i="1"/>
  <c r="BS25" i="1"/>
  <c r="BS26" i="1"/>
  <c r="AL329" i="54" l="1"/>
  <c r="AL341" i="54"/>
  <c r="AL305" i="54"/>
  <c r="AL317" i="54"/>
  <c r="AL353" i="54"/>
  <c r="AL269" i="54"/>
  <c r="AL281" i="54"/>
  <c r="AL257" i="54"/>
  <c r="AL161" i="54"/>
  <c r="AL221" i="54"/>
  <c r="AL209" i="54"/>
  <c r="AL365" i="54"/>
  <c r="AL245" i="54"/>
  <c r="AL197" i="54"/>
  <c r="AL101" i="54"/>
  <c r="AL233" i="54"/>
  <c r="AL173" i="54"/>
  <c r="AL149" i="54"/>
  <c r="AL293" i="54"/>
  <c r="AL185" i="54"/>
  <c r="AL113" i="54"/>
  <c r="AL29" i="54"/>
  <c r="AL77" i="54"/>
  <c r="AL125" i="54"/>
  <c r="AL65" i="54"/>
  <c r="AL17" i="54"/>
  <c r="AL89" i="54"/>
  <c r="AL41" i="54"/>
  <c r="AL137" i="54"/>
  <c r="AL53" i="54"/>
  <c r="AL366" i="54"/>
  <c r="AL342" i="54"/>
  <c r="AL354" i="54"/>
  <c r="AL318" i="54"/>
  <c r="AL222" i="54"/>
  <c r="AL270" i="54"/>
  <c r="AL282" i="54"/>
  <c r="AL174" i="54"/>
  <c r="AL306" i="54"/>
  <c r="AL234" i="54"/>
  <c r="AL162" i="54"/>
  <c r="AL126" i="54"/>
  <c r="AL294" i="54"/>
  <c r="AL210" i="54"/>
  <c r="AL114" i="54"/>
  <c r="AL330" i="54"/>
  <c r="AL138" i="54"/>
  <c r="AL42" i="54"/>
  <c r="AL90" i="54"/>
  <c r="AL186" i="54"/>
  <c r="AL246" i="54"/>
  <c r="AL198" i="54"/>
  <c r="AL54" i="54"/>
  <c r="AL66" i="54"/>
  <c r="AL258" i="54"/>
  <c r="AL102" i="54"/>
  <c r="AL150" i="54"/>
  <c r="AL18" i="54"/>
  <c r="AL30" i="54"/>
  <c r="AL78" i="54"/>
  <c r="AL311" i="54"/>
  <c r="AL359" i="54"/>
  <c r="AL323" i="54"/>
  <c r="AL287" i="54"/>
  <c r="AL371" i="54"/>
  <c r="AL335" i="54"/>
  <c r="AL239" i="54"/>
  <c r="AL299" i="54"/>
  <c r="AL191" i="54"/>
  <c r="AL251" i="54"/>
  <c r="AL167" i="54"/>
  <c r="AL179" i="54"/>
  <c r="AL143" i="54"/>
  <c r="AL227" i="54"/>
  <c r="AL131" i="54"/>
  <c r="AL263" i="54"/>
  <c r="AL347" i="54"/>
  <c r="AL215" i="54"/>
  <c r="AL155" i="54"/>
  <c r="AL203" i="54"/>
  <c r="AL95" i="54"/>
  <c r="AL275" i="54"/>
  <c r="AL59" i="54"/>
  <c r="AL107" i="54"/>
  <c r="AL71" i="54"/>
  <c r="AL83" i="54"/>
  <c r="AL119" i="54"/>
  <c r="AL23" i="54"/>
  <c r="AL35" i="54"/>
  <c r="AL47" i="54"/>
  <c r="AL346" i="54"/>
  <c r="AL310" i="54"/>
  <c r="AL274" i="54"/>
  <c r="AL358" i="54"/>
  <c r="AL322" i="54"/>
  <c r="AL370" i="54"/>
  <c r="AL286" i="54"/>
  <c r="AL298" i="54"/>
  <c r="AL178" i="54"/>
  <c r="AL238" i="54"/>
  <c r="AL226" i="54"/>
  <c r="AL334" i="54"/>
  <c r="AL130" i="54"/>
  <c r="AL118" i="54"/>
  <c r="AL250" i="54"/>
  <c r="AL190" i="54"/>
  <c r="AL166" i="54"/>
  <c r="AL202" i="54"/>
  <c r="AL214" i="54"/>
  <c r="AL46" i="54"/>
  <c r="AL106" i="54"/>
  <c r="AL94" i="54"/>
  <c r="AL262" i="54"/>
  <c r="AL142" i="54"/>
  <c r="AL82" i="54"/>
  <c r="AL34" i="54"/>
  <c r="AL22" i="54"/>
  <c r="AL58" i="54"/>
  <c r="AL154" i="54"/>
  <c r="AL70" i="54"/>
  <c r="AL348" i="54"/>
  <c r="AL360" i="54"/>
  <c r="AL372" i="54"/>
  <c r="AL336" i="54"/>
  <c r="AL300" i="54"/>
  <c r="AL204" i="54"/>
  <c r="AL264" i="54"/>
  <c r="AL324" i="54"/>
  <c r="AL252" i="54"/>
  <c r="AL288" i="54"/>
  <c r="AL216" i="54"/>
  <c r="AL312" i="54"/>
  <c r="AL108" i="54"/>
  <c r="AL156" i="54"/>
  <c r="AL276" i="54"/>
  <c r="AL144" i="54"/>
  <c r="AL120" i="54"/>
  <c r="AL240" i="54"/>
  <c r="AL72" i="54"/>
  <c r="AL168" i="54"/>
  <c r="AL48" i="54"/>
  <c r="AL36" i="54"/>
  <c r="AL180" i="54"/>
  <c r="AL192" i="54"/>
  <c r="AL132" i="54"/>
  <c r="AL24" i="54"/>
  <c r="AL84" i="54"/>
  <c r="AL96" i="54"/>
  <c r="AL60" i="54"/>
  <c r="AL228" i="54"/>
  <c r="AL362" i="54"/>
  <c r="AL338" i="54"/>
  <c r="AL326" i="54"/>
  <c r="AL374" i="54"/>
  <c r="AL350" i="54"/>
  <c r="AL314" i="54"/>
  <c r="AL278" i="54"/>
  <c r="AL182" i="54"/>
  <c r="AL242" i="54"/>
  <c r="AL302" i="54"/>
  <c r="AL266" i="54"/>
  <c r="AL230" i="54"/>
  <c r="AL290" i="54"/>
  <c r="AL122" i="54"/>
  <c r="AL206" i="54"/>
  <c r="AL218" i="54"/>
  <c r="AL194" i="54"/>
  <c r="AL134" i="54"/>
  <c r="AL254" i="54"/>
  <c r="AL50" i="54"/>
  <c r="AL62" i="54"/>
  <c r="AL98" i="54"/>
  <c r="AL146" i="54"/>
  <c r="AL110" i="54"/>
  <c r="AL170" i="54"/>
  <c r="AL86" i="54"/>
  <c r="AL158" i="54"/>
  <c r="AL26" i="54"/>
  <c r="AL74" i="54"/>
  <c r="AL38" i="54"/>
  <c r="AL363" i="54"/>
  <c r="AL327" i="54"/>
  <c r="AL291" i="54"/>
  <c r="AL375" i="54"/>
  <c r="AL339" i="54"/>
  <c r="AL303" i="54"/>
  <c r="AL279" i="54"/>
  <c r="AL195" i="54"/>
  <c r="AL255" i="54"/>
  <c r="AL243" i="54"/>
  <c r="AL315" i="54"/>
  <c r="AL147" i="54"/>
  <c r="AL135" i="54"/>
  <c r="AL171" i="54"/>
  <c r="AL207" i="54"/>
  <c r="AL267" i="54"/>
  <c r="AL183" i="54"/>
  <c r="AL351" i="54"/>
  <c r="AL99" i="54"/>
  <c r="AL63" i="54"/>
  <c r="AL123" i="54"/>
  <c r="AL111" i="54"/>
  <c r="AL231" i="54"/>
  <c r="AL159" i="54"/>
  <c r="AL219" i="54"/>
  <c r="AL27" i="54"/>
  <c r="AL39" i="54"/>
  <c r="AL75" i="54"/>
  <c r="AL87" i="54"/>
  <c r="AL51" i="54"/>
  <c r="AL345" i="54"/>
  <c r="AL309" i="54"/>
  <c r="AL357" i="54"/>
  <c r="AL333" i="54"/>
  <c r="AL369" i="54"/>
  <c r="AL165" i="54"/>
  <c r="AL225" i="54"/>
  <c r="AL213" i="54"/>
  <c r="AL297" i="54"/>
  <c r="AL273" i="54"/>
  <c r="AL261" i="54"/>
  <c r="AL321" i="54"/>
  <c r="AL285" i="54"/>
  <c r="AL105" i="54"/>
  <c r="AL189" i="54"/>
  <c r="AL153" i="54"/>
  <c r="AL201" i="54"/>
  <c r="AL177" i="54"/>
  <c r="AL117" i="54"/>
  <c r="AL249" i="54"/>
  <c r="AL33" i="54"/>
  <c r="AL45" i="54"/>
  <c r="AL81" i="54"/>
  <c r="AL129" i="54"/>
  <c r="AL237" i="54"/>
  <c r="AL93" i="54"/>
  <c r="AL57" i="54"/>
  <c r="AL21" i="54"/>
  <c r="AL141" i="54"/>
  <c r="AL69" i="54"/>
  <c r="AL313" i="54"/>
  <c r="AL361" i="54"/>
  <c r="AL337" i="54"/>
  <c r="AL265" i="54"/>
  <c r="AL349" i="54"/>
  <c r="AL169" i="54"/>
  <c r="AL229" i="54"/>
  <c r="AL217" i="54"/>
  <c r="AL373" i="54"/>
  <c r="AL325" i="54"/>
  <c r="AL277" i="54"/>
  <c r="AL289" i="54"/>
  <c r="AL157" i="54"/>
  <c r="AL241" i="54"/>
  <c r="AL121" i="54"/>
  <c r="AL253" i="54"/>
  <c r="AL109" i="54"/>
  <c r="AL205" i="54"/>
  <c r="AL181" i="54"/>
  <c r="AL85" i="54"/>
  <c r="AL193" i="54"/>
  <c r="AL133" i="54"/>
  <c r="AL301" i="54"/>
  <c r="AL97" i="54"/>
  <c r="AL145" i="54"/>
  <c r="AL37" i="54"/>
  <c r="AL61" i="54"/>
  <c r="AL25" i="54"/>
  <c r="AL49" i="54"/>
  <c r="AL73" i="54"/>
  <c r="AL364" i="54"/>
  <c r="AL328" i="54"/>
  <c r="AL292" i="54"/>
  <c r="AL340" i="54"/>
  <c r="AL304" i="54"/>
  <c r="AL208" i="54"/>
  <c r="AL196" i="54"/>
  <c r="AL280" i="54"/>
  <c r="AL256" i="54"/>
  <c r="AL352" i="54"/>
  <c r="AL244" i="54"/>
  <c r="AL316" i="54"/>
  <c r="AL268" i="54"/>
  <c r="AL172" i="54"/>
  <c r="AL148" i="54"/>
  <c r="AL136" i="54"/>
  <c r="AL184" i="54"/>
  <c r="AL160" i="54"/>
  <c r="AL100" i="54"/>
  <c r="AL232" i="54"/>
  <c r="AL220" i="54"/>
  <c r="AL16" i="54"/>
  <c r="AL28" i="54"/>
  <c r="AL64" i="54"/>
  <c r="AL76" i="54"/>
  <c r="AL112" i="54"/>
  <c r="AL124" i="54"/>
  <c r="AL40" i="54"/>
  <c r="AL52" i="54"/>
  <c r="AL88" i="54"/>
  <c r="AL331" i="54"/>
  <c r="AL343" i="54"/>
  <c r="AL355" i="54"/>
  <c r="AL319" i="54"/>
  <c r="AL283" i="54"/>
  <c r="AL367" i="54"/>
  <c r="AL187" i="54"/>
  <c r="AL247" i="54"/>
  <c r="AL307" i="54"/>
  <c r="AL235" i="54"/>
  <c r="AL271" i="54"/>
  <c r="AL295" i="54"/>
  <c r="AL259" i="54"/>
  <c r="AL139" i="54"/>
  <c r="AL127" i="54"/>
  <c r="AL199" i="54"/>
  <c r="AL223" i="54"/>
  <c r="AL103" i="54"/>
  <c r="AL151" i="54"/>
  <c r="AL91" i="54"/>
  <c r="AL55" i="54"/>
  <c r="AL19" i="54"/>
  <c r="AL163" i="54"/>
  <c r="AL31" i="54"/>
  <c r="AL67" i="54"/>
  <c r="AL79" i="54"/>
  <c r="AL175" i="54"/>
  <c r="AL43" i="54"/>
  <c r="AL115" i="54"/>
  <c r="AL211" i="54"/>
  <c r="AL344" i="54"/>
  <c r="AL320" i="54"/>
  <c r="AL368" i="54"/>
  <c r="AL332" i="54"/>
  <c r="AL296" i="54"/>
  <c r="AL356" i="54"/>
  <c r="AL212" i="54"/>
  <c r="AL200" i="54"/>
  <c r="AL260" i="54"/>
  <c r="AL248" i="54"/>
  <c r="AL308" i="54"/>
  <c r="AL272" i="54"/>
  <c r="AL140" i="54"/>
  <c r="AL224" i="54"/>
  <c r="AL104" i="54"/>
  <c r="AL236" i="54"/>
  <c r="AL152" i="54"/>
  <c r="AL164" i="54"/>
  <c r="AL68" i="54"/>
  <c r="AL80" i="54"/>
  <c r="AL176" i="54"/>
  <c r="AL116" i="54"/>
  <c r="AL188" i="54"/>
  <c r="AL128" i="54"/>
  <c r="AL92" i="54"/>
  <c r="AL20" i="54"/>
  <c r="AL284" i="54"/>
  <c r="AL44" i="54"/>
  <c r="AL32" i="54"/>
  <c r="AL56" i="54"/>
  <c r="H52" i="54"/>
  <c r="H148" i="54"/>
  <c r="H88" i="54"/>
  <c r="H124" i="54"/>
  <c r="H244" i="54"/>
  <c r="H280" i="54"/>
  <c r="H316" i="54"/>
  <c r="H256" i="54"/>
  <c r="H40" i="54"/>
  <c r="H76" i="54"/>
  <c r="H160" i="54"/>
  <c r="H232" i="54"/>
  <c r="H268" i="54"/>
  <c r="H100" i="54"/>
  <c r="H184" i="54"/>
  <c r="H28" i="54"/>
  <c r="H340" i="54"/>
  <c r="H112" i="54"/>
  <c r="H196" i="54"/>
  <c r="H220" i="54"/>
  <c r="H304" i="54"/>
  <c r="H328" i="54"/>
  <c r="H136" i="54"/>
  <c r="H172" i="54"/>
  <c r="H292" i="54"/>
  <c r="H64" i="54"/>
  <c r="H364" i="54"/>
  <c r="H16" i="54"/>
  <c r="H352" i="54"/>
  <c r="H208" i="54"/>
  <c r="H78" i="54"/>
  <c r="H30" i="54"/>
  <c r="H18" i="54"/>
  <c r="H54" i="54"/>
  <c r="H174" i="54"/>
  <c r="H366" i="54"/>
  <c r="H42" i="54"/>
  <c r="H210" i="54"/>
  <c r="H246" i="54"/>
  <c r="H234" i="54"/>
  <c r="H162" i="54"/>
  <c r="H198" i="54"/>
  <c r="H318" i="54"/>
  <c r="H282" i="54"/>
  <c r="H354" i="54"/>
  <c r="H126" i="54"/>
  <c r="H114" i="54"/>
  <c r="H150" i="54"/>
  <c r="H270" i="54"/>
  <c r="H306" i="54"/>
  <c r="H342" i="54"/>
  <c r="H138" i="54"/>
  <c r="H66" i="54"/>
  <c r="H102" i="54"/>
  <c r="H90" i="54"/>
  <c r="H222" i="54"/>
  <c r="H186" i="54"/>
  <c r="H258" i="54"/>
  <c r="H294" i="54"/>
  <c r="H330" i="54"/>
  <c r="H69" i="54"/>
  <c r="H21" i="54"/>
  <c r="H165" i="54"/>
  <c r="H105" i="54"/>
  <c r="H141" i="54"/>
  <c r="H261" i="54"/>
  <c r="H177" i="54"/>
  <c r="H297" i="54"/>
  <c r="H333" i="54"/>
  <c r="H33" i="54"/>
  <c r="H273" i="54"/>
  <c r="H321" i="54"/>
  <c r="H57" i="54"/>
  <c r="H93" i="54"/>
  <c r="H213" i="54"/>
  <c r="H249" i="54"/>
  <c r="H285" i="54"/>
  <c r="H117" i="54"/>
  <c r="H201" i="54"/>
  <c r="H45" i="54"/>
  <c r="H357" i="54"/>
  <c r="H129" i="54"/>
  <c r="H237" i="54"/>
  <c r="H345" i="54"/>
  <c r="H153" i="54"/>
  <c r="H189" i="54"/>
  <c r="H309" i="54"/>
  <c r="H81" i="54"/>
  <c r="H369" i="54"/>
  <c r="H225" i="54"/>
  <c r="H139" i="54"/>
  <c r="H91" i="54"/>
  <c r="H43" i="54"/>
  <c r="H175" i="54"/>
  <c r="H19" i="54"/>
  <c r="H55" i="54"/>
  <c r="H331" i="54"/>
  <c r="H211" i="54"/>
  <c r="H343" i="54"/>
  <c r="H103" i="54"/>
  <c r="H127" i="54"/>
  <c r="H163" i="54"/>
  <c r="H283" i="54"/>
  <c r="H151" i="54"/>
  <c r="H355" i="54"/>
  <c r="H79" i="54"/>
  <c r="H115" i="54"/>
  <c r="H235" i="54"/>
  <c r="H271" i="54"/>
  <c r="H307" i="54"/>
  <c r="H247" i="54"/>
  <c r="H199" i="54"/>
  <c r="H31" i="54"/>
  <c r="H67" i="54"/>
  <c r="H223" i="54"/>
  <c r="H187" i="54"/>
  <c r="H259" i="54"/>
  <c r="H319" i="54"/>
  <c r="H295" i="54"/>
  <c r="H367" i="54"/>
  <c r="H95" i="54"/>
  <c r="H47" i="54"/>
  <c r="H35" i="54"/>
  <c r="H71" i="54"/>
  <c r="H191" i="54"/>
  <c r="H59" i="54"/>
  <c r="H227" i="54"/>
  <c r="H263" i="54"/>
  <c r="H251" i="54"/>
  <c r="H143" i="54"/>
  <c r="H179" i="54"/>
  <c r="H23" i="54"/>
  <c r="H335" i="54"/>
  <c r="H215" i="54"/>
  <c r="H299" i="54"/>
  <c r="H371" i="54"/>
  <c r="H131" i="54"/>
  <c r="H167" i="54"/>
  <c r="H287" i="54"/>
  <c r="H359" i="54"/>
  <c r="H83" i="54"/>
  <c r="H119" i="54"/>
  <c r="H107" i="54"/>
  <c r="H239" i="54"/>
  <c r="H203" i="54"/>
  <c r="H275" i="54"/>
  <c r="H311" i="54"/>
  <c r="H155" i="54"/>
  <c r="H347" i="54"/>
  <c r="H323" i="54"/>
  <c r="H17" i="54"/>
  <c r="H113" i="54"/>
  <c r="H53" i="54"/>
  <c r="H89" i="54"/>
  <c r="H209" i="54"/>
  <c r="H245" i="54"/>
  <c r="H29" i="54"/>
  <c r="H281" i="54"/>
  <c r="H197" i="54"/>
  <c r="H41" i="54"/>
  <c r="H353" i="54"/>
  <c r="H233" i="54"/>
  <c r="H317" i="54"/>
  <c r="H221" i="54"/>
  <c r="H365" i="54"/>
  <c r="H65" i="54"/>
  <c r="H161" i="54"/>
  <c r="H149" i="54"/>
  <c r="H185" i="54"/>
  <c r="H125" i="54"/>
  <c r="H305" i="54"/>
  <c r="H101" i="54"/>
  <c r="H137" i="54"/>
  <c r="H257" i="54"/>
  <c r="H77" i="54"/>
  <c r="H293" i="54"/>
  <c r="H329" i="54"/>
  <c r="H269" i="54"/>
  <c r="H173" i="54"/>
  <c r="H341" i="54"/>
  <c r="H104" i="54"/>
  <c r="H56" i="54"/>
  <c r="H152" i="54"/>
  <c r="H140" i="54"/>
  <c r="H176" i="54"/>
  <c r="H296" i="54"/>
  <c r="H368" i="54"/>
  <c r="H92" i="54"/>
  <c r="H128" i="54"/>
  <c r="H20" i="54"/>
  <c r="H248" i="54"/>
  <c r="H164" i="54"/>
  <c r="H284" i="54"/>
  <c r="H320" i="54"/>
  <c r="H44" i="54"/>
  <c r="H80" i="54"/>
  <c r="H236" i="54"/>
  <c r="H116" i="54"/>
  <c r="H272" i="54"/>
  <c r="H356" i="54"/>
  <c r="H188" i="54"/>
  <c r="H32" i="54"/>
  <c r="H200" i="54"/>
  <c r="H344" i="54"/>
  <c r="H224" i="54"/>
  <c r="H212" i="54"/>
  <c r="H308" i="54"/>
  <c r="H332" i="54"/>
  <c r="H260" i="54"/>
  <c r="H68" i="54"/>
  <c r="H34" i="54"/>
  <c r="H130" i="54"/>
  <c r="H70" i="54"/>
  <c r="H106" i="54"/>
  <c r="H226" i="54"/>
  <c r="H262" i="54"/>
  <c r="H46" i="54"/>
  <c r="H178" i="54"/>
  <c r="H298" i="54"/>
  <c r="H22" i="54"/>
  <c r="H58" i="54"/>
  <c r="H370" i="54"/>
  <c r="H214" i="54"/>
  <c r="H250" i="54"/>
  <c r="H334" i="54"/>
  <c r="H238" i="54"/>
  <c r="H82" i="54"/>
  <c r="H166" i="54"/>
  <c r="H202" i="54"/>
  <c r="H142" i="54"/>
  <c r="H322" i="54"/>
  <c r="H118" i="54"/>
  <c r="H154" i="54"/>
  <c r="H274" i="54"/>
  <c r="H94" i="54"/>
  <c r="H310" i="54"/>
  <c r="H346" i="54"/>
  <c r="H286" i="54"/>
  <c r="H190" i="54"/>
  <c r="H358" i="54"/>
  <c r="H156" i="54"/>
  <c r="H108" i="54"/>
  <c r="H60" i="54"/>
  <c r="H192" i="54"/>
  <c r="H36" i="54"/>
  <c r="H72" i="54"/>
  <c r="H348" i="54"/>
  <c r="H228" i="54"/>
  <c r="H360" i="54"/>
  <c r="H144" i="54"/>
  <c r="H180" i="54"/>
  <c r="H300" i="54"/>
  <c r="H24" i="54"/>
  <c r="H168" i="54"/>
  <c r="H372" i="54"/>
  <c r="H216" i="54"/>
  <c r="H120" i="54"/>
  <c r="H96" i="54"/>
  <c r="H132" i="54"/>
  <c r="H252" i="54"/>
  <c r="H288" i="54"/>
  <c r="H324" i="54"/>
  <c r="H264" i="54"/>
  <c r="H48" i="54"/>
  <c r="H84" i="54"/>
  <c r="H240" i="54"/>
  <c r="H204" i="54"/>
  <c r="H276" i="54"/>
  <c r="H336" i="54"/>
  <c r="H312" i="54"/>
  <c r="H121" i="54"/>
  <c r="H73" i="54"/>
  <c r="H25" i="54"/>
  <c r="H157" i="54"/>
  <c r="H193" i="54"/>
  <c r="H313" i="54"/>
  <c r="H181" i="54"/>
  <c r="H109" i="54"/>
  <c r="H145" i="54"/>
  <c r="H37" i="54"/>
  <c r="H265" i="54"/>
  <c r="H301" i="54"/>
  <c r="H337" i="54"/>
  <c r="H61" i="54"/>
  <c r="H97" i="54"/>
  <c r="H217" i="54"/>
  <c r="H253" i="54"/>
  <c r="H133" i="54"/>
  <c r="H289" i="54"/>
  <c r="H325" i="54"/>
  <c r="H373" i="54"/>
  <c r="H169" i="54"/>
  <c r="H49" i="54"/>
  <c r="H361" i="54"/>
  <c r="H241" i="54"/>
  <c r="H229" i="54"/>
  <c r="H205" i="54"/>
  <c r="H349" i="54"/>
  <c r="H85" i="54"/>
  <c r="H277" i="54"/>
  <c r="H86" i="54"/>
  <c r="H38" i="54"/>
  <c r="H122" i="54"/>
  <c r="H158" i="54"/>
  <c r="H278" i="54"/>
  <c r="H194" i="54"/>
  <c r="H314" i="54"/>
  <c r="H350" i="54"/>
  <c r="H290" i="54"/>
  <c r="H338" i="54"/>
  <c r="H74" i="54"/>
  <c r="H110" i="54"/>
  <c r="H182" i="54"/>
  <c r="H230" i="54"/>
  <c r="H266" i="54"/>
  <c r="H302" i="54"/>
  <c r="H50" i="54"/>
  <c r="H26" i="54"/>
  <c r="H62" i="54"/>
  <c r="H374" i="54"/>
  <c r="H146" i="54"/>
  <c r="H218" i="54"/>
  <c r="H254" i="54"/>
  <c r="H362" i="54"/>
  <c r="H134" i="54"/>
  <c r="H170" i="54"/>
  <c r="H206" i="54"/>
  <c r="H326" i="54"/>
  <c r="H98" i="54"/>
  <c r="H242" i="54"/>
  <c r="H51" i="54"/>
  <c r="H147" i="54"/>
  <c r="H87" i="54"/>
  <c r="H123" i="54"/>
  <c r="H207" i="54"/>
  <c r="H243" i="54"/>
  <c r="H279" i="54"/>
  <c r="H63" i="54"/>
  <c r="H195" i="54"/>
  <c r="H315" i="54"/>
  <c r="H327" i="54"/>
  <c r="H99" i="54"/>
  <c r="H39" i="54"/>
  <c r="H75" i="54"/>
  <c r="H231" i="54"/>
  <c r="H267" i="54"/>
  <c r="H351" i="54"/>
  <c r="H255" i="54"/>
  <c r="H183" i="54"/>
  <c r="H27" i="54"/>
  <c r="H159" i="54"/>
  <c r="H339" i="54"/>
  <c r="H219" i="54"/>
  <c r="H135" i="54"/>
  <c r="H171" i="54"/>
  <c r="H291" i="54"/>
  <c r="H111" i="54"/>
  <c r="H363" i="54"/>
  <c r="H303" i="54"/>
  <c r="H375" i="54"/>
  <c r="AV354" i="54"/>
  <c r="AV342" i="54"/>
  <c r="AV366" i="54"/>
  <c r="AV270" i="54"/>
  <c r="AV318" i="54"/>
  <c r="AV330" i="54"/>
  <c r="AV294" i="54"/>
  <c r="AV258" i="54"/>
  <c r="AV246" i="54"/>
  <c r="AV222" i="54"/>
  <c r="AV234" i="54"/>
  <c r="AV210" i="54"/>
  <c r="AV282" i="54"/>
  <c r="AV162" i="54"/>
  <c r="AV306" i="54"/>
  <c r="AV174" i="54"/>
  <c r="AV90" i="54"/>
  <c r="AV54" i="54"/>
  <c r="AV114" i="54"/>
  <c r="AV138" i="54"/>
  <c r="AV198" i="54"/>
  <c r="AV102" i="54"/>
  <c r="AV150" i="54"/>
  <c r="AV126" i="54"/>
  <c r="AV30" i="54"/>
  <c r="AV186" i="54"/>
  <c r="AV66" i="54"/>
  <c r="AV78" i="54"/>
  <c r="AV42" i="54"/>
  <c r="AV18" i="54"/>
  <c r="AV357" i="54"/>
  <c r="AV261" i="54"/>
  <c r="AV309" i="54"/>
  <c r="AV321" i="54"/>
  <c r="AV345" i="54"/>
  <c r="AV249" i="54"/>
  <c r="AV333" i="54"/>
  <c r="AV201" i="54"/>
  <c r="AV153" i="54"/>
  <c r="AV165" i="54"/>
  <c r="AV369" i="54"/>
  <c r="AV213" i="54"/>
  <c r="AV141" i="54"/>
  <c r="AV225" i="54"/>
  <c r="AV177" i="54"/>
  <c r="AV297" i="54"/>
  <c r="AV57" i="54"/>
  <c r="AV117" i="54"/>
  <c r="AV237" i="54"/>
  <c r="AV81" i="54"/>
  <c r="AV285" i="54"/>
  <c r="AV45" i="54"/>
  <c r="AV105" i="54"/>
  <c r="AV69" i="54"/>
  <c r="AV189" i="54"/>
  <c r="AV33" i="54"/>
  <c r="AV93" i="54"/>
  <c r="AV21" i="54"/>
  <c r="AV273" i="54"/>
  <c r="AV129" i="54"/>
  <c r="AB367" i="54"/>
  <c r="AB295" i="54"/>
  <c r="AB355" i="54"/>
  <c r="AB211" i="54"/>
  <c r="AB283" i="54"/>
  <c r="AB307" i="54"/>
  <c r="AB271" i="54"/>
  <c r="AB235" i="54"/>
  <c r="AB259" i="54"/>
  <c r="AB331" i="54"/>
  <c r="AB319" i="54"/>
  <c r="AB247" i="54"/>
  <c r="AB343" i="54"/>
  <c r="AB187" i="54"/>
  <c r="AB151" i="54"/>
  <c r="AB91" i="54"/>
  <c r="AB115" i="54"/>
  <c r="AB67" i="54"/>
  <c r="AB103" i="54"/>
  <c r="AB139" i="54"/>
  <c r="AB175" i="54"/>
  <c r="AB31" i="54"/>
  <c r="AB223" i="54"/>
  <c r="AB127" i="54"/>
  <c r="AB199" i="54"/>
  <c r="AB163" i="54"/>
  <c r="AB43" i="54"/>
  <c r="AB79" i="54"/>
  <c r="AB55" i="54"/>
  <c r="AB19" i="54"/>
  <c r="AB371" i="54"/>
  <c r="AB287" i="54"/>
  <c r="AB359" i="54"/>
  <c r="AB323" i="54"/>
  <c r="AB299" i="54"/>
  <c r="AB347" i="54"/>
  <c r="AB311" i="54"/>
  <c r="AB215" i="54"/>
  <c r="AB227" i="54"/>
  <c r="AB239" i="54"/>
  <c r="AB335" i="54"/>
  <c r="AB263" i="54"/>
  <c r="AB203" i="54"/>
  <c r="AB167" i="54"/>
  <c r="AB191" i="54"/>
  <c r="AB179" i="54"/>
  <c r="AB131" i="54"/>
  <c r="AB35" i="54"/>
  <c r="AB119" i="54"/>
  <c r="AB47" i="54"/>
  <c r="AB59" i="54"/>
  <c r="AB23" i="54"/>
  <c r="AB251" i="54"/>
  <c r="AB155" i="54"/>
  <c r="AB95" i="54"/>
  <c r="AB83" i="54"/>
  <c r="AB71" i="54"/>
  <c r="AB275" i="54"/>
  <c r="AB143" i="54"/>
  <c r="AB107" i="54"/>
  <c r="AB353" i="54"/>
  <c r="AB329" i="54"/>
  <c r="AB281" i="54"/>
  <c r="AB257" i="54"/>
  <c r="AB317" i="54"/>
  <c r="AB365" i="54"/>
  <c r="AB341" i="54"/>
  <c r="AB245" i="54"/>
  <c r="AB305" i="54"/>
  <c r="AB233" i="54"/>
  <c r="AB293" i="54"/>
  <c r="AB209" i="54"/>
  <c r="AB269" i="54"/>
  <c r="AB125" i="54"/>
  <c r="AB161" i="54"/>
  <c r="AB185" i="54"/>
  <c r="AB41" i="54"/>
  <c r="AB113" i="54"/>
  <c r="AB53" i="54"/>
  <c r="AB17" i="54"/>
  <c r="AB149" i="54"/>
  <c r="AB89" i="54"/>
  <c r="AB77" i="54"/>
  <c r="AB65" i="54"/>
  <c r="AB221" i="54"/>
  <c r="AB137" i="54"/>
  <c r="AB101" i="54"/>
  <c r="AB197" i="54"/>
  <c r="AB173" i="54"/>
  <c r="AB29" i="54"/>
  <c r="AB312" i="54"/>
  <c r="AB276" i="54"/>
  <c r="AB360" i="54"/>
  <c r="AB264" i="54"/>
  <c r="AB372" i="54"/>
  <c r="AB324" i="54"/>
  <c r="AB300" i="54"/>
  <c r="AB348" i="54"/>
  <c r="AB252" i="54"/>
  <c r="AB228" i="54"/>
  <c r="AB336" i="54"/>
  <c r="AB288" i="54"/>
  <c r="AB216" i="54"/>
  <c r="AB240" i="54"/>
  <c r="AB108" i="54"/>
  <c r="AB168" i="54"/>
  <c r="AB96" i="54"/>
  <c r="AB24" i="54"/>
  <c r="AB204" i="54"/>
  <c r="AB132" i="54"/>
  <c r="AB156" i="54"/>
  <c r="AB192" i="54"/>
  <c r="AB84" i="54"/>
  <c r="AB48" i="54"/>
  <c r="AB120" i="54"/>
  <c r="AB144" i="54"/>
  <c r="AB36" i="54"/>
  <c r="AB180" i="54"/>
  <c r="AB60" i="54"/>
  <c r="AB72" i="54"/>
  <c r="AV313" i="54"/>
  <c r="AV349" i="54"/>
  <c r="AV337" i="54"/>
  <c r="AV265" i="54"/>
  <c r="AV361" i="54"/>
  <c r="AV205" i="54"/>
  <c r="AV373" i="54"/>
  <c r="AV277" i="54"/>
  <c r="AV169" i="54"/>
  <c r="AV301" i="54"/>
  <c r="AV289" i="54"/>
  <c r="AV217" i="54"/>
  <c r="AV325" i="54"/>
  <c r="AV253" i="54"/>
  <c r="AV229" i="54"/>
  <c r="AV181" i="54"/>
  <c r="AV61" i="54"/>
  <c r="AV85" i="54"/>
  <c r="AV49" i="54"/>
  <c r="AV109" i="54"/>
  <c r="AV241" i="54"/>
  <c r="AV133" i="54"/>
  <c r="AV97" i="54"/>
  <c r="AV193" i="54"/>
  <c r="AV121" i="54"/>
  <c r="AV157" i="54"/>
  <c r="AV25" i="54"/>
  <c r="AV73" i="54"/>
  <c r="AV37" i="54"/>
  <c r="AV145" i="54"/>
  <c r="AV374" i="54"/>
  <c r="AV278" i="54"/>
  <c r="AV338" i="54"/>
  <c r="AV362" i="54"/>
  <c r="AV266" i="54"/>
  <c r="AV170" i="54"/>
  <c r="AV218" i="54"/>
  <c r="AV290" i="54"/>
  <c r="AV326" i="54"/>
  <c r="AV302" i="54"/>
  <c r="AV350" i="54"/>
  <c r="AV182" i="54"/>
  <c r="AV230" i="54"/>
  <c r="AV242" i="54"/>
  <c r="AV314" i="54"/>
  <c r="AV194" i="54"/>
  <c r="AV50" i="54"/>
  <c r="AV158" i="54"/>
  <c r="AV74" i="54"/>
  <c r="AV134" i="54"/>
  <c r="AV254" i="54"/>
  <c r="AV98" i="54"/>
  <c r="AV62" i="54"/>
  <c r="AV122" i="54"/>
  <c r="AV110" i="54"/>
  <c r="AV86" i="54"/>
  <c r="AV146" i="54"/>
  <c r="AV26" i="54"/>
  <c r="AV38" i="54"/>
  <c r="AV206" i="54"/>
  <c r="AB303" i="54"/>
  <c r="AB291" i="54"/>
  <c r="AB339" i="54"/>
  <c r="AB219" i="54"/>
  <c r="AB363" i="54"/>
  <c r="AB375" i="54"/>
  <c r="AB255" i="54"/>
  <c r="AB243" i="54"/>
  <c r="AB267" i="54"/>
  <c r="AB351" i="54"/>
  <c r="AB195" i="54"/>
  <c r="AB327" i="54"/>
  <c r="AB315" i="54"/>
  <c r="AB279" i="54"/>
  <c r="AB231" i="54"/>
  <c r="AB159" i="54"/>
  <c r="AB99" i="54"/>
  <c r="AB207" i="54"/>
  <c r="AB147" i="54"/>
  <c r="AB75" i="54"/>
  <c r="AB135" i="54"/>
  <c r="AB171" i="54"/>
  <c r="AB183" i="54"/>
  <c r="AB51" i="54"/>
  <c r="AB87" i="54"/>
  <c r="AB123" i="54"/>
  <c r="AB39" i="54"/>
  <c r="AB111" i="54"/>
  <c r="AB63" i="54"/>
  <c r="AB27" i="54"/>
  <c r="AV364" i="54"/>
  <c r="AV340" i="54"/>
  <c r="AV244" i="54"/>
  <c r="AV292" i="54"/>
  <c r="AV304" i="54"/>
  <c r="AV328" i="54"/>
  <c r="AV316" i="54"/>
  <c r="AV352" i="54"/>
  <c r="AV184" i="54"/>
  <c r="AV256" i="54"/>
  <c r="AV232" i="54"/>
  <c r="AV148" i="54"/>
  <c r="AV280" i="54"/>
  <c r="AV196" i="54"/>
  <c r="AV268" i="54"/>
  <c r="AV124" i="54"/>
  <c r="AV208" i="54"/>
  <c r="AV160" i="54"/>
  <c r="AV220" i="54"/>
  <c r="AV64" i="54"/>
  <c r="AV88" i="54"/>
  <c r="AV112" i="54"/>
  <c r="AV40" i="54"/>
  <c r="AV136" i="54"/>
  <c r="AV16" i="54"/>
  <c r="AV100" i="54"/>
  <c r="AV52" i="54"/>
  <c r="AV172" i="54"/>
  <c r="AV76" i="54"/>
  <c r="AV28" i="54"/>
  <c r="AB285" i="54"/>
  <c r="AB321" i="54"/>
  <c r="AB357" i="54"/>
  <c r="AB369" i="54"/>
  <c r="AB333" i="54"/>
  <c r="AB297" i="54"/>
  <c r="AB213" i="54"/>
  <c r="AB273" i="54"/>
  <c r="AB261" i="54"/>
  <c r="AB225" i="54"/>
  <c r="AB345" i="54"/>
  <c r="AB249" i="54"/>
  <c r="AB309" i="54"/>
  <c r="AB141" i="54"/>
  <c r="AB201" i="54"/>
  <c r="AB33" i="54"/>
  <c r="AB237" i="54"/>
  <c r="AB165" i="54"/>
  <c r="AB177" i="54"/>
  <c r="AB129" i="54"/>
  <c r="AB117" i="54"/>
  <c r="AB45" i="54"/>
  <c r="AB81" i="54"/>
  <c r="AB57" i="54"/>
  <c r="AB21" i="54"/>
  <c r="AB189" i="54"/>
  <c r="AB153" i="54"/>
  <c r="AB93" i="54"/>
  <c r="AB69" i="54"/>
  <c r="AB105" i="54"/>
  <c r="AB368" i="54"/>
  <c r="AB260" i="54"/>
  <c r="AB272" i="54"/>
  <c r="AB284" i="54"/>
  <c r="AB332" i="54"/>
  <c r="AB296" i="54"/>
  <c r="AB236" i="54"/>
  <c r="AB320" i="54"/>
  <c r="AB344" i="54"/>
  <c r="AB308" i="54"/>
  <c r="AB200" i="54"/>
  <c r="AB248" i="54"/>
  <c r="AB356" i="54"/>
  <c r="AB80" i="54"/>
  <c r="AB32" i="54"/>
  <c r="AB44" i="54"/>
  <c r="AB224" i="54"/>
  <c r="AB188" i="54"/>
  <c r="AB116" i="54"/>
  <c r="AB140" i="54"/>
  <c r="AB56" i="54"/>
  <c r="AB68" i="54"/>
  <c r="AB104" i="54"/>
  <c r="AB128" i="54"/>
  <c r="AB92" i="54"/>
  <c r="AB20" i="54"/>
  <c r="AB212" i="54"/>
  <c r="AB152" i="54"/>
  <c r="AB164" i="54"/>
  <c r="AB176" i="54"/>
  <c r="AB370" i="54"/>
  <c r="AB358" i="54"/>
  <c r="AB346" i="54"/>
  <c r="AB310" i="54"/>
  <c r="AB262" i="54"/>
  <c r="AB250" i="54"/>
  <c r="AB322" i="54"/>
  <c r="AB334" i="54"/>
  <c r="AB274" i="54"/>
  <c r="AB286" i="54"/>
  <c r="AB298" i="54"/>
  <c r="AB238" i="54"/>
  <c r="AB118" i="54"/>
  <c r="AB142" i="54"/>
  <c r="AB58" i="54"/>
  <c r="AB70" i="54"/>
  <c r="AB34" i="54"/>
  <c r="AB214" i="54"/>
  <c r="AB202" i="54"/>
  <c r="AB106" i="54"/>
  <c r="AB166" i="54"/>
  <c r="AB94" i="54"/>
  <c r="AB22" i="54"/>
  <c r="AB130" i="54"/>
  <c r="AB226" i="54"/>
  <c r="AB190" i="54"/>
  <c r="AB154" i="54"/>
  <c r="AB82" i="54"/>
  <c r="AB178" i="54"/>
  <c r="AB46" i="54"/>
  <c r="AV336" i="54"/>
  <c r="AV324" i="54"/>
  <c r="AV372" i="54"/>
  <c r="AV312" i="54"/>
  <c r="AV264" i="54"/>
  <c r="AV240" i="54"/>
  <c r="AV348" i="54"/>
  <c r="AV300" i="54"/>
  <c r="AV204" i="54"/>
  <c r="AV288" i="54"/>
  <c r="AV216" i="54"/>
  <c r="AV276" i="54"/>
  <c r="AV72" i="54"/>
  <c r="AV180" i="54"/>
  <c r="AV96" i="54"/>
  <c r="AV36" i="54"/>
  <c r="AV156" i="54"/>
  <c r="AV120" i="54"/>
  <c r="AV84" i="54"/>
  <c r="AV144" i="54"/>
  <c r="AV192" i="54"/>
  <c r="AV360" i="54"/>
  <c r="AV132" i="54"/>
  <c r="AV252" i="54"/>
  <c r="AV168" i="54"/>
  <c r="AV228" i="54"/>
  <c r="AV60" i="54"/>
  <c r="AV24" i="54"/>
  <c r="AV108" i="54"/>
  <c r="AV48" i="54"/>
  <c r="AB361" i="54"/>
  <c r="AB337" i="54"/>
  <c r="AB289" i="54"/>
  <c r="AB325" i="54"/>
  <c r="AB217" i="54"/>
  <c r="AB301" i="54"/>
  <c r="AB373" i="54"/>
  <c r="AB349" i="54"/>
  <c r="AB265" i="54"/>
  <c r="AB313" i="54"/>
  <c r="AB277" i="54"/>
  <c r="AB253" i="54"/>
  <c r="AB241" i="54"/>
  <c r="AB205" i="54"/>
  <c r="AB85" i="54"/>
  <c r="AB61" i="54"/>
  <c r="AB25" i="54"/>
  <c r="AB157" i="54"/>
  <c r="AB97" i="54"/>
  <c r="AB193" i="54"/>
  <c r="AB109" i="54"/>
  <c r="AB73" i="54"/>
  <c r="AB145" i="54"/>
  <c r="AB133" i="54"/>
  <c r="AB229" i="54"/>
  <c r="AB169" i="54"/>
  <c r="AB181" i="54"/>
  <c r="AB49" i="54"/>
  <c r="AB37" i="54"/>
  <c r="AB121" i="54"/>
  <c r="AB304" i="54"/>
  <c r="AB268" i="54"/>
  <c r="AB364" i="54"/>
  <c r="AB244" i="54"/>
  <c r="AB220" i="54"/>
  <c r="AB352" i="54"/>
  <c r="AB316" i="54"/>
  <c r="AB280" i="54"/>
  <c r="AB328" i="54"/>
  <c r="AB208" i="54"/>
  <c r="AB232" i="54"/>
  <c r="AB340" i="54"/>
  <c r="AB256" i="54"/>
  <c r="AB292" i="54"/>
  <c r="AB196" i="54"/>
  <c r="AB100" i="54"/>
  <c r="AB124" i="54"/>
  <c r="AB88" i="54"/>
  <c r="AB172" i="54"/>
  <c r="AB16" i="54"/>
  <c r="AB184" i="54"/>
  <c r="AB148" i="54"/>
  <c r="AB76" i="54"/>
  <c r="AB112" i="54"/>
  <c r="AB28" i="54"/>
  <c r="AB40" i="54"/>
  <c r="AB136" i="54"/>
  <c r="AB52" i="54"/>
  <c r="AB160" i="54"/>
  <c r="AB64" i="54"/>
  <c r="AB366" i="54"/>
  <c r="AB342" i="54"/>
  <c r="AB306" i="54"/>
  <c r="AB246" i="54"/>
  <c r="AB270" i="54"/>
  <c r="AB354" i="54"/>
  <c r="AB234" i="54"/>
  <c r="AB330" i="54"/>
  <c r="AB294" i="54"/>
  <c r="AB282" i="54"/>
  <c r="AB258" i="54"/>
  <c r="AB318" i="54"/>
  <c r="AB222" i="54"/>
  <c r="AB186" i="54"/>
  <c r="AB150" i="54"/>
  <c r="AB78" i="54"/>
  <c r="AB198" i="54"/>
  <c r="AB174" i="54"/>
  <c r="AB30" i="54"/>
  <c r="AB42" i="54"/>
  <c r="AB210" i="54"/>
  <c r="AB114" i="54"/>
  <c r="AB138" i="54"/>
  <c r="AB54" i="54"/>
  <c r="AB66" i="54"/>
  <c r="AB102" i="54"/>
  <c r="AB126" i="54"/>
  <c r="AB90" i="54"/>
  <c r="AB18" i="54"/>
  <c r="AB162" i="54"/>
  <c r="AV367" i="54"/>
  <c r="AV355" i="54"/>
  <c r="AV247" i="54"/>
  <c r="AV223" i="54"/>
  <c r="AV295" i="54"/>
  <c r="AV307" i="54"/>
  <c r="AV187" i="54"/>
  <c r="AV271" i="54"/>
  <c r="AV235" i="54"/>
  <c r="AV319" i="54"/>
  <c r="AV199" i="54"/>
  <c r="AV55" i="54"/>
  <c r="AV163" i="54"/>
  <c r="AV151" i="54"/>
  <c r="AV343" i="54"/>
  <c r="AV79" i="54"/>
  <c r="AV19" i="54"/>
  <c r="AV103" i="54"/>
  <c r="AV67" i="54"/>
  <c r="AV127" i="54"/>
  <c r="AV283" i="54"/>
  <c r="AV175" i="54"/>
  <c r="AV259" i="54"/>
  <c r="AV115" i="54"/>
  <c r="AV31" i="54"/>
  <c r="AV331" i="54"/>
  <c r="AV43" i="54"/>
  <c r="AV139" i="54"/>
  <c r="AV211" i="54"/>
  <c r="AV91" i="54"/>
  <c r="AV329" i="54"/>
  <c r="AV365" i="54"/>
  <c r="AV257" i="54"/>
  <c r="AV269" i="54"/>
  <c r="AV305" i="54"/>
  <c r="AV317" i="54"/>
  <c r="AV353" i="54"/>
  <c r="AV293" i="54"/>
  <c r="AV341" i="54"/>
  <c r="AV197" i="54"/>
  <c r="AV149" i="54"/>
  <c r="AV281" i="54"/>
  <c r="AV161" i="54"/>
  <c r="AV125" i="54"/>
  <c r="AV89" i="54"/>
  <c r="AV65" i="54"/>
  <c r="AV185" i="54"/>
  <c r="AV137" i="54"/>
  <c r="AV221" i="54"/>
  <c r="AV173" i="54"/>
  <c r="AV233" i="54"/>
  <c r="AV113" i="54"/>
  <c r="AV209" i="54"/>
  <c r="AV245" i="54"/>
  <c r="AV41" i="54"/>
  <c r="AV29" i="54"/>
  <c r="AV77" i="54"/>
  <c r="AV53" i="54"/>
  <c r="AV101" i="54"/>
  <c r="AV17" i="54"/>
  <c r="AV371" i="54"/>
  <c r="AV359" i="54"/>
  <c r="AV287" i="54"/>
  <c r="AV299" i="54"/>
  <c r="AV347" i="54"/>
  <c r="AV311" i="54"/>
  <c r="AV275" i="54"/>
  <c r="AV323" i="54"/>
  <c r="AV227" i="54"/>
  <c r="AV263" i="54"/>
  <c r="AV239" i="54"/>
  <c r="AV335" i="54"/>
  <c r="AV179" i="54"/>
  <c r="AV167" i="54"/>
  <c r="AV107" i="54"/>
  <c r="AV71" i="54"/>
  <c r="AV131" i="54"/>
  <c r="AV215" i="54"/>
  <c r="AV119" i="54"/>
  <c r="AV143" i="54"/>
  <c r="AV191" i="54"/>
  <c r="AV23" i="54"/>
  <c r="AV251" i="54"/>
  <c r="AV203" i="54"/>
  <c r="AV59" i="54"/>
  <c r="AV155" i="54"/>
  <c r="AV83" i="54"/>
  <c r="AV47" i="54"/>
  <c r="AV95" i="54"/>
  <c r="AV35" i="54"/>
  <c r="AV296" i="54"/>
  <c r="AV308" i="54"/>
  <c r="AV332" i="54"/>
  <c r="AV248" i="54"/>
  <c r="AV344" i="54"/>
  <c r="AV188" i="54"/>
  <c r="AV260" i="54"/>
  <c r="AV236" i="54"/>
  <c r="AV356" i="54"/>
  <c r="AV284" i="54"/>
  <c r="AV320" i="54"/>
  <c r="AV152" i="54"/>
  <c r="AV368" i="54"/>
  <c r="AV272" i="54"/>
  <c r="AV200" i="54"/>
  <c r="AV212" i="54"/>
  <c r="AV164" i="54"/>
  <c r="AV68" i="54"/>
  <c r="AV92" i="54"/>
  <c r="AV116" i="54"/>
  <c r="AV80" i="54"/>
  <c r="AV176" i="54"/>
  <c r="AV140" i="54"/>
  <c r="AV128" i="54"/>
  <c r="AV224" i="54"/>
  <c r="AV104" i="54"/>
  <c r="AV32" i="54"/>
  <c r="AV56" i="54"/>
  <c r="AV20" i="54"/>
  <c r="AV44" i="54"/>
  <c r="AV346" i="54"/>
  <c r="AV274" i="54"/>
  <c r="AV286" i="54"/>
  <c r="AV322" i="54"/>
  <c r="AV298" i="54"/>
  <c r="AV370" i="54"/>
  <c r="AV358" i="54"/>
  <c r="AV310" i="54"/>
  <c r="AV214" i="54"/>
  <c r="AV166" i="54"/>
  <c r="AV178" i="54"/>
  <c r="AV154" i="54"/>
  <c r="AV142" i="54"/>
  <c r="AV106" i="54"/>
  <c r="AV82" i="54"/>
  <c r="AV202" i="54"/>
  <c r="AV226" i="54"/>
  <c r="AV190" i="54"/>
  <c r="AV46" i="54"/>
  <c r="AV58" i="54"/>
  <c r="AV130" i="54"/>
  <c r="AV334" i="54"/>
  <c r="AV94" i="54"/>
  <c r="AV118" i="54"/>
  <c r="AV70" i="54"/>
  <c r="AV22" i="54"/>
  <c r="AV34" i="54"/>
  <c r="AV238" i="54"/>
  <c r="AV262" i="54"/>
  <c r="AV250" i="54"/>
  <c r="AB374" i="54"/>
  <c r="AB254" i="54"/>
  <c r="AB350" i="54"/>
  <c r="AB314" i="54"/>
  <c r="AB266" i="54"/>
  <c r="AB230" i="54"/>
  <c r="AB362" i="54"/>
  <c r="AB290" i="54"/>
  <c r="AB242" i="54"/>
  <c r="AB278" i="54"/>
  <c r="AB338" i="54"/>
  <c r="AB302" i="54"/>
  <c r="AB326" i="54"/>
  <c r="AB218" i="54"/>
  <c r="AB134" i="54"/>
  <c r="AB158" i="54"/>
  <c r="AB182" i="54"/>
  <c r="AB194" i="54"/>
  <c r="AB86" i="54"/>
  <c r="AB50" i="54"/>
  <c r="AB122" i="54"/>
  <c r="AB206" i="54"/>
  <c r="AB146" i="54"/>
  <c r="AB38" i="54"/>
  <c r="AB62" i="54"/>
  <c r="AB74" i="54"/>
  <c r="AB110" i="54"/>
  <c r="AB170" i="54"/>
  <c r="AB98" i="54"/>
  <c r="AB26" i="54"/>
  <c r="AV363" i="54"/>
  <c r="AV291" i="54"/>
  <c r="AV303" i="54"/>
  <c r="AV327" i="54"/>
  <c r="AV339" i="54"/>
  <c r="AV315" i="54"/>
  <c r="AV375" i="54"/>
  <c r="AV255" i="54"/>
  <c r="AV183" i="54"/>
  <c r="AV351" i="54"/>
  <c r="AV195" i="54"/>
  <c r="AV231" i="54"/>
  <c r="AV123" i="54"/>
  <c r="AV267" i="54"/>
  <c r="AV99" i="54"/>
  <c r="AV51" i="54"/>
  <c r="AV243" i="54"/>
  <c r="AV159" i="54"/>
  <c r="AV219" i="54"/>
  <c r="AV279" i="54"/>
  <c r="AV207" i="54"/>
  <c r="AV63" i="54"/>
  <c r="AV87" i="54"/>
  <c r="AV111" i="54"/>
  <c r="AV27" i="54"/>
  <c r="AV147" i="54"/>
  <c r="AV135" i="54"/>
  <c r="AV171" i="54"/>
  <c r="AV39" i="54"/>
  <c r="AV75" i="54"/>
  <c r="R256" i="54"/>
  <c r="R268" i="54"/>
  <c r="R184" i="54"/>
  <c r="R76" i="54"/>
  <c r="R196" i="54"/>
  <c r="R304" i="54"/>
  <c r="R316" i="54"/>
  <c r="R124" i="54"/>
  <c r="R232" i="54"/>
  <c r="R292" i="54"/>
  <c r="R16" i="54"/>
  <c r="R40" i="54"/>
  <c r="R352" i="54"/>
  <c r="R160" i="54"/>
  <c r="R172" i="54"/>
  <c r="R280" i="54"/>
  <c r="R64" i="54"/>
  <c r="R148" i="54"/>
  <c r="R88" i="54"/>
  <c r="R244" i="54"/>
  <c r="R100" i="54"/>
  <c r="R208" i="54"/>
  <c r="R220" i="54"/>
  <c r="R364" i="54"/>
  <c r="R328" i="54"/>
  <c r="R136" i="54"/>
  <c r="R112" i="54"/>
  <c r="R340" i="54"/>
  <c r="R28" i="54"/>
  <c r="R52" i="54"/>
  <c r="R186" i="54"/>
  <c r="R198" i="54"/>
  <c r="R306" i="54"/>
  <c r="R90" i="54"/>
  <c r="R114" i="54"/>
  <c r="R234" i="54"/>
  <c r="R246" i="54"/>
  <c r="R354" i="54"/>
  <c r="R162" i="54"/>
  <c r="R270" i="54"/>
  <c r="R54" i="54"/>
  <c r="R78" i="54"/>
  <c r="R366" i="54"/>
  <c r="R282" i="54"/>
  <c r="R294" i="54"/>
  <c r="R210" i="54"/>
  <c r="R102" i="54"/>
  <c r="R126" i="54"/>
  <c r="R18" i="54"/>
  <c r="R174" i="54"/>
  <c r="R30" i="54"/>
  <c r="R330" i="54"/>
  <c r="R138" i="54"/>
  <c r="R342" i="54"/>
  <c r="R150" i="54"/>
  <c r="R258" i="54"/>
  <c r="R222" i="54"/>
  <c r="R42" i="54"/>
  <c r="R318" i="54"/>
  <c r="R66" i="54"/>
  <c r="R369" i="54"/>
  <c r="R273" i="54"/>
  <c r="R285" i="54"/>
  <c r="R201" i="54"/>
  <c r="R93" i="54"/>
  <c r="R213" i="54"/>
  <c r="R321" i="54"/>
  <c r="R129" i="54"/>
  <c r="R333" i="54"/>
  <c r="R141" i="54"/>
  <c r="R249" i="54"/>
  <c r="R309" i="54"/>
  <c r="R33" i="54"/>
  <c r="R57" i="54"/>
  <c r="R261" i="54"/>
  <c r="R117" i="54"/>
  <c r="R177" i="54"/>
  <c r="R189" i="54"/>
  <c r="R297" i="54"/>
  <c r="R81" i="54"/>
  <c r="R165" i="54"/>
  <c r="R105" i="54"/>
  <c r="R225" i="54"/>
  <c r="R237" i="54"/>
  <c r="R345" i="54"/>
  <c r="R153" i="54"/>
  <c r="R357" i="54"/>
  <c r="R45" i="54"/>
  <c r="R21" i="54"/>
  <c r="R69" i="54"/>
  <c r="R343" i="54"/>
  <c r="R151" i="54"/>
  <c r="R355" i="54"/>
  <c r="R163" i="54"/>
  <c r="R271" i="54"/>
  <c r="R55" i="54"/>
  <c r="R235" i="54"/>
  <c r="R79" i="54"/>
  <c r="R43" i="54"/>
  <c r="R199" i="54"/>
  <c r="R211" i="54"/>
  <c r="R319" i="54"/>
  <c r="R127" i="54"/>
  <c r="R103" i="54"/>
  <c r="R19" i="54"/>
  <c r="R91" i="54"/>
  <c r="R139" i="54"/>
  <c r="R247" i="54"/>
  <c r="R259" i="54"/>
  <c r="R175" i="54"/>
  <c r="R187" i="54"/>
  <c r="R67" i="54"/>
  <c r="R283" i="54"/>
  <c r="R367" i="54"/>
  <c r="R295" i="54"/>
  <c r="R307" i="54"/>
  <c r="R223" i="54"/>
  <c r="R115" i="54"/>
  <c r="R31" i="54"/>
  <c r="R331" i="54"/>
  <c r="R203" i="54"/>
  <c r="R215" i="54"/>
  <c r="R323" i="54"/>
  <c r="R131" i="54"/>
  <c r="R107" i="54"/>
  <c r="R23" i="54"/>
  <c r="R251" i="54"/>
  <c r="R263" i="54"/>
  <c r="R179" i="54"/>
  <c r="R287" i="54"/>
  <c r="R71" i="54"/>
  <c r="R95" i="54"/>
  <c r="R47" i="54"/>
  <c r="R371" i="54"/>
  <c r="R299" i="54"/>
  <c r="R311" i="54"/>
  <c r="R227" i="54"/>
  <c r="R119" i="54"/>
  <c r="R143" i="54"/>
  <c r="R35" i="54"/>
  <c r="R347" i="54"/>
  <c r="R155" i="54"/>
  <c r="R359" i="54"/>
  <c r="R167" i="54"/>
  <c r="R275" i="54"/>
  <c r="R239" i="54"/>
  <c r="R59" i="54"/>
  <c r="R335" i="54"/>
  <c r="R83" i="54"/>
  <c r="R191" i="54"/>
  <c r="R221" i="54"/>
  <c r="R233" i="54"/>
  <c r="R341" i="54"/>
  <c r="R149" i="54"/>
  <c r="R257" i="54"/>
  <c r="R41" i="54"/>
  <c r="R353" i="54"/>
  <c r="R365" i="54"/>
  <c r="R269" i="54"/>
  <c r="R281" i="54"/>
  <c r="R197" i="54"/>
  <c r="R89" i="54"/>
  <c r="R209" i="54"/>
  <c r="R317" i="54"/>
  <c r="R125" i="54"/>
  <c r="R329" i="54"/>
  <c r="R137" i="54"/>
  <c r="R245" i="54"/>
  <c r="R29" i="54"/>
  <c r="R305" i="54"/>
  <c r="R53" i="54"/>
  <c r="R113" i="54"/>
  <c r="R17" i="54"/>
  <c r="R65" i="54"/>
  <c r="R173" i="54"/>
  <c r="R185" i="54"/>
  <c r="R293" i="54"/>
  <c r="R77" i="54"/>
  <c r="R161" i="54"/>
  <c r="R101" i="54"/>
  <c r="R308" i="54"/>
  <c r="R320" i="54"/>
  <c r="R128" i="54"/>
  <c r="R236" i="54"/>
  <c r="R20" i="54"/>
  <c r="R44" i="54"/>
  <c r="R56" i="54"/>
  <c r="R104" i="54"/>
  <c r="R356" i="54"/>
  <c r="R164" i="54"/>
  <c r="R176" i="54"/>
  <c r="R284" i="54"/>
  <c r="R152" i="54"/>
  <c r="R68" i="54"/>
  <c r="R248" i="54"/>
  <c r="R92" i="54"/>
  <c r="R296" i="54"/>
  <c r="R212" i="54"/>
  <c r="R368" i="54"/>
  <c r="R224" i="54"/>
  <c r="R332" i="54"/>
  <c r="R140" i="54"/>
  <c r="R344" i="54"/>
  <c r="R116" i="54"/>
  <c r="R32" i="54"/>
  <c r="R260" i="54"/>
  <c r="R272" i="54"/>
  <c r="R188" i="54"/>
  <c r="R200" i="54"/>
  <c r="R80" i="54"/>
  <c r="R238" i="54"/>
  <c r="R250" i="54"/>
  <c r="R358" i="54"/>
  <c r="R166" i="54"/>
  <c r="R274" i="54"/>
  <c r="R58" i="54"/>
  <c r="R226" i="54"/>
  <c r="R370" i="54"/>
  <c r="R286" i="54"/>
  <c r="R298" i="54"/>
  <c r="R214" i="54"/>
  <c r="R130" i="54"/>
  <c r="R106" i="54"/>
  <c r="R22" i="54"/>
  <c r="R82" i="54"/>
  <c r="R334" i="54"/>
  <c r="R142" i="54"/>
  <c r="R346" i="54"/>
  <c r="R154" i="54"/>
  <c r="R262" i="54"/>
  <c r="R46" i="54"/>
  <c r="R322" i="54"/>
  <c r="R70" i="54"/>
  <c r="R34" i="54"/>
  <c r="R190" i="54"/>
  <c r="R202" i="54"/>
  <c r="R310" i="54"/>
  <c r="R94" i="54"/>
  <c r="R178" i="54"/>
  <c r="R118" i="54"/>
  <c r="R360" i="54"/>
  <c r="R168" i="54"/>
  <c r="R180" i="54"/>
  <c r="R288" i="54"/>
  <c r="R72" i="54"/>
  <c r="R252" i="54"/>
  <c r="R96" i="54"/>
  <c r="R60" i="54"/>
  <c r="R156" i="54"/>
  <c r="R348" i="54"/>
  <c r="R216" i="54"/>
  <c r="R228" i="54"/>
  <c r="R336" i="54"/>
  <c r="R144" i="54"/>
  <c r="R120" i="54"/>
  <c r="R36" i="54"/>
  <c r="R108" i="54"/>
  <c r="R264" i="54"/>
  <c r="R276" i="54"/>
  <c r="R192" i="54"/>
  <c r="R204" i="54"/>
  <c r="R84" i="54"/>
  <c r="R300" i="54"/>
  <c r="R372" i="54"/>
  <c r="R312" i="54"/>
  <c r="R324" i="54"/>
  <c r="R132" i="54"/>
  <c r="R240" i="54"/>
  <c r="R24" i="54"/>
  <c r="R48" i="54"/>
  <c r="R325" i="54"/>
  <c r="R133" i="54"/>
  <c r="R337" i="54"/>
  <c r="R145" i="54"/>
  <c r="R253" i="54"/>
  <c r="R37" i="54"/>
  <c r="R61" i="54"/>
  <c r="R73" i="54"/>
  <c r="R313" i="54"/>
  <c r="R121" i="54"/>
  <c r="R181" i="54"/>
  <c r="R193" i="54"/>
  <c r="R301" i="54"/>
  <c r="R169" i="54"/>
  <c r="R85" i="54"/>
  <c r="R265" i="54"/>
  <c r="R109" i="54"/>
  <c r="R229" i="54"/>
  <c r="R241" i="54"/>
  <c r="R349" i="54"/>
  <c r="R157" i="54"/>
  <c r="R361" i="54"/>
  <c r="R49" i="54"/>
  <c r="R373" i="54"/>
  <c r="R277" i="54"/>
  <c r="R289" i="54"/>
  <c r="R205" i="54"/>
  <c r="R217" i="54"/>
  <c r="R97" i="54"/>
  <c r="R25" i="54"/>
  <c r="R374" i="54"/>
  <c r="R290" i="54"/>
  <c r="R302" i="54"/>
  <c r="R218" i="54"/>
  <c r="R134" i="54"/>
  <c r="R110" i="54"/>
  <c r="R230" i="54"/>
  <c r="R26" i="54"/>
  <c r="R278" i="54"/>
  <c r="R338" i="54"/>
  <c r="R146" i="54"/>
  <c r="R350" i="54"/>
  <c r="R158" i="54"/>
  <c r="R266" i="54"/>
  <c r="R326" i="54"/>
  <c r="R50" i="54"/>
  <c r="R74" i="54"/>
  <c r="R194" i="54"/>
  <c r="R206" i="54"/>
  <c r="R314" i="54"/>
  <c r="R98" i="54"/>
  <c r="R182" i="54"/>
  <c r="R122" i="54"/>
  <c r="R242" i="54"/>
  <c r="R254" i="54"/>
  <c r="R362" i="54"/>
  <c r="R170" i="54"/>
  <c r="R62" i="54"/>
  <c r="R38" i="54"/>
  <c r="R86" i="54"/>
  <c r="R255" i="54"/>
  <c r="R267" i="54"/>
  <c r="R183" i="54"/>
  <c r="R291" i="54"/>
  <c r="R75" i="54"/>
  <c r="R99" i="54"/>
  <c r="R375" i="54"/>
  <c r="R303" i="54"/>
  <c r="R315" i="54"/>
  <c r="R231" i="54"/>
  <c r="R147" i="54"/>
  <c r="R123" i="54"/>
  <c r="R39" i="54"/>
  <c r="R351" i="54"/>
  <c r="R159" i="54"/>
  <c r="R363" i="54"/>
  <c r="R171" i="54"/>
  <c r="R279" i="54"/>
  <c r="R63" i="54"/>
  <c r="R339" i="54"/>
  <c r="R87" i="54"/>
  <c r="R51" i="54"/>
  <c r="R207" i="54"/>
  <c r="R219" i="54"/>
  <c r="R327" i="54"/>
  <c r="R135" i="54"/>
  <c r="R111" i="54"/>
  <c r="R27" i="54"/>
  <c r="R195" i="54"/>
  <c r="R243" i="54"/>
  <c r="Z135" i="54" l="1"/>
  <c r="AA135" i="54"/>
  <c r="AA351" i="54"/>
  <c r="Z351" i="54"/>
  <c r="AA99" i="54"/>
  <c r="Z99" i="54"/>
  <c r="AA327" i="54"/>
  <c r="Z327" i="54"/>
  <c r="AA171" i="54"/>
  <c r="Z171" i="54"/>
  <c r="AA315" i="54"/>
  <c r="Z315" i="54"/>
  <c r="Z27" i="54"/>
  <c r="AA27" i="54"/>
  <c r="AA219" i="54"/>
  <c r="Z219" i="54"/>
  <c r="Z339" i="54"/>
  <c r="AA339" i="54"/>
  <c r="AA363" i="54"/>
  <c r="Z363" i="54"/>
  <c r="Z123" i="54"/>
  <c r="AA123" i="54"/>
  <c r="Z303" i="54"/>
  <c r="AA303" i="54"/>
  <c r="Z291" i="54"/>
  <c r="AA291" i="54"/>
  <c r="Z62" i="54"/>
  <c r="AA62" i="54"/>
  <c r="Z242" i="54"/>
  <c r="AA242" i="54"/>
  <c r="Z314" i="54"/>
  <c r="AA314" i="54"/>
  <c r="Z50" i="54"/>
  <c r="AA50" i="54"/>
  <c r="Z350" i="54"/>
  <c r="AA350" i="54"/>
  <c r="AA26" i="54"/>
  <c r="Z26" i="54"/>
  <c r="AA218" i="54"/>
  <c r="Z218" i="54"/>
  <c r="Z25" i="54"/>
  <c r="AA25" i="54"/>
  <c r="Z289" i="54"/>
  <c r="AA289" i="54"/>
  <c r="AA361" i="54"/>
  <c r="Z361" i="54"/>
  <c r="Z229" i="54"/>
  <c r="AA229" i="54"/>
  <c r="AA169" i="54"/>
  <c r="Z169" i="54"/>
  <c r="Z121" i="54"/>
  <c r="AA121" i="54"/>
  <c r="AA37" i="54"/>
  <c r="Z37" i="54"/>
  <c r="AA133" i="54"/>
  <c r="Z133" i="54"/>
  <c r="AA48" i="54"/>
  <c r="Z48" i="54"/>
  <c r="Z324" i="54"/>
  <c r="AA324" i="54"/>
  <c r="Z84" i="54"/>
  <c r="AA84" i="54"/>
  <c r="Z264" i="54"/>
  <c r="AA264" i="54"/>
  <c r="Z144" i="54"/>
  <c r="AA144" i="54"/>
  <c r="AA348" i="54"/>
  <c r="Z348" i="54"/>
  <c r="Z252" i="54"/>
  <c r="AA252" i="54"/>
  <c r="Z168" i="54"/>
  <c r="AA168" i="54"/>
  <c r="Z118" i="54"/>
  <c r="AA118" i="54"/>
  <c r="AA202" i="54"/>
  <c r="Z202" i="54"/>
  <c r="Z322" i="54"/>
  <c r="AA322" i="54"/>
  <c r="AA346" i="54"/>
  <c r="Z346" i="54"/>
  <c r="AA22" i="54"/>
  <c r="Z22" i="54"/>
  <c r="AA298" i="54"/>
  <c r="Z298" i="54"/>
  <c r="Z58" i="54"/>
  <c r="AA58" i="54"/>
  <c r="AA250" i="54"/>
  <c r="Z250" i="54"/>
  <c r="AA188" i="54"/>
  <c r="Z188" i="54"/>
  <c r="AA116" i="54"/>
  <c r="Z116" i="54"/>
  <c r="Z224" i="54"/>
  <c r="AA224" i="54"/>
  <c r="AA92" i="54"/>
  <c r="Z92" i="54"/>
  <c r="AA284" i="54"/>
  <c r="Z284" i="54"/>
  <c r="Z104" i="54"/>
  <c r="AA104" i="54"/>
  <c r="AA236" i="54"/>
  <c r="Z236" i="54"/>
  <c r="Z77" i="54"/>
  <c r="AA77" i="54"/>
  <c r="AA65" i="54"/>
  <c r="Z65" i="54"/>
  <c r="Z305" i="54"/>
  <c r="AA305" i="54"/>
  <c r="Z329" i="54"/>
  <c r="AA329" i="54"/>
  <c r="Z89" i="54"/>
  <c r="AA89" i="54"/>
  <c r="Z365" i="54"/>
  <c r="AA365" i="54"/>
  <c r="Z149" i="54"/>
  <c r="AA149" i="54"/>
  <c r="AA191" i="54"/>
  <c r="Z191" i="54"/>
  <c r="AA239" i="54"/>
  <c r="Z239" i="54"/>
  <c r="Z155" i="54"/>
  <c r="AA155" i="54"/>
  <c r="Z119" i="54"/>
  <c r="AA119" i="54"/>
  <c r="Z371" i="54"/>
  <c r="AA371" i="54"/>
  <c r="Z287" i="54"/>
  <c r="AA287" i="54"/>
  <c r="Z23" i="54"/>
  <c r="AA23" i="54"/>
  <c r="Z215" i="54"/>
  <c r="AA215" i="54"/>
  <c r="Z331" i="54"/>
  <c r="AA331" i="54"/>
  <c r="Z307" i="54"/>
  <c r="AA307" i="54"/>
  <c r="Z67" i="54"/>
  <c r="AA67" i="54"/>
  <c r="Z247" i="54"/>
  <c r="AA247" i="54"/>
  <c r="AA103" i="54"/>
  <c r="Z103" i="54"/>
  <c r="AA199" i="54"/>
  <c r="Z199" i="54"/>
  <c r="AA55" i="54"/>
  <c r="Z55" i="54"/>
  <c r="Z151" i="54"/>
  <c r="AA151" i="54"/>
  <c r="Z45" i="54"/>
  <c r="AA45" i="54"/>
  <c r="AA237" i="54"/>
  <c r="Z237" i="54"/>
  <c r="AA81" i="54"/>
  <c r="Z81" i="54"/>
  <c r="Z117" i="54"/>
  <c r="AA117" i="54"/>
  <c r="Z309" i="54"/>
  <c r="AA309" i="54"/>
  <c r="Z129" i="54"/>
  <c r="AA129" i="54"/>
  <c r="AA201" i="54"/>
  <c r="Z201" i="54"/>
  <c r="Z42" i="54"/>
  <c r="AA42" i="54"/>
  <c r="Z342" i="54"/>
  <c r="AA342" i="54"/>
  <c r="Z174" i="54"/>
  <c r="AA174" i="54"/>
  <c r="AA210" i="54"/>
  <c r="Z210" i="54"/>
  <c r="AA78" i="54"/>
  <c r="Z78" i="54"/>
  <c r="AA354" i="54"/>
  <c r="Z354" i="54"/>
  <c r="AA90" i="54"/>
  <c r="Z90" i="54"/>
  <c r="Z28" i="54"/>
  <c r="AA28" i="54"/>
  <c r="Z328" i="54"/>
  <c r="AA328" i="54"/>
  <c r="AA100" i="54"/>
  <c r="Z100" i="54"/>
  <c r="AA64" i="54"/>
  <c r="Z64" i="54"/>
  <c r="AA352" i="54"/>
  <c r="Z352" i="54"/>
  <c r="Z232" i="54"/>
  <c r="AA232" i="54"/>
  <c r="Z196" i="54"/>
  <c r="AA196" i="54"/>
  <c r="Z256" i="54"/>
  <c r="AA256" i="54"/>
  <c r="BD135" i="54"/>
  <c r="BE135" i="54"/>
  <c r="BD87" i="54"/>
  <c r="BE87" i="54"/>
  <c r="BD219" i="54"/>
  <c r="BE219" i="54"/>
  <c r="BD99" i="54"/>
  <c r="BE99" i="54"/>
  <c r="BD195" i="54"/>
  <c r="BE195" i="54"/>
  <c r="BD375" i="54"/>
  <c r="BE375" i="54"/>
  <c r="BD303" i="54"/>
  <c r="BE303" i="54"/>
  <c r="AK110" i="54"/>
  <c r="AJ110" i="54"/>
  <c r="AK146" i="54"/>
  <c r="AJ146" i="54"/>
  <c r="AK86" i="54"/>
  <c r="AJ86" i="54"/>
  <c r="AK134" i="54"/>
  <c r="AJ134" i="54"/>
  <c r="AJ338" i="54"/>
  <c r="AK338" i="54"/>
  <c r="AJ362" i="54"/>
  <c r="AK362" i="54"/>
  <c r="AK350" i="54"/>
  <c r="AJ350" i="54"/>
  <c r="BD262" i="54"/>
  <c r="BE262" i="54"/>
  <c r="BD70" i="54"/>
  <c r="BE70" i="54"/>
  <c r="BD130" i="54"/>
  <c r="BE130" i="54"/>
  <c r="BD226" i="54"/>
  <c r="BE226" i="54"/>
  <c r="BD142" i="54"/>
  <c r="BE142" i="54"/>
  <c r="BD214" i="54"/>
  <c r="BE214" i="54"/>
  <c r="BD298" i="54"/>
  <c r="BE298" i="54"/>
  <c r="BD346" i="54"/>
  <c r="BE346" i="54"/>
  <c r="BD32" i="54"/>
  <c r="BE32" i="54"/>
  <c r="BD140" i="54"/>
  <c r="BE140" i="54"/>
  <c r="BD92" i="54"/>
  <c r="BE92" i="54"/>
  <c r="BD200" i="54"/>
  <c r="BE200" i="54"/>
  <c r="BD320" i="54"/>
  <c r="BE320" i="54"/>
  <c r="BD260" i="54"/>
  <c r="BE260" i="54"/>
  <c r="BD332" i="54"/>
  <c r="BE332" i="54"/>
  <c r="BD83" i="54"/>
  <c r="BE83" i="54"/>
  <c r="BD251" i="54"/>
  <c r="BE251" i="54"/>
  <c r="BD119" i="54"/>
  <c r="BE119" i="54"/>
  <c r="BD107" i="54"/>
  <c r="BE107" i="54"/>
  <c r="BD239" i="54"/>
  <c r="BE239" i="54"/>
  <c r="BD275" i="54"/>
  <c r="BE275" i="54"/>
  <c r="BD287" i="54"/>
  <c r="BE287" i="54"/>
  <c r="BD53" i="54"/>
  <c r="BE53" i="54"/>
  <c r="BD245" i="54"/>
  <c r="BE245" i="54"/>
  <c r="BD173" i="54"/>
  <c r="BE173" i="54"/>
  <c r="BD65" i="54"/>
  <c r="BE65" i="54"/>
  <c r="BD281" i="54"/>
  <c r="BE281" i="54"/>
  <c r="BD293" i="54"/>
  <c r="BE293" i="54"/>
  <c r="BD269" i="54"/>
  <c r="BE269" i="54"/>
  <c r="BD91" i="54"/>
  <c r="BE91" i="54"/>
  <c r="BD331" i="54"/>
  <c r="BE331" i="54"/>
  <c r="BD175" i="54"/>
  <c r="BE175" i="54"/>
  <c r="BD103" i="54"/>
  <c r="BE103" i="54"/>
  <c r="BD151" i="54"/>
  <c r="BE151" i="54"/>
  <c r="BD319" i="54"/>
  <c r="BE319" i="54"/>
  <c r="BD307" i="54"/>
  <c r="BE307" i="54"/>
  <c r="BD355" i="54"/>
  <c r="BE355" i="54"/>
  <c r="AJ162" i="54"/>
  <c r="AK162" i="54"/>
  <c r="AK102" i="54"/>
  <c r="AJ102" i="54"/>
  <c r="AK114" i="54"/>
  <c r="AJ114" i="54"/>
  <c r="AK174" i="54"/>
  <c r="AJ174" i="54"/>
  <c r="AK186" i="54"/>
  <c r="AJ186" i="54"/>
  <c r="AJ282" i="54"/>
  <c r="AK282" i="54"/>
  <c r="AJ354" i="54"/>
  <c r="AK354" i="54"/>
  <c r="AJ342" i="54"/>
  <c r="AK342" i="54"/>
  <c r="AK52" i="54"/>
  <c r="AJ52" i="54"/>
  <c r="AK112" i="54"/>
  <c r="AJ112" i="54"/>
  <c r="AK16" i="54"/>
  <c r="AJ16" i="54"/>
  <c r="AK100" i="54"/>
  <c r="AJ100" i="54"/>
  <c r="AK340" i="54"/>
  <c r="AJ340" i="54"/>
  <c r="AJ280" i="54"/>
  <c r="AK280" i="54"/>
  <c r="AK244" i="54"/>
  <c r="AJ244" i="54"/>
  <c r="AJ121" i="54"/>
  <c r="AK121" i="54"/>
  <c r="AJ169" i="54"/>
  <c r="AK169" i="54"/>
  <c r="AK73" i="54"/>
  <c r="AJ73" i="54"/>
  <c r="AK157" i="54"/>
  <c r="AJ157" i="54"/>
  <c r="AK205" i="54"/>
  <c r="AJ205" i="54"/>
  <c r="AJ313" i="54"/>
  <c r="AK313" i="54"/>
  <c r="AJ301" i="54"/>
  <c r="AK301" i="54"/>
  <c r="AJ337" i="54"/>
  <c r="AK337" i="54"/>
  <c r="BD24" i="54"/>
  <c r="BE24" i="54"/>
  <c r="BD252" i="54"/>
  <c r="BE252" i="54"/>
  <c r="BD144" i="54"/>
  <c r="BE144" i="54"/>
  <c r="BD36" i="54"/>
  <c r="BE36" i="54"/>
  <c r="BD276" i="54"/>
  <c r="BE276" i="54"/>
  <c r="BD300" i="54"/>
  <c r="BE300" i="54"/>
  <c r="BD312" i="54"/>
  <c r="BE312" i="54"/>
  <c r="AJ46" i="54"/>
  <c r="AK46" i="54"/>
  <c r="AJ190" i="54"/>
  <c r="AK190" i="54"/>
  <c r="AK94" i="54"/>
  <c r="AJ94" i="54"/>
  <c r="AJ214" i="54"/>
  <c r="AK214" i="54"/>
  <c r="AK142" i="54"/>
  <c r="AJ142" i="54"/>
  <c r="AK286" i="54"/>
  <c r="AJ286" i="54"/>
  <c r="AK250" i="54"/>
  <c r="AJ250" i="54"/>
  <c r="AJ358" i="54"/>
  <c r="AK358" i="54"/>
  <c r="AK152" i="54"/>
  <c r="AJ152" i="54"/>
  <c r="AK128" i="54"/>
  <c r="AJ128" i="54"/>
  <c r="AK140" i="54"/>
  <c r="AJ140" i="54"/>
  <c r="AK44" i="54"/>
  <c r="AJ44" i="54"/>
  <c r="AK248" i="54"/>
  <c r="AJ248" i="54"/>
  <c r="AK320" i="54"/>
  <c r="AJ320" i="54"/>
  <c r="AJ284" i="54"/>
  <c r="AK284" i="54"/>
  <c r="AK105" i="54"/>
  <c r="AJ105" i="54"/>
  <c r="AK189" i="54"/>
  <c r="AJ189" i="54"/>
  <c r="AK45" i="54"/>
  <c r="AJ45" i="54"/>
  <c r="AK165" i="54"/>
  <c r="AJ165" i="54"/>
  <c r="AJ141" i="54"/>
  <c r="AK141" i="54"/>
  <c r="AJ225" i="54"/>
  <c r="AK225" i="54"/>
  <c r="AJ297" i="54"/>
  <c r="AK297" i="54"/>
  <c r="AK321" i="54"/>
  <c r="AJ321" i="54"/>
  <c r="BD172" i="54"/>
  <c r="BE172" i="54"/>
  <c r="BD136" i="54"/>
  <c r="BE136" i="54"/>
  <c r="BD64" i="54"/>
  <c r="BE64" i="54"/>
  <c r="BD124" i="54"/>
  <c r="BE124" i="54"/>
  <c r="BD148" i="54"/>
  <c r="BE148" i="54"/>
  <c r="BD352" i="54"/>
  <c r="BE352" i="54"/>
  <c r="BD292" i="54"/>
  <c r="BE292" i="54"/>
  <c r="AK111" i="54"/>
  <c r="AJ111" i="54"/>
  <c r="AK51" i="54"/>
  <c r="AJ51" i="54"/>
  <c r="AJ75" i="54"/>
  <c r="AK75" i="54"/>
  <c r="AJ159" i="54"/>
  <c r="AK159" i="54"/>
  <c r="AK327" i="54"/>
  <c r="AJ327" i="54"/>
  <c r="AK243" i="54"/>
  <c r="AJ243" i="54"/>
  <c r="AJ219" i="54"/>
  <c r="AK219" i="54"/>
  <c r="BD206" i="54"/>
  <c r="BE206" i="54"/>
  <c r="BD86" i="54"/>
  <c r="BE86" i="54"/>
  <c r="BD98" i="54"/>
  <c r="BE98" i="54"/>
  <c r="BD158" i="54"/>
  <c r="BE158" i="54"/>
  <c r="BD242" i="54"/>
  <c r="BE242" i="54"/>
  <c r="BD302" i="54"/>
  <c r="BE302" i="54"/>
  <c r="BD170" i="54"/>
  <c r="BE170" i="54"/>
  <c r="BD278" i="54"/>
  <c r="BE278" i="54"/>
  <c r="BD73" i="54"/>
  <c r="BE73" i="54"/>
  <c r="BD193" i="54"/>
  <c r="BE193" i="54"/>
  <c r="BD109" i="54"/>
  <c r="BE109" i="54"/>
  <c r="BD181" i="54"/>
  <c r="BE181" i="54"/>
  <c r="BD217" i="54"/>
  <c r="BE217" i="54"/>
  <c r="BD277" i="54"/>
  <c r="BE277" i="54"/>
  <c r="BD265" i="54"/>
  <c r="BE265" i="54"/>
  <c r="AJ72" i="54"/>
  <c r="AK72" i="54"/>
  <c r="AK144" i="54"/>
  <c r="AJ144" i="54"/>
  <c r="AJ192" i="54"/>
  <c r="AK192" i="54"/>
  <c r="AK24" i="54"/>
  <c r="AJ24" i="54"/>
  <c r="AJ240" i="54"/>
  <c r="AK240" i="54"/>
  <c r="AJ228" i="54"/>
  <c r="AK228" i="54"/>
  <c r="AK324" i="54"/>
  <c r="AJ324" i="54"/>
  <c r="AK276" i="54"/>
  <c r="AJ276" i="54"/>
  <c r="AK197" i="54"/>
  <c r="AJ197" i="54"/>
  <c r="AK65" i="54"/>
  <c r="AJ65" i="54"/>
  <c r="AK17" i="54"/>
  <c r="AJ17" i="54"/>
  <c r="AK185" i="54"/>
  <c r="AJ185" i="54"/>
  <c r="AJ209" i="54"/>
  <c r="AK209" i="54"/>
  <c r="AJ245" i="54"/>
  <c r="AK245" i="54"/>
  <c r="AJ257" i="54"/>
  <c r="AK257" i="54"/>
  <c r="AJ107" i="54"/>
  <c r="AK107" i="54"/>
  <c r="AK83" i="54"/>
  <c r="AJ83" i="54"/>
  <c r="AJ23" i="54"/>
  <c r="AK23" i="54"/>
  <c r="AJ35" i="54"/>
  <c r="AK35" i="54"/>
  <c r="AK167" i="54"/>
  <c r="AJ167" i="54"/>
  <c r="AK239" i="54"/>
  <c r="AJ239" i="54"/>
  <c r="AJ347" i="54"/>
  <c r="AK347" i="54"/>
  <c r="AK287" i="54"/>
  <c r="AJ287" i="54"/>
  <c r="AK19" i="54"/>
  <c r="AJ19" i="54"/>
  <c r="AJ163" i="54"/>
  <c r="AK163" i="54"/>
  <c r="AK31" i="54"/>
  <c r="AJ31" i="54"/>
  <c r="AJ67" i="54"/>
  <c r="AK67" i="54"/>
  <c r="AJ187" i="54"/>
  <c r="AK187" i="54"/>
  <c r="AJ331" i="54"/>
  <c r="AK331" i="54"/>
  <c r="AJ307" i="54"/>
  <c r="AK307" i="54"/>
  <c r="AK295" i="54"/>
  <c r="AJ295" i="54"/>
  <c r="BD129" i="54"/>
  <c r="BE129" i="54"/>
  <c r="BD33" i="54"/>
  <c r="BE33" i="54"/>
  <c r="BD45" i="54"/>
  <c r="BE45" i="54"/>
  <c r="BD117" i="54"/>
  <c r="BE117" i="54"/>
  <c r="BD225" i="54"/>
  <c r="BE225" i="54"/>
  <c r="BD165" i="54"/>
  <c r="BE165" i="54"/>
  <c r="BD249" i="54"/>
  <c r="BE249" i="54"/>
  <c r="BD261" i="54"/>
  <c r="BE261" i="54"/>
  <c r="BD78" i="54"/>
  <c r="BE78" i="54"/>
  <c r="BD126" i="54"/>
  <c r="BE126" i="54"/>
  <c r="BD138" i="54"/>
  <c r="BE138" i="54"/>
  <c r="BD174" i="54"/>
  <c r="BE174" i="54"/>
  <c r="BD210" i="54"/>
  <c r="BE210" i="54"/>
  <c r="BD258" i="54"/>
  <c r="BE258" i="54"/>
  <c r="BD270" i="54"/>
  <c r="BE270" i="54"/>
  <c r="P375" i="54"/>
  <c r="Q375" i="54"/>
  <c r="P291" i="54"/>
  <c r="Q291" i="54"/>
  <c r="P339" i="54"/>
  <c r="Q339" i="54"/>
  <c r="Q255" i="54"/>
  <c r="P255" i="54"/>
  <c r="P75" i="54"/>
  <c r="Q75" i="54"/>
  <c r="Q315" i="54"/>
  <c r="P315" i="54"/>
  <c r="P243" i="54"/>
  <c r="Q243" i="54"/>
  <c r="P147" i="54"/>
  <c r="Q147" i="54"/>
  <c r="AT195" i="54"/>
  <c r="AU195" i="54"/>
  <c r="AT291" i="54"/>
  <c r="AU291" i="54"/>
  <c r="AT303" i="54"/>
  <c r="AU303" i="54"/>
  <c r="AT159" i="54"/>
  <c r="AU159" i="54"/>
  <c r="AT39" i="54"/>
  <c r="AU39" i="54"/>
  <c r="AT207" i="54"/>
  <c r="AU207" i="54"/>
  <c r="AT135" i="54"/>
  <c r="AU135" i="54"/>
  <c r="AT182" i="54"/>
  <c r="AU182" i="54"/>
  <c r="AT230" i="54"/>
  <c r="AU230" i="54"/>
  <c r="AT254" i="54"/>
  <c r="AU254" i="54"/>
  <c r="AT146" i="54"/>
  <c r="AU146" i="54"/>
  <c r="AT38" i="54"/>
  <c r="AU38" i="54"/>
  <c r="AT350" i="54"/>
  <c r="AU350" i="54"/>
  <c r="AT74" i="54"/>
  <c r="AU74" i="54"/>
  <c r="AT206" i="54"/>
  <c r="AU206" i="54"/>
  <c r="Q326" i="54"/>
  <c r="P326" i="54"/>
  <c r="P362" i="54"/>
  <c r="Q362" i="54"/>
  <c r="P374" i="54"/>
  <c r="Q374" i="54"/>
  <c r="Q302" i="54"/>
  <c r="P302" i="54"/>
  <c r="P110" i="54"/>
  <c r="Q110" i="54"/>
  <c r="Q350" i="54"/>
  <c r="P350" i="54"/>
  <c r="Q158" i="54"/>
  <c r="P158" i="54"/>
  <c r="Q277" i="54"/>
  <c r="P277" i="54"/>
  <c r="P229" i="54"/>
  <c r="Q229" i="54"/>
  <c r="P169" i="54"/>
  <c r="Q169" i="54"/>
  <c r="P133" i="54"/>
  <c r="Q133" i="54"/>
  <c r="Q61" i="54"/>
  <c r="P61" i="54"/>
  <c r="P37" i="54"/>
  <c r="Q37" i="54"/>
  <c r="P313" i="54"/>
  <c r="Q313" i="54"/>
  <c r="Q73" i="54"/>
  <c r="P73" i="54"/>
  <c r="AT361" i="54"/>
  <c r="AU361" i="54"/>
  <c r="AT325" i="54"/>
  <c r="AU325" i="54"/>
  <c r="AT25" i="54"/>
  <c r="AU25" i="54"/>
  <c r="AT337" i="54"/>
  <c r="AU337" i="54"/>
  <c r="AT73" i="54"/>
  <c r="AU73" i="54"/>
  <c r="AT193" i="54"/>
  <c r="AU193" i="54"/>
  <c r="AT121" i="54"/>
  <c r="AU121" i="54"/>
  <c r="AT252" i="54"/>
  <c r="AU252" i="54"/>
  <c r="AT348" i="54"/>
  <c r="AU348" i="54"/>
  <c r="AT132" i="54"/>
  <c r="AU132" i="54"/>
  <c r="AT72" i="54"/>
  <c r="AU72" i="54"/>
  <c r="AT144" i="54"/>
  <c r="AU144" i="54"/>
  <c r="AT204" i="54"/>
  <c r="AU204" i="54"/>
  <c r="AT192" i="54"/>
  <c r="AU192" i="54"/>
  <c r="AT84" i="54"/>
  <c r="AU84" i="54"/>
  <c r="Q276" i="54"/>
  <c r="P276" i="54"/>
  <c r="P48" i="54"/>
  <c r="Q48" i="54"/>
  <c r="P252" i="54"/>
  <c r="Q252" i="54"/>
  <c r="Q216" i="54"/>
  <c r="P216" i="54"/>
  <c r="Q300" i="54"/>
  <c r="P300" i="54"/>
  <c r="Q228" i="54"/>
  <c r="P228" i="54"/>
  <c r="P192" i="54"/>
  <c r="Q192" i="54"/>
  <c r="Q286" i="54"/>
  <c r="P286" i="54"/>
  <c r="P274" i="54"/>
  <c r="Q274" i="54"/>
  <c r="P142" i="54"/>
  <c r="Q142" i="54"/>
  <c r="Q238" i="54"/>
  <c r="P238" i="54"/>
  <c r="Q370" i="54"/>
  <c r="P370" i="54"/>
  <c r="P178" i="54"/>
  <c r="Q178" i="54"/>
  <c r="Q106" i="54"/>
  <c r="P106" i="54"/>
  <c r="AT130" i="54"/>
  <c r="AU130" i="54"/>
  <c r="AT358" i="54"/>
  <c r="AU358" i="54"/>
  <c r="AT202" i="54"/>
  <c r="AU202" i="54"/>
  <c r="AT250" i="54"/>
  <c r="AU250" i="54"/>
  <c r="AT298" i="54"/>
  <c r="AU298" i="54"/>
  <c r="AT46" i="54"/>
  <c r="AU46" i="54"/>
  <c r="AT346" i="54"/>
  <c r="AU346" i="54"/>
  <c r="AT82" i="54"/>
  <c r="AU82" i="54"/>
  <c r="P332" i="54"/>
  <c r="Q332" i="54"/>
  <c r="Q344" i="54"/>
  <c r="P344" i="54"/>
  <c r="P356" i="54"/>
  <c r="Q356" i="54"/>
  <c r="P80" i="54"/>
  <c r="Q80" i="54"/>
  <c r="P164" i="54"/>
  <c r="Q164" i="54"/>
  <c r="P92" i="54"/>
  <c r="Q92" i="54"/>
  <c r="P140" i="54"/>
  <c r="Q140" i="54"/>
  <c r="AT248" i="54"/>
  <c r="AU248" i="54"/>
  <c r="AT308" i="54"/>
  <c r="AU308" i="54"/>
  <c r="AT152" i="54"/>
  <c r="AU152" i="54"/>
  <c r="AT128" i="54"/>
  <c r="AU128" i="54"/>
  <c r="AT68" i="54"/>
  <c r="AU68" i="54"/>
  <c r="AT332" i="54"/>
  <c r="AU332" i="54"/>
  <c r="AT104" i="54"/>
  <c r="AU104" i="54"/>
  <c r="AT224" i="54"/>
  <c r="AU224" i="54"/>
  <c r="Q269" i="54"/>
  <c r="P269" i="54"/>
  <c r="P257" i="54"/>
  <c r="Q257" i="54"/>
  <c r="P125" i="54"/>
  <c r="Q125" i="54"/>
  <c r="Q65" i="54"/>
  <c r="P65" i="54"/>
  <c r="Q233" i="54"/>
  <c r="P233" i="54"/>
  <c r="Q281" i="54"/>
  <c r="P281" i="54"/>
  <c r="P89" i="54"/>
  <c r="Q89" i="54"/>
  <c r="AT353" i="54"/>
  <c r="AU353" i="54"/>
  <c r="AT209" i="54"/>
  <c r="AU209" i="54"/>
  <c r="AT89" i="54"/>
  <c r="AU89" i="54"/>
  <c r="AT113" i="54"/>
  <c r="AU113" i="54"/>
  <c r="AT317" i="54"/>
  <c r="AU317" i="54"/>
  <c r="AT17" i="54"/>
  <c r="AU17" i="54"/>
  <c r="AT329" i="54"/>
  <c r="AU329" i="54"/>
  <c r="AT65" i="54"/>
  <c r="AU65" i="54"/>
  <c r="Q155" i="54"/>
  <c r="P155" i="54"/>
  <c r="P239" i="54"/>
  <c r="Q239" i="54"/>
  <c r="Q359" i="54"/>
  <c r="P359" i="54"/>
  <c r="P371" i="54"/>
  <c r="Q371" i="54"/>
  <c r="P23" i="54"/>
  <c r="Q23" i="54"/>
  <c r="Q263" i="54"/>
  <c r="P263" i="54"/>
  <c r="P71" i="54"/>
  <c r="Q71" i="54"/>
  <c r="AT287" i="54"/>
  <c r="AU287" i="54"/>
  <c r="AT191" i="54"/>
  <c r="AU191" i="54"/>
  <c r="AT167" i="54"/>
  <c r="AU167" i="54"/>
  <c r="AT95" i="54"/>
  <c r="AU95" i="54"/>
  <c r="AT179" i="54"/>
  <c r="AU179" i="54"/>
  <c r="AT227" i="54"/>
  <c r="AU227" i="54"/>
  <c r="AT311" i="54"/>
  <c r="AU311" i="54"/>
  <c r="AT47" i="54"/>
  <c r="AU47" i="54"/>
  <c r="P319" i="54"/>
  <c r="Q319" i="54"/>
  <c r="P67" i="54"/>
  <c r="Q67" i="54"/>
  <c r="Q307" i="54"/>
  <c r="P307" i="54"/>
  <c r="Q79" i="54"/>
  <c r="P79" i="54"/>
  <c r="P163" i="54"/>
  <c r="Q163" i="54"/>
  <c r="Q211" i="54"/>
  <c r="P211" i="54"/>
  <c r="P175" i="54"/>
  <c r="Q175" i="54"/>
  <c r="AT235" i="54"/>
  <c r="AU235" i="54"/>
  <c r="AT343" i="54"/>
  <c r="AU343" i="54"/>
  <c r="AT31" i="54"/>
  <c r="AU31" i="54"/>
  <c r="AT199" i="54"/>
  <c r="AU199" i="54"/>
  <c r="AT127" i="54"/>
  <c r="AU127" i="54"/>
  <c r="AT187" i="54"/>
  <c r="AU187" i="54"/>
  <c r="AT175" i="54"/>
  <c r="AU175" i="54"/>
  <c r="AT223" i="54"/>
  <c r="AU223" i="54"/>
  <c r="P81" i="54"/>
  <c r="Q81" i="54"/>
  <c r="P345" i="54"/>
  <c r="Q345" i="54"/>
  <c r="P45" i="54"/>
  <c r="Q45" i="54"/>
  <c r="Q249" i="54"/>
  <c r="P249" i="54"/>
  <c r="Q321" i="54"/>
  <c r="P321" i="54"/>
  <c r="P297" i="54"/>
  <c r="Q297" i="54"/>
  <c r="P105" i="54"/>
  <c r="Q105" i="54"/>
  <c r="AT261" i="54"/>
  <c r="AU261" i="54"/>
  <c r="AT357" i="54"/>
  <c r="AU357" i="54"/>
  <c r="AT201" i="54"/>
  <c r="AU201" i="54"/>
  <c r="AT129" i="54"/>
  <c r="AU129" i="54"/>
  <c r="AT33" i="54"/>
  <c r="AU33" i="54"/>
  <c r="AT297" i="54"/>
  <c r="AU297" i="54"/>
  <c r="AT225" i="54"/>
  <c r="AU225" i="54"/>
  <c r="AT105" i="54"/>
  <c r="AU105" i="54"/>
  <c r="Q258" i="54"/>
  <c r="P258" i="54"/>
  <c r="P102" i="54"/>
  <c r="Q102" i="54"/>
  <c r="P306" i="54"/>
  <c r="Q306" i="54"/>
  <c r="Q126" i="54"/>
  <c r="P126" i="54"/>
  <c r="Q198" i="54"/>
  <c r="P198" i="54"/>
  <c r="P210" i="54"/>
  <c r="Q210" i="54"/>
  <c r="P54" i="54"/>
  <c r="Q54" i="54"/>
  <c r="AT270" i="54"/>
  <c r="AU270" i="54"/>
  <c r="AT174" i="54"/>
  <c r="AU174" i="54"/>
  <c r="AT306" i="54"/>
  <c r="AU306" i="54"/>
  <c r="AT90" i="54"/>
  <c r="AU90" i="54"/>
  <c r="AT282" i="54"/>
  <c r="AU282" i="54"/>
  <c r="AT222" i="54"/>
  <c r="AU222" i="54"/>
  <c r="AT54" i="54"/>
  <c r="AU54" i="54"/>
  <c r="AT30" i="54"/>
  <c r="AU30" i="54"/>
  <c r="Q208" i="54"/>
  <c r="P208" i="54"/>
  <c r="P64" i="54"/>
  <c r="Q64" i="54"/>
  <c r="P328" i="54"/>
  <c r="Q328" i="54"/>
  <c r="Q112" i="54"/>
  <c r="P112" i="54"/>
  <c r="P100" i="54"/>
  <c r="Q100" i="54"/>
  <c r="P76" i="54"/>
  <c r="Q76" i="54"/>
  <c r="P280" i="54"/>
  <c r="Q280" i="54"/>
  <c r="P148" i="54"/>
  <c r="Q148" i="54"/>
  <c r="AT364" i="54"/>
  <c r="AU364" i="54"/>
  <c r="AT256" i="54"/>
  <c r="AU256" i="54"/>
  <c r="AT292" i="54"/>
  <c r="AU292" i="54"/>
  <c r="AT16" i="54"/>
  <c r="AU16" i="54"/>
  <c r="AT124" i="54"/>
  <c r="AU124" i="54"/>
  <c r="AT64" i="54"/>
  <c r="AU64" i="54"/>
  <c r="AT136" i="54"/>
  <c r="AU136" i="54"/>
  <c r="Z279" i="54"/>
  <c r="AA279" i="54"/>
  <c r="AA111" i="54"/>
  <c r="Z111" i="54"/>
  <c r="Z207" i="54"/>
  <c r="AA207" i="54"/>
  <c r="AA63" i="54"/>
  <c r="Z63" i="54"/>
  <c r="Z159" i="54"/>
  <c r="AA159" i="54"/>
  <c r="AA147" i="54"/>
  <c r="Z147" i="54"/>
  <c r="Z375" i="54"/>
  <c r="AA375" i="54"/>
  <c r="Z183" i="54"/>
  <c r="AA183" i="54"/>
  <c r="Z170" i="54"/>
  <c r="AA170" i="54"/>
  <c r="Z122" i="54"/>
  <c r="AA122" i="54"/>
  <c r="Z206" i="54"/>
  <c r="AA206" i="54"/>
  <c r="Z326" i="54"/>
  <c r="AA326" i="54"/>
  <c r="Z146" i="54"/>
  <c r="AA146" i="54"/>
  <c r="Z230" i="54"/>
  <c r="AA230" i="54"/>
  <c r="Z302" i="54"/>
  <c r="AA302" i="54"/>
  <c r="Z97" i="54"/>
  <c r="AA97" i="54"/>
  <c r="Z277" i="54"/>
  <c r="AA277" i="54"/>
  <c r="AA157" i="54"/>
  <c r="Z157" i="54"/>
  <c r="AA109" i="54"/>
  <c r="Z109" i="54"/>
  <c r="Z301" i="54"/>
  <c r="AA301" i="54"/>
  <c r="AA313" i="54"/>
  <c r="Z313" i="54"/>
  <c r="AA253" i="54"/>
  <c r="Z253" i="54"/>
  <c r="Z325" i="54"/>
  <c r="AA325" i="54"/>
  <c r="Z24" i="54"/>
  <c r="AA24" i="54"/>
  <c r="Z312" i="54"/>
  <c r="AA312" i="54"/>
  <c r="Z204" i="54"/>
  <c r="AA204" i="54"/>
  <c r="AA108" i="54"/>
  <c r="Z108" i="54"/>
  <c r="Z336" i="54"/>
  <c r="AA336" i="54"/>
  <c r="Z156" i="54"/>
  <c r="AA156" i="54"/>
  <c r="Z72" i="54"/>
  <c r="AA72" i="54"/>
  <c r="AA360" i="54"/>
  <c r="Z360" i="54"/>
  <c r="AA178" i="54"/>
  <c r="Z178" i="54"/>
  <c r="Z190" i="54"/>
  <c r="AA190" i="54"/>
  <c r="AA46" i="54"/>
  <c r="Z46" i="54"/>
  <c r="AA142" i="54"/>
  <c r="Z142" i="54"/>
  <c r="Z106" i="54"/>
  <c r="AA106" i="54"/>
  <c r="AA286" i="54"/>
  <c r="Z286" i="54"/>
  <c r="AA274" i="54"/>
  <c r="Z274" i="54"/>
  <c r="Z238" i="54"/>
  <c r="AA238" i="54"/>
  <c r="AA272" i="54"/>
  <c r="Z272" i="54"/>
  <c r="Z344" i="54"/>
  <c r="AA344" i="54"/>
  <c r="AA368" i="54"/>
  <c r="Z368" i="54"/>
  <c r="Z248" i="54"/>
  <c r="AA248" i="54"/>
  <c r="Z176" i="54"/>
  <c r="AA176" i="54"/>
  <c r="Z56" i="54"/>
  <c r="AA56" i="54"/>
  <c r="Z128" i="54"/>
  <c r="AA128" i="54"/>
  <c r="AA293" i="54"/>
  <c r="Z293" i="54"/>
  <c r="Z17" i="54"/>
  <c r="AA17" i="54"/>
  <c r="AA29" i="54"/>
  <c r="Z29" i="54"/>
  <c r="AA125" i="54"/>
  <c r="Z125" i="54"/>
  <c r="Z197" i="54"/>
  <c r="AA197" i="54"/>
  <c r="AA353" i="54"/>
  <c r="Z353" i="54"/>
  <c r="Z341" i="54"/>
  <c r="AA341" i="54"/>
  <c r="AA83" i="54"/>
  <c r="Z83" i="54"/>
  <c r="Z275" i="54"/>
  <c r="AA275" i="54"/>
  <c r="AA347" i="54"/>
  <c r="Z347" i="54"/>
  <c r="AA227" i="54"/>
  <c r="Z227" i="54"/>
  <c r="Z47" i="54"/>
  <c r="AA47" i="54"/>
  <c r="Z179" i="54"/>
  <c r="AA179" i="54"/>
  <c r="Z107" i="54"/>
  <c r="AA107" i="54"/>
  <c r="Z203" i="54"/>
  <c r="AA203" i="54"/>
  <c r="AA31" i="54"/>
  <c r="Z31" i="54"/>
  <c r="AA295" i="54"/>
  <c r="Z295" i="54"/>
  <c r="Z187" i="54"/>
  <c r="AA187" i="54"/>
  <c r="Z139" i="54"/>
  <c r="AA139" i="54"/>
  <c r="Z127" i="54"/>
  <c r="AA127" i="54"/>
  <c r="Z43" i="54"/>
  <c r="AA43" i="54"/>
  <c r="Z271" i="54"/>
  <c r="AA271" i="54"/>
  <c r="AA343" i="54"/>
  <c r="Z343" i="54"/>
  <c r="AA357" i="54"/>
  <c r="Z357" i="54"/>
  <c r="Z225" i="54"/>
  <c r="AA225" i="54"/>
  <c r="AA297" i="54"/>
  <c r="Z297" i="54"/>
  <c r="AA261" i="54"/>
  <c r="Z261" i="54"/>
  <c r="Z249" i="54"/>
  <c r="AA249" i="54"/>
  <c r="Z321" i="54"/>
  <c r="AA321" i="54"/>
  <c r="Z285" i="54"/>
  <c r="AA285" i="54"/>
  <c r="Z222" i="54"/>
  <c r="AA222" i="54"/>
  <c r="Z138" i="54"/>
  <c r="AA138" i="54"/>
  <c r="Z18" i="54"/>
  <c r="AA18" i="54"/>
  <c r="AA294" i="54"/>
  <c r="Z294" i="54"/>
  <c r="Z54" i="54"/>
  <c r="AA54" i="54"/>
  <c r="AA246" i="54"/>
  <c r="Z246" i="54"/>
  <c r="Z306" i="54"/>
  <c r="AA306" i="54"/>
  <c r="AA340" i="54"/>
  <c r="Z340" i="54"/>
  <c r="Z364" i="54"/>
  <c r="AA364" i="54"/>
  <c r="Z244" i="54"/>
  <c r="AA244" i="54"/>
  <c r="AA280" i="54"/>
  <c r="Z280" i="54"/>
  <c r="Z40" i="54"/>
  <c r="AA40" i="54"/>
  <c r="AA124" i="54"/>
  <c r="Z124" i="54"/>
  <c r="Z76" i="54"/>
  <c r="AA76" i="54"/>
  <c r="BD75" i="54"/>
  <c r="BE75" i="54"/>
  <c r="BD147" i="54"/>
  <c r="BE147" i="54"/>
  <c r="BD63" i="54"/>
  <c r="BE63" i="54"/>
  <c r="BD159" i="54"/>
  <c r="BE159" i="54"/>
  <c r="BD267" i="54"/>
  <c r="BE267" i="54"/>
  <c r="BD351" i="54"/>
  <c r="BE351" i="54"/>
  <c r="BD315" i="54"/>
  <c r="BE315" i="54"/>
  <c r="BD291" i="54"/>
  <c r="BE291" i="54"/>
  <c r="AJ26" i="54"/>
  <c r="AK26" i="54"/>
  <c r="AK74" i="54"/>
  <c r="AJ74" i="54"/>
  <c r="AK206" i="54"/>
  <c r="AJ206" i="54"/>
  <c r="AK194" i="54"/>
  <c r="AJ194" i="54"/>
  <c r="AJ218" i="54"/>
  <c r="AK218" i="54"/>
  <c r="AJ278" i="54"/>
  <c r="AK278" i="54"/>
  <c r="AJ230" i="54"/>
  <c r="AK230" i="54"/>
  <c r="AK254" i="54"/>
  <c r="AJ254" i="54"/>
  <c r="BD238" i="54"/>
  <c r="BE238" i="54"/>
  <c r="BD118" i="54"/>
  <c r="BE118" i="54"/>
  <c r="BD58" i="54"/>
  <c r="BE58" i="54"/>
  <c r="BD202" i="54"/>
  <c r="BE202" i="54"/>
  <c r="BD154" i="54"/>
  <c r="BE154" i="54"/>
  <c r="BD310" i="54"/>
  <c r="BE310" i="54"/>
  <c r="BD322" i="54"/>
  <c r="BE322" i="54"/>
  <c r="BD44" i="54"/>
  <c r="BE44" i="54"/>
  <c r="BD104" i="54"/>
  <c r="BE104" i="54"/>
  <c r="BD176" i="54"/>
  <c r="BE176" i="54"/>
  <c r="BD68" i="54"/>
  <c r="BE68" i="54"/>
  <c r="BD272" i="54"/>
  <c r="BE272" i="54"/>
  <c r="BD284" i="54"/>
  <c r="BE284" i="54"/>
  <c r="BD188" i="54"/>
  <c r="BE188" i="54"/>
  <c r="BD308" i="54"/>
  <c r="BE308" i="54"/>
  <c r="BD35" i="54"/>
  <c r="BE35" i="54"/>
  <c r="BD155" i="54"/>
  <c r="BE155" i="54"/>
  <c r="BD23" i="54"/>
  <c r="BE23" i="54"/>
  <c r="BD215" i="54"/>
  <c r="BE215" i="54"/>
  <c r="BD167" i="54"/>
  <c r="BE167" i="54"/>
  <c r="BD263" i="54"/>
  <c r="BE263" i="54"/>
  <c r="BD311" i="54"/>
  <c r="BE311" i="54"/>
  <c r="BD359" i="54"/>
  <c r="BE359" i="54"/>
  <c r="BD77" i="54"/>
  <c r="BE77" i="54"/>
  <c r="BD209" i="54"/>
  <c r="BE209" i="54"/>
  <c r="BD221" i="54"/>
  <c r="BE221" i="54"/>
  <c r="BD89" i="54"/>
  <c r="BE89" i="54"/>
  <c r="BD149" i="54"/>
  <c r="BE149" i="54"/>
  <c r="BD353" i="54"/>
  <c r="BE353" i="54"/>
  <c r="BD257" i="54"/>
  <c r="BE257" i="54"/>
  <c r="BD211" i="54"/>
  <c r="BE211" i="54"/>
  <c r="BD31" i="54"/>
  <c r="BE31" i="54"/>
  <c r="BD283" i="54"/>
  <c r="BE283" i="54"/>
  <c r="BD19" i="54"/>
  <c r="BE19" i="54"/>
  <c r="BD163" i="54"/>
  <c r="BE163" i="54"/>
  <c r="BD235" i="54"/>
  <c r="BE235" i="54"/>
  <c r="BD295" i="54"/>
  <c r="BE295" i="54"/>
  <c r="BD367" i="54"/>
  <c r="BE367" i="54"/>
  <c r="AJ18" i="54"/>
  <c r="AK18" i="54"/>
  <c r="AK66" i="54"/>
  <c r="AJ66" i="54"/>
  <c r="AJ210" i="54"/>
  <c r="AK210" i="54"/>
  <c r="AK198" i="54"/>
  <c r="AJ198" i="54"/>
  <c r="AJ222" i="54"/>
  <c r="AK222" i="54"/>
  <c r="AK294" i="54"/>
  <c r="AJ294" i="54"/>
  <c r="AJ270" i="54"/>
  <c r="AK270" i="54"/>
  <c r="AJ366" i="54"/>
  <c r="AK366" i="54"/>
  <c r="AK136" i="54"/>
  <c r="AJ136" i="54"/>
  <c r="AJ76" i="54"/>
  <c r="AK76" i="54"/>
  <c r="AJ172" i="54"/>
  <c r="AK172" i="54"/>
  <c r="AJ196" i="54"/>
  <c r="AK196" i="54"/>
  <c r="AK232" i="54"/>
  <c r="AJ232" i="54"/>
  <c r="AJ316" i="54"/>
  <c r="AK316" i="54"/>
  <c r="AJ364" i="54"/>
  <c r="AK364" i="54"/>
  <c r="AJ37" i="54"/>
  <c r="AK37" i="54"/>
  <c r="AJ229" i="54"/>
  <c r="AK229" i="54"/>
  <c r="AK109" i="54"/>
  <c r="AJ109" i="54"/>
  <c r="AK25" i="54"/>
  <c r="AJ25" i="54"/>
  <c r="AK241" i="54"/>
  <c r="AJ241" i="54"/>
  <c r="AJ265" i="54"/>
  <c r="AK265" i="54"/>
  <c r="AJ217" i="54"/>
  <c r="AK217" i="54"/>
  <c r="AJ361" i="54"/>
  <c r="AK361" i="54"/>
  <c r="BD60" i="54"/>
  <c r="BE60" i="54"/>
  <c r="BD132" i="54"/>
  <c r="BE132" i="54"/>
  <c r="BD84" i="54"/>
  <c r="BE84" i="54"/>
  <c r="BD96" i="54"/>
  <c r="BE96" i="54"/>
  <c r="BD216" i="54"/>
  <c r="BE216" i="54"/>
  <c r="BD348" i="54"/>
  <c r="BE348" i="54"/>
  <c r="BD372" i="54"/>
  <c r="BE372" i="54"/>
  <c r="AJ178" i="54"/>
  <c r="AK178" i="54"/>
  <c r="AJ226" i="54"/>
  <c r="AK226" i="54"/>
  <c r="AK166" i="54"/>
  <c r="AJ166" i="54"/>
  <c r="AK34" i="54"/>
  <c r="AJ34" i="54"/>
  <c r="AK118" i="54"/>
  <c r="AJ118" i="54"/>
  <c r="AJ274" i="54"/>
  <c r="AK274" i="54"/>
  <c r="AJ262" i="54"/>
  <c r="AK262" i="54"/>
  <c r="AK370" i="54"/>
  <c r="AJ370" i="54"/>
  <c r="AJ212" i="54"/>
  <c r="AK212" i="54"/>
  <c r="AK104" i="54"/>
  <c r="AJ104" i="54"/>
  <c r="AJ116" i="54"/>
  <c r="AK116" i="54"/>
  <c r="AJ32" i="54"/>
  <c r="AK32" i="54"/>
  <c r="AK200" i="54"/>
  <c r="AJ200" i="54"/>
  <c r="AJ236" i="54"/>
  <c r="AK236" i="54"/>
  <c r="AK272" i="54"/>
  <c r="AJ272" i="54"/>
  <c r="AK69" i="54"/>
  <c r="AJ69" i="54"/>
  <c r="AK21" i="54"/>
  <c r="AJ21" i="54"/>
  <c r="AK117" i="54"/>
  <c r="AJ117" i="54"/>
  <c r="AK237" i="54"/>
  <c r="AJ237" i="54"/>
  <c r="AJ309" i="54"/>
  <c r="AK309" i="54"/>
  <c r="AJ261" i="54"/>
  <c r="AK261" i="54"/>
  <c r="AJ333" i="54"/>
  <c r="AK333" i="54"/>
  <c r="AK285" i="54"/>
  <c r="AJ285" i="54"/>
  <c r="BD52" i="54"/>
  <c r="BE52" i="54"/>
  <c r="BD40" i="54"/>
  <c r="BE40" i="54"/>
  <c r="BD220" i="54"/>
  <c r="BE220" i="54"/>
  <c r="BD268" i="54"/>
  <c r="BE268" i="54"/>
  <c r="BD232" i="54"/>
  <c r="BE232" i="54"/>
  <c r="BD316" i="54"/>
  <c r="BE316" i="54"/>
  <c r="BD244" i="54"/>
  <c r="BE244" i="54"/>
  <c r="AK39" i="54"/>
  <c r="AJ39" i="54"/>
  <c r="AK183" i="54"/>
  <c r="AJ183" i="54"/>
  <c r="AK147" i="54"/>
  <c r="AJ147" i="54"/>
  <c r="AJ231" i="54"/>
  <c r="AK231" i="54"/>
  <c r="AJ195" i="54"/>
  <c r="AK195" i="54"/>
  <c r="AJ255" i="54"/>
  <c r="AK255" i="54"/>
  <c r="AJ339" i="54"/>
  <c r="AK339" i="54"/>
  <c r="BD38" i="54"/>
  <c r="BE38" i="54"/>
  <c r="BD110" i="54"/>
  <c r="BE110" i="54"/>
  <c r="BD254" i="54"/>
  <c r="BE254" i="54"/>
  <c r="BD50" i="54"/>
  <c r="BE50" i="54"/>
  <c r="BD230" i="54"/>
  <c r="BE230" i="54"/>
  <c r="BD326" i="54"/>
  <c r="BE326" i="54"/>
  <c r="BD266" i="54"/>
  <c r="BE266" i="54"/>
  <c r="BD374" i="54"/>
  <c r="BE374" i="54"/>
  <c r="BD25" i="54"/>
  <c r="BE25" i="54"/>
  <c r="BD97" i="54"/>
  <c r="BE97" i="54"/>
  <c r="BD49" i="54"/>
  <c r="BE49" i="54"/>
  <c r="BD229" i="54"/>
  <c r="BE229" i="54"/>
  <c r="BD289" i="54"/>
  <c r="BE289" i="54"/>
  <c r="BD373" i="54"/>
  <c r="BE373" i="54"/>
  <c r="BD337" i="54"/>
  <c r="BE337" i="54"/>
  <c r="AK60" i="54"/>
  <c r="AJ60" i="54"/>
  <c r="AK120" i="54"/>
  <c r="AJ120" i="54"/>
  <c r="AK156" i="54"/>
  <c r="AJ156" i="54"/>
  <c r="AK96" i="54"/>
  <c r="AJ96" i="54"/>
  <c r="AJ216" i="54"/>
  <c r="AK216" i="54"/>
  <c r="AK252" i="54"/>
  <c r="AJ252" i="54"/>
  <c r="AJ372" i="54"/>
  <c r="AK372" i="54"/>
  <c r="AK312" i="54"/>
  <c r="AJ312" i="54"/>
  <c r="AK101" i="54"/>
  <c r="AJ101" i="54"/>
  <c r="AK77" i="54"/>
  <c r="AJ77" i="54"/>
  <c r="AK53" i="54"/>
  <c r="AJ53" i="54"/>
  <c r="AJ161" i="54"/>
  <c r="AK161" i="54"/>
  <c r="AJ293" i="54"/>
  <c r="AK293" i="54"/>
  <c r="AK341" i="54"/>
  <c r="AJ341" i="54"/>
  <c r="AJ281" i="54"/>
  <c r="AK281" i="54"/>
  <c r="AK143" i="54"/>
  <c r="AJ143" i="54"/>
  <c r="AK95" i="54"/>
  <c r="AJ95" i="54"/>
  <c r="AK59" i="54"/>
  <c r="AJ59" i="54"/>
  <c r="AK131" i="54"/>
  <c r="AJ131" i="54"/>
  <c r="AK203" i="54"/>
  <c r="AJ203" i="54"/>
  <c r="AJ227" i="54"/>
  <c r="AK227" i="54"/>
  <c r="AJ299" i="54"/>
  <c r="AK299" i="54"/>
  <c r="AK371" i="54"/>
  <c r="AJ371" i="54"/>
  <c r="AJ55" i="54"/>
  <c r="AK55" i="54"/>
  <c r="AJ199" i="54"/>
  <c r="AK199" i="54"/>
  <c r="AJ175" i="54"/>
  <c r="AK175" i="54"/>
  <c r="AJ115" i="54"/>
  <c r="AK115" i="54"/>
  <c r="AJ343" i="54"/>
  <c r="AK343" i="54"/>
  <c r="AK259" i="54"/>
  <c r="AJ259" i="54"/>
  <c r="AJ283" i="54"/>
  <c r="AK283" i="54"/>
  <c r="AK367" i="54"/>
  <c r="AJ367" i="54"/>
  <c r="BD273" i="54"/>
  <c r="BE273" i="54"/>
  <c r="BD189" i="54"/>
  <c r="BE189" i="54"/>
  <c r="BD285" i="54"/>
  <c r="BE285" i="54"/>
  <c r="BD57" i="54"/>
  <c r="BE57" i="54"/>
  <c r="BD141" i="54"/>
  <c r="BE141" i="54"/>
  <c r="BD153" i="54"/>
  <c r="BE153" i="54"/>
  <c r="BD345" i="54"/>
  <c r="BE345" i="54"/>
  <c r="BD357" i="54"/>
  <c r="BE357" i="54"/>
  <c r="BD66" i="54"/>
  <c r="BE66" i="54"/>
  <c r="BD150" i="54"/>
  <c r="BE150" i="54"/>
  <c r="BD114" i="54"/>
  <c r="BE114" i="54"/>
  <c r="BD306" i="54"/>
  <c r="BE306" i="54"/>
  <c r="BD234" i="54"/>
  <c r="BE234" i="54"/>
  <c r="BD294" i="54"/>
  <c r="BE294" i="54"/>
  <c r="BD366" i="54"/>
  <c r="BE366" i="54"/>
  <c r="Q303" i="54"/>
  <c r="P303" i="54"/>
  <c r="P171" i="54"/>
  <c r="Q171" i="54"/>
  <c r="P159" i="54"/>
  <c r="Q159" i="54"/>
  <c r="P351" i="54"/>
  <c r="Q351" i="54"/>
  <c r="P39" i="54"/>
  <c r="Q39" i="54"/>
  <c r="P195" i="54"/>
  <c r="Q195" i="54"/>
  <c r="Q207" i="54"/>
  <c r="P207" i="54"/>
  <c r="P51" i="54"/>
  <c r="Q51" i="54"/>
  <c r="AT363" i="54"/>
  <c r="AU363" i="54"/>
  <c r="AT255" i="54"/>
  <c r="AU255" i="54"/>
  <c r="AT267" i="54"/>
  <c r="AU267" i="54"/>
  <c r="AT315" i="54"/>
  <c r="AU315" i="54"/>
  <c r="AT51" i="54"/>
  <c r="AU51" i="54"/>
  <c r="AT75" i="54"/>
  <c r="AU75" i="54"/>
  <c r="AT87" i="54"/>
  <c r="AU87" i="54"/>
  <c r="AT278" i="54"/>
  <c r="AU278" i="54"/>
  <c r="AT134" i="54"/>
  <c r="AU134" i="54"/>
  <c r="AT218" i="54"/>
  <c r="AU218" i="54"/>
  <c r="AT302" i="54"/>
  <c r="AU302" i="54"/>
  <c r="AT50" i="54"/>
  <c r="AU50" i="54"/>
  <c r="AT158" i="54"/>
  <c r="AU158" i="54"/>
  <c r="AT86" i="54"/>
  <c r="AU86" i="54"/>
  <c r="AT170" i="54"/>
  <c r="AU170" i="54"/>
  <c r="Q206" i="54"/>
  <c r="P206" i="54"/>
  <c r="P254" i="54"/>
  <c r="Q254" i="54"/>
  <c r="P62" i="54"/>
  <c r="Q62" i="54"/>
  <c r="Q266" i="54"/>
  <c r="P266" i="54"/>
  <c r="P74" i="54"/>
  <c r="Q74" i="54"/>
  <c r="P314" i="54"/>
  <c r="Q314" i="54"/>
  <c r="P122" i="54"/>
  <c r="Q122" i="54"/>
  <c r="Q85" i="54"/>
  <c r="P85" i="54"/>
  <c r="Q241" i="54"/>
  <c r="P241" i="54"/>
  <c r="P373" i="54"/>
  <c r="Q373" i="54"/>
  <c r="P253" i="54"/>
  <c r="Q253" i="54"/>
  <c r="Q337" i="54"/>
  <c r="P337" i="54"/>
  <c r="P145" i="54"/>
  <c r="Q145" i="54"/>
  <c r="Q193" i="54"/>
  <c r="P193" i="54"/>
  <c r="P121" i="54"/>
  <c r="Q121" i="54"/>
  <c r="AT217" i="54"/>
  <c r="AU217" i="54"/>
  <c r="AT133" i="54"/>
  <c r="AU133" i="54"/>
  <c r="AT37" i="54"/>
  <c r="AU37" i="54"/>
  <c r="AT145" i="54"/>
  <c r="AU145" i="54"/>
  <c r="AT85" i="54"/>
  <c r="AU85" i="54"/>
  <c r="AT157" i="54"/>
  <c r="AU157" i="54"/>
  <c r="AT277" i="54"/>
  <c r="AU277" i="54"/>
  <c r="AT372" i="54"/>
  <c r="AU372" i="54"/>
  <c r="AT360" i="54"/>
  <c r="AU360" i="54"/>
  <c r="AT288" i="54"/>
  <c r="AU288" i="54"/>
  <c r="AT216" i="54"/>
  <c r="AU216" i="54"/>
  <c r="AT96" i="54"/>
  <c r="AU96" i="54"/>
  <c r="AT264" i="54"/>
  <c r="AU264" i="54"/>
  <c r="AT312" i="54"/>
  <c r="AU312" i="54"/>
  <c r="AT24" i="54"/>
  <c r="AU24" i="54"/>
  <c r="P204" i="54"/>
  <c r="Q204" i="54"/>
  <c r="P264" i="54"/>
  <c r="Q264" i="54"/>
  <c r="Q132" i="54"/>
  <c r="P132" i="54"/>
  <c r="Q372" i="54"/>
  <c r="P372" i="54"/>
  <c r="Q180" i="54"/>
  <c r="P180" i="54"/>
  <c r="P348" i="54"/>
  <c r="Q348" i="54"/>
  <c r="P60" i="54"/>
  <c r="Q60" i="54"/>
  <c r="Q346" i="54"/>
  <c r="P346" i="54"/>
  <c r="P154" i="54"/>
  <c r="Q154" i="54"/>
  <c r="P202" i="54"/>
  <c r="Q202" i="54"/>
  <c r="P334" i="54"/>
  <c r="Q334" i="54"/>
  <c r="P58" i="54"/>
  <c r="Q58" i="54"/>
  <c r="P46" i="54"/>
  <c r="Q46" i="54"/>
  <c r="Q70" i="54"/>
  <c r="P70" i="54"/>
  <c r="AT322" i="54"/>
  <c r="AU322" i="54"/>
  <c r="AT226" i="54"/>
  <c r="AU226" i="54"/>
  <c r="AT106" i="54"/>
  <c r="AU106" i="54"/>
  <c r="AT214" i="54"/>
  <c r="AU214" i="54"/>
  <c r="AT262" i="54"/>
  <c r="AU262" i="54"/>
  <c r="AT190" i="54"/>
  <c r="AU190" i="54"/>
  <c r="AT154" i="54"/>
  <c r="AU154" i="54"/>
  <c r="AT94" i="54"/>
  <c r="AU94" i="54"/>
  <c r="P308" i="54"/>
  <c r="Q308" i="54"/>
  <c r="P200" i="54"/>
  <c r="Q200" i="54"/>
  <c r="P272" i="54"/>
  <c r="Q272" i="54"/>
  <c r="Q44" i="54"/>
  <c r="P44" i="54"/>
  <c r="P248" i="54"/>
  <c r="Q248" i="54"/>
  <c r="Q368" i="54"/>
  <c r="P368" i="54"/>
  <c r="P152" i="54"/>
  <c r="Q152" i="54"/>
  <c r="AT368" i="54"/>
  <c r="AU368" i="54"/>
  <c r="AT272" i="54"/>
  <c r="AU272" i="54"/>
  <c r="AT356" i="54"/>
  <c r="AU356" i="54"/>
  <c r="AT284" i="54"/>
  <c r="AU284" i="54"/>
  <c r="AT344" i="54"/>
  <c r="AU344" i="54"/>
  <c r="AT140" i="54"/>
  <c r="AU140" i="54"/>
  <c r="AT116" i="54"/>
  <c r="AU116" i="54"/>
  <c r="AT188" i="54"/>
  <c r="AU188" i="54"/>
  <c r="Q329" i="54"/>
  <c r="P329" i="54"/>
  <c r="Q137" i="54"/>
  <c r="P137" i="54"/>
  <c r="P185" i="54"/>
  <c r="Q185" i="54"/>
  <c r="P365" i="54"/>
  <c r="Q365" i="54"/>
  <c r="Q353" i="54"/>
  <c r="P353" i="54"/>
  <c r="P29" i="54"/>
  <c r="Q29" i="54"/>
  <c r="Q53" i="54"/>
  <c r="P53" i="54"/>
  <c r="AT305" i="54"/>
  <c r="AU305" i="54"/>
  <c r="AT257" i="54"/>
  <c r="AU257" i="54"/>
  <c r="AT341" i="54"/>
  <c r="AU341" i="54"/>
  <c r="AT269" i="54"/>
  <c r="AU269" i="54"/>
  <c r="AT125" i="54"/>
  <c r="AU125" i="54"/>
  <c r="AT29" i="54"/>
  <c r="AU29" i="54"/>
  <c r="AT137" i="54"/>
  <c r="AU137" i="54"/>
  <c r="AT77" i="54"/>
  <c r="AU77" i="54"/>
  <c r="Q311" i="54"/>
  <c r="P311" i="54"/>
  <c r="P107" i="54"/>
  <c r="Q107" i="54"/>
  <c r="P287" i="54"/>
  <c r="Q287" i="54"/>
  <c r="P299" i="54"/>
  <c r="Q299" i="54"/>
  <c r="Q179" i="54"/>
  <c r="P179" i="54"/>
  <c r="P227" i="54"/>
  <c r="Q227" i="54"/>
  <c r="Q35" i="54"/>
  <c r="P35" i="54"/>
  <c r="AT143" i="54"/>
  <c r="AU143" i="54"/>
  <c r="AT371" i="54"/>
  <c r="AU371" i="54"/>
  <c r="AT323" i="54"/>
  <c r="AU323" i="54"/>
  <c r="AT107" i="54"/>
  <c r="AU107" i="54"/>
  <c r="AT299" i="54"/>
  <c r="AU299" i="54"/>
  <c r="AT239" i="54"/>
  <c r="AU239" i="54"/>
  <c r="AT71" i="54"/>
  <c r="AU71" i="54"/>
  <c r="AT59" i="54"/>
  <c r="AU59" i="54"/>
  <c r="Q259" i="54"/>
  <c r="P259" i="54"/>
  <c r="P31" i="54"/>
  <c r="Q31" i="54"/>
  <c r="P271" i="54"/>
  <c r="Q271" i="54"/>
  <c r="Q355" i="54"/>
  <c r="P355" i="54"/>
  <c r="Q127" i="54"/>
  <c r="P127" i="54"/>
  <c r="P331" i="54"/>
  <c r="Q331" i="54"/>
  <c r="P43" i="54"/>
  <c r="Q43" i="54"/>
  <c r="AT139" i="54"/>
  <c r="AU139" i="54"/>
  <c r="AT151" i="54"/>
  <c r="AU151" i="54"/>
  <c r="AT43" i="54"/>
  <c r="AU43" i="54"/>
  <c r="AT355" i="54"/>
  <c r="AU355" i="54"/>
  <c r="AT79" i="54"/>
  <c r="AU79" i="54"/>
  <c r="AT247" i="54"/>
  <c r="AU247" i="54"/>
  <c r="AT295" i="54"/>
  <c r="AU295" i="54"/>
  <c r="AT67" i="54"/>
  <c r="AU67" i="54"/>
  <c r="Q309" i="54"/>
  <c r="P309" i="54"/>
  <c r="P237" i="54"/>
  <c r="Q237" i="54"/>
  <c r="P201" i="54"/>
  <c r="Q201" i="54"/>
  <c r="P213" i="54"/>
  <c r="Q213" i="54"/>
  <c r="P273" i="54"/>
  <c r="Q273" i="54"/>
  <c r="P177" i="54"/>
  <c r="Q177" i="54"/>
  <c r="P165" i="54"/>
  <c r="Q165" i="54"/>
  <c r="AT165" i="54"/>
  <c r="AU165" i="54"/>
  <c r="AT273" i="54"/>
  <c r="AU273" i="54"/>
  <c r="AT45" i="54"/>
  <c r="AU45" i="54"/>
  <c r="AT285" i="54"/>
  <c r="AU285" i="54"/>
  <c r="AT177" i="54"/>
  <c r="AU177" i="54"/>
  <c r="AT57" i="54"/>
  <c r="AU57" i="54"/>
  <c r="AT189" i="54"/>
  <c r="AU189" i="54"/>
  <c r="AT117" i="54"/>
  <c r="AU117" i="54"/>
  <c r="P186" i="54"/>
  <c r="Q186" i="54"/>
  <c r="P66" i="54"/>
  <c r="Q66" i="54"/>
  <c r="P270" i="54"/>
  <c r="Q270" i="54"/>
  <c r="P354" i="54"/>
  <c r="Q354" i="54"/>
  <c r="Q162" i="54"/>
  <c r="P162" i="54"/>
  <c r="Q42" i="54"/>
  <c r="P42" i="54"/>
  <c r="Q18" i="54"/>
  <c r="P18" i="54"/>
  <c r="AT126" i="54"/>
  <c r="AU126" i="54"/>
  <c r="AT186" i="54"/>
  <c r="AU186" i="54"/>
  <c r="AT102" i="54"/>
  <c r="AU102" i="54"/>
  <c r="AT234" i="54"/>
  <c r="AU234" i="54"/>
  <c r="AT246" i="54"/>
  <c r="AU246" i="54"/>
  <c r="AT330" i="54"/>
  <c r="AU330" i="54"/>
  <c r="AT258" i="54"/>
  <c r="AU258" i="54"/>
  <c r="AT42" i="54"/>
  <c r="AU42" i="54"/>
  <c r="Q352" i="54"/>
  <c r="P352" i="54"/>
  <c r="Q292" i="54"/>
  <c r="P292" i="54"/>
  <c r="Q304" i="54"/>
  <c r="P304" i="54"/>
  <c r="P340" i="54"/>
  <c r="Q340" i="54"/>
  <c r="Q268" i="54"/>
  <c r="P268" i="54"/>
  <c r="P40" i="54"/>
  <c r="Q40" i="54"/>
  <c r="P244" i="54"/>
  <c r="Q244" i="54"/>
  <c r="P52" i="54"/>
  <c r="Q52" i="54"/>
  <c r="AT28" i="54"/>
  <c r="AU28" i="54"/>
  <c r="AT76" i="54"/>
  <c r="AU76" i="54"/>
  <c r="AT304" i="54"/>
  <c r="AU304" i="54"/>
  <c r="AT352" i="54"/>
  <c r="AU352" i="54"/>
  <c r="AT280" i="54"/>
  <c r="AU280" i="54"/>
  <c r="AT208" i="54"/>
  <c r="AU208" i="54"/>
  <c r="AT88" i="54"/>
  <c r="AU88" i="54"/>
  <c r="Z51" i="54"/>
  <c r="AA51" i="54"/>
  <c r="Z231" i="54"/>
  <c r="AA231" i="54"/>
  <c r="AA267" i="54"/>
  <c r="Z267" i="54"/>
  <c r="AA86" i="54"/>
  <c r="Z86" i="54"/>
  <c r="AA362" i="54"/>
  <c r="Z362" i="54"/>
  <c r="Z182" i="54"/>
  <c r="AA182" i="54"/>
  <c r="Z194" i="54"/>
  <c r="AA194" i="54"/>
  <c r="Z266" i="54"/>
  <c r="AA266" i="54"/>
  <c r="AA338" i="54"/>
  <c r="Z338" i="54"/>
  <c r="AA110" i="54"/>
  <c r="Z110" i="54"/>
  <c r="Z290" i="54"/>
  <c r="AA290" i="54"/>
  <c r="Z217" i="54"/>
  <c r="AA217" i="54"/>
  <c r="AA373" i="54"/>
  <c r="Z373" i="54"/>
  <c r="Z349" i="54"/>
  <c r="AA349" i="54"/>
  <c r="AA265" i="54"/>
  <c r="Z265" i="54"/>
  <c r="AA193" i="54"/>
  <c r="Z193" i="54"/>
  <c r="AA73" i="54"/>
  <c r="Z73" i="54"/>
  <c r="AA145" i="54"/>
  <c r="Z145" i="54"/>
  <c r="Z240" i="54"/>
  <c r="AA240" i="54"/>
  <c r="Z372" i="54"/>
  <c r="AA372" i="54"/>
  <c r="AA192" i="54"/>
  <c r="Z192" i="54"/>
  <c r="Z36" i="54"/>
  <c r="AA36" i="54"/>
  <c r="AA228" i="54"/>
  <c r="Z228" i="54"/>
  <c r="Z60" i="54"/>
  <c r="AA60" i="54"/>
  <c r="AA288" i="54"/>
  <c r="Z288" i="54"/>
  <c r="Z94" i="54"/>
  <c r="AA94" i="54"/>
  <c r="Z34" i="54"/>
  <c r="AA34" i="54"/>
  <c r="AA262" i="54"/>
  <c r="Z262" i="54"/>
  <c r="Z334" i="54"/>
  <c r="AA334" i="54"/>
  <c r="AA130" i="54"/>
  <c r="Z130" i="54"/>
  <c r="AA370" i="54"/>
  <c r="Z370" i="54"/>
  <c r="Z166" i="54"/>
  <c r="AA166" i="54"/>
  <c r="Z80" i="54"/>
  <c r="AA80" i="54"/>
  <c r="AA260" i="54"/>
  <c r="Z260" i="54"/>
  <c r="Z140" i="54"/>
  <c r="AA140" i="54"/>
  <c r="Z212" i="54"/>
  <c r="AA212" i="54"/>
  <c r="Z68" i="54"/>
  <c r="AA68" i="54"/>
  <c r="Z164" i="54"/>
  <c r="AA164" i="54"/>
  <c r="Z44" i="54"/>
  <c r="AA44" i="54"/>
  <c r="Z320" i="54"/>
  <c r="AA320" i="54"/>
  <c r="AA101" i="54"/>
  <c r="Z101" i="54"/>
  <c r="AA185" i="54"/>
  <c r="Z185" i="54"/>
  <c r="AA113" i="54"/>
  <c r="Z113" i="54"/>
  <c r="AA245" i="54"/>
  <c r="Z245" i="54"/>
  <c r="Z317" i="54"/>
  <c r="AA317" i="54"/>
  <c r="Z281" i="54"/>
  <c r="AA281" i="54"/>
  <c r="AA41" i="54"/>
  <c r="Z41" i="54"/>
  <c r="Z233" i="54"/>
  <c r="AA233" i="54"/>
  <c r="Z335" i="54"/>
  <c r="AA335" i="54"/>
  <c r="Z167" i="54"/>
  <c r="AA167" i="54"/>
  <c r="Z35" i="54"/>
  <c r="AA35" i="54"/>
  <c r="Z311" i="54"/>
  <c r="AA311" i="54"/>
  <c r="Z95" i="54"/>
  <c r="AA95" i="54"/>
  <c r="AA263" i="54"/>
  <c r="Z263" i="54"/>
  <c r="Z131" i="54"/>
  <c r="AA131" i="54"/>
  <c r="Z115" i="54"/>
  <c r="AA115" i="54"/>
  <c r="Z367" i="54"/>
  <c r="AA367" i="54"/>
  <c r="AA175" i="54"/>
  <c r="Z175" i="54"/>
  <c r="AA91" i="54"/>
  <c r="Z91" i="54"/>
  <c r="AA319" i="54"/>
  <c r="Z319" i="54"/>
  <c r="Z79" i="54"/>
  <c r="AA79" i="54"/>
  <c r="Z163" i="54"/>
  <c r="AA163" i="54"/>
  <c r="AA69" i="54"/>
  <c r="Z69" i="54"/>
  <c r="Z153" i="54"/>
  <c r="AA153" i="54"/>
  <c r="Z105" i="54"/>
  <c r="AA105" i="54"/>
  <c r="Z189" i="54"/>
  <c r="AA189" i="54"/>
  <c r="Z57" i="54"/>
  <c r="AA57" i="54"/>
  <c r="Z141" i="54"/>
  <c r="AA141" i="54"/>
  <c r="Z213" i="54"/>
  <c r="AA213" i="54"/>
  <c r="AA273" i="54"/>
  <c r="Z273" i="54"/>
  <c r="Z66" i="54"/>
  <c r="AA66" i="54"/>
  <c r="Z258" i="54"/>
  <c r="AA258" i="54"/>
  <c r="AA330" i="54"/>
  <c r="Z330" i="54"/>
  <c r="Z126" i="54"/>
  <c r="AA126" i="54"/>
  <c r="AA282" i="54"/>
  <c r="Z282" i="54"/>
  <c r="AA270" i="54"/>
  <c r="Z270" i="54"/>
  <c r="AA234" i="54"/>
  <c r="Z234" i="54"/>
  <c r="Z198" i="54"/>
  <c r="AA198" i="54"/>
  <c r="Z112" i="54"/>
  <c r="AA112" i="54"/>
  <c r="Z220" i="54"/>
  <c r="AA220" i="54"/>
  <c r="Z88" i="54"/>
  <c r="AA88" i="54"/>
  <c r="AA172" i="54"/>
  <c r="Z172" i="54"/>
  <c r="Z16" i="54"/>
  <c r="AA16" i="54"/>
  <c r="AA316" i="54"/>
  <c r="Z316" i="54"/>
  <c r="AA184" i="54"/>
  <c r="Z184" i="54"/>
  <c r="BD39" i="54"/>
  <c r="BE39" i="54"/>
  <c r="BD27" i="54"/>
  <c r="BE27" i="54"/>
  <c r="BD207" i="54"/>
  <c r="BE207" i="54"/>
  <c r="BD243" i="54"/>
  <c r="BE243" i="54"/>
  <c r="BD123" i="54"/>
  <c r="BE123" i="54"/>
  <c r="BD183" i="54"/>
  <c r="BE183" i="54"/>
  <c r="BD339" i="54"/>
  <c r="BE339" i="54"/>
  <c r="BD363" i="54"/>
  <c r="BE363" i="54"/>
  <c r="AJ98" i="54"/>
  <c r="AK98" i="54"/>
  <c r="AJ62" i="54"/>
  <c r="AK62" i="54"/>
  <c r="AK122" i="54"/>
  <c r="AJ122" i="54"/>
  <c r="AK182" i="54"/>
  <c r="AJ182" i="54"/>
  <c r="AK326" i="54"/>
  <c r="AJ326" i="54"/>
  <c r="AK242" i="54"/>
  <c r="AJ242" i="54"/>
  <c r="AJ266" i="54"/>
  <c r="AK266" i="54"/>
  <c r="AJ374" i="54"/>
  <c r="AK374" i="54"/>
  <c r="BD34" i="54"/>
  <c r="BE34" i="54"/>
  <c r="BD94" i="54"/>
  <c r="BE94" i="54"/>
  <c r="BD46" i="54"/>
  <c r="BE46" i="54"/>
  <c r="BD82" i="54"/>
  <c r="BE82" i="54"/>
  <c r="BD178" i="54"/>
  <c r="BE178" i="54"/>
  <c r="BD358" i="54"/>
  <c r="BE358" i="54"/>
  <c r="BD286" i="54"/>
  <c r="BE286" i="54"/>
  <c r="BD20" i="54"/>
  <c r="BE20" i="54"/>
  <c r="BD224" i="54"/>
  <c r="BE224" i="54"/>
  <c r="BD80" i="54"/>
  <c r="BE80" i="54"/>
  <c r="BD164" i="54"/>
  <c r="BE164" i="54"/>
  <c r="BD368" i="54"/>
  <c r="BE368" i="54"/>
  <c r="BD356" i="54"/>
  <c r="BE356" i="54"/>
  <c r="BD344" i="54"/>
  <c r="BE344" i="54"/>
  <c r="BD296" i="54"/>
  <c r="BE296" i="54"/>
  <c r="BD95" i="54"/>
  <c r="BE95" i="54"/>
  <c r="BD59" i="54"/>
  <c r="BE59" i="54"/>
  <c r="BD191" i="54"/>
  <c r="BE191" i="54"/>
  <c r="BD131" i="54"/>
  <c r="BE131" i="54"/>
  <c r="BD179" i="54"/>
  <c r="BE179" i="54"/>
  <c r="BD227" i="54"/>
  <c r="BE227" i="54"/>
  <c r="BD347" i="54"/>
  <c r="BE347" i="54"/>
  <c r="BD371" i="54"/>
  <c r="BE371" i="54"/>
  <c r="BD17" i="54"/>
  <c r="BE17" i="54"/>
  <c r="BD29" i="54"/>
  <c r="BE29" i="54"/>
  <c r="BD113" i="54"/>
  <c r="BE113" i="54"/>
  <c r="BD137" i="54"/>
  <c r="BE137" i="54"/>
  <c r="BD125" i="54"/>
  <c r="BE125" i="54"/>
  <c r="BD197" i="54"/>
  <c r="BE197" i="54"/>
  <c r="BD317" i="54"/>
  <c r="BE317" i="54"/>
  <c r="BD365" i="54"/>
  <c r="BE365" i="54"/>
  <c r="BD139" i="54"/>
  <c r="BE139" i="54"/>
  <c r="BD115" i="54"/>
  <c r="BE115" i="54"/>
  <c r="BD127" i="54"/>
  <c r="BE127" i="54"/>
  <c r="BD79" i="54"/>
  <c r="BE79" i="54"/>
  <c r="BD55" i="54"/>
  <c r="BE55" i="54"/>
  <c r="BD271" i="54"/>
  <c r="BE271" i="54"/>
  <c r="BD223" i="54"/>
  <c r="BE223" i="54"/>
  <c r="AJ90" i="54"/>
  <c r="AK90" i="54"/>
  <c r="AJ54" i="54"/>
  <c r="AK54" i="54"/>
  <c r="AK42" i="54"/>
  <c r="AJ42" i="54"/>
  <c r="AK78" i="54"/>
  <c r="AJ78" i="54"/>
  <c r="AJ318" i="54"/>
  <c r="AK318" i="54"/>
  <c r="AJ330" i="54"/>
  <c r="AK330" i="54"/>
  <c r="AK246" i="54"/>
  <c r="AJ246" i="54"/>
  <c r="AJ64" i="54"/>
  <c r="AK64" i="54"/>
  <c r="AK40" i="54"/>
  <c r="AJ40" i="54"/>
  <c r="AK148" i="54"/>
  <c r="AJ148" i="54"/>
  <c r="AK88" i="54"/>
  <c r="AJ88" i="54"/>
  <c r="AK292" i="54"/>
  <c r="AJ292" i="54"/>
  <c r="AJ208" i="54"/>
  <c r="AK208" i="54"/>
  <c r="AJ352" i="54"/>
  <c r="AK352" i="54"/>
  <c r="AK268" i="54"/>
  <c r="AJ268" i="54"/>
  <c r="AJ49" i="54"/>
  <c r="AK49" i="54"/>
  <c r="AK133" i="54"/>
  <c r="AJ133" i="54"/>
  <c r="AJ193" i="54"/>
  <c r="AK193" i="54"/>
  <c r="AK61" i="54"/>
  <c r="AJ61" i="54"/>
  <c r="AJ253" i="54"/>
  <c r="AK253" i="54"/>
  <c r="AK349" i="54"/>
  <c r="AJ349" i="54"/>
  <c r="AJ325" i="54"/>
  <c r="AK325" i="54"/>
  <c r="BD48" i="54"/>
  <c r="BE48" i="54"/>
  <c r="BD228" i="54"/>
  <c r="BE228" i="54"/>
  <c r="BD360" i="54"/>
  <c r="BE360" i="54"/>
  <c r="BD120" i="54"/>
  <c r="BE120" i="54"/>
  <c r="BD180" i="54"/>
  <c r="BE180" i="54"/>
  <c r="BD288" i="54"/>
  <c r="BE288" i="54"/>
  <c r="BD240" i="54"/>
  <c r="BE240" i="54"/>
  <c r="BD324" i="54"/>
  <c r="BE324" i="54"/>
  <c r="AK82" i="54"/>
  <c r="AJ82" i="54"/>
  <c r="AJ130" i="54"/>
  <c r="AK130" i="54"/>
  <c r="AJ106" i="54"/>
  <c r="AK106" i="54"/>
  <c r="AK70" i="54"/>
  <c r="AJ70" i="54"/>
  <c r="AK238" i="54"/>
  <c r="AJ238" i="54"/>
  <c r="AK334" i="54"/>
  <c r="AJ334" i="54"/>
  <c r="AK310" i="54"/>
  <c r="AJ310" i="54"/>
  <c r="AK176" i="54"/>
  <c r="AJ176" i="54"/>
  <c r="AJ20" i="54"/>
  <c r="AK20" i="54"/>
  <c r="AK68" i="54"/>
  <c r="AJ68" i="54"/>
  <c r="AK188" i="54"/>
  <c r="AJ188" i="54"/>
  <c r="AK80" i="54"/>
  <c r="AJ80" i="54"/>
  <c r="AJ308" i="54"/>
  <c r="AK308" i="54"/>
  <c r="AK296" i="54"/>
  <c r="AJ296" i="54"/>
  <c r="AJ260" i="54"/>
  <c r="AK260" i="54"/>
  <c r="AK93" i="54"/>
  <c r="AJ93" i="54"/>
  <c r="AK57" i="54"/>
  <c r="AJ57" i="54"/>
  <c r="AK129" i="54"/>
  <c r="AJ129" i="54"/>
  <c r="AK33" i="54"/>
  <c r="AJ33" i="54"/>
  <c r="AJ249" i="54"/>
  <c r="AK249" i="54"/>
  <c r="AJ273" i="54"/>
  <c r="AK273" i="54"/>
  <c r="AK369" i="54"/>
  <c r="AJ369" i="54"/>
  <c r="BD28" i="54"/>
  <c r="BE28" i="54"/>
  <c r="BD100" i="54"/>
  <c r="BE100" i="54"/>
  <c r="BD112" i="54"/>
  <c r="BE112" i="54"/>
  <c r="BD160" i="54"/>
  <c r="BE160" i="54"/>
  <c r="BD196" i="54"/>
  <c r="BE196" i="54"/>
  <c r="BD256" i="54"/>
  <c r="BE256" i="54"/>
  <c r="BD328" i="54"/>
  <c r="BE328" i="54"/>
  <c r="BD340" i="54"/>
  <c r="BE340" i="54"/>
  <c r="AK27" i="54"/>
  <c r="AJ27" i="54"/>
  <c r="AJ123" i="54"/>
  <c r="AK123" i="54"/>
  <c r="AJ171" i="54"/>
  <c r="AK171" i="54"/>
  <c r="AJ207" i="54"/>
  <c r="AK207" i="54"/>
  <c r="AJ279" i="54"/>
  <c r="AK279" i="54"/>
  <c r="AJ351" i="54"/>
  <c r="AK351" i="54"/>
  <c r="AK375" i="54"/>
  <c r="AJ375" i="54"/>
  <c r="AK291" i="54"/>
  <c r="AJ291" i="54"/>
  <c r="BD26" i="54"/>
  <c r="BE26" i="54"/>
  <c r="BD122" i="54"/>
  <c r="BE122" i="54"/>
  <c r="BD134" i="54"/>
  <c r="BE134" i="54"/>
  <c r="BD194" i="54"/>
  <c r="BE194" i="54"/>
  <c r="BD182" i="54"/>
  <c r="BE182" i="54"/>
  <c r="BD290" i="54"/>
  <c r="BE290" i="54"/>
  <c r="BD362" i="54"/>
  <c r="BE362" i="54"/>
  <c r="BD145" i="54"/>
  <c r="BE145" i="54"/>
  <c r="BD157" i="54"/>
  <c r="BE157" i="54"/>
  <c r="BD133" i="54"/>
  <c r="BE133" i="54"/>
  <c r="BD85" i="54"/>
  <c r="BE85" i="54"/>
  <c r="BD253" i="54"/>
  <c r="BE253" i="54"/>
  <c r="BD301" i="54"/>
  <c r="BE301" i="54"/>
  <c r="BD205" i="54"/>
  <c r="BE205" i="54"/>
  <c r="BD349" i="54"/>
  <c r="BE349" i="54"/>
  <c r="AJ180" i="54"/>
  <c r="AK180" i="54"/>
  <c r="AK48" i="54"/>
  <c r="AJ48" i="54"/>
  <c r="AJ132" i="54"/>
  <c r="AK132" i="54"/>
  <c r="AJ168" i="54"/>
  <c r="AK168" i="54"/>
  <c r="AK288" i="54"/>
  <c r="AJ288" i="54"/>
  <c r="AK348" i="54"/>
  <c r="AJ348" i="54"/>
  <c r="AJ264" i="54"/>
  <c r="AK264" i="54"/>
  <c r="AJ29" i="54"/>
  <c r="AK29" i="54"/>
  <c r="AK137" i="54"/>
  <c r="AJ137" i="54"/>
  <c r="AJ89" i="54"/>
  <c r="AK89" i="54"/>
  <c r="AJ113" i="54"/>
  <c r="AK113" i="54"/>
  <c r="AK125" i="54"/>
  <c r="AJ125" i="54"/>
  <c r="AK233" i="54"/>
  <c r="AJ233" i="54"/>
  <c r="AK365" i="54"/>
  <c r="AJ365" i="54"/>
  <c r="AJ329" i="54"/>
  <c r="AK329" i="54"/>
  <c r="AJ275" i="54"/>
  <c r="AK275" i="54"/>
  <c r="AK155" i="54"/>
  <c r="AJ155" i="54"/>
  <c r="AK47" i="54"/>
  <c r="AJ47" i="54"/>
  <c r="AK179" i="54"/>
  <c r="AJ179" i="54"/>
  <c r="AK263" i="54"/>
  <c r="AJ263" i="54"/>
  <c r="AJ215" i="54"/>
  <c r="AK215" i="54"/>
  <c r="AJ323" i="54"/>
  <c r="AK323" i="54"/>
  <c r="AK79" i="54"/>
  <c r="AJ79" i="54"/>
  <c r="AK127" i="54"/>
  <c r="AJ127" i="54"/>
  <c r="AJ139" i="54"/>
  <c r="AK139" i="54"/>
  <c r="AK91" i="54"/>
  <c r="AJ91" i="54"/>
  <c r="AK247" i="54"/>
  <c r="AJ247" i="54"/>
  <c r="AK235" i="54"/>
  <c r="AJ235" i="54"/>
  <c r="AJ211" i="54"/>
  <c r="AK211" i="54"/>
  <c r="BD21" i="54"/>
  <c r="BE21" i="54"/>
  <c r="BD69" i="54"/>
  <c r="BE69" i="54"/>
  <c r="BD81" i="54"/>
  <c r="BE81" i="54"/>
  <c r="BD297" i="54"/>
  <c r="BE297" i="54"/>
  <c r="BD213" i="54"/>
  <c r="BE213" i="54"/>
  <c r="BD201" i="54"/>
  <c r="BE201" i="54"/>
  <c r="BD321" i="54"/>
  <c r="BE321" i="54"/>
  <c r="BD18" i="54"/>
  <c r="BE18" i="54"/>
  <c r="BD186" i="54"/>
  <c r="BE186" i="54"/>
  <c r="BD102" i="54"/>
  <c r="BE102" i="54"/>
  <c r="BD54" i="54"/>
  <c r="BE54" i="54"/>
  <c r="BD162" i="54"/>
  <c r="BE162" i="54"/>
  <c r="BD222" i="54"/>
  <c r="BE222" i="54"/>
  <c r="BD330" i="54"/>
  <c r="BE330" i="54"/>
  <c r="BD342" i="54"/>
  <c r="BE342" i="54"/>
  <c r="Q363" i="54"/>
  <c r="P363" i="54"/>
  <c r="Q135" i="54"/>
  <c r="P135" i="54"/>
  <c r="P27" i="54"/>
  <c r="Q27" i="54"/>
  <c r="Q267" i="54"/>
  <c r="P267" i="54"/>
  <c r="Q99" i="54"/>
  <c r="P99" i="54"/>
  <c r="P63" i="54"/>
  <c r="Q63" i="54"/>
  <c r="Q123" i="54"/>
  <c r="P123" i="54"/>
  <c r="AT339" i="54"/>
  <c r="AU339" i="54"/>
  <c r="AT147" i="54"/>
  <c r="AU147" i="54"/>
  <c r="AT219" i="54"/>
  <c r="AU219" i="54"/>
  <c r="AT231" i="54"/>
  <c r="AU231" i="54"/>
  <c r="AT123" i="54"/>
  <c r="AU123" i="54"/>
  <c r="AT63" i="54"/>
  <c r="AU63" i="54"/>
  <c r="AT171" i="54"/>
  <c r="AU171" i="54"/>
  <c r="AT99" i="54"/>
  <c r="AU99" i="54"/>
  <c r="AT62" i="54"/>
  <c r="AU62" i="54"/>
  <c r="AT290" i="54"/>
  <c r="AU290" i="54"/>
  <c r="AT326" i="54"/>
  <c r="AU326" i="54"/>
  <c r="AT266" i="54"/>
  <c r="AU266" i="54"/>
  <c r="AT362" i="54"/>
  <c r="AU362" i="54"/>
  <c r="AT314" i="54"/>
  <c r="AU314" i="54"/>
  <c r="AT98" i="54"/>
  <c r="AU98" i="54"/>
  <c r="Q242" i="54"/>
  <c r="P242" i="54"/>
  <c r="Q170" i="54"/>
  <c r="P170" i="54"/>
  <c r="P218" i="54"/>
  <c r="Q218" i="54"/>
  <c r="Q26" i="54"/>
  <c r="P26" i="54"/>
  <c r="P230" i="54"/>
  <c r="Q230" i="54"/>
  <c r="Q338" i="54"/>
  <c r="P338" i="54"/>
  <c r="P194" i="54"/>
  <c r="Q194" i="54"/>
  <c r="Q38" i="54"/>
  <c r="P38" i="54"/>
  <c r="P349" i="54"/>
  <c r="Q349" i="54"/>
  <c r="Q361" i="54"/>
  <c r="P361" i="54"/>
  <c r="P325" i="54"/>
  <c r="Q325" i="54"/>
  <c r="P217" i="54"/>
  <c r="Q217" i="54"/>
  <c r="Q301" i="54"/>
  <c r="P301" i="54"/>
  <c r="Q109" i="54"/>
  <c r="P109" i="54"/>
  <c r="P157" i="54"/>
  <c r="Q157" i="54"/>
  <c r="AT373" i="54"/>
  <c r="AU373" i="54"/>
  <c r="AT313" i="54"/>
  <c r="AU313" i="54"/>
  <c r="AT289" i="54"/>
  <c r="AU289" i="54"/>
  <c r="AT169" i="54"/>
  <c r="AU169" i="54"/>
  <c r="AT301" i="54"/>
  <c r="AU301" i="54"/>
  <c r="AT97" i="54"/>
  <c r="AU97" i="54"/>
  <c r="AT49" i="54"/>
  <c r="AU49" i="54"/>
  <c r="AT241" i="54"/>
  <c r="AU241" i="54"/>
  <c r="AT300" i="54"/>
  <c r="AU300" i="54"/>
  <c r="AT168" i="54"/>
  <c r="AU168" i="54"/>
  <c r="AT48" i="54"/>
  <c r="AU48" i="54"/>
  <c r="AT180" i="54"/>
  <c r="AU180" i="54"/>
  <c r="AT108" i="54"/>
  <c r="AU108" i="54"/>
  <c r="AT228" i="54"/>
  <c r="AU228" i="54"/>
  <c r="AT276" i="54"/>
  <c r="AU276" i="54"/>
  <c r="Q312" i="54"/>
  <c r="P312" i="54"/>
  <c r="Q240" i="54"/>
  <c r="P240" i="54"/>
  <c r="Q324" i="54"/>
  <c r="P324" i="54"/>
  <c r="Q96" i="54"/>
  <c r="P96" i="54"/>
  <c r="P168" i="54"/>
  <c r="Q168" i="54"/>
  <c r="Q144" i="54"/>
  <c r="P144" i="54"/>
  <c r="P72" i="54"/>
  <c r="Q72" i="54"/>
  <c r="Q108" i="54"/>
  <c r="P108" i="54"/>
  <c r="P358" i="54"/>
  <c r="Q358" i="54"/>
  <c r="Q310" i="54"/>
  <c r="P310" i="54"/>
  <c r="Q118" i="54"/>
  <c r="P118" i="54"/>
  <c r="P166" i="54"/>
  <c r="Q166" i="54"/>
  <c r="Q250" i="54"/>
  <c r="P250" i="54"/>
  <c r="P22" i="54"/>
  <c r="Q22" i="54"/>
  <c r="P262" i="54"/>
  <c r="Q262" i="54"/>
  <c r="P130" i="54"/>
  <c r="Q130" i="54"/>
  <c r="AT370" i="54"/>
  <c r="AU370" i="54"/>
  <c r="AT274" i="54"/>
  <c r="AU274" i="54"/>
  <c r="AT166" i="54"/>
  <c r="AU166" i="54"/>
  <c r="AT334" i="54"/>
  <c r="AU334" i="54"/>
  <c r="AT22" i="54"/>
  <c r="AU22" i="54"/>
  <c r="AT118" i="54"/>
  <c r="AU118" i="54"/>
  <c r="AT310" i="54"/>
  <c r="AU310" i="54"/>
  <c r="Q68" i="54"/>
  <c r="P68" i="54"/>
  <c r="P212" i="54"/>
  <c r="Q212" i="54"/>
  <c r="P32" i="54"/>
  <c r="Q32" i="54"/>
  <c r="P116" i="54"/>
  <c r="Q116" i="54"/>
  <c r="Q320" i="54"/>
  <c r="P320" i="54"/>
  <c r="P20" i="54"/>
  <c r="Q20" i="54"/>
  <c r="P296" i="54"/>
  <c r="Q296" i="54"/>
  <c r="Q56" i="54"/>
  <c r="P56" i="54"/>
  <c r="AT296" i="54"/>
  <c r="AU296" i="54"/>
  <c r="AT236" i="54"/>
  <c r="AU236" i="54"/>
  <c r="AT164" i="54"/>
  <c r="AU164" i="54"/>
  <c r="AT44" i="54"/>
  <c r="AU44" i="54"/>
  <c r="AT212" i="54"/>
  <c r="AU212" i="54"/>
  <c r="AT32" i="54"/>
  <c r="AU32" i="54"/>
  <c r="AT80" i="54"/>
  <c r="AU80" i="54"/>
  <c r="P341" i="54"/>
  <c r="Q341" i="54"/>
  <c r="Q293" i="54"/>
  <c r="P293" i="54"/>
  <c r="Q101" i="54"/>
  <c r="P101" i="54"/>
  <c r="P149" i="54"/>
  <c r="Q149" i="54"/>
  <c r="Q221" i="54"/>
  <c r="P221" i="54"/>
  <c r="P41" i="54"/>
  <c r="Q41" i="54"/>
  <c r="P245" i="54"/>
  <c r="Q245" i="54"/>
  <c r="P113" i="54"/>
  <c r="Q113" i="54"/>
  <c r="AT365" i="54"/>
  <c r="AU365" i="54"/>
  <c r="AT221" i="54"/>
  <c r="AU221" i="54"/>
  <c r="AT149" i="54"/>
  <c r="AU149" i="54"/>
  <c r="AT233" i="54"/>
  <c r="AU233" i="54"/>
  <c r="AT281" i="54"/>
  <c r="AU281" i="54"/>
  <c r="AT173" i="54"/>
  <c r="AU173" i="54"/>
  <c r="AT293" i="54"/>
  <c r="AU293" i="54"/>
  <c r="P323" i="54"/>
  <c r="Q323" i="54"/>
  <c r="P275" i="54"/>
  <c r="Q275" i="54"/>
  <c r="P119" i="54"/>
  <c r="Q119" i="54"/>
  <c r="Q167" i="54"/>
  <c r="P167" i="54"/>
  <c r="Q215" i="54"/>
  <c r="P215" i="54"/>
  <c r="P143" i="54"/>
  <c r="Q143" i="54"/>
  <c r="Q59" i="54"/>
  <c r="P59" i="54"/>
  <c r="P47" i="54"/>
  <c r="Q47" i="54"/>
  <c r="AT119" i="54"/>
  <c r="AU119" i="54"/>
  <c r="AT203" i="54"/>
  <c r="AU203" i="54"/>
  <c r="AT131" i="54"/>
  <c r="AU131" i="54"/>
  <c r="AT251" i="54"/>
  <c r="AU251" i="54"/>
  <c r="AT23" i="54"/>
  <c r="AU23" i="54"/>
  <c r="AT347" i="54"/>
  <c r="AU347" i="54"/>
  <c r="AT275" i="54"/>
  <c r="AU275" i="54"/>
  <c r="P367" i="54"/>
  <c r="Q367" i="54"/>
  <c r="P187" i="54"/>
  <c r="Q187" i="54"/>
  <c r="Q199" i="54"/>
  <c r="P199" i="54"/>
  <c r="P235" i="54"/>
  <c r="Q235" i="54"/>
  <c r="P151" i="54"/>
  <c r="Q151" i="54"/>
  <c r="Q103" i="54"/>
  <c r="P103" i="54"/>
  <c r="P55" i="54"/>
  <c r="Q55" i="54"/>
  <c r="Q91" i="54"/>
  <c r="P91" i="54"/>
  <c r="AT283" i="54"/>
  <c r="AU283" i="54"/>
  <c r="AT307" i="54"/>
  <c r="AU307" i="54"/>
  <c r="AT55" i="54"/>
  <c r="AU55" i="54"/>
  <c r="AT163" i="54"/>
  <c r="AU163" i="54"/>
  <c r="AT91" i="54"/>
  <c r="AU91" i="54"/>
  <c r="AT211" i="54"/>
  <c r="AU211" i="54"/>
  <c r="AT259" i="54"/>
  <c r="AU259" i="54"/>
  <c r="Q225" i="54"/>
  <c r="P225" i="54"/>
  <c r="Q189" i="54"/>
  <c r="P189" i="54"/>
  <c r="Q129" i="54"/>
  <c r="P129" i="54"/>
  <c r="P117" i="54"/>
  <c r="Q117" i="54"/>
  <c r="P93" i="54"/>
  <c r="Q93" i="54"/>
  <c r="Q33" i="54"/>
  <c r="P33" i="54"/>
  <c r="P261" i="54"/>
  <c r="Q261" i="54"/>
  <c r="Q21" i="54"/>
  <c r="P21" i="54"/>
  <c r="AT369" i="54"/>
  <c r="AU369" i="54"/>
  <c r="AT93" i="54"/>
  <c r="AU93" i="54"/>
  <c r="AT309" i="54"/>
  <c r="AU309" i="54"/>
  <c r="AT249" i="54"/>
  <c r="AU249" i="54"/>
  <c r="AT333" i="54"/>
  <c r="AU333" i="54"/>
  <c r="AT69" i="54"/>
  <c r="AU69" i="54"/>
  <c r="AT345" i="54"/>
  <c r="AU345" i="54"/>
  <c r="Q330" i="54"/>
  <c r="P330" i="54"/>
  <c r="P222" i="54"/>
  <c r="Q222" i="54"/>
  <c r="Q138" i="54"/>
  <c r="P138" i="54"/>
  <c r="Q150" i="54"/>
  <c r="P150" i="54"/>
  <c r="P282" i="54"/>
  <c r="Q282" i="54"/>
  <c r="Q234" i="54"/>
  <c r="P234" i="54"/>
  <c r="P366" i="54"/>
  <c r="Q366" i="54"/>
  <c r="P30" i="54"/>
  <c r="Q30" i="54"/>
  <c r="AT366" i="54"/>
  <c r="AU366" i="54"/>
  <c r="AT342" i="54"/>
  <c r="AU342" i="54"/>
  <c r="AT66" i="54"/>
  <c r="AU66" i="54"/>
  <c r="AT198" i="54"/>
  <c r="AU198" i="54"/>
  <c r="AT210" i="54"/>
  <c r="AU210" i="54"/>
  <c r="AT138" i="54"/>
  <c r="AU138" i="54"/>
  <c r="AT114" i="54"/>
  <c r="AU114" i="54"/>
  <c r="Q16" i="54"/>
  <c r="P16" i="54"/>
  <c r="Q172" i="54"/>
  <c r="P172" i="54"/>
  <c r="P220" i="54"/>
  <c r="Q220" i="54"/>
  <c r="P28" i="54"/>
  <c r="Q28" i="54"/>
  <c r="Q232" i="54"/>
  <c r="P232" i="54"/>
  <c r="P256" i="54"/>
  <c r="Q256" i="54"/>
  <c r="Q124" i="54"/>
  <c r="P124" i="54"/>
  <c r="AT244" i="54"/>
  <c r="AU244" i="54"/>
  <c r="AT340" i="54"/>
  <c r="AU340" i="54"/>
  <c r="AT220" i="54"/>
  <c r="AU220" i="54"/>
  <c r="AT268" i="54"/>
  <c r="AU268" i="54"/>
  <c r="AT160" i="54"/>
  <c r="AU160" i="54"/>
  <c r="AT40" i="54"/>
  <c r="AU40" i="54"/>
  <c r="AT172" i="54"/>
  <c r="AU172" i="54"/>
  <c r="AT100" i="54"/>
  <c r="AU100" i="54"/>
  <c r="Z243" i="54"/>
  <c r="AA243" i="54"/>
  <c r="Z195" i="54"/>
  <c r="AA195" i="54"/>
  <c r="Z87" i="54"/>
  <c r="AA87" i="54"/>
  <c r="Z39" i="54"/>
  <c r="AA39" i="54"/>
  <c r="Z75" i="54"/>
  <c r="AA75" i="54"/>
  <c r="Z255" i="54"/>
  <c r="AA255" i="54"/>
  <c r="Z38" i="54"/>
  <c r="AA38" i="54"/>
  <c r="Z254" i="54"/>
  <c r="AA254" i="54"/>
  <c r="Z98" i="54"/>
  <c r="AA98" i="54"/>
  <c r="AA74" i="54"/>
  <c r="Z74" i="54"/>
  <c r="Z158" i="54"/>
  <c r="AA158" i="54"/>
  <c r="AA278" i="54"/>
  <c r="Z278" i="54"/>
  <c r="Z134" i="54"/>
  <c r="AA134" i="54"/>
  <c r="Z374" i="54"/>
  <c r="AA374" i="54"/>
  <c r="Z205" i="54"/>
  <c r="AA205" i="54"/>
  <c r="AA49" i="54"/>
  <c r="Z49" i="54"/>
  <c r="Z241" i="54"/>
  <c r="AA241" i="54"/>
  <c r="Z85" i="54"/>
  <c r="AA85" i="54"/>
  <c r="Z181" i="54"/>
  <c r="AA181" i="54"/>
  <c r="Z61" i="54"/>
  <c r="AA61" i="54"/>
  <c r="Z337" i="54"/>
  <c r="AA337" i="54"/>
  <c r="Z132" i="54"/>
  <c r="AA132" i="54"/>
  <c r="Z300" i="54"/>
  <c r="AA300" i="54"/>
  <c r="Z276" i="54"/>
  <c r="AA276" i="54"/>
  <c r="Z120" i="54"/>
  <c r="AA120" i="54"/>
  <c r="AA216" i="54"/>
  <c r="Z216" i="54"/>
  <c r="Z96" i="54"/>
  <c r="AA96" i="54"/>
  <c r="AA180" i="54"/>
  <c r="Z180" i="54"/>
  <c r="Z310" i="54"/>
  <c r="AA310" i="54"/>
  <c r="Z70" i="54"/>
  <c r="AA70" i="54"/>
  <c r="AA154" i="54"/>
  <c r="Z154" i="54"/>
  <c r="Z82" i="54"/>
  <c r="AA82" i="54"/>
  <c r="Z214" i="54"/>
  <c r="AA214" i="54"/>
  <c r="Z226" i="54"/>
  <c r="AA226" i="54"/>
  <c r="Z358" i="54"/>
  <c r="AA358" i="54"/>
  <c r="Z200" i="54"/>
  <c r="AA200" i="54"/>
  <c r="AA32" i="54"/>
  <c r="Z32" i="54"/>
  <c r="Z332" i="54"/>
  <c r="AA332" i="54"/>
  <c r="Z296" i="54"/>
  <c r="AA296" i="54"/>
  <c r="AA152" i="54"/>
  <c r="Z152" i="54"/>
  <c r="AA356" i="54"/>
  <c r="Z356" i="54"/>
  <c r="Z20" i="54"/>
  <c r="AA20" i="54"/>
  <c r="Z308" i="54"/>
  <c r="AA308" i="54"/>
  <c r="AA161" i="54"/>
  <c r="Z161" i="54"/>
  <c r="Z173" i="54"/>
  <c r="AA173" i="54"/>
  <c r="Z53" i="54"/>
  <c r="AA53" i="54"/>
  <c r="AA137" i="54"/>
  <c r="Z137" i="54"/>
  <c r="Z209" i="54"/>
  <c r="AA209" i="54"/>
  <c r="Z269" i="54"/>
  <c r="AA269" i="54"/>
  <c r="AA257" i="54"/>
  <c r="Z257" i="54"/>
  <c r="AA221" i="54"/>
  <c r="Z221" i="54"/>
  <c r="Z59" i="54"/>
  <c r="AA59" i="54"/>
  <c r="Z359" i="54"/>
  <c r="AA359" i="54"/>
  <c r="Z143" i="54"/>
  <c r="AA143" i="54"/>
  <c r="AA299" i="54"/>
  <c r="Z299" i="54"/>
  <c r="Z71" i="54"/>
  <c r="AA71" i="54"/>
  <c r="Z251" i="54"/>
  <c r="AA251" i="54"/>
  <c r="AA323" i="54"/>
  <c r="Z323" i="54"/>
  <c r="Z223" i="54"/>
  <c r="AA223" i="54"/>
  <c r="AA283" i="54"/>
  <c r="Z283" i="54"/>
  <c r="AA259" i="54"/>
  <c r="Z259" i="54"/>
  <c r="AA19" i="54"/>
  <c r="Z19" i="54"/>
  <c r="AA211" i="54"/>
  <c r="Z211" i="54"/>
  <c r="AA235" i="54"/>
  <c r="Z235" i="54"/>
  <c r="AA355" i="54"/>
  <c r="Z355" i="54"/>
  <c r="Z21" i="54"/>
  <c r="AA21" i="54"/>
  <c r="AA345" i="54"/>
  <c r="Z345" i="54"/>
  <c r="Z165" i="54"/>
  <c r="AA165" i="54"/>
  <c r="Z177" i="54"/>
  <c r="AA177" i="54"/>
  <c r="Z33" i="54"/>
  <c r="AA33" i="54"/>
  <c r="Z333" i="54"/>
  <c r="AA333" i="54"/>
  <c r="Z93" i="54"/>
  <c r="AA93" i="54"/>
  <c r="Z369" i="54"/>
  <c r="AA369" i="54"/>
  <c r="Z318" i="54"/>
  <c r="AA318" i="54"/>
  <c r="Z150" i="54"/>
  <c r="AA150" i="54"/>
  <c r="Z30" i="54"/>
  <c r="AA30" i="54"/>
  <c r="Z102" i="54"/>
  <c r="AA102" i="54"/>
  <c r="Z366" i="54"/>
  <c r="AA366" i="54"/>
  <c r="AA162" i="54"/>
  <c r="Z162" i="54"/>
  <c r="Z114" i="54"/>
  <c r="AA114" i="54"/>
  <c r="Z186" i="54"/>
  <c r="AA186" i="54"/>
  <c r="Z52" i="54"/>
  <c r="AA52" i="54"/>
  <c r="Z136" i="54"/>
  <c r="AA136" i="54"/>
  <c r="Z208" i="54"/>
  <c r="AA208" i="54"/>
  <c r="Z148" i="54"/>
  <c r="AA148" i="54"/>
  <c r="Z160" i="54"/>
  <c r="AA160" i="54"/>
  <c r="Z292" i="54"/>
  <c r="AA292" i="54"/>
  <c r="AA304" i="54"/>
  <c r="Z304" i="54"/>
  <c r="Z268" i="54"/>
  <c r="AA268" i="54"/>
  <c r="BD171" i="54"/>
  <c r="BE171" i="54"/>
  <c r="BD111" i="54"/>
  <c r="BE111" i="54"/>
  <c r="BD279" i="54"/>
  <c r="BE279" i="54"/>
  <c r="BD51" i="54"/>
  <c r="BE51" i="54"/>
  <c r="BD231" i="54"/>
  <c r="BE231" i="54"/>
  <c r="BD255" i="54"/>
  <c r="BE255" i="54"/>
  <c r="BD327" i="54"/>
  <c r="BE327" i="54"/>
  <c r="AK170" i="54"/>
  <c r="AJ170" i="54"/>
  <c r="AK38" i="54"/>
  <c r="AJ38" i="54"/>
  <c r="AK50" i="54"/>
  <c r="AJ50" i="54"/>
  <c r="AK158" i="54"/>
  <c r="AJ158" i="54"/>
  <c r="AJ302" i="54"/>
  <c r="AK302" i="54"/>
  <c r="AJ290" i="54"/>
  <c r="AK290" i="54"/>
  <c r="AJ314" i="54"/>
  <c r="AK314" i="54"/>
  <c r="BD250" i="54"/>
  <c r="BE250" i="54"/>
  <c r="BD22" i="54"/>
  <c r="BE22" i="54"/>
  <c r="BD334" i="54"/>
  <c r="BE334" i="54"/>
  <c r="BD190" i="54"/>
  <c r="BE190" i="54"/>
  <c r="BD106" i="54"/>
  <c r="BE106" i="54"/>
  <c r="BD166" i="54"/>
  <c r="BE166" i="54"/>
  <c r="BD370" i="54"/>
  <c r="BE370" i="54"/>
  <c r="BD274" i="54"/>
  <c r="BE274" i="54"/>
  <c r="BD56" i="54"/>
  <c r="BE56" i="54"/>
  <c r="BD128" i="54"/>
  <c r="BE128" i="54"/>
  <c r="BD116" i="54"/>
  <c r="BE116" i="54"/>
  <c r="BD212" i="54"/>
  <c r="BE212" i="54"/>
  <c r="BD152" i="54"/>
  <c r="BE152" i="54"/>
  <c r="BD236" i="54"/>
  <c r="BE236" i="54"/>
  <c r="BD248" i="54"/>
  <c r="BE248" i="54"/>
  <c r="BD47" i="54"/>
  <c r="BE47" i="54"/>
  <c r="BD203" i="54"/>
  <c r="BE203" i="54"/>
  <c r="BD143" i="54"/>
  <c r="BE143" i="54"/>
  <c r="BD71" i="54"/>
  <c r="BE71" i="54"/>
  <c r="BD335" i="54"/>
  <c r="BE335" i="54"/>
  <c r="BD323" i="54"/>
  <c r="BE323" i="54"/>
  <c r="BD299" i="54"/>
  <c r="BE299" i="54"/>
  <c r="BD101" i="54"/>
  <c r="BE101" i="54"/>
  <c r="BD41" i="54"/>
  <c r="BE41" i="54"/>
  <c r="BD233" i="54"/>
  <c r="BE233" i="54"/>
  <c r="BD185" i="54"/>
  <c r="BE185" i="54"/>
  <c r="BD161" i="54"/>
  <c r="BE161" i="54"/>
  <c r="BD341" i="54"/>
  <c r="BE341" i="54"/>
  <c r="BD305" i="54"/>
  <c r="BE305" i="54"/>
  <c r="BD329" i="54"/>
  <c r="BE329" i="54"/>
  <c r="BD43" i="54"/>
  <c r="BE43" i="54"/>
  <c r="BD259" i="54"/>
  <c r="BE259" i="54"/>
  <c r="BD67" i="54"/>
  <c r="BE67" i="54"/>
  <c r="BD343" i="54"/>
  <c r="BE343" i="54"/>
  <c r="BD199" i="54"/>
  <c r="BE199" i="54"/>
  <c r="BD187" i="54"/>
  <c r="BE187" i="54"/>
  <c r="BD247" i="54"/>
  <c r="BE247" i="54"/>
  <c r="AK126" i="54"/>
  <c r="AJ126" i="54"/>
  <c r="AK138" i="54"/>
  <c r="AJ138" i="54"/>
  <c r="AK30" i="54"/>
  <c r="AJ30" i="54"/>
  <c r="AK150" i="54"/>
  <c r="AJ150" i="54"/>
  <c r="AJ258" i="54"/>
  <c r="AK258" i="54"/>
  <c r="AK234" i="54"/>
  <c r="AJ234" i="54"/>
  <c r="AJ306" i="54"/>
  <c r="AK306" i="54"/>
  <c r="AJ160" i="54"/>
  <c r="AK160" i="54"/>
  <c r="AK28" i="54"/>
  <c r="AJ28" i="54"/>
  <c r="AK184" i="54"/>
  <c r="AJ184" i="54"/>
  <c r="AJ124" i="54"/>
  <c r="AK124" i="54"/>
  <c r="AJ256" i="54"/>
  <c r="AK256" i="54"/>
  <c r="AJ328" i="54"/>
  <c r="AK328" i="54"/>
  <c r="AJ220" i="54"/>
  <c r="AK220" i="54"/>
  <c r="AK304" i="54"/>
  <c r="AJ304" i="54"/>
  <c r="AJ181" i="54"/>
  <c r="AK181" i="54"/>
  <c r="AK145" i="54"/>
  <c r="AJ145" i="54"/>
  <c r="AJ97" i="54"/>
  <c r="AK97" i="54"/>
  <c r="AK85" i="54"/>
  <c r="AJ85" i="54"/>
  <c r="AJ277" i="54"/>
  <c r="AK277" i="54"/>
  <c r="AK373" i="54"/>
  <c r="AJ373" i="54"/>
  <c r="AK289" i="54"/>
  <c r="AJ289" i="54"/>
  <c r="BD108" i="54"/>
  <c r="BE108" i="54"/>
  <c r="BD168" i="54"/>
  <c r="BE168" i="54"/>
  <c r="BD192" i="54"/>
  <c r="BE192" i="54"/>
  <c r="BD156" i="54"/>
  <c r="BE156" i="54"/>
  <c r="BD72" i="54"/>
  <c r="BE72" i="54"/>
  <c r="BD204" i="54"/>
  <c r="BE204" i="54"/>
  <c r="BD264" i="54"/>
  <c r="BE264" i="54"/>
  <c r="BD336" i="54"/>
  <c r="BE336" i="54"/>
  <c r="AJ154" i="54"/>
  <c r="AK154" i="54"/>
  <c r="AK22" i="54"/>
  <c r="AJ22" i="54"/>
  <c r="AK202" i="54"/>
  <c r="AJ202" i="54"/>
  <c r="AJ58" i="54"/>
  <c r="AK58" i="54"/>
  <c r="AJ298" i="54"/>
  <c r="AK298" i="54"/>
  <c r="AK322" i="54"/>
  <c r="AJ322" i="54"/>
  <c r="AJ346" i="54"/>
  <c r="AK346" i="54"/>
  <c r="AK164" i="54"/>
  <c r="AJ164" i="54"/>
  <c r="AK92" i="54"/>
  <c r="AJ92" i="54"/>
  <c r="AK56" i="54"/>
  <c r="AJ56" i="54"/>
  <c r="AJ224" i="54"/>
  <c r="AK224" i="54"/>
  <c r="AJ356" i="54"/>
  <c r="AK356" i="54"/>
  <c r="AK344" i="54"/>
  <c r="AJ344" i="54"/>
  <c r="AJ332" i="54"/>
  <c r="AK332" i="54"/>
  <c r="AK368" i="54"/>
  <c r="AJ368" i="54"/>
  <c r="AK153" i="54"/>
  <c r="AJ153" i="54"/>
  <c r="AJ81" i="54"/>
  <c r="AK81" i="54"/>
  <c r="AJ177" i="54"/>
  <c r="AK177" i="54"/>
  <c r="AK201" i="54"/>
  <c r="AJ201" i="54"/>
  <c r="AK345" i="54"/>
  <c r="AJ345" i="54"/>
  <c r="AJ213" i="54"/>
  <c r="AK213" i="54"/>
  <c r="AJ357" i="54"/>
  <c r="AK357" i="54"/>
  <c r="BD76" i="54"/>
  <c r="BE76" i="54"/>
  <c r="BD16" i="54"/>
  <c r="BE16" i="54"/>
  <c r="BD88" i="54"/>
  <c r="BE88" i="54"/>
  <c r="BD208" i="54"/>
  <c r="BE208" i="54"/>
  <c r="BD280" i="54"/>
  <c r="BE280" i="54"/>
  <c r="BD184" i="54"/>
  <c r="BE184" i="54"/>
  <c r="BD304" i="54"/>
  <c r="BE304" i="54"/>
  <c r="BD364" i="54"/>
  <c r="BE364" i="54"/>
  <c r="AJ63" i="54"/>
  <c r="AK63" i="54"/>
  <c r="AK87" i="54"/>
  <c r="AJ87" i="54"/>
  <c r="AK135" i="54"/>
  <c r="AJ135" i="54"/>
  <c r="AK99" i="54"/>
  <c r="AJ99" i="54"/>
  <c r="AJ315" i="54"/>
  <c r="AK315" i="54"/>
  <c r="AK267" i="54"/>
  <c r="AJ267" i="54"/>
  <c r="AJ363" i="54"/>
  <c r="AK363" i="54"/>
  <c r="AJ303" i="54"/>
  <c r="AK303" i="54"/>
  <c r="BD146" i="54"/>
  <c r="BE146" i="54"/>
  <c r="BD62" i="54"/>
  <c r="BE62" i="54"/>
  <c r="BD74" i="54"/>
  <c r="BE74" i="54"/>
  <c r="BD314" i="54"/>
  <c r="BE314" i="54"/>
  <c r="BD350" i="54"/>
  <c r="BE350" i="54"/>
  <c r="BD218" i="54"/>
  <c r="BE218" i="54"/>
  <c r="BD338" i="54"/>
  <c r="BE338" i="54"/>
  <c r="BD37" i="54"/>
  <c r="BE37" i="54"/>
  <c r="BD121" i="54"/>
  <c r="BE121" i="54"/>
  <c r="BD241" i="54"/>
  <c r="BE241" i="54"/>
  <c r="BD61" i="54"/>
  <c r="BE61" i="54"/>
  <c r="BD325" i="54"/>
  <c r="BE325" i="54"/>
  <c r="BD169" i="54"/>
  <c r="BE169" i="54"/>
  <c r="BD361" i="54"/>
  <c r="BE361" i="54"/>
  <c r="BD313" i="54"/>
  <c r="BE313" i="54"/>
  <c r="AK36" i="54"/>
  <c r="AJ36" i="54"/>
  <c r="AJ84" i="54"/>
  <c r="AK84" i="54"/>
  <c r="AJ204" i="54"/>
  <c r="AK204" i="54"/>
  <c r="AK108" i="54"/>
  <c r="AJ108" i="54"/>
  <c r="AK336" i="54"/>
  <c r="AJ336" i="54"/>
  <c r="AJ300" i="54"/>
  <c r="AK300" i="54"/>
  <c r="AJ360" i="54"/>
  <c r="AK360" i="54"/>
  <c r="AK173" i="54"/>
  <c r="AJ173" i="54"/>
  <c r="AJ221" i="54"/>
  <c r="AK221" i="54"/>
  <c r="AK149" i="54"/>
  <c r="AJ149" i="54"/>
  <c r="AJ41" i="54"/>
  <c r="AK41" i="54"/>
  <c r="AJ269" i="54"/>
  <c r="AK269" i="54"/>
  <c r="AJ305" i="54"/>
  <c r="AK305" i="54"/>
  <c r="AJ317" i="54"/>
  <c r="AK317" i="54"/>
  <c r="AK353" i="54"/>
  <c r="AJ353" i="54"/>
  <c r="AJ71" i="54"/>
  <c r="AK71" i="54"/>
  <c r="AJ251" i="54"/>
  <c r="AK251" i="54"/>
  <c r="AK119" i="54"/>
  <c r="AJ119" i="54"/>
  <c r="AK191" i="54"/>
  <c r="AJ191" i="54"/>
  <c r="AJ335" i="54"/>
  <c r="AK335" i="54"/>
  <c r="AJ311" i="54"/>
  <c r="AK311" i="54"/>
  <c r="AJ359" i="54"/>
  <c r="AK359" i="54"/>
  <c r="AK43" i="54"/>
  <c r="AJ43" i="54"/>
  <c r="AJ223" i="54"/>
  <c r="AK223" i="54"/>
  <c r="AK103" i="54"/>
  <c r="AJ103" i="54"/>
  <c r="AJ151" i="54"/>
  <c r="AK151" i="54"/>
  <c r="AK319" i="54"/>
  <c r="AJ319" i="54"/>
  <c r="AJ271" i="54"/>
  <c r="AK271" i="54"/>
  <c r="AJ355" i="54"/>
  <c r="AK355" i="54"/>
  <c r="BD93" i="54"/>
  <c r="BE93" i="54"/>
  <c r="BD105" i="54"/>
  <c r="BE105" i="54"/>
  <c r="BD237" i="54"/>
  <c r="BE237" i="54"/>
  <c r="BD177" i="54"/>
  <c r="BE177" i="54"/>
  <c r="BD369" i="54"/>
  <c r="BE369" i="54"/>
  <c r="BD333" i="54"/>
  <c r="BE333" i="54"/>
  <c r="BD309" i="54"/>
  <c r="BE309" i="54"/>
  <c r="BD42" i="54"/>
  <c r="BE42" i="54"/>
  <c r="BD30" i="54"/>
  <c r="BE30" i="54"/>
  <c r="BD198" i="54"/>
  <c r="BE198" i="54"/>
  <c r="BD90" i="54"/>
  <c r="BE90" i="54"/>
  <c r="BD282" i="54"/>
  <c r="BE282" i="54"/>
  <c r="BD246" i="54"/>
  <c r="BE246" i="54"/>
  <c r="BD318" i="54"/>
  <c r="BE318" i="54"/>
  <c r="BD354" i="54"/>
  <c r="BE354" i="54"/>
  <c r="Q111" i="54"/>
  <c r="P111" i="54"/>
  <c r="P219" i="54"/>
  <c r="Q219" i="54"/>
  <c r="P183" i="54"/>
  <c r="Q183" i="54"/>
  <c r="Q231" i="54"/>
  <c r="P231" i="54"/>
  <c r="P327" i="54"/>
  <c r="Q327" i="54"/>
  <c r="P279" i="54"/>
  <c r="Q279" i="54"/>
  <c r="Q87" i="54"/>
  <c r="P87" i="54"/>
  <c r="AT27" i="54"/>
  <c r="AU27" i="54"/>
  <c r="AT243" i="54"/>
  <c r="AU243" i="54"/>
  <c r="AT183" i="54"/>
  <c r="AU183" i="54"/>
  <c r="AT351" i="54"/>
  <c r="AU351" i="54"/>
  <c r="AT279" i="54"/>
  <c r="AU279" i="54"/>
  <c r="AT375" i="54"/>
  <c r="AU375" i="54"/>
  <c r="AT327" i="54"/>
  <c r="AU327" i="54"/>
  <c r="AT111" i="54"/>
  <c r="AU111" i="54"/>
  <c r="AT374" i="54"/>
  <c r="AU374" i="54"/>
  <c r="AT110" i="54"/>
  <c r="AU110" i="54"/>
  <c r="AT338" i="54"/>
  <c r="AU338" i="54"/>
  <c r="AT26" i="54"/>
  <c r="AU26" i="54"/>
  <c r="AT194" i="54"/>
  <c r="AU194" i="54"/>
  <c r="AT122" i="54"/>
  <c r="AU122" i="54"/>
  <c r="AT242" i="54"/>
  <c r="AU242" i="54"/>
  <c r="P98" i="54"/>
  <c r="Q98" i="54"/>
  <c r="P134" i="54"/>
  <c r="Q134" i="54"/>
  <c r="Q146" i="54"/>
  <c r="P146" i="54"/>
  <c r="Q50" i="54"/>
  <c r="P50" i="54"/>
  <c r="P182" i="54"/>
  <c r="Q182" i="54"/>
  <c r="P290" i="54"/>
  <c r="Q290" i="54"/>
  <c r="P278" i="54"/>
  <c r="Q278" i="54"/>
  <c r="P86" i="54"/>
  <c r="Q86" i="54"/>
  <c r="Q205" i="54"/>
  <c r="P205" i="54"/>
  <c r="P49" i="54"/>
  <c r="Q49" i="54"/>
  <c r="Q289" i="54"/>
  <c r="P289" i="54"/>
  <c r="P97" i="54"/>
  <c r="Q97" i="54"/>
  <c r="P265" i="54"/>
  <c r="Q265" i="54"/>
  <c r="Q181" i="54"/>
  <c r="P181" i="54"/>
  <c r="P25" i="54"/>
  <c r="Q25" i="54"/>
  <c r="AT265" i="54"/>
  <c r="AU265" i="54"/>
  <c r="AT349" i="54"/>
  <c r="AU349" i="54"/>
  <c r="AT253" i="54"/>
  <c r="AU253" i="54"/>
  <c r="AT181" i="54"/>
  <c r="AU181" i="54"/>
  <c r="AT61" i="54"/>
  <c r="AU61" i="54"/>
  <c r="AT229" i="54"/>
  <c r="AU229" i="54"/>
  <c r="AT109" i="54"/>
  <c r="AU109" i="54"/>
  <c r="AT205" i="54"/>
  <c r="AU205" i="54"/>
  <c r="AT156" i="54"/>
  <c r="AU156" i="54"/>
  <c r="AT324" i="54"/>
  <c r="AU324" i="54"/>
  <c r="AT60" i="54"/>
  <c r="AU60" i="54"/>
  <c r="AT336" i="54"/>
  <c r="AU336" i="54"/>
  <c r="AT120" i="54"/>
  <c r="AU120" i="54"/>
  <c r="AT36" i="54"/>
  <c r="AU36" i="54"/>
  <c r="AT240" i="54"/>
  <c r="AU240" i="54"/>
  <c r="P336" i="54"/>
  <c r="Q336" i="54"/>
  <c r="P84" i="54"/>
  <c r="Q84" i="54"/>
  <c r="P288" i="54"/>
  <c r="Q288" i="54"/>
  <c r="Q120" i="54"/>
  <c r="P120" i="54"/>
  <c r="Q24" i="54"/>
  <c r="P24" i="54"/>
  <c r="Q360" i="54"/>
  <c r="P360" i="54"/>
  <c r="P36" i="54"/>
  <c r="Q36" i="54"/>
  <c r="P156" i="54"/>
  <c r="Q156" i="54"/>
  <c r="Q190" i="54"/>
  <c r="P190" i="54"/>
  <c r="Q94" i="54"/>
  <c r="P94" i="54"/>
  <c r="P322" i="54"/>
  <c r="Q322" i="54"/>
  <c r="Q82" i="54"/>
  <c r="P82" i="54"/>
  <c r="Q214" i="54"/>
  <c r="P214" i="54"/>
  <c r="Q298" i="54"/>
  <c r="P298" i="54"/>
  <c r="P226" i="54"/>
  <c r="Q226" i="54"/>
  <c r="P34" i="54"/>
  <c r="Q34" i="54"/>
  <c r="AT178" i="54"/>
  <c r="AU178" i="54"/>
  <c r="AT238" i="54"/>
  <c r="AU238" i="54"/>
  <c r="AT286" i="54"/>
  <c r="AU286" i="54"/>
  <c r="AT142" i="54"/>
  <c r="AU142" i="54"/>
  <c r="AT34" i="54"/>
  <c r="AU34" i="54"/>
  <c r="AT58" i="54"/>
  <c r="AU58" i="54"/>
  <c r="AT70" i="54"/>
  <c r="AU70" i="54"/>
  <c r="Q260" i="54"/>
  <c r="P260" i="54"/>
  <c r="Q224" i="54"/>
  <c r="P224" i="54"/>
  <c r="Q188" i="54"/>
  <c r="P188" i="54"/>
  <c r="P236" i="54"/>
  <c r="Q236" i="54"/>
  <c r="Q284" i="54"/>
  <c r="P284" i="54"/>
  <c r="P128" i="54"/>
  <c r="Q128" i="54"/>
  <c r="Q176" i="54"/>
  <c r="P176" i="54"/>
  <c r="P104" i="54"/>
  <c r="Q104" i="54"/>
  <c r="AT200" i="54"/>
  <c r="AU200" i="54"/>
  <c r="AT20" i="54"/>
  <c r="AU20" i="54"/>
  <c r="AT320" i="54"/>
  <c r="AU320" i="54"/>
  <c r="AT56" i="54"/>
  <c r="AU56" i="54"/>
  <c r="AT176" i="54"/>
  <c r="AU176" i="54"/>
  <c r="AT92" i="54"/>
  <c r="AU92" i="54"/>
  <c r="AT260" i="54"/>
  <c r="AU260" i="54"/>
  <c r="Q173" i="54"/>
  <c r="P173" i="54"/>
  <c r="Q77" i="54"/>
  <c r="P77" i="54"/>
  <c r="P305" i="54"/>
  <c r="Q305" i="54"/>
  <c r="P161" i="54"/>
  <c r="Q161" i="54"/>
  <c r="P317" i="54"/>
  <c r="Q317" i="54"/>
  <c r="Q197" i="54"/>
  <c r="P197" i="54"/>
  <c r="P209" i="54"/>
  <c r="Q209" i="54"/>
  <c r="P17" i="54"/>
  <c r="Q17" i="54"/>
  <c r="AT161" i="54"/>
  <c r="AU161" i="54"/>
  <c r="AT185" i="54"/>
  <c r="AU185" i="54"/>
  <c r="AT101" i="54"/>
  <c r="AU101" i="54"/>
  <c r="AT197" i="54"/>
  <c r="AU197" i="54"/>
  <c r="AT245" i="54"/>
  <c r="AU245" i="54"/>
  <c r="AT41" i="54"/>
  <c r="AU41" i="54"/>
  <c r="AT53" i="54"/>
  <c r="AU53" i="54"/>
  <c r="Q347" i="54"/>
  <c r="P347" i="54"/>
  <c r="P203" i="54"/>
  <c r="Q203" i="54"/>
  <c r="P83" i="54"/>
  <c r="Q83" i="54"/>
  <c r="P131" i="54"/>
  <c r="Q131" i="54"/>
  <c r="Q335" i="54"/>
  <c r="P335" i="54"/>
  <c r="Q251" i="54"/>
  <c r="P251" i="54"/>
  <c r="P191" i="54"/>
  <c r="Q191" i="54"/>
  <c r="P95" i="54"/>
  <c r="Q95" i="54"/>
  <c r="AT335" i="54"/>
  <c r="AU335" i="54"/>
  <c r="AT359" i="54"/>
  <c r="AU359" i="54"/>
  <c r="AT83" i="54"/>
  <c r="AU83" i="54"/>
  <c r="AT215" i="54"/>
  <c r="AU215" i="54"/>
  <c r="AT263" i="54"/>
  <c r="AU263" i="54"/>
  <c r="AT155" i="54"/>
  <c r="AU155" i="54"/>
  <c r="AT35" i="54"/>
  <c r="AU35" i="54"/>
  <c r="Q295" i="54"/>
  <c r="P295" i="54"/>
  <c r="Q223" i="54"/>
  <c r="P223" i="54"/>
  <c r="P247" i="54"/>
  <c r="Q247" i="54"/>
  <c r="Q115" i="54"/>
  <c r="P115" i="54"/>
  <c r="P283" i="54"/>
  <c r="Q283" i="54"/>
  <c r="P343" i="54"/>
  <c r="Q343" i="54"/>
  <c r="P19" i="54"/>
  <c r="Q19" i="54"/>
  <c r="P139" i="54"/>
  <c r="Q139" i="54"/>
  <c r="AT331" i="54"/>
  <c r="AU331" i="54"/>
  <c r="AT271" i="54"/>
  <c r="AU271" i="54"/>
  <c r="AT367" i="54"/>
  <c r="AU367" i="54"/>
  <c r="AT319" i="54"/>
  <c r="AU319" i="54"/>
  <c r="AT103" i="54"/>
  <c r="AU103" i="54"/>
  <c r="AT19" i="54"/>
  <c r="AU19" i="54"/>
  <c r="AT115" i="54"/>
  <c r="AU115" i="54"/>
  <c r="Q369" i="54"/>
  <c r="P369" i="54"/>
  <c r="Q153" i="54"/>
  <c r="P153" i="54"/>
  <c r="P357" i="54"/>
  <c r="Q357" i="54"/>
  <c r="Q285" i="54"/>
  <c r="P285" i="54"/>
  <c r="P57" i="54"/>
  <c r="Q57" i="54"/>
  <c r="Q333" i="54"/>
  <c r="P333" i="54"/>
  <c r="Q141" i="54"/>
  <c r="P141" i="54"/>
  <c r="P69" i="54"/>
  <c r="Q69" i="54"/>
  <c r="AT213" i="54"/>
  <c r="AU213" i="54"/>
  <c r="AT237" i="54"/>
  <c r="AU237" i="54"/>
  <c r="AT321" i="54"/>
  <c r="AU321" i="54"/>
  <c r="AT21" i="54"/>
  <c r="AU21" i="54"/>
  <c r="AT141" i="54"/>
  <c r="AU141" i="54"/>
  <c r="AT81" i="54"/>
  <c r="AU81" i="54"/>
  <c r="AT153" i="54"/>
  <c r="AU153" i="54"/>
  <c r="Q294" i="54"/>
  <c r="P294" i="54"/>
  <c r="P90" i="54"/>
  <c r="Q90" i="54"/>
  <c r="Q342" i="54"/>
  <c r="P342" i="54"/>
  <c r="P114" i="54"/>
  <c r="Q114" i="54"/>
  <c r="Q318" i="54"/>
  <c r="P318" i="54"/>
  <c r="Q246" i="54"/>
  <c r="P246" i="54"/>
  <c r="P174" i="54"/>
  <c r="Q174" i="54"/>
  <c r="P78" i="54"/>
  <c r="Q78" i="54"/>
  <c r="AT318" i="54"/>
  <c r="AU318" i="54"/>
  <c r="AT150" i="54"/>
  <c r="AU150" i="54"/>
  <c r="AT78" i="54"/>
  <c r="AU78" i="54"/>
  <c r="AT162" i="54"/>
  <c r="AU162" i="54"/>
  <c r="AT354" i="54"/>
  <c r="AU354" i="54"/>
  <c r="AT294" i="54"/>
  <c r="AU294" i="54"/>
  <c r="AT18" i="54"/>
  <c r="AU18" i="54"/>
  <c r="Q364" i="54"/>
  <c r="P364" i="54"/>
  <c r="Q136" i="54"/>
  <c r="P136" i="54"/>
  <c r="P196" i="54"/>
  <c r="Q196" i="54"/>
  <c r="P184" i="54"/>
  <c r="Q184" i="54"/>
  <c r="P160" i="54"/>
  <c r="Q160" i="54"/>
  <c r="Q316" i="54"/>
  <c r="P316" i="54"/>
  <c r="Q88" i="54"/>
  <c r="P88" i="54"/>
  <c r="AT148" i="54"/>
  <c r="AU148" i="54"/>
  <c r="AT196" i="54"/>
  <c r="AU196" i="54"/>
  <c r="AT184" i="54"/>
  <c r="AU184" i="54"/>
  <c r="AT232" i="54"/>
  <c r="AU232" i="54"/>
  <c r="AT316" i="54"/>
  <c r="AU316" i="54"/>
  <c r="AT52" i="54"/>
  <c r="AU52" i="54"/>
  <c r="AT328" i="54"/>
  <c r="AU328" i="54"/>
  <c r="AT112" i="54"/>
  <c r="AU112" i="54"/>
  <c r="AY75" i="54"/>
  <c r="AY39" i="54"/>
  <c r="AY171" i="54"/>
  <c r="AY135" i="54"/>
  <c r="AY147" i="54"/>
  <c r="AY27" i="54"/>
  <c r="AY111" i="54"/>
  <c r="AY87" i="54"/>
  <c r="AY63" i="54"/>
  <c r="AY207" i="54"/>
  <c r="AY279" i="54"/>
  <c r="AY219" i="54"/>
  <c r="AY159" i="54"/>
  <c r="AY243" i="54"/>
  <c r="AY51" i="54"/>
  <c r="AY99" i="54"/>
  <c r="AY267" i="54"/>
  <c r="AY123" i="54"/>
  <c r="AY231" i="54"/>
  <c r="AY195" i="54"/>
  <c r="AY351" i="54"/>
  <c r="AY183" i="54"/>
  <c r="AY255" i="54"/>
  <c r="AY375" i="54"/>
  <c r="AY315" i="54"/>
  <c r="AY339" i="54"/>
  <c r="AY327" i="54"/>
  <c r="AY303" i="54"/>
  <c r="AY291" i="54"/>
  <c r="AY363" i="54"/>
  <c r="AY250" i="54"/>
  <c r="AY262" i="54"/>
  <c r="AY238" i="54"/>
  <c r="AY34" i="54"/>
  <c r="AY22" i="54"/>
  <c r="AY70" i="54"/>
  <c r="AY118" i="54"/>
  <c r="AY94" i="54"/>
  <c r="AY334" i="54"/>
  <c r="AY130" i="54"/>
  <c r="AY58" i="54"/>
  <c r="AY46" i="54"/>
  <c r="AY190" i="54"/>
  <c r="AY226" i="54"/>
  <c r="AY202" i="54"/>
  <c r="AY82" i="54"/>
  <c r="AY106" i="54"/>
  <c r="AY142" i="54"/>
  <c r="AY154" i="54"/>
  <c r="AY178" i="54"/>
  <c r="AY166" i="54"/>
  <c r="AY214" i="54"/>
  <c r="AY310" i="54"/>
  <c r="AY358" i="54"/>
  <c r="AY370" i="54"/>
  <c r="AY298" i="54"/>
  <c r="AY322" i="54"/>
  <c r="AY286" i="54"/>
  <c r="AY274" i="54"/>
  <c r="AY346" i="54"/>
  <c r="AY44" i="54"/>
  <c r="AY20" i="54"/>
  <c r="AY56" i="54"/>
  <c r="AY32" i="54"/>
  <c r="AY104" i="54"/>
  <c r="AY224" i="54"/>
  <c r="AY128" i="54"/>
  <c r="AY140" i="54"/>
  <c r="AY176" i="54"/>
  <c r="AY80" i="54"/>
  <c r="AY116" i="54"/>
  <c r="AY92" i="54"/>
  <c r="AY68" i="54"/>
  <c r="AY164" i="54"/>
  <c r="AY212" i="54"/>
  <c r="AY200" i="54"/>
  <c r="AY272" i="54"/>
  <c r="AY368" i="54"/>
  <c r="AY152" i="54"/>
  <c r="AY320" i="54"/>
  <c r="AY284" i="54"/>
  <c r="AY356" i="54"/>
  <c r="AY236" i="54"/>
  <c r="AY260" i="54"/>
  <c r="AY188" i="54"/>
  <c r="AY344" i="54"/>
  <c r="AY248" i="54"/>
  <c r="AY332" i="54"/>
  <c r="AY308" i="54"/>
  <c r="AY296" i="54"/>
  <c r="AY35" i="54"/>
  <c r="AY95" i="54"/>
  <c r="AY47" i="54"/>
  <c r="AY83" i="54"/>
  <c r="AY155" i="54"/>
  <c r="AY59" i="54"/>
  <c r="AY203" i="54"/>
  <c r="AY251" i="54"/>
  <c r="AY23" i="54"/>
  <c r="AY191" i="54"/>
  <c r="AY143" i="54"/>
  <c r="AY119" i="54"/>
  <c r="AY215" i="54"/>
  <c r="AY131" i="54"/>
  <c r="AY71" i="54"/>
  <c r="AY107" i="54"/>
  <c r="AY167" i="54"/>
  <c r="AY179" i="54"/>
  <c r="AY335" i="54"/>
  <c r="AY239" i="54"/>
  <c r="AY263" i="54"/>
  <c r="AY227" i="54"/>
  <c r="AY323" i="54"/>
  <c r="AY275" i="54"/>
  <c r="AY311" i="54"/>
  <c r="AY347" i="54"/>
  <c r="AY299" i="54"/>
  <c r="AY287" i="54"/>
  <c r="AY359" i="54"/>
  <c r="AY371" i="54"/>
  <c r="AY17" i="54"/>
  <c r="AY101" i="54"/>
  <c r="AY53" i="54"/>
  <c r="AY77" i="54"/>
  <c r="AY29" i="54"/>
  <c r="AY41" i="54"/>
  <c r="AY245" i="54"/>
  <c r="AY209" i="54"/>
  <c r="AY113" i="54"/>
  <c r="AY233" i="54"/>
  <c r="AY173" i="54"/>
  <c r="AY221" i="54"/>
  <c r="AY137" i="54"/>
  <c r="AY185" i="54"/>
  <c r="AY65" i="54"/>
  <c r="AY89" i="54"/>
  <c r="AY125" i="54"/>
  <c r="AY161" i="54"/>
  <c r="AY281" i="54"/>
  <c r="AY149" i="54"/>
  <c r="AY197" i="54"/>
  <c r="AY341" i="54"/>
  <c r="AY293" i="54"/>
  <c r="AY353" i="54"/>
  <c r="AY317" i="54"/>
  <c r="AY305" i="54"/>
  <c r="AY269" i="54"/>
  <c r="AY257" i="54"/>
  <c r="AY365" i="54"/>
  <c r="AY329" i="54"/>
  <c r="AY91" i="54"/>
  <c r="AY211" i="54"/>
  <c r="AY139" i="54"/>
  <c r="AY43" i="54"/>
  <c r="AY331" i="54"/>
  <c r="AY31" i="54"/>
  <c r="AY115" i="54"/>
  <c r="AY259" i="54"/>
  <c r="AY175" i="54"/>
  <c r="AY283" i="54"/>
  <c r="AY127" i="54"/>
  <c r="AY67" i="54"/>
  <c r="AY103" i="54"/>
  <c r="AY19" i="54"/>
  <c r="AY79" i="54"/>
  <c r="AY343" i="54"/>
  <c r="AY151" i="54"/>
  <c r="AY163" i="54"/>
  <c r="AY55" i="54"/>
  <c r="AY199" i="54"/>
  <c r="AY319" i="54"/>
  <c r="AY235" i="54"/>
  <c r="AY271" i="54"/>
  <c r="AY187" i="54"/>
  <c r="AY307" i="54"/>
  <c r="AY295" i="54"/>
  <c r="AY223" i="54"/>
  <c r="AY247" i="54"/>
  <c r="AY355" i="54"/>
  <c r="AY367" i="54"/>
  <c r="AY48" i="54"/>
  <c r="AY108" i="54"/>
  <c r="AY24" i="54"/>
  <c r="AY60" i="54"/>
  <c r="AY228" i="54"/>
  <c r="AY168" i="54"/>
  <c r="AY252" i="54"/>
  <c r="AY132" i="54"/>
  <c r="AY360" i="54"/>
  <c r="AY192" i="54"/>
  <c r="AY144" i="54"/>
  <c r="AY84" i="54"/>
  <c r="AY120" i="54"/>
  <c r="AY156" i="54"/>
  <c r="AY36" i="54"/>
  <c r="AY96" i="54"/>
  <c r="AY180" i="54"/>
  <c r="AY72" i="54"/>
  <c r="AY276" i="54"/>
  <c r="AY216" i="54"/>
  <c r="AY288" i="54"/>
  <c r="AY204" i="54"/>
  <c r="AY300" i="54"/>
  <c r="AY348" i="54"/>
  <c r="AY240" i="54"/>
  <c r="AY264" i="54"/>
  <c r="AY312" i="54"/>
  <c r="AY372" i="54"/>
  <c r="AY324" i="54"/>
  <c r="AY336" i="54"/>
  <c r="AY28" i="54"/>
  <c r="AY76" i="54"/>
  <c r="AY172" i="54"/>
  <c r="AY52" i="54"/>
  <c r="AY100" i="54"/>
  <c r="AY16" i="54"/>
  <c r="AY136" i="54"/>
  <c r="AY40" i="54"/>
  <c r="AY112" i="54"/>
  <c r="AY88" i="54"/>
  <c r="AY64" i="54"/>
  <c r="AY220" i="54"/>
  <c r="AY160" i="54"/>
  <c r="AY208" i="54"/>
  <c r="AY124" i="54"/>
  <c r="AY268" i="54"/>
  <c r="AY196" i="54"/>
  <c r="AY280" i="54"/>
  <c r="AY148" i="54"/>
  <c r="AY232" i="54"/>
  <c r="AY256" i="54"/>
  <c r="AY184" i="54"/>
  <c r="AY352" i="54"/>
  <c r="AY316" i="54"/>
  <c r="AY328" i="54"/>
  <c r="AY304" i="54"/>
  <c r="AY292" i="54"/>
  <c r="AY244" i="54"/>
  <c r="AY340" i="54"/>
  <c r="AY364" i="54"/>
  <c r="AY206" i="54"/>
  <c r="AY38" i="54"/>
  <c r="AY26" i="54"/>
  <c r="AY146" i="54"/>
  <c r="AY86" i="54"/>
  <c r="AY110" i="54"/>
  <c r="AY122" i="54"/>
  <c r="AY62" i="54"/>
  <c r="AY98" i="54"/>
  <c r="AY254" i="54"/>
  <c r="AY134" i="54"/>
  <c r="AY74" i="54"/>
  <c r="AY158" i="54"/>
  <c r="AY50" i="54"/>
  <c r="AY194" i="54"/>
  <c r="AY314" i="54"/>
  <c r="AY242" i="54"/>
  <c r="AY230" i="54"/>
  <c r="AY182" i="54"/>
  <c r="AY350" i="54"/>
  <c r="AY302" i="54"/>
  <c r="AY326" i="54"/>
  <c r="AY290" i="54"/>
  <c r="AY218" i="54"/>
  <c r="AY170" i="54"/>
  <c r="AY266" i="54"/>
  <c r="AY362" i="54"/>
  <c r="AY338" i="54"/>
  <c r="AY278" i="54"/>
  <c r="AY374" i="54"/>
  <c r="AY145" i="54"/>
  <c r="AY37" i="54"/>
  <c r="AY73" i="54"/>
  <c r="AY25" i="54"/>
  <c r="AY157" i="54"/>
  <c r="AY121" i="54"/>
  <c r="AY193" i="54"/>
  <c r="AY97" i="54"/>
  <c r="AY133" i="54"/>
  <c r="AY241" i="54"/>
  <c r="AY109" i="54"/>
  <c r="AY49" i="54"/>
  <c r="AY85" i="54"/>
  <c r="AY61" i="54"/>
  <c r="AY181" i="54"/>
  <c r="AY229" i="54"/>
  <c r="AY253" i="54"/>
  <c r="AY325" i="54"/>
  <c r="AY217" i="54"/>
  <c r="AY289" i="54"/>
  <c r="AY301" i="54"/>
  <c r="AY169" i="54"/>
  <c r="AY277" i="54"/>
  <c r="AY373" i="54"/>
  <c r="AY205" i="54"/>
  <c r="AY361" i="54"/>
  <c r="AY265" i="54"/>
  <c r="AY337" i="54"/>
  <c r="AY349" i="54"/>
  <c r="AY313" i="54"/>
  <c r="AY129" i="54"/>
  <c r="AY273" i="54"/>
  <c r="AY21" i="54"/>
  <c r="AY93" i="54"/>
  <c r="AY33" i="54"/>
  <c r="AY189" i="54"/>
  <c r="AY69" i="54"/>
  <c r="AY105" i="54"/>
  <c r="AY45" i="54"/>
  <c r="AY285" i="54"/>
  <c r="AY81" i="54"/>
  <c r="AY237" i="54"/>
  <c r="AY117" i="54"/>
  <c r="AY57" i="54"/>
  <c r="AY297" i="54"/>
  <c r="AY177" i="54"/>
  <c r="AY225" i="54"/>
  <c r="AY141" i="54"/>
  <c r="AY213" i="54"/>
  <c r="AY369" i="54"/>
  <c r="AY165" i="54"/>
  <c r="AY153" i="54"/>
  <c r="AY201" i="54"/>
  <c r="AY333" i="54"/>
  <c r="AY249" i="54"/>
  <c r="AY345" i="54"/>
  <c r="AY321" i="54"/>
  <c r="AY309" i="54"/>
  <c r="AY261" i="54"/>
  <c r="AY357" i="54"/>
  <c r="AY18" i="54"/>
  <c r="AY42" i="54"/>
  <c r="AY78" i="54"/>
  <c r="AY66" i="54"/>
  <c r="AY186" i="54"/>
  <c r="AY30" i="54"/>
  <c r="AY126" i="54"/>
  <c r="AY150" i="54"/>
  <c r="AY102" i="54"/>
  <c r="AY198" i="54"/>
  <c r="AY138" i="54"/>
  <c r="AY114" i="54"/>
  <c r="AY54" i="54"/>
  <c r="AY90" i="54"/>
  <c r="AY174" i="54"/>
  <c r="AY306" i="54"/>
  <c r="AY162" i="54"/>
  <c r="AY282" i="54"/>
  <c r="AY210" i="54"/>
  <c r="AY234" i="54"/>
  <c r="AY222" i="54"/>
  <c r="AY246" i="54"/>
  <c r="AY258" i="54"/>
  <c r="AY294" i="54"/>
  <c r="AY330" i="54"/>
  <c r="AY318" i="54"/>
  <c r="AY270" i="54"/>
  <c r="AY366" i="54"/>
  <c r="AY342" i="54"/>
  <c r="AY354" i="54"/>
  <c r="U327" i="54"/>
  <c r="U219" i="54"/>
  <c r="U279" i="54"/>
  <c r="U39" i="54"/>
  <c r="U147" i="54"/>
  <c r="U291" i="54"/>
  <c r="U255" i="54"/>
  <c r="U62" i="54"/>
  <c r="U362" i="54"/>
  <c r="U314" i="54"/>
  <c r="U326" i="54"/>
  <c r="U338" i="54"/>
  <c r="U289" i="54"/>
  <c r="U373" i="54"/>
  <c r="U361" i="54"/>
  <c r="U349" i="54"/>
  <c r="U109" i="54"/>
  <c r="U240" i="54"/>
  <c r="U132" i="54"/>
  <c r="U204" i="54"/>
  <c r="U192" i="54"/>
  <c r="U60" i="54"/>
  <c r="U168" i="54"/>
  <c r="U310" i="54"/>
  <c r="U202" i="54"/>
  <c r="U34" i="54"/>
  <c r="U262" i="54"/>
  <c r="U130" i="54"/>
  <c r="U274" i="54"/>
  <c r="U238" i="54"/>
  <c r="U272" i="54"/>
  <c r="U116" i="54"/>
  <c r="U344" i="54"/>
  <c r="U332" i="54"/>
  <c r="U92" i="54"/>
  <c r="U356" i="54"/>
  <c r="U293" i="54"/>
  <c r="U185" i="54"/>
  <c r="U113" i="54"/>
  <c r="U245" i="54"/>
  <c r="U257" i="54"/>
  <c r="U221" i="54"/>
  <c r="U239" i="54"/>
  <c r="U275" i="54"/>
  <c r="U359" i="54"/>
  <c r="U227" i="54"/>
  <c r="U179" i="54"/>
  <c r="U115" i="54"/>
  <c r="U223" i="54"/>
  <c r="U367" i="54"/>
  <c r="U43" i="54"/>
  <c r="U151" i="54"/>
  <c r="U45" i="54"/>
  <c r="U345" i="54"/>
  <c r="U297" i="54"/>
  <c r="U33" i="54"/>
  <c r="U309" i="54"/>
  <c r="U321" i="54"/>
  <c r="U222" i="54"/>
  <c r="U258" i="54"/>
  <c r="U342" i="54"/>
  <c r="U210" i="54"/>
  <c r="U162" i="54"/>
  <c r="U28" i="54"/>
  <c r="U328" i="54"/>
  <c r="U280" i="54"/>
  <c r="U292" i="54"/>
  <c r="U304" i="54"/>
  <c r="AE42" i="54"/>
  <c r="AE30" i="54"/>
  <c r="AE289" i="54"/>
  <c r="AE22" i="54"/>
  <c r="AE58" i="54"/>
  <c r="AE272" i="54"/>
  <c r="AE39" i="54"/>
  <c r="AE75" i="54"/>
  <c r="AE132" i="54"/>
  <c r="AE204" i="54"/>
  <c r="AE41" i="54"/>
  <c r="AE59" i="54"/>
  <c r="AE47" i="54"/>
  <c r="AE187" i="54"/>
  <c r="AO243" i="54"/>
  <c r="AO22" i="54"/>
  <c r="U243" i="54"/>
  <c r="U195" i="54"/>
  <c r="U27" i="54"/>
  <c r="U111" i="54"/>
  <c r="U135" i="54"/>
  <c r="U207" i="54"/>
  <c r="U51" i="54"/>
  <c r="U87" i="54"/>
  <c r="U339" i="54"/>
  <c r="U63" i="54"/>
  <c r="U171" i="54"/>
  <c r="U363" i="54"/>
  <c r="U159" i="54"/>
  <c r="U351" i="54"/>
  <c r="U123" i="54"/>
  <c r="U231" i="54"/>
  <c r="U315" i="54"/>
  <c r="U303" i="54"/>
  <c r="U375" i="54"/>
  <c r="U99" i="54"/>
  <c r="U75" i="54"/>
  <c r="U183" i="54"/>
  <c r="U267" i="54"/>
  <c r="U86" i="54"/>
  <c r="U38" i="54"/>
  <c r="U170" i="54"/>
  <c r="U254" i="54"/>
  <c r="U242" i="54"/>
  <c r="U122" i="54"/>
  <c r="U182" i="54"/>
  <c r="U98" i="54"/>
  <c r="U206" i="54"/>
  <c r="U194" i="54"/>
  <c r="U74" i="54"/>
  <c r="U50" i="54"/>
  <c r="U266" i="54"/>
  <c r="U158" i="54"/>
  <c r="U350" i="54"/>
  <c r="U146" i="54"/>
  <c r="U278" i="54"/>
  <c r="U26" i="54"/>
  <c r="U230" i="54"/>
  <c r="U110" i="54"/>
  <c r="U134" i="54"/>
  <c r="U218" i="54"/>
  <c r="U302" i="54"/>
  <c r="U290" i="54"/>
  <c r="U374" i="54"/>
  <c r="U25" i="54"/>
  <c r="U97" i="54"/>
  <c r="U217" i="54"/>
  <c r="U205" i="54"/>
  <c r="U277" i="54"/>
  <c r="U49" i="54"/>
  <c r="U157" i="54"/>
  <c r="U241" i="54"/>
  <c r="U229" i="54"/>
  <c r="U265" i="54"/>
  <c r="U85" i="54"/>
  <c r="U169" i="54"/>
  <c r="U301" i="54"/>
  <c r="U193" i="54"/>
  <c r="U181" i="54"/>
  <c r="U121" i="54"/>
  <c r="U313" i="54"/>
  <c r="U73" i="54"/>
  <c r="U61" i="54"/>
  <c r="U37" i="54"/>
  <c r="U253" i="54"/>
  <c r="U145" i="54"/>
  <c r="U337" i="54"/>
  <c r="U133" i="54"/>
  <c r="U325" i="54"/>
  <c r="U48" i="54"/>
  <c r="U24" i="54"/>
  <c r="U324" i="54"/>
  <c r="U312" i="54"/>
  <c r="U372" i="54"/>
  <c r="U300" i="54"/>
  <c r="U84" i="54"/>
  <c r="U276" i="54"/>
  <c r="U264" i="54"/>
  <c r="U108" i="54"/>
  <c r="U36" i="54"/>
  <c r="U120" i="54"/>
  <c r="U144" i="54"/>
  <c r="U336" i="54"/>
  <c r="U228" i="54"/>
  <c r="U216" i="54"/>
  <c r="U348" i="54"/>
  <c r="U156" i="54"/>
  <c r="U96" i="54"/>
  <c r="U252" i="54"/>
  <c r="U72" i="54"/>
  <c r="U288" i="54"/>
  <c r="U180" i="54"/>
  <c r="U360" i="54"/>
  <c r="U118" i="54"/>
  <c r="U178" i="54"/>
  <c r="U94" i="54"/>
  <c r="U190" i="54"/>
  <c r="U70" i="54"/>
  <c r="U322" i="54"/>
  <c r="U46" i="54"/>
  <c r="U154" i="54"/>
  <c r="U346" i="54"/>
  <c r="U142" i="54"/>
  <c r="U334" i="54"/>
  <c r="U82" i="54"/>
  <c r="U22" i="54"/>
  <c r="U106" i="54"/>
  <c r="U214" i="54"/>
  <c r="U298" i="54"/>
  <c r="U286" i="54"/>
  <c r="U370" i="54"/>
  <c r="U226" i="54"/>
  <c r="U58" i="54"/>
  <c r="U166" i="54"/>
  <c r="U358" i="54"/>
  <c r="U250" i="54"/>
  <c r="U80" i="54"/>
  <c r="U200" i="54"/>
  <c r="U188" i="54"/>
  <c r="U260" i="54"/>
  <c r="U32" i="54"/>
  <c r="U140" i="54"/>
  <c r="U224" i="54"/>
  <c r="U368" i="54"/>
  <c r="U212" i="54"/>
  <c r="U296" i="54"/>
  <c r="U248" i="54"/>
  <c r="U68" i="54"/>
  <c r="U152" i="54"/>
  <c r="U284" i="54"/>
  <c r="U176" i="54"/>
  <c r="U164" i="54"/>
  <c r="U104" i="54"/>
  <c r="U56" i="54"/>
  <c r="U44" i="54"/>
  <c r="U20" i="54"/>
  <c r="U236" i="54"/>
  <c r="U128" i="54"/>
  <c r="U320" i="54"/>
  <c r="U308" i="54"/>
  <c r="U101" i="54"/>
  <c r="U161" i="54"/>
  <c r="U77" i="54"/>
  <c r="U173" i="54"/>
  <c r="U65" i="54"/>
  <c r="U17" i="54"/>
  <c r="U53" i="54"/>
  <c r="U305" i="54"/>
  <c r="U29" i="54"/>
  <c r="U137" i="54"/>
  <c r="U329" i="54"/>
  <c r="U125" i="54"/>
  <c r="U317" i="54"/>
  <c r="U209" i="54"/>
  <c r="U89" i="54"/>
  <c r="U197" i="54"/>
  <c r="U281" i="54"/>
  <c r="U269" i="54"/>
  <c r="U365" i="54"/>
  <c r="U353" i="54"/>
  <c r="U41" i="54"/>
  <c r="U149" i="54"/>
  <c r="U341" i="54"/>
  <c r="U233" i="54"/>
  <c r="U191" i="54"/>
  <c r="U83" i="54"/>
  <c r="U335" i="54"/>
  <c r="U59" i="54"/>
  <c r="U167" i="54"/>
  <c r="U155" i="54"/>
  <c r="U347" i="54"/>
  <c r="U35" i="54"/>
  <c r="U143" i="54"/>
  <c r="U119" i="54"/>
  <c r="U311" i="54"/>
  <c r="U299" i="54"/>
  <c r="U371" i="54"/>
  <c r="U47" i="54"/>
  <c r="U95" i="54"/>
  <c r="U71" i="54"/>
  <c r="U287" i="54"/>
  <c r="U263" i="54"/>
  <c r="U251" i="54"/>
  <c r="U23" i="54"/>
  <c r="U107" i="54"/>
  <c r="U131" i="54"/>
  <c r="U323" i="54"/>
  <c r="U215" i="54"/>
  <c r="U203" i="54"/>
  <c r="U331" i="54"/>
  <c r="U31" i="54"/>
  <c r="U307" i="54"/>
  <c r="U295" i="54"/>
  <c r="U283" i="54"/>
  <c r="U67" i="54"/>
  <c r="U187" i="54"/>
  <c r="U175" i="54"/>
  <c r="U259" i="54"/>
  <c r="U247" i="54"/>
  <c r="U139" i="54"/>
  <c r="U91" i="54"/>
  <c r="U19" i="54"/>
  <c r="U103" i="54"/>
  <c r="U127" i="54"/>
  <c r="U319" i="54"/>
  <c r="U211" i="54"/>
  <c r="U199" i="54"/>
  <c r="U79" i="54"/>
  <c r="U235" i="54"/>
  <c r="U55" i="54"/>
  <c r="U271" i="54"/>
  <c r="U163" i="54"/>
  <c r="U355" i="54"/>
  <c r="U343" i="54"/>
  <c r="U69" i="54"/>
  <c r="U21" i="54"/>
  <c r="U357" i="54"/>
  <c r="U153" i="54"/>
  <c r="U237" i="54"/>
  <c r="U225" i="54"/>
  <c r="U105" i="54"/>
  <c r="U165" i="54"/>
  <c r="U81" i="54"/>
  <c r="U189" i="54"/>
  <c r="U177" i="54"/>
  <c r="U117" i="54"/>
  <c r="U261" i="54"/>
  <c r="U57" i="54"/>
  <c r="U249" i="54"/>
  <c r="U141" i="54"/>
  <c r="U333" i="54"/>
  <c r="U129" i="54"/>
  <c r="U213" i="54"/>
  <c r="U93" i="54"/>
  <c r="U201" i="54"/>
  <c r="U285" i="54"/>
  <c r="U273" i="54"/>
  <c r="U369" i="54"/>
  <c r="U66" i="54"/>
  <c r="U318" i="54"/>
  <c r="U42" i="54"/>
  <c r="U150" i="54"/>
  <c r="U138" i="54"/>
  <c r="U330" i="54"/>
  <c r="U30" i="54"/>
  <c r="U174" i="54"/>
  <c r="U18" i="54"/>
  <c r="U126" i="54"/>
  <c r="U102" i="54"/>
  <c r="U294" i="54"/>
  <c r="U282" i="54"/>
  <c r="U366" i="54"/>
  <c r="U78" i="54"/>
  <c r="U54" i="54"/>
  <c r="U270" i="54"/>
  <c r="U354" i="54"/>
  <c r="U246" i="54"/>
  <c r="U234" i="54"/>
  <c r="U114" i="54"/>
  <c r="U90" i="54"/>
  <c r="U306" i="54"/>
  <c r="U198" i="54"/>
  <c r="U186" i="54"/>
  <c r="U52" i="54"/>
  <c r="U340" i="54"/>
  <c r="U112" i="54"/>
  <c r="U136" i="54"/>
  <c r="U364" i="54"/>
  <c r="U220" i="54"/>
  <c r="U208" i="54"/>
  <c r="U100" i="54"/>
  <c r="U244" i="54"/>
  <c r="U88" i="54"/>
  <c r="U148" i="54"/>
  <c r="U64" i="54"/>
  <c r="U172" i="54"/>
  <c r="U160" i="54"/>
  <c r="U352" i="54"/>
  <c r="U40" i="54"/>
  <c r="U16" i="54"/>
  <c r="U232" i="54"/>
  <c r="U124" i="54"/>
  <c r="U316" i="54"/>
  <c r="U196" i="54"/>
  <c r="U76" i="54"/>
  <c r="U184" i="54"/>
  <c r="U268" i="54"/>
  <c r="U256" i="54"/>
  <c r="AE26" i="54"/>
  <c r="AE98" i="54"/>
  <c r="AE170" i="54"/>
  <c r="AE110" i="54"/>
  <c r="AE74" i="54"/>
  <c r="AE62" i="54"/>
  <c r="AE38" i="54"/>
  <c r="AE146" i="54"/>
  <c r="AE206" i="54"/>
  <c r="AE122" i="54"/>
  <c r="AE50" i="54"/>
  <c r="AE86" i="54"/>
  <c r="AE194" i="54"/>
  <c r="AE182" i="54"/>
  <c r="AE158" i="54"/>
  <c r="AE134" i="54"/>
  <c r="AE218" i="54"/>
  <c r="AE326" i="54"/>
  <c r="AE302" i="54"/>
  <c r="AE338" i="54"/>
  <c r="AE278" i="54"/>
  <c r="AE242" i="54"/>
  <c r="AE290" i="54"/>
  <c r="AE362" i="54"/>
  <c r="AE230" i="54"/>
  <c r="AE266" i="54"/>
  <c r="AE314" i="54"/>
  <c r="AE350" i="54"/>
  <c r="AE254" i="54"/>
  <c r="AE374" i="54"/>
  <c r="AE162" i="54"/>
  <c r="AE18" i="54"/>
  <c r="AE90" i="54"/>
  <c r="AE126" i="54"/>
  <c r="AE102" i="54"/>
  <c r="AE66" i="54"/>
  <c r="AE54" i="54"/>
  <c r="AE138" i="54"/>
  <c r="AE114" i="54"/>
  <c r="AE210" i="54"/>
  <c r="AE174" i="54"/>
  <c r="AE198" i="54"/>
  <c r="AE78" i="54"/>
  <c r="AE150" i="54"/>
  <c r="AE186" i="54"/>
  <c r="AE222" i="54"/>
  <c r="AE318" i="54"/>
  <c r="AE258" i="54"/>
  <c r="AE282" i="54"/>
  <c r="AE294" i="54"/>
  <c r="AE330" i="54"/>
  <c r="AE234" i="54"/>
  <c r="AE354" i="54"/>
  <c r="AE270" i="54"/>
  <c r="AE246" i="54"/>
  <c r="AE306" i="54"/>
  <c r="AE342" i="54"/>
  <c r="AE366" i="54"/>
  <c r="AE64" i="54"/>
  <c r="AE160" i="54"/>
  <c r="AE52" i="54"/>
  <c r="AE136" i="54"/>
  <c r="AE40" i="54"/>
  <c r="AE28" i="54"/>
  <c r="AE112" i="54"/>
  <c r="AE76" i="54"/>
  <c r="AE148" i="54"/>
  <c r="AE184" i="54"/>
  <c r="AE16" i="54"/>
  <c r="AE172" i="54"/>
  <c r="AE88" i="54"/>
  <c r="AE124" i="54"/>
  <c r="AE100" i="54"/>
  <c r="AE196" i="54"/>
  <c r="AE292" i="54"/>
  <c r="AE256" i="54"/>
  <c r="AE340" i="54"/>
  <c r="AE232" i="54"/>
  <c r="AE208" i="54"/>
  <c r="AE328" i="54"/>
  <c r="AE280" i="54"/>
  <c r="AE316" i="54"/>
  <c r="AE352" i="54"/>
  <c r="AE220" i="54"/>
  <c r="AE244" i="54"/>
  <c r="AE364" i="54"/>
  <c r="AE268" i="54"/>
  <c r="AE304" i="54"/>
  <c r="AE121" i="54"/>
  <c r="AE37" i="54"/>
  <c r="AE49" i="54"/>
  <c r="AE181" i="54"/>
  <c r="AE169" i="54"/>
  <c r="AE229" i="54"/>
  <c r="AE133" i="54"/>
  <c r="AE145" i="54"/>
  <c r="AE73" i="54"/>
  <c r="AE109" i="54"/>
  <c r="AE193" i="54"/>
  <c r="AE97" i="54"/>
  <c r="AE157" i="54"/>
  <c r="AE25" i="54"/>
  <c r="AE61" i="54"/>
  <c r="AE85" i="54"/>
  <c r="AE205" i="54"/>
  <c r="AE241" i="54"/>
  <c r="AE253" i="54"/>
  <c r="AE277" i="54"/>
  <c r="AE313" i="54"/>
  <c r="AE265" i="54"/>
  <c r="AE349" i="54"/>
  <c r="AE373" i="54"/>
  <c r="AE301" i="54"/>
  <c r="AE217" i="54"/>
  <c r="AE325" i="54"/>
  <c r="AE337" i="54"/>
  <c r="AE361" i="54"/>
  <c r="AE46" i="54"/>
  <c r="AE178" i="54"/>
  <c r="AE82" i="54"/>
  <c r="AE154" i="54"/>
  <c r="AE190" i="54"/>
  <c r="AE226" i="54"/>
  <c r="AE130" i="54"/>
  <c r="AE94" i="54"/>
  <c r="AE166" i="54"/>
  <c r="AE106" i="54"/>
  <c r="AE202" i="54"/>
  <c r="AE214" i="54"/>
  <c r="AE34" i="54"/>
  <c r="AE70" i="54"/>
  <c r="AE142" i="54"/>
  <c r="AE118" i="54"/>
  <c r="AE238" i="54"/>
  <c r="AE298" i="54"/>
  <c r="AE286" i="54"/>
  <c r="AE274" i="54"/>
  <c r="AE334" i="54"/>
  <c r="AE322" i="54"/>
  <c r="AE250" i="54"/>
  <c r="AE262" i="54"/>
  <c r="AE310" i="54"/>
  <c r="AE346" i="54"/>
  <c r="AE358" i="54"/>
  <c r="AE370" i="54"/>
  <c r="AE176" i="54"/>
  <c r="AE164" i="54"/>
  <c r="AE152" i="54"/>
  <c r="AE212" i="54"/>
  <c r="AE20" i="54"/>
  <c r="AE92" i="54"/>
  <c r="AE128" i="54"/>
  <c r="AE104" i="54"/>
  <c r="AE68" i="54"/>
  <c r="AE56" i="54"/>
  <c r="AE140" i="54"/>
  <c r="AE116" i="54"/>
  <c r="AE188" i="54"/>
  <c r="AE224" i="54"/>
  <c r="AE44" i="54"/>
  <c r="AE32" i="54"/>
  <c r="AE80" i="54"/>
  <c r="AE356" i="54"/>
  <c r="AE248" i="54"/>
  <c r="AE200" i="54"/>
  <c r="AE308" i="54"/>
  <c r="AE344" i="54"/>
  <c r="AE320" i="54"/>
  <c r="AE236" i="54"/>
  <c r="AE296" i="54"/>
  <c r="AE332" i="54"/>
  <c r="AE284" i="54"/>
  <c r="AE260" i="54"/>
  <c r="AE368" i="54"/>
  <c r="AE105" i="54"/>
  <c r="AE69" i="54"/>
  <c r="AE93" i="54"/>
  <c r="AE153" i="54"/>
  <c r="AE189" i="54"/>
  <c r="AE21" i="54"/>
  <c r="AE57" i="54"/>
  <c r="AE81" i="54"/>
  <c r="AE45" i="54"/>
  <c r="AE117" i="54"/>
  <c r="AE129" i="54"/>
  <c r="AE177" i="54"/>
  <c r="AE165" i="54"/>
  <c r="AE237" i="54"/>
  <c r="AE33" i="54"/>
  <c r="AE201" i="54"/>
  <c r="AE141" i="54"/>
  <c r="AE309" i="54"/>
  <c r="AE249" i="54"/>
  <c r="AE345" i="54"/>
  <c r="AE225" i="54"/>
  <c r="AE261" i="54"/>
  <c r="AE273" i="54"/>
  <c r="AE213" i="54"/>
  <c r="AE297" i="54"/>
  <c r="AE333" i="54"/>
  <c r="AE369" i="54"/>
  <c r="AE357" i="54"/>
  <c r="AE321" i="54"/>
  <c r="AE285" i="54"/>
  <c r="AE27" i="54"/>
  <c r="AE63" i="54"/>
  <c r="AE111" i="54"/>
  <c r="AE123" i="54"/>
  <c r="AE87" i="54"/>
  <c r="AE51" i="54"/>
  <c r="AE183" i="54"/>
  <c r="AE171" i="54"/>
  <c r="AE135" i="54"/>
  <c r="AE147" i="54"/>
  <c r="AE207" i="54"/>
  <c r="AE99" i="54"/>
  <c r="AE159" i="54"/>
  <c r="AE231" i="54"/>
  <c r="AE279" i="54"/>
  <c r="AE315" i="54"/>
  <c r="AE327" i="54"/>
  <c r="AE195" i="54"/>
  <c r="AE351" i="54"/>
  <c r="AE267" i="54"/>
  <c r="AE243" i="54"/>
  <c r="AE255" i="54"/>
  <c r="AE375" i="54"/>
  <c r="AE363" i="54"/>
  <c r="AE219" i="54"/>
  <c r="AE339" i="54"/>
  <c r="AE291" i="54"/>
  <c r="AE303" i="54"/>
  <c r="AE72" i="54"/>
  <c r="AE60" i="54"/>
  <c r="AE180" i="54"/>
  <c r="AE36" i="54"/>
  <c r="AE144" i="54"/>
  <c r="AE120" i="54"/>
  <c r="AE48" i="54"/>
  <c r="AE84" i="54"/>
  <c r="AE192" i="54"/>
  <c r="AE156" i="54"/>
  <c r="AE24" i="54"/>
  <c r="AE96" i="54"/>
  <c r="AE168" i="54"/>
  <c r="AE108" i="54"/>
  <c r="AE240" i="54"/>
  <c r="AE216" i="54"/>
  <c r="AE288" i="54"/>
  <c r="AE336" i="54"/>
  <c r="AE228" i="54"/>
  <c r="AE252" i="54"/>
  <c r="AE348" i="54"/>
  <c r="AE300" i="54"/>
  <c r="AE324" i="54"/>
  <c r="AE372" i="54"/>
  <c r="AE264" i="54"/>
  <c r="AE360" i="54"/>
  <c r="AE276" i="54"/>
  <c r="AE312" i="54"/>
  <c r="AE29" i="54"/>
  <c r="AE173" i="54"/>
  <c r="AE197" i="54"/>
  <c r="AE101" i="54"/>
  <c r="AE137" i="54"/>
  <c r="AE221" i="54"/>
  <c r="AE65" i="54"/>
  <c r="AE77" i="54"/>
  <c r="AE89" i="54"/>
  <c r="AE149" i="54"/>
  <c r="AE17" i="54"/>
  <c r="AE53" i="54"/>
  <c r="AE113" i="54"/>
  <c r="AE185" i="54"/>
  <c r="AE161" i="54"/>
  <c r="AE125" i="54"/>
  <c r="AE269" i="54"/>
  <c r="AE209" i="54"/>
  <c r="AE293" i="54"/>
  <c r="AE233" i="54"/>
  <c r="AE305" i="54"/>
  <c r="AE245" i="54"/>
  <c r="AE341" i="54"/>
  <c r="AE365" i="54"/>
  <c r="AE317" i="54"/>
  <c r="AE257" i="54"/>
  <c r="AE281" i="54"/>
  <c r="AE329" i="54"/>
  <c r="AE353" i="54"/>
  <c r="AE107" i="54"/>
  <c r="AE143" i="54"/>
  <c r="AE275" i="54"/>
  <c r="AE71" i="54"/>
  <c r="AE83" i="54"/>
  <c r="AE95" i="54"/>
  <c r="AE155" i="54"/>
  <c r="AE251" i="54"/>
  <c r="AE23" i="54"/>
  <c r="AE119" i="54"/>
  <c r="AE35" i="54"/>
  <c r="AE131" i="54"/>
  <c r="AE179" i="54"/>
  <c r="AE191" i="54"/>
  <c r="AE167" i="54"/>
  <c r="AE203" i="54"/>
  <c r="AE263" i="54"/>
  <c r="AE335" i="54"/>
  <c r="AE239" i="54"/>
  <c r="AE227" i="54"/>
  <c r="AE215" i="54"/>
  <c r="AE311" i="54"/>
  <c r="AE347" i="54"/>
  <c r="AE299" i="54"/>
  <c r="AE323" i="54"/>
  <c r="AE359" i="54"/>
  <c r="AE287" i="54"/>
  <c r="AE371" i="54"/>
  <c r="AE19" i="54"/>
  <c r="AE55" i="54"/>
  <c r="AE79" i="54"/>
  <c r="AE43" i="54"/>
  <c r="AE163" i="54"/>
  <c r="AE199" i="54"/>
  <c r="AE127" i="54"/>
  <c r="AE223" i="54"/>
  <c r="AE31" i="54"/>
  <c r="AE175" i="54"/>
  <c r="AE139" i="54"/>
  <c r="AE103" i="54"/>
  <c r="AE67" i="54"/>
  <c r="AE115" i="54"/>
  <c r="AE91" i="54"/>
  <c r="AE151" i="54"/>
  <c r="AE343" i="54"/>
  <c r="AE247" i="54"/>
  <c r="AE319" i="54"/>
  <c r="AE331" i="54"/>
  <c r="AE259" i="54"/>
  <c r="AE235" i="54"/>
  <c r="AE271" i="54"/>
  <c r="AE307" i="54"/>
  <c r="AE283" i="54"/>
  <c r="AE211" i="54"/>
  <c r="AE355" i="54"/>
  <c r="AE295" i="54"/>
  <c r="AE367" i="54"/>
  <c r="AO339" i="54"/>
  <c r="AO27" i="54"/>
  <c r="AO195" i="54"/>
  <c r="AO363" i="54"/>
  <c r="AO147" i="54"/>
  <c r="AO291" i="54"/>
  <c r="AO255" i="54"/>
  <c r="AO219" i="54"/>
  <c r="AO183" i="54"/>
  <c r="AO303" i="54"/>
  <c r="AO267" i="54"/>
  <c r="AO231" i="54"/>
  <c r="AO351" i="54"/>
  <c r="AO159" i="54"/>
  <c r="AO315" i="54"/>
  <c r="AO123" i="54"/>
  <c r="AO279" i="54"/>
  <c r="AO39" i="54"/>
  <c r="AO51" i="54"/>
  <c r="AO63" i="54"/>
  <c r="AO375" i="54"/>
  <c r="AO207" i="54"/>
  <c r="AO75" i="54"/>
  <c r="AO171" i="54"/>
  <c r="AO327" i="54"/>
  <c r="AO135" i="54"/>
  <c r="AO87" i="54"/>
  <c r="AO99" i="54"/>
  <c r="AO111" i="54"/>
  <c r="AO182" i="54"/>
  <c r="AO278" i="54"/>
  <c r="AO62" i="54"/>
  <c r="AO374" i="54"/>
  <c r="AO230" i="54"/>
  <c r="AO134" i="54"/>
  <c r="AO290" i="54"/>
  <c r="AO110" i="54"/>
  <c r="AO254" i="54"/>
  <c r="AO218" i="54"/>
  <c r="AO326" i="54"/>
  <c r="AO338" i="54"/>
  <c r="AO146" i="54"/>
  <c r="AO302" i="54"/>
  <c r="AO266" i="54"/>
  <c r="AO26" i="54"/>
  <c r="AO38" i="54"/>
  <c r="AO50" i="54"/>
  <c r="AO362" i="54"/>
  <c r="AO194" i="54"/>
  <c r="AO350" i="54"/>
  <c r="AO158" i="54"/>
  <c r="AO314" i="54"/>
  <c r="AO122" i="54"/>
  <c r="AO74" i="54"/>
  <c r="AO86" i="54"/>
  <c r="AO98" i="54"/>
  <c r="AO242" i="54"/>
  <c r="AO206" i="54"/>
  <c r="AO170" i="54"/>
  <c r="AO373" i="54"/>
  <c r="AO265" i="54"/>
  <c r="AO361" i="54"/>
  <c r="AO217" i="54"/>
  <c r="AO313" i="54"/>
  <c r="AO349" i="54"/>
  <c r="AO325" i="54"/>
  <c r="AO133" i="54"/>
  <c r="AO289" i="54"/>
  <c r="AO253" i="54"/>
  <c r="AO25" i="54"/>
  <c r="AO37" i="54"/>
  <c r="AO169" i="54"/>
  <c r="AO181" i="54"/>
  <c r="AO337" i="54"/>
  <c r="AO145" i="54"/>
  <c r="AO301" i="54"/>
  <c r="AO61" i="54"/>
  <c r="AO73" i="54"/>
  <c r="AO85" i="54"/>
  <c r="AO97" i="54"/>
  <c r="AO229" i="54"/>
  <c r="AO193" i="54"/>
  <c r="AO157" i="54"/>
  <c r="AO49" i="54"/>
  <c r="AO109" i="54"/>
  <c r="AO121" i="54"/>
  <c r="AO277" i="54"/>
  <c r="AO241" i="54"/>
  <c r="AO205" i="54"/>
  <c r="AO252" i="54"/>
  <c r="AO372" i="54"/>
  <c r="AO300" i="54"/>
  <c r="AO156" i="54"/>
  <c r="AO348" i="54"/>
  <c r="AO360" i="54"/>
  <c r="AO168" i="54"/>
  <c r="AO324" i="54"/>
  <c r="AO132" i="54"/>
  <c r="AO288" i="54"/>
  <c r="AO48" i="54"/>
  <c r="AO60" i="54"/>
  <c r="AO72" i="54"/>
  <c r="AO216" i="54"/>
  <c r="AO180" i="54"/>
  <c r="AO336" i="54"/>
  <c r="AO144" i="54"/>
  <c r="AO96" i="54"/>
  <c r="AO108" i="54"/>
  <c r="AO120" i="54"/>
  <c r="AO204" i="54"/>
  <c r="AO264" i="54"/>
  <c r="AO228" i="54"/>
  <c r="AO36" i="54"/>
  <c r="AO192" i="54"/>
  <c r="AO312" i="54"/>
  <c r="AO276" i="54"/>
  <c r="AO240" i="54"/>
  <c r="AO84" i="54"/>
  <c r="AO24" i="54"/>
  <c r="AO130" i="54"/>
  <c r="AO322" i="54"/>
  <c r="AO370" i="54"/>
  <c r="AO178" i="54"/>
  <c r="AO358" i="54"/>
  <c r="AO226" i="54"/>
  <c r="AO274" i="54"/>
  <c r="AO238" i="54"/>
  <c r="AO202" i="54"/>
  <c r="AO106" i="54"/>
  <c r="AO166" i="54"/>
  <c r="AO286" i="54"/>
  <c r="AO250" i="54"/>
  <c r="AO214" i="54"/>
  <c r="AO334" i="54"/>
  <c r="AO142" i="54"/>
  <c r="AO298" i="54"/>
  <c r="AO262" i="54"/>
  <c r="AO34" i="54"/>
  <c r="AO46" i="54"/>
  <c r="AO190" i="54"/>
  <c r="AO118" i="54"/>
  <c r="AO58" i="54"/>
  <c r="AO346" i="54"/>
  <c r="AO154" i="54"/>
  <c r="AO310" i="54"/>
  <c r="AO70" i="54"/>
  <c r="AO82" i="54"/>
  <c r="AO94" i="54"/>
  <c r="AO248" i="54"/>
  <c r="AO368" i="54"/>
  <c r="AO296" i="54"/>
  <c r="AO200" i="54"/>
  <c r="AO308" i="54"/>
  <c r="AO272" i="54"/>
  <c r="AO236" i="54"/>
  <c r="AO20" i="54"/>
  <c r="AO152" i="54"/>
  <c r="AO356" i="54"/>
  <c r="AO164" i="54"/>
  <c r="AO320" i="54"/>
  <c r="AO128" i="54"/>
  <c r="AO284" i="54"/>
  <c r="AO44" i="54"/>
  <c r="AO56" i="54"/>
  <c r="AO68" i="54"/>
  <c r="AO344" i="54"/>
  <c r="AO212" i="54"/>
  <c r="AO176" i="54"/>
  <c r="AO332" i="54"/>
  <c r="AO140" i="54"/>
  <c r="AO32" i="54"/>
  <c r="AO92" i="54"/>
  <c r="AO104" i="54"/>
  <c r="AO116" i="54"/>
  <c r="AO80" i="54"/>
  <c r="AO260" i="54"/>
  <c r="AO224" i="54"/>
  <c r="AO188" i="54"/>
  <c r="AO353" i="54"/>
  <c r="AO305" i="54"/>
  <c r="AO365" i="54"/>
  <c r="AO161" i="54"/>
  <c r="AO209" i="54"/>
  <c r="AO257" i="54"/>
  <c r="AO221" i="54"/>
  <c r="AO185" i="54"/>
  <c r="AO89" i="54"/>
  <c r="AO341" i="54"/>
  <c r="AO149" i="54"/>
  <c r="AO101" i="54"/>
  <c r="AO113" i="54"/>
  <c r="AO269" i="54"/>
  <c r="AO233" i="54"/>
  <c r="AO197" i="54"/>
  <c r="AO317" i="54"/>
  <c r="AO125" i="54"/>
  <c r="AO281" i="54"/>
  <c r="AO245" i="54"/>
  <c r="AO17" i="54"/>
  <c r="AO29" i="54"/>
  <c r="AO173" i="54"/>
  <c r="AO41" i="54"/>
  <c r="AO329" i="54"/>
  <c r="AO137" i="54"/>
  <c r="AO293" i="54"/>
  <c r="AO53" i="54"/>
  <c r="AO65" i="54"/>
  <c r="AO77" i="54"/>
  <c r="AO287" i="54"/>
  <c r="AO143" i="54"/>
  <c r="AO119" i="54"/>
  <c r="AO335" i="54"/>
  <c r="AO191" i="54"/>
  <c r="AO371" i="54"/>
  <c r="AO203" i="54"/>
  <c r="AO359" i="54"/>
  <c r="AO167" i="54"/>
  <c r="AO323" i="54"/>
  <c r="AO131" i="54"/>
  <c r="AO83" i="54"/>
  <c r="AO95" i="54"/>
  <c r="AO107" i="54"/>
  <c r="AO251" i="54"/>
  <c r="AO215" i="54"/>
  <c r="AO179" i="54"/>
  <c r="AO299" i="54"/>
  <c r="AO23" i="54"/>
  <c r="AO263" i="54"/>
  <c r="AO227" i="54"/>
  <c r="AO239" i="54"/>
  <c r="AO347" i="54"/>
  <c r="AO155" i="54"/>
  <c r="AO311" i="54"/>
  <c r="AO71" i="54"/>
  <c r="AO275" i="54"/>
  <c r="AO35" i="54"/>
  <c r="AO47" i="54"/>
  <c r="AO59" i="54"/>
  <c r="AO235" i="54"/>
  <c r="AO139" i="54"/>
  <c r="AO283" i="54"/>
  <c r="AO331" i="54"/>
  <c r="AO343" i="54"/>
  <c r="AO151" i="54"/>
  <c r="AO307" i="54"/>
  <c r="AO271" i="54"/>
  <c r="AO31" i="54"/>
  <c r="AO43" i="54"/>
  <c r="AO55" i="54"/>
  <c r="AO367" i="54"/>
  <c r="AO199" i="54"/>
  <c r="AO355" i="54"/>
  <c r="AO163" i="54"/>
  <c r="AO319" i="54"/>
  <c r="AO127" i="54"/>
  <c r="AO79" i="54"/>
  <c r="AO91" i="54"/>
  <c r="AO103" i="54"/>
  <c r="AO187" i="54"/>
  <c r="AO247" i="54"/>
  <c r="AO211" i="54"/>
  <c r="AO19" i="54"/>
  <c r="AO175" i="54"/>
  <c r="AO295" i="54"/>
  <c r="AO259" i="54"/>
  <c r="AO115" i="54"/>
  <c r="AO223" i="54"/>
  <c r="AO67" i="54"/>
  <c r="AO261" i="54"/>
  <c r="AO165" i="54"/>
  <c r="AO369" i="54"/>
  <c r="AO213" i="54"/>
  <c r="AO357" i="54"/>
  <c r="AO273" i="54"/>
  <c r="AO93" i="54"/>
  <c r="AO237" i="54"/>
  <c r="AO201" i="54"/>
  <c r="AO45" i="54"/>
  <c r="AO309" i="54"/>
  <c r="AO321" i="54"/>
  <c r="AO129" i="54"/>
  <c r="AO285" i="54"/>
  <c r="AO249" i="54"/>
  <c r="AO21" i="54"/>
  <c r="AO33" i="54"/>
  <c r="AO177" i="54"/>
  <c r="AO333" i="54"/>
  <c r="AO141" i="54"/>
  <c r="AO297" i="54"/>
  <c r="AO57" i="54"/>
  <c r="AO69" i="54"/>
  <c r="AO81" i="54"/>
  <c r="AO225" i="54"/>
  <c r="AO189" i="54"/>
  <c r="AO345" i="54"/>
  <c r="AO153" i="54"/>
  <c r="AO105" i="54"/>
  <c r="AO117" i="54"/>
  <c r="AO270" i="54"/>
  <c r="AO126" i="54"/>
  <c r="AO366" i="54"/>
  <c r="AO318" i="54"/>
  <c r="AO174" i="54"/>
  <c r="AO186" i="54"/>
  <c r="AO342" i="54"/>
  <c r="AO150" i="54"/>
  <c r="AO306" i="54"/>
  <c r="AO102" i="54"/>
  <c r="AO66" i="54"/>
  <c r="AO78" i="54"/>
  <c r="AO90" i="54"/>
  <c r="AO234" i="54"/>
  <c r="AO198" i="54"/>
  <c r="AO162" i="54"/>
  <c r="AO282" i="54"/>
  <c r="AO246" i="54"/>
  <c r="AO210" i="54"/>
  <c r="AO354" i="54"/>
  <c r="AO222" i="54"/>
  <c r="AO330" i="54"/>
  <c r="AO138" i="54"/>
  <c r="AO294" i="54"/>
  <c r="AO54" i="54"/>
  <c r="AO258" i="54"/>
  <c r="AO114" i="54"/>
  <c r="AO18" i="54"/>
  <c r="AO30" i="54"/>
  <c r="AO42" i="54"/>
  <c r="AO244" i="54"/>
  <c r="AO148" i="54"/>
  <c r="AO364" i="54"/>
  <c r="AO28" i="54"/>
  <c r="AO340" i="54"/>
  <c r="AO196" i="54"/>
  <c r="AO256" i="54"/>
  <c r="AO76" i="54"/>
  <c r="AO220" i="54"/>
  <c r="AO184" i="54"/>
  <c r="AO292" i="54"/>
  <c r="AO304" i="54"/>
  <c r="AO268" i="54"/>
  <c r="AO232" i="54"/>
  <c r="AO16" i="54"/>
  <c r="AO352" i="54"/>
  <c r="AO160" i="54"/>
  <c r="AO316" i="54"/>
  <c r="AO124" i="54"/>
  <c r="AO280" i="54"/>
  <c r="AO40" i="54"/>
  <c r="AO52" i="54"/>
  <c r="AO64" i="54"/>
  <c r="AO208" i="54"/>
  <c r="AO172" i="54"/>
  <c r="AO328" i="54"/>
  <c r="AO136" i="54"/>
  <c r="AO88" i="54"/>
  <c r="AO100" i="54"/>
  <c r="AO112" i="54"/>
  <c r="K375" i="54"/>
  <c r="K303" i="54"/>
  <c r="K363" i="54"/>
  <c r="K111" i="54"/>
  <c r="K291" i="54"/>
  <c r="K171" i="54"/>
  <c r="K135" i="54"/>
  <c r="K219" i="54"/>
  <c r="K339" i="54"/>
  <c r="K159" i="54"/>
  <c r="K27" i="54"/>
  <c r="K183" i="54"/>
  <c r="K255" i="54"/>
  <c r="K351" i="54"/>
  <c r="K267" i="54"/>
  <c r="K231" i="54"/>
  <c r="K75" i="54"/>
  <c r="K39" i="54"/>
  <c r="K99" i="54"/>
  <c r="K327" i="54"/>
  <c r="K315" i="54"/>
  <c r="K195" i="54"/>
  <c r="K63" i="54"/>
  <c r="K279" i="54"/>
  <c r="K243" i="54"/>
  <c r="K207" i="54"/>
  <c r="K123" i="54"/>
  <c r="K87" i="54"/>
  <c r="K147" i="54"/>
  <c r="K51" i="54"/>
  <c r="K242" i="54"/>
  <c r="K98" i="54"/>
  <c r="K326" i="54"/>
  <c r="K206" i="54"/>
  <c r="K170" i="54"/>
  <c r="K134" i="54"/>
  <c r="K362" i="54"/>
  <c r="K254" i="54"/>
  <c r="K218" i="54"/>
  <c r="K146" i="54"/>
  <c r="K374" i="54"/>
  <c r="K62" i="54"/>
  <c r="K26" i="54"/>
  <c r="K50" i="54"/>
  <c r="K302" i="54"/>
  <c r="K266" i="54"/>
  <c r="K230" i="54"/>
  <c r="K182" i="54"/>
  <c r="K110" i="54"/>
  <c r="K74" i="54"/>
  <c r="K338" i="54"/>
  <c r="K290" i="54"/>
  <c r="K350" i="54"/>
  <c r="K314" i="54"/>
  <c r="K194" i="54"/>
  <c r="K278" i="54"/>
  <c r="K158" i="54"/>
  <c r="K122" i="54"/>
  <c r="K38" i="54"/>
  <c r="K86" i="54"/>
  <c r="K277" i="54"/>
  <c r="K85" i="54"/>
  <c r="K349" i="54"/>
  <c r="K205" i="54"/>
  <c r="K229" i="54"/>
  <c r="K241" i="54"/>
  <c r="K361" i="54"/>
  <c r="K49" i="54"/>
  <c r="K169" i="54"/>
  <c r="K373" i="54"/>
  <c r="K325" i="54"/>
  <c r="K289" i="54"/>
  <c r="K133" i="54"/>
  <c r="K253" i="54"/>
  <c r="K217" i="54"/>
  <c r="K97" i="54"/>
  <c r="K61" i="54"/>
  <c r="K337" i="54"/>
  <c r="K301" i="54"/>
  <c r="K265" i="54"/>
  <c r="K37" i="54"/>
  <c r="K145" i="54"/>
  <c r="K109" i="54"/>
  <c r="K181" i="54"/>
  <c r="K313" i="54"/>
  <c r="K193" i="54"/>
  <c r="K157" i="54"/>
  <c r="K25" i="54"/>
  <c r="K73" i="54"/>
  <c r="K121" i="54"/>
  <c r="K312" i="54"/>
  <c r="K336" i="54"/>
  <c r="K276" i="54"/>
  <c r="K204" i="54"/>
  <c r="K240" i="54"/>
  <c r="K84" i="54"/>
  <c r="K48" i="54"/>
  <c r="K264" i="54"/>
  <c r="K324" i="54"/>
  <c r="K288" i="54"/>
  <c r="K252" i="54"/>
  <c r="K132" i="54"/>
  <c r="K96" i="54"/>
  <c r="K120" i="54"/>
  <c r="K216" i="54"/>
  <c r="K372" i="54"/>
  <c r="K168" i="54"/>
  <c r="K24" i="54"/>
  <c r="K300" i="54"/>
  <c r="K180" i="54"/>
  <c r="K144" i="54"/>
  <c r="K360" i="54"/>
  <c r="K228" i="54"/>
  <c r="K348" i="54"/>
  <c r="K72" i="54"/>
  <c r="K36" i="54"/>
  <c r="K192" i="54"/>
  <c r="K60" i="54"/>
  <c r="K108" i="54"/>
  <c r="K156" i="54"/>
  <c r="K358" i="54"/>
  <c r="K190" i="54"/>
  <c r="K286" i="54"/>
  <c r="K346" i="54"/>
  <c r="K310" i="54"/>
  <c r="K94" i="54"/>
  <c r="K274" i="54"/>
  <c r="K154" i="54"/>
  <c r="K118" i="54"/>
  <c r="K322" i="54"/>
  <c r="K142" i="54"/>
  <c r="K202" i="54"/>
  <c r="K166" i="54"/>
  <c r="K82" i="54"/>
  <c r="K238" i="54"/>
  <c r="K334" i="54"/>
  <c r="K250" i="54"/>
  <c r="K214" i="54"/>
  <c r="K370" i="54"/>
  <c r="K58" i="54"/>
  <c r="K22" i="54"/>
  <c r="K298" i="54"/>
  <c r="K178" i="54"/>
  <c r="K46" i="54"/>
  <c r="K262" i="54"/>
  <c r="K226" i="54"/>
  <c r="K106" i="54"/>
  <c r="K70" i="54"/>
  <c r="K130" i="54"/>
  <c r="K34" i="54"/>
  <c r="K68" i="54"/>
  <c r="K260" i="54"/>
  <c r="K332" i="54"/>
  <c r="K308" i="54"/>
  <c r="K212" i="54"/>
  <c r="K224" i="54"/>
  <c r="K344" i="54"/>
  <c r="K200" i="54"/>
  <c r="K32" i="54"/>
  <c r="K188" i="54"/>
  <c r="K356" i="54"/>
  <c r="K272" i="54"/>
  <c r="K116" i="54"/>
  <c r="K236" i="54"/>
  <c r="K80" i="54"/>
  <c r="K44" i="54"/>
  <c r="K320" i="54"/>
  <c r="K284" i="54"/>
  <c r="K164" i="54"/>
  <c r="K248" i="54"/>
  <c r="K20" i="54"/>
  <c r="K128" i="54"/>
  <c r="K92" i="54"/>
  <c r="K368" i="54"/>
  <c r="K296" i="54"/>
  <c r="K176" i="54"/>
  <c r="K140" i="54"/>
  <c r="K152" i="54"/>
  <c r="K56" i="54"/>
  <c r="K104" i="54"/>
  <c r="K341" i="54"/>
  <c r="K173" i="54"/>
  <c r="K269" i="54"/>
  <c r="K329" i="54"/>
  <c r="K293" i="54"/>
  <c r="K77" i="54"/>
  <c r="K257" i="54"/>
  <c r="K137" i="54"/>
  <c r="K101" i="54"/>
  <c r="K305" i="54"/>
  <c r="K125" i="54"/>
  <c r="K185" i="54"/>
  <c r="K149" i="54"/>
  <c r="K161" i="54"/>
  <c r="K65" i="54"/>
  <c r="K365" i="54"/>
  <c r="K221" i="54"/>
  <c r="K317" i="54"/>
  <c r="K233" i="54"/>
  <c r="K353" i="54"/>
  <c r="K41" i="54"/>
  <c r="K197" i="54"/>
  <c r="K281" i="54"/>
  <c r="K29" i="54"/>
  <c r="K245" i="54"/>
  <c r="K209" i="54"/>
  <c r="K89" i="54"/>
  <c r="K53" i="54"/>
  <c r="K113" i="54"/>
  <c r="K17" i="54"/>
  <c r="K323" i="54"/>
  <c r="K347" i="54"/>
  <c r="K155" i="54"/>
  <c r="K311" i="54"/>
  <c r="K275" i="54"/>
  <c r="K203" i="54"/>
  <c r="K239" i="54"/>
  <c r="K107" i="54"/>
  <c r="K119" i="54"/>
  <c r="K83" i="54"/>
  <c r="K359" i="54"/>
  <c r="K287" i="54"/>
  <c r="K167" i="54"/>
  <c r="K131" i="54"/>
  <c r="K371" i="54"/>
  <c r="K299" i="54"/>
  <c r="K215" i="54"/>
  <c r="K335" i="54"/>
  <c r="K23" i="54"/>
  <c r="K179" i="54"/>
  <c r="K143" i="54"/>
  <c r="K251" i="54"/>
  <c r="K263" i="54"/>
  <c r="K227" i="54"/>
  <c r="K59" i="54"/>
  <c r="K191" i="54"/>
  <c r="K71" i="54"/>
  <c r="K35" i="54"/>
  <c r="K47" i="54"/>
  <c r="K95" i="54"/>
  <c r="K367" i="54"/>
  <c r="K295" i="54"/>
  <c r="K319" i="54"/>
  <c r="K259" i="54"/>
  <c r="K187" i="54"/>
  <c r="K223" i="54"/>
  <c r="K67" i="54"/>
  <c r="K31" i="54"/>
  <c r="K199" i="54"/>
  <c r="K247" i="54"/>
  <c r="K307" i="54"/>
  <c r="K271" i="54"/>
  <c r="K235" i="54"/>
  <c r="K115" i="54"/>
  <c r="K79" i="54"/>
  <c r="K355" i="54"/>
  <c r="K151" i="54"/>
  <c r="K283" i="54"/>
  <c r="K163" i="54"/>
  <c r="K127" i="54"/>
  <c r="K103" i="54"/>
  <c r="K343" i="54"/>
  <c r="K211" i="54"/>
  <c r="K331" i="54"/>
  <c r="K55" i="54"/>
  <c r="K19" i="54"/>
  <c r="K175" i="54"/>
  <c r="K43" i="54"/>
  <c r="K91" i="54"/>
  <c r="K139" i="54"/>
  <c r="K225" i="54"/>
  <c r="K369" i="54"/>
  <c r="K81" i="54"/>
  <c r="K309" i="54"/>
  <c r="K189" i="54"/>
  <c r="K153" i="54"/>
  <c r="K345" i="54"/>
  <c r="K237" i="54"/>
  <c r="K129" i="54"/>
  <c r="K357" i="54"/>
  <c r="K45" i="54"/>
  <c r="K201" i="54"/>
  <c r="K117" i="54"/>
  <c r="K285" i="54"/>
  <c r="K249" i="54"/>
  <c r="K213" i="54"/>
  <c r="K93" i="54"/>
  <c r="K57" i="54"/>
  <c r="K321" i="54"/>
  <c r="K273" i="54"/>
  <c r="K33" i="54"/>
  <c r="K333" i="54"/>
  <c r="K297" i="54"/>
  <c r="K177" i="54"/>
  <c r="K261" i="54"/>
  <c r="K141" i="54"/>
  <c r="K105" i="54"/>
  <c r="K165" i="54"/>
  <c r="K21" i="54"/>
  <c r="K69" i="54"/>
  <c r="K330" i="54"/>
  <c r="K294" i="54"/>
  <c r="K258" i="54"/>
  <c r="K186" i="54"/>
  <c r="K222" i="54"/>
  <c r="K90" i="54"/>
  <c r="K102" i="54"/>
  <c r="K66" i="54"/>
  <c r="K138" i="54"/>
  <c r="K342" i="54"/>
  <c r="K306" i="54"/>
  <c r="K270" i="54"/>
  <c r="K150" i="54"/>
  <c r="K114" i="54"/>
  <c r="K126" i="54"/>
  <c r="K354" i="54"/>
  <c r="K282" i="54"/>
  <c r="K318" i="54"/>
  <c r="K198" i="54"/>
  <c r="K162" i="54"/>
  <c r="K234" i="54"/>
  <c r="K246" i="54"/>
  <c r="K210" i="54"/>
  <c r="K42" i="54"/>
  <c r="K366" i="54"/>
  <c r="K174" i="54"/>
  <c r="K54" i="54"/>
  <c r="K18" i="54"/>
  <c r="K30" i="54"/>
  <c r="K78" i="54"/>
  <c r="K208" i="54"/>
  <c r="K352" i="54"/>
  <c r="K16" i="54"/>
  <c r="K364" i="54"/>
  <c r="K64" i="54"/>
  <c r="K292" i="54"/>
  <c r="K172" i="54"/>
  <c r="K136" i="54"/>
  <c r="K328" i="54"/>
  <c r="K304" i="54"/>
  <c r="K220" i="54"/>
  <c r="K196" i="54"/>
  <c r="K112" i="54"/>
  <c r="K340" i="54"/>
  <c r="K28" i="54"/>
  <c r="K184" i="54"/>
  <c r="K100" i="54"/>
  <c r="K268" i="54"/>
  <c r="K232" i="54"/>
  <c r="K160" i="54"/>
  <c r="K76" i="54"/>
  <c r="K40" i="54"/>
  <c r="K256" i="54"/>
  <c r="K316" i="54"/>
  <c r="K280" i="54"/>
  <c r="K244" i="54"/>
  <c r="K124" i="54"/>
  <c r="K88" i="54"/>
  <c r="K148" i="54"/>
  <c r="K52" i="54"/>
  <c r="BF198" i="54" l="1"/>
  <c r="BF233" i="54"/>
  <c r="BF30" i="54"/>
  <c r="BF325" i="54"/>
  <c r="BF218" i="54"/>
  <c r="BF62" i="54"/>
  <c r="BF304" i="54"/>
  <c r="BF76" i="54"/>
  <c r="BF168" i="54"/>
  <c r="BF187" i="54"/>
  <c r="BF341" i="54"/>
  <c r="BF299" i="54"/>
  <c r="BF143" i="54"/>
  <c r="BF212" i="54"/>
  <c r="BF274" i="54"/>
  <c r="BF54" i="54"/>
  <c r="BF133" i="54"/>
  <c r="BF46" i="54"/>
  <c r="BF361" i="54"/>
  <c r="BF280" i="54"/>
  <c r="BF166" i="54"/>
  <c r="BF171" i="54"/>
  <c r="BF37" i="54"/>
  <c r="BF42" i="54"/>
  <c r="BF105" i="54"/>
  <c r="BF313" i="54"/>
  <c r="BF169" i="54"/>
  <c r="BF121" i="54"/>
  <c r="BF350" i="54"/>
  <c r="BF74" i="54"/>
  <c r="BF208" i="54"/>
  <c r="BF264" i="54"/>
  <c r="BF72" i="54"/>
  <c r="BF192" i="54"/>
  <c r="BF199" i="54"/>
  <c r="BF67" i="54"/>
  <c r="BF248" i="54"/>
  <c r="BF116" i="54"/>
  <c r="BF370" i="54"/>
  <c r="BF106" i="54"/>
  <c r="BF250" i="54"/>
  <c r="BF255" i="54"/>
  <c r="BF51" i="54"/>
  <c r="G79" i="60"/>
  <c r="I79" i="60" s="1"/>
  <c r="G53" i="60"/>
  <c r="G101" i="60"/>
  <c r="G149" i="60"/>
  <c r="G233" i="60"/>
  <c r="G197" i="60"/>
  <c r="G185" i="60"/>
  <c r="G365" i="60"/>
  <c r="G45" i="60"/>
  <c r="I45" i="60" s="1"/>
  <c r="G57" i="60"/>
  <c r="I57" i="60" s="1"/>
  <c r="G141" i="60"/>
  <c r="I141" i="60" s="1"/>
  <c r="G213" i="60"/>
  <c r="I213" i="60" s="1"/>
  <c r="G165" i="60"/>
  <c r="I165" i="60" s="1"/>
  <c r="G117" i="60"/>
  <c r="I117" i="60" s="1"/>
  <c r="G273" i="60"/>
  <c r="I273" i="60" s="1"/>
  <c r="G321" i="60"/>
  <c r="I321" i="60" s="1"/>
  <c r="G87" i="60"/>
  <c r="G279" i="60"/>
  <c r="G231" i="60"/>
  <c r="G63" i="60"/>
  <c r="G123" i="60"/>
  <c r="G255" i="60"/>
  <c r="G267" i="60"/>
  <c r="G138" i="60"/>
  <c r="G90" i="60"/>
  <c r="G162" i="60"/>
  <c r="G78" i="60"/>
  <c r="G354" i="60"/>
  <c r="G342" i="60"/>
  <c r="G330" i="60"/>
  <c r="G128" i="60"/>
  <c r="G260" i="60"/>
  <c r="G20" i="60"/>
  <c r="G248" i="60"/>
  <c r="G164" i="60"/>
  <c r="G116" i="60"/>
  <c r="G308" i="60"/>
  <c r="G356" i="60"/>
  <c r="G106" i="60"/>
  <c r="G70" i="60"/>
  <c r="G142" i="60"/>
  <c r="G166" i="60"/>
  <c r="G94" i="60"/>
  <c r="G322" i="60"/>
  <c r="G238" i="60"/>
  <c r="G310" i="60"/>
  <c r="G71" i="60"/>
  <c r="I71" i="60" s="1"/>
  <c r="G311" i="60"/>
  <c r="I311" i="60" s="1"/>
  <c r="G35" i="60"/>
  <c r="I35" i="60" s="1"/>
  <c r="G59" i="60"/>
  <c r="I59" i="60" s="1"/>
  <c r="G131" i="60"/>
  <c r="I131" i="60" s="1"/>
  <c r="G167" i="60"/>
  <c r="I167" i="60" s="1"/>
  <c r="G227" i="60"/>
  <c r="I227" i="60" s="1"/>
  <c r="G275" i="60"/>
  <c r="I275" i="60" s="1"/>
  <c r="G156" i="60"/>
  <c r="G348" i="60"/>
  <c r="G108" i="60"/>
  <c r="G300" i="60"/>
  <c r="G372" i="60"/>
  <c r="G360" i="60"/>
  <c r="G324" i="60"/>
  <c r="G121" i="60"/>
  <c r="I121" i="60" s="1"/>
  <c r="G61" i="60"/>
  <c r="I61" i="60" s="1"/>
  <c r="G97" i="60"/>
  <c r="I97" i="60" s="1"/>
  <c r="G265" i="60"/>
  <c r="I265" i="60" s="1"/>
  <c r="G25" i="60"/>
  <c r="I25" i="60" s="1"/>
  <c r="G133" i="60"/>
  <c r="I133" i="60" s="1"/>
  <c r="G361" i="60"/>
  <c r="I361" i="60" s="1"/>
  <c r="AB86" i="60"/>
  <c r="AD86" i="60" s="1"/>
  <c r="AB206" i="60"/>
  <c r="AD206" i="60" s="1"/>
  <c r="AB278" i="60"/>
  <c r="AD278" i="60" s="1"/>
  <c r="AB350" i="60"/>
  <c r="AD350" i="60" s="1"/>
  <c r="AB302" i="60"/>
  <c r="AD302" i="60" s="1"/>
  <c r="AB74" i="60"/>
  <c r="AD74" i="60" s="1"/>
  <c r="AB26" i="60"/>
  <c r="AD26" i="60" s="1"/>
  <c r="AB40" i="60"/>
  <c r="AD40" i="60" s="1"/>
  <c r="AB256" i="60"/>
  <c r="AD256" i="60" s="1"/>
  <c r="AB328" i="60"/>
  <c r="AD328" i="60" s="1"/>
  <c r="AB244" i="60"/>
  <c r="AD244" i="60" s="1"/>
  <c r="AB232" i="60"/>
  <c r="AD232" i="60" s="1"/>
  <c r="AB100" i="60"/>
  <c r="AD100" i="60" s="1"/>
  <c r="AB184" i="60"/>
  <c r="AD184" i="60" s="1"/>
  <c r="AB124" i="60"/>
  <c r="AD124" i="60" s="1"/>
  <c r="AB115" i="60"/>
  <c r="AD115" i="60" s="1"/>
  <c r="AB187" i="60"/>
  <c r="AD187" i="60" s="1"/>
  <c r="AB55" i="60"/>
  <c r="AD55" i="60" s="1"/>
  <c r="AB175" i="60"/>
  <c r="AD175" i="60" s="1"/>
  <c r="AB283" i="60"/>
  <c r="AD283" i="60" s="1"/>
  <c r="AB43" i="60"/>
  <c r="AD43" i="60" s="1"/>
  <c r="AB271" i="60"/>
  <c r="AD271" i="60" s="1"/>
  <c r="AB163" i="60"/>
  <c r="AD163" i="60" s="1"/>
  <c r="AB257" i="60"/>
  <c r="AD257" i="60" s="1"/>
  <c r="AB209" i="60"/>
  <c r="AD209" i="60" s="1"/>
  <c r="AB89" i="60"/>
  <c r="AD89" i="60" s="1"/>
  <c r="AB161" i="60"/>
  <c r="AD161" i="60" s="1"/>
  <c r="AB53" i="60"/>
  <c r="AD53" i="60" s="1"/>
  <c r="AB305" i="60"/>
  <c r="AD305" i="60" s="1"/>
  <c r="AB281" i="60"/>
  <c r="AD281" i="60" s="1"/>
  <c r="AB45" i="60"/>
  <c r="AD45" i="60" s="1"/>
  <c r="AB309" i="60"/>
  <c r="AD309" i="60" s="1"/>
  <c r="AB225" i="60"/>
  <c r="AD225" i="60" s="1"/>
  <c r="AB177" i="60"/>
  <c r="AD177" i="60" s="1"/>
  <c r="AB93" i="60"/>
  <c r="AD93" i="60" s="1"/>
  <c r="AB165" i="60"/>
  <c r="AD165" i="60" s="1"/>
  <c r="AB189" i="60"/>
  <c r="AD189" i="60" s="1"/>
  <c r="AB285" i="60"/>
  <c r="AD285" i="60" s="1"/>
  <c r="AB291" i="60"/>
  <c r="AD291" i="60" s="1"/>
  <c r="AB171" i="60"/>
  <c r="AD171" i="60" s="1"/>
  <c r="AB279" i="60"/>
  <c r="AD279" i="60" s="1"/>
  <c r="AB231" i="60"/>
  <c r="AD231" i="60" s="1"/>
  <c r="AB147" i="60"/>
  <c r="AD147" i="60" s="1"/>
  <c r="AB219" i="60"/>
  <c r="AD219" i="60" s="1"/>
  <c r="AB363" i="60"/>
  <c r="AD363" i="60" s="1"/>
  <c r="AB78" i="60"/>
  <c r="AD78" i="60" s="1"/>
  <c r="AB30" i="60"/>
  <c r="AD30" i="60" s="1"/>
  <c r="AB210" i="60"/>
  <c r="AD210" i="60" s="1"/>
  <c r="AB42" i="60"/>
  <c r="AD42" i="60" s="1"/>
  <c r="AB162" i="60"/>
  <c r="AD162" i="60" s="1"/>
  <c r="AB234" i="60"/>
  <c r="AD234" i="60" s="1"/>
  <c r="AB294" i="60"/>
  <c r="AD294" i="60" s="1"/>
  <c r="AB80" i="60"/>
  <c r="AD80" i="60" s="1"/>
  <c r="AB344" i="60"/>
  <c r="AD344" i="60" s="1"/>
  <c r="AB44" i="60"/>
  <c r="AD44" i="60" s="1"/>
  <c r="AB140" i="60"/>
  <c r="AD140" i="60" s="1"/>
  <c r="AB284" i="60"/>
  <c r="AD284" i="60" s="1"/>
  <c r="AB236" i="60"/>
  <c r="AD236" i="60" s="1"/>
  <c r="AB176" i="60"/>
  <c r="AD176" i="60" s="1"/>
  <c r="AB238" i="60"/>
  <c r="AD238" i="60" s="1"/>
  <c r="AB34" i="60"/>
  <c r="AD34" i="60" s="1"/>
  <c r="AB118" i="60"/>
  <c r="AD118" i="60" s="1"/>
  <c r="AB334" i="60"/>
  <c r="AD334" i="60" s="1"/>
  <c r="AB58" i="60"/>
  <c r="AD58" i="60" s="1"/>
  <c r="AB322" i="60"/>
  <c r="AD322" i="60" s="1"/>
  <c r="AB154" i="60"/>
  <c r="AD154" i="60" s="1"/>
  <c r="AB275" i="60"/>
  <c r="AD275" i="60" s="1"/>
  <c r="AB155" i="60"/>
  <c r="AD155" i="60" s="1"/>
  <c r="AB83" i="60"/>
  <c r="AD83" i="60" s="1"/>
  <c r="AB143" i="60"/>
  <c r="AD143" i="60" s="1"/>
  <c r="AB35" i="60"/>
  <c r="AD35" i="60" s="1"/>
  <c r="AB131" i="60"/>
  <c r="AD131" i="60" s="1"/>
  <c r="AB215" i="60"/>
  <c r="AD215" i="60" s="1"/>
  <c r="AB168" i="60"/>
  <c r="AD168" i="60" s="1"/>
  <c r="AB84" i="60"/>
  <c r="AD84" i="60" s="1"/>
  <c r="AB156" i="60"/>
  <c r="AD156" i="60" s="1"/>
  <c r="AB48" i="60"/>
  <c r="AD48" i="60" s="1"/>
  <c r="AB300" i="60"/>
  <c r="AD300" i="60" s="1"/>
  <c r="AB216" i="60"/>
  <c r="AD216" i="60" s="1"/>
  <c r="AB132" i="60"/>
  <c r="AD132" i="60" s="1"/>
  <c r="AB276" i="60"/>
  <c r="AD276" i="60" s="1"/>
  <c r="AB85" i="60"/>
  <c r="AD85" i="60" s="1"/>
  <c r="AB73" i="60"/>
  <c r="AD73" i="60" s="1"/>
  <c r="AB49" i="60"/>
  <c r="AD49" i="60" s="1"/>
  <c r="AB313" i="60"/>
  <c r="AD313" i="60" s="1"/>
  <c r="AB265" i="60"/>
  <c r="AD265" i="60" s="1"/>
  <c r="AB253" i="60"/>
  <c r="AD253" i="60" s="1"/>
  <c r="AB193" i="60"/>
  <c r="AD193" i="60" s="1"/>
  <c r="U209" i="60"/>
  <c r="U233" i="60"/>
  <c r="U245" i="60"/>
  <c r="U113" i="60"/>
  <c r="U173" i="60"/>
  <c r="U197" i="60"/>
  <c r="U53" i="60"/>
  <c r="U321" i="60"/>
  <c r="W321" i="60" s="1"/>
  <c r="U213" i="60"/>
  <c r="W213" i="60" s="1"/>
  <c r="U261" i="60"/>
  <c r="W261" i="60" s="1"/>
  <c r="U177" i="60"/>
  <c r="W177" i="60" s="1"/>
  <c r="U21" i="60"/>
  <c r="W21" i="60" s="1"/>
  <c r="U81" i="60"/>
  <c r="W81" i="60" s="1"/>
  <c r="U105" i="60"/>
  <c r="W105" i="60" s="1"/>
  <c r="U255" i="60"/>
  <c r="U243" i="60"/>
  <c r="U207" i="60"/>
  <c r="U183" i="60"/>
  <c r="U147" i="60"/>
  <c r="U219" i="60"/>
  <c r="U171" i="60"/>
  <c r="U358" i="60"/>
  <c r="U298" i="60"/>
  <c r="U334" i="60"/>
  <c r="U106" i="60"/>
  <c r="U154" i="60"/>
  <c r="U118" i="60"/>
  <c r="U58" i="60"/>
  <c r="U337" i="60"/>
  <c r="W337" i="60" s="1"/>
  <c r="U253" i="60"/>
  <c r="W253" i="60" s="1"/>
  <c r="U193" i="60"/>
  <c r="W193" i="60" s="1"/>
  <c r="U229" i="60"/>
  <c r="W229" i="60" s="1"/>
  <c r="U145" i="60"/>
  <c r="W145" i="60" s="1"/>
  <c r="U49" i="60"/>
  <c r="W49" i="60" s="1"/>
  <c r="U61" i="60"/>
  <c r="W61" i="60" s="1"/>
  <c r="U367" i="60"/>
  <c r="W367" i="60" s="1"/>
  <c r="U271" i="60"/>
  <c r="W271" i="60" s="1"/>
  <c r="U247" i="60"/>
  <c r="W247" i="60" s="1"/>
  <c r="U31" i="60"/>
  <c r="W31" i="60" s="1"/>
  <c r="U127" i="60"/>
  <c r="W127" i="60" s="1"/>
  <c r="U55" i="60"/>
  <c r="W55" i="60" s="1"/>
  <c r="U91" i="60"/>
  <c r="W91" i="60" s="1"/>
  <c r="U282" i="60"/>
  <c r="U318" i="60"/>
  <c r="U246" i="60"/>
  <c r="U42" i="60"/>
  <c r="U138" i="60"/>
  <c r="U126" i="60"/>
  <c r="U150" i="60"/>
  <c r="U356" i="60"/>
  <c r="U248" i="60"/>
  <c r="U284" i="60"/>
  <c r="U140" i="60"/>
  <c r="U200" i="60"/>
  <c r="U128" i="60"/>
  <c r="U80" i="60"/>
  <c r="U335" i="60"/>
  <c r="W335" i="60" s="1"/>
  <c r="U371" i="60"/>
  <c r="W371" i="60" s="1"/>
  <c r="U275" i="60"/>
  <c r="W275" i="60" s="1"/>
  <c r="U83" i="60"/>
  <c r="W83" i="60" s="1"/>
  <c r="U95" i="60"/>
  <c r="W95" i="60" s="1"/>
  <c r="U143" i="60"/>
  <c r="W143" i="60" s="1"/>
  <c r="U179" i="60"/>
  <c r="W179" i="60" s="1"/>
  <c r="U302" i="60"/>
  <c r="W302" i="60" s="1"/>
  <c r="U218" i="60"/>
  <c r="W218" i="60" s="1"/>
  <c r="U326" i="60"/>
  <c r="W326" i="60" s="1"/>
  <c r="U254" i="60"/>
  <c r="W254" i="60" s="1"/>
  <c r="U122" i="60"/>
  <c r="W122" i="60" s="1"/>
  <c r="U182" i="60"/>
  <c r="W182" i="60" s="1"/>
  <c r="U26" i="60"/>
  <c r="W26" i="60" s="1"/>
  <c r="U158" i="60"/>
  <c r="W158" i="60" s="1"/>
  <c r="U340" i="60"/>
  <c r="U352" i="60"/>
  <c r="U280" i="60"/>
  <c r="U184" i="60"/>
  <c r="U172" i="60"/>
  <c r="U52" i="60"/>
  <c r="U88" i="60"/>
  <c r="U252" i="60"/>
  <c r="U228" i="60"/>
  <c r="U276" i="60"/>
  <c r="U216" i="60"/>
  <c r="U192" i="60"/>
  <c r="U204" i="60"/>
  <c r="U72" i="60"/>
  <c r="U24" i="60"/>
  <c r="N254" i="60"/>
  <c r="P254" i="60" s="1"/>
  <c r="N194" i="60"/>
  <c r="P194" i="60" s="1"/>
  <c r="N14" i="60"/>
  <c r="P14" i="60" s="1"/>
  <c r="N170" i="60"/>
  <c r="P170" i="60" s="1"/>
  <c r="N242" i="60"/>
  <c r="P242" i="60" s="1"/>
  <c r="N362" i="60"/>
  <c r="P362" i="60" s="1"/>
  <c r="N50" i="60"/>
  <c r="P50" i="60" s="1"/>
  <c r="N196" i="60"/>
  <c r="N232" i="60"/>
  <c r="N52" i="60"/>
  <c r="N292" i="60"/>
  <c r="N172" i="60"/>
  <c r="N148" i="60"/>
  <c r="N271" i="60"/>
  <c r="P271" i="60" s="1"/>
  <c r="N211" i="60"/>
  <c r="P211" i="60" s="1"/>
  <c r="N247" i="60"/>
  <c r="P247" i="60" s="1"/>
  <c r="N175" i="60"/>
  <c r="P175" i="60" s="1"/>
  <c r="N103" i="60"/>
  <c r="P103" i="60" s="1"/>
  <c r="N355" i="60"/>
  <c r="P355" i="60" s="1"/>
  <c r="N353" i="60"/>
  <c r="N233" i="60"/>
  <c r="N317" i="60"/>
  <c r="N89" i="60"/>
  <c r="N173" i="60"/>
  <c r="N293" i="60"/>
  <c r="N129" i="60"/>
  <c r="P129" i="60" s="1"/>
  <c r="N261" i="60"/>
  <c r="P261" i="60" s="1"/>
  <c r="N45" i="60"/>
  <c r="P45" i="60" s="1"/>
  <c r="N117" i="60"/>
  <c r="P117" i="60" s="1"/>
  <c r="N153" i="60"/>
  <c r="P153" i="60" s="1"/>
  <c r="N81" i="60"/>
  <c r="P81" i="60" s="1"/>
  <c r="N147" i="60"/>
  <c r="N267" i="60"/>
  <c r="N207" i="60"/>
  <c r="N135" i="60"/>
  <c r="N15" i="60"/>
  <c r="N159" i="60"/>
  <c r="N318" i="60"/>
  <c r="N42" i="60"/>
  <c r="N174" i="60"/>
  <c r="N246" i="60"/>
  <c r="N222" i="60"/>
  <c r="N186" i="60"/>
  <c r="N356" i="60"/>
  <c r="N368" i="60"/>
  <c r="N104" i="60"/>
  <c r="N140" i="60"/>
  <c r="N320" i="60"/>
  <c r="N176" i="60"/>
  <c r="N178" i="60"/>
  <c r="N94" i="60"/>
  <c r="N226" i="60"/>
  <c r="N34" i="60"/>
  <c r="N82" i="60"/>
  <c r="N322" i="60"/>
  <c r="N323" i="60"/>
  <c r="P323" i="60" s="1"/>
  <c r="N251" i="60"/>
  <c r="P251" i="60" s="1"/>
  <c r="N311" i="60"/>
  <c r="P311" i="60" s="1"/>
  <c r="N299" i="60"/>
  <c r="P299" i="60" s="1"/>
  <c r="N227" i="60"/>
  <c r="P227" i="60" s="1"/>
  <c r="N275" i="60"/>
  <c r="P275" i="60" s="1"/>
  <c r="N23" i="60"/>
  <c r="P23" i="60" s="1"/>
  <c r="N216" i="60"/>
  <c r="N24" i="60"/>
  <c r="N156" i="60"/>
  <c r="N192" i="60"/>
  <c r="N120" i="60"/>
  <c r="N36" i="60"/>
  <c r="N73" i="60"/>
  <c r="P73" i="60" s="1"/>
  <c r="N313" i="60"/>
  <c r="P313" i="60" s="1"/>
  <c r="N157" i="60"/>
  <c r="P157" i="60" s="1"/>
  <c r="N337" i="60"/>
  <c r="P337" i="60" s="1"/>
  <c r="N133" i="60"/>
  <c r="P133" i="60" s="1"/>
  <c r="N241" i="60"/>
  <c r="P241" i="60" s="1"/>
  <c r="AB241" i="60"/>
  <c r="AD241" i="60" s="1"/>
  <c r="U57" i="60"/>
  <c r="W57" i="60" s="1"/>
  <c r="U202" i="60"/>
  <c r="U287" i="60"/>
  <c r="W287" i="60" s="1"/>
  <c r="N326" i="60"/>
  <c r="P326" i="60" s="1"/>
  <c r="N340" i="60"/>
  <c r="N31" i="60"/>
  <c r="P31" i="60" s="1"/>
  <c r="N149" i="60"/>
  <c r="N113" i="60"/>
  <c r="N357" i="60"/>
  <c r="P357" i="60" s="1"/>
  <c r="N255" i="60"/>
  <c r="N291" i="60"/>
  <c r="N330" i="60"/>
  <c r="N236" i="60"/>
  <c r="N32" i="60"/>
  <c r="N166" i="60"/>
  <c r="N130" i="60"/>
  <c r="N347" i="60"/>
  <c r="P347" i="60" s="1"/>
  <c r="N336" i="60"/>
  <c r="N60" i="60"/>
  <c r="N289" i="60"/>
  <c r="P289" i="60" s="1"/>
  <c r="N217" i="60"/>
  <c r="P217" i="60" s="1"/>
  <c r="AI352" i="60"/>
  <c r="AK352" i="60" s="1"/>
  <c r="AI316" i="60"/>
  <c r="AK316" i="60" s="1"/>
  <c r="AI244" i="60"/>
  <c r="AK244" i="60" s="1"/>
  <c r="AI280" i="60"/>
  <c r="AK280" i="60" s="1"/>
  <c r="AI88" i="60"/>
  <c r="AK88" i="60" s="1"/>
  <c r="AI196" i="60"/>
  <c r="AK196" i="60" s="1"/>
  <c r="AI28" i="60"/>
  <c r="AK28" i="60" s="1"/>
  <c r="AI40" i="60"/>
  <c r="AK40" i="60" s="1"/>
  <c r="AI307" i="60"/>
  <c r="AK307" i="60" s="1"/>
  <c r="AI331" i="60"/>
  <c r="AK331" i="60" s="1"/>
  <c r="AI367" i="60"/>
  <c r="AK367" i="60" s="1"/>
  <c r="AI175" i="60"/>
  <c r="AK175" i="60" s="1"/>
  <c r="AI235" i="60"/>
  <c r="AK235" i="60" s="1"/>
  <c r="AI103" i="60"/>
  <c r="AK103" i="60" s="1"/>
  <c r="AI91" i="60"/>
  <c r="AK91" i="60" s="1"/>
  <c r="AI311" i="60"/>
  <c r="AK311" i="60" s="1"/>
  <c r="AI359" i="60"/>
  <c r="AK359" i="60" s="1"/>
  <c r="AI167" i="60"/>
  <c r="AK167" i="60" s="1"/>
  <c r="AI323" i="60"/>
  <c r="AK323" i="60" s="1"/>
  <c r="AI59" i="60"/>
  <c r="AK59" i="60" s="1"/>
  <c r="AI239" i="60"/>
  <c r="AK239" i="60" s="1"/>
  <c r="AI119" i="60"/>
  <c r="AK119" i="60" s="1"/>
  <c r="AI35" i="60"/>
  <c r="AK35" i="60" s="1"/>
  <c r="AI336" i="60"/>
  <c r="AK336" i="60" s="1"/>
  <c r="AI216" i="60"/>
  <c r="AK216" i="60" s="1"/>
  <c r="AI348" i="60"/>
  <c r="AK348" i="60" s="1"/>
  <c r="AI312" i="60"/>
  <c r="AK312" i="60" s="1"/>
  <c r="AI72" i="60"/>
  <c r="AK72" i="60" s="1"/>
  <c r="AI60" i="60"/>
  <c r="AK60" i="60" s="1"/>
  <c r="AI144" i="60"/>
  <c r="AK144" i="60" s="1"/>
  <c r="AI290" i="60"/>
  <c r="AK290" i="60" s="1"/>
  <c r="AI350" i="60"/>
  <c r="AK350" i="60" s="1"/>
  <c r="AI146" i="60"/>
  <c r="AK146" i="60" s="1"/>
  <c r="AI122" i="60"/>
  <c r="AK122" i="60" s="1"/>
  <c r="AI62" i="60"/>
  <c r="AK62" i="60" s="1"/>
  <c r="AI134" i="60"/>
  <c r="AK134" i="60" s="1"/>
  <c r="AI170" i="60"/>
  <c r="AK170" i="60" s="1"/>
  <c r="AI310" i="60"/>
  <c r="AK310" i="60" s="1"/>
  <c r="AI298" i="60"/>
  <c r="AK298" i="60" s="1"/>
  <c r="AI274" i="60"/>
  <c r="AK274" i="60" s="1"/>
  <c r="AI34" i="60"/>
  <c r="AK34" i="60" s="1"/>
  <c r="AI142" i="60"/>
  <c r="AK142" i="60" s="1"/>
  <c r="AI250" i="60"/>
  <c r="AK250" i="60" s="1"/>
  <c r="AI22" i="60"/>
  <c r="AK22" i="60" s="1"/>
  <c r="AI245" i="60"/>
  <c r="AK245" i="60" s="1"/>
  <c r="AI185" i="60"/>
  <c r="AK185" i="60" s="1"/>
  <c r="AI197" i="60"/>
  <c r="AK197" i="60" s="1"/>
  <c r="AI341" i="60"/>
  <c r="AK341" i="60" s="1"/>
  <c r="AI65" i="60"/>
  <c r="AK65" i="60" s="1"/>
  <c r="AI257" i="60"/>
  <c r="AK257" i="60" s="1"/>
  <c r="AI41" i="60"/>
  <c r="AK41" i="60" s="1"/>
  <c r="AI327" i="60"/>
  <c r="AK327" i="60" s="1"/>
  <c r="AI303" i="60"/>
  <c r="AK303" i="60" s="1"/>
  <c r="AI339" i="60"/>
  <c r="AK339" i="60" s="1"/>
  <c r="AI159" i="60"/>
  <c r="AK159" i="60" s="1"/>
  <c r="AI183" i="60"/>
  <c r="AK183" i="60" s="1"/>
  <c r="AI231" i="60"/>
  <c r="AK231" i="60" s="1"/>
  <c r="AI39" i="60"/>
  <c r="AK39" i="60" s="1"/>
  <c r="AI99" i="60"/>
  <c r="AK99" i="60" s="1"/>
  <c r="AI369" i="60"/>
  <c r="AK369" i="60" s="1"/>
  <c r="AI345" i="60"/>
  <c r="AK345" i="60" s="1"/>
  <c r="AI225" i="60"/>
  <c r="AK225" i="60" s="1"/>
  <c r="AI177" i="60"/>
  <c r="AK177" i="60" s="1"/>
  <c r="AI129" i="60"/>
  <c r="AK129" i="60" s="1"/>
  <c r="AI189" i="60"/>
  <c r="AK189" i="60" s="1"/>
  <c r="AI57" i="60"/>
  <c r="AK57" i="60" s="1"/>
  <c r="AI93" i="60"/>
  <c r="AK93" i="60" s="1"/>
  <c r="AI330" i="60"/>
  <c r="AK330" i="60" s="1"/>
  <c r="AI258" i="60"/>
  <c r="AK258" i="60" s="1"/>
  <c r="AI318" i="60"/>
  <c r="AK318" i="60" s="1"/>
  <c r="AI198" i="60"/>
  <c r="AK198" i="60" s="1"/>
  <c r="AI90" i="60"/>
  <c r="AK90" i="60" s="1"/>
  <c r="AI138" i="60"/>
  <c r="AK138" i="60" s="1"/>
  <c r="AI30" i="60"/>
  <c r="AK30" i="60" s="1"/>
  <c r="AI344" i="60"/>
  <c r="AK344" i="60" s="1"/>
  <c r="AI296" i="60"/>
  <c r="AK296" i="60" s="1"/>
  <c r="AI212" i="60"/>
  <c r="AK212" i="60" s="1"/>
  <c r="AI140" i="60"/>
  <c r="AK140" i="60" s="1"/>
  <c r="AI224" i="60"/>
  <c r="AK224" i="60" s="1"/>
  <c r="AI128" i="60"/>
  <c r="AK128" i="60" s="1"/>
  <c r="AI68" i="60"/>
  <c r="AK68" i="60" s="1"/>
  <c r="AI260" i="60"/>
  <c r="AK260" i="60" s="1"/>
  <c r="AI361" i="60"/>
  <c r="AK361" i="60" s="1"/>
  <c r="AI337" i="60"/>
  <c r="AK337" i="60" s="1"/>
  <c r="AI181" i="60"/>
  <c r="AK181" i="60" s="1"/>
  <c r="AI121" i="60"/>
  <c r="AK121" i="60" s="1"/>
  <c r="AI241" i="60"/>
  <c r="AK241" i="60" s="1"/>
  <c r="AI205" i="60"/>
  <c r="AK205" i="60" s="1"/>
  <c r="AI25" i="60"/>
  <c r="AK25" i="60" s="1"/>
  <c r="AI37" i="60"/>
  <c r="AK37" i="60" s="1"/>
  <c r="AE110" i="60"/>
  <c r="AG110" i="60" s="1"/>
  <c r="AE50" i="60"/>
  <c r="AG50" i="60" s="1"/>
  <c r="AE230" i="60"/>
  <c r="AG230" i="60" s="1"/>
  <c r="AE194" i="60"/>
  <c r="AG194" i="60" s="1"/>
  <c r="J158" i="60"/>
  <c r="L158" i="60" s="1"/>
  <c r="J194" i="60"/>
  <c r="L194" i="60" s="1"/>
  <c r="AE16" i="60"/>
  <c r="AG16" i="60" s="1"/>
  <c r="AE352" i="60"/>
  <c r="AG352" i="60" s="1"/>
  <c r="AE76" i="60"/>
  <c r="AG76" i="60" s="1"/>
  <c r="AE316" i="60"/>
  <c r="AG316" i="60" s="1"/>
  <c r="J172" i="60"/>
  <c r="AE151" i="60"/>
  <c r="AG151" i="60" s="1"/>
  <c r="AE139" i="60"/>
  <c r="AG139" i="60" s="1"/>
  <c r="AE319" i="60"/>
  <c r="AG319" i="60" s="1"/>
  <c r="AE211" i="60"/>
  <c r="AG211" i="60" s="1"/>
  <c r="J55" i="60"/>
  <c r="L55" i="60" s="1"/>
  <c r="J355" i="60"/>
  <c r="L355" i="60" s="1"/>
  <c r="AE17" i="60"/>
  <c r="AG17" i="60" s="1"/>
  <c r="AE317" i="60"/>
  <c r="AG317" i="60" s="1"/>
  <c r="AE269" i="60"/>
  <c r="AG269" i="60" s="1"/>
  <c r="J137" i="60"/>
  <c r="J341" i="60"/>
  <c r="AE153" i="60"/>
  <c r="AG153" i="60" s="1"/>
  <c r="AE213" i="60"/>
  <c r="AG213" i="60" s="1"/>
  <c r="AE357" i="60"/>
  <c r="AG357" i="60" s="1"/>
  <c r="J93" i="60"/>
  <c r="L93" i="60" s="1"/>
  <c r="J129" i="60"/>
  <c r="L129" i="60" s="1"/>
  <c r="J201" i="60"/>
  <c r="L201" i="60" s="1"/>
  <c r="AE51" i="60"/>
  <c r="AG51" i="60" s="1"/>
  <c r="AE243" i="60"/>
  <c r="AG243" i="60" s="1"/>
  <c r="AE99" i="60"/>
  <c r="AG99" i="60" s="1"/>
  <c r="AE159" i="60"/>
  <c r="AG159" i="60" s="1"/>
  <c r="J207" i="60"/>
  <c r="J315" i="60"/>
  <c r="J303" i="60"/>
  <c r="AE258" i="60"/>
  <c r="AG258" i="60" s="1"/>
  <c r="AE174" i="60"/>
  <c r="AG174" i="60" s="1"/>
  <c r="AE318" i="60"/>
  <c r="AG318" i="60" s="1"/>
  <c r="AE198" i="60"/>
  <c r="AG198" i="60" s="1"/>
  <c r="AE56" i="60"/>
  <c r="AG56" i="60" s="1"/>
  <c r="AE140" i="60"/>
  <c r="AG140" i="60" s="1"/>
  <c r="AE236" i="60"/>
  <c r="AG236" i="60" s="1"/>
  <c r="J32" i="60"/>
  <c r="J154" i="60"/>
  <c r="J82" i="60"/>
  <c r="AE238" i="60"/>
  <c r="AG238" i="60" s="1"/>
  <c r="AE118" i="60"/>
  <c r="AG118" i="60" s="1"/>
  <c r="AE58" i="60"/>
  <c r="AG58" i="60" s="1"/>
  <c r="AE154" i="60"/>
  <c r="AG154" i="60" s="1"/>
  <c r="AE203" i="60"/>
  <c r="AG203" i="60" s="1"/>
  <c r="AE227" i="60"/>
  <c r="AG227" i="60" s="1"/>
  <c r="AE179" i="60"/>
  <c r="AG179" i="60" s="1"/>
  <c r="AE347" i="60"/>
  <c r="AG347" i="60" s="1"/>
  <c r="J23" i="60"/>
  <c r="L23" i="60" s="1"/>
  <c r="J263" i="60"/>
  <c r="L263" i="60" s="1"/>
  <c r="J276" i="60"/>
  <c r="J180" i="60"/>
  <c r="J96" i="60"/>
  <c r="AE120" i="60"/>
  <c r="AG120" i="60" s="1"/>
  <c r="AE24" i="60"/>
  <c r="AG24" i="60" s="1"/>
  <c r="AE108" i="60"/>
  <c r="AG108" i="60" s="1"/>
  <c r="AE325" i="60"/>
  <c r="AG325" i="60" s="1"/>
  <c r="AE277" i="60"/>
  <c r="AG277" i="60" s="1"/>
  <c r="AE181" i="60"/>
  <c r="AG181" i="60" s="1"/>
  <c r="AE25" i="60"/>
  <c r="AG25" i="60" s="1"/>
  <c r="J277" i="60"/>
  <c r="L277" i="60" s="1"/>
  <c r="J217" i="60"/>
  <c r="L217" i="60" s="1"/>
  <c r="AL352" i="60"/>
  <c r="AN352" i="60" s="1"/>
  <c r="AL244" i="60"/>
  <c r="AN244" i="60" s="1"/>
  <c r="AL88" i="60"/>
  <c r="AN88" i="60" s="1"/>
  <c r="AL28" i="60"/>
  <c r="AN28" i="60" s="1"/>
  <c r="BG309" i="54"/>
  <c r="AL307" i="60"/>
  <c r="AL367" i="60"/>
  <c r="AL235" i="60"/>
  <c r="BG93" i="54"/>
  <c r="AL91" i="60"/>
  <c r="X269" i="60"/>
  <c r="X149" i="60"/>
  <c r="X221" i="60"/>
  <c r="X357" i="60"/>
  <c r="Z357" i="60" s="1"/>
  <c r="X333" i="60"/>
  <c r="Z333" i="60" s="1"/>
  <c r="X69" i="60"/>
  <c r="Z69" i="60" s="1"/>
  <c r="X315" i="60"/>
  <c r="X267" i="60"/>
  <c r="X358" i="60"/>
  <c r="X202" i="60"/>
  <c r="BG361" i="54"/>
  <c r="AL359" i="60"/>
  <c r="BG325" i="54"/>
  <c r="AL323" i="60"/>
  <c r="BG241" i="54"/>
  <c r="AL239" i="60"/>
  <c r="BG37" i="54"/>
  <c r="AL35" i="60"/>
  <c r="BG218" i="54"/>
  <c r="AL216" i="60"/>
  <c r="AN216" i="60" s="1"/>
  <c r="BG314" i="54"/>
  <c r="AL312" i="60"/>
  <c r="AN312" i="60" s="1"/>
  <c r="BG62" i="54"/>
  <c r="AL60" i="60"/>
  <c r="AN60" i="60" s="1"/>
  <c r="X361" i="60"/>
  <c r="Z361" i="60" s="1"/>
  <c r="X313" i="60"/>
  <c r="Z313" i="60" s="1"/>
  <c r="X61" i="60"/>
  <c r="Z61" i="60" s="1"/>
  <c r="AL302" i="60"/>
  <c r="BG280" i="54"/>
  <c r="AL278" i="60"/>
  <c r="AL86" i="60"/>
  <c r="BG76" i="54"/>
  <c r="AL74" i="60"/>
  <c r="X355" i="60"/>
  <c r="Z355" i="60" s="1"/>
  <c r="X175" i="60"/>
  <c r="Z175" i="60" s="1"/>
  <c r="X330" i="60"/>
  <c r="X354" i="60"/>
  <c r="X56" i="60"/>
  <c r="AL334" i="60"/>
  <c r="AN334" i="60" s="1"/>
  <c r="AL202" i="60"/>
  <c r="AN202" i="60" s="1"/>
  <c r="AL154" i="60"/>
  <c r="AN154" i="60" s="1"/>
  <c r="BG168" i="54"/>
  <c r="AL166" i="60"/>
  <c r="AN166" i="60" s="1"/>
  <c r="X275" i="60"/>
  <c r="Z275" i="60" s="1"/>
  <c r="X95" i="60"/>
  <c r="Z95" i="60" s="1"/>
  <c r="X179" i="60"/>
  <c r="Z179" i="60" s="1"/>
  <c r="X218" i="60"/>
  <c r="Z218" i="60" s="1"/>
  <c r="X254" i="60"/>
  <c r="Z254" i="60" s="1"/>
  <c r="X158" i="60"/>
  <c r="Z158" i="60" s="1"/>
  <c r="BG187" i="54"/>
  <c r="AL185" i="60"/>
  <c r="AN185" i="60" s="1"/>
  <c r="AL341" i="60"/>
  <c r="AN341" i="60" s="1"/>
  <c r="AL257" i="60"/>
  <c r="AN257" i="60" s="1"/>
  <c r="BG329" i="54"/>
  <c r="AL327" i="60"/>
  <c r="AN327" i="60" s="1"/>
  <c r="BG341" i="54"/>
  <c r="AL339" i="60"/>
  <c r="AN339" i="60" s="1"/>
  <c r="AL183" i="60"/>
  <c r="AN183" i="60" s="1"/>
  <c r="AL39" i="60"/>
  <c r="AN39" i="60" s="1"/>
  <c r="AL297" i="60"/>
  <c r="AL333" i="60"/>
  <c r="BG143" i="54"/>
  <c r="AL141" i="60"/>
  <c r="BG47" i="54"/>
  <c r="AL45" i="60"/>
  <c r="AL234" i="60"/>
  <c r="AN234" i="60" s="1"/>
  <c r="BG212" i="54"/>
  <c r="AL210" i="60"/>
  <c r="AN210" i="60" s="1"/>
  <c r="AL126" i="60"/>
  <c r="AN126" i="60" s="1"/>
  <c r="BG274" i="54"/>
  <c r="AL272" i="60"/>
  <c r="AN272" i="60" s="1"/>
  <c r="BG166" i="54"/>
  <c r="AL164" i="60"/>
  <c r="AN164" i="60" s="1"/>
  <c r="AL188" i="60"/>
  <c r="AN188" i="60" s="1"/>
  <c r="AL20" i="60"/>
  <c r="AN20" i="60" s="1"/>
  <c r="X288" i="60"/>
  <c r="AL325" i="60"/>
  <c r="AL229" i="60"/>
  <c r="AL277" i="60"/>
  <c r="BG171" i="54"/>
  <c r="AL169" i="60"/>
  <c r="Q266" i="60"/>
  <c r="S266" i="60" s="1"/>
  <c r="Q290" i="60"/>
  <c r="S290" i="60" s="1"/>
  <c r="Q146" i="60"/>
  <c r="S146" i="60" s="1"/>
  <c r="Q134" i="60"/>
  <c r="S134" i="60" s="1"/>
  <c r="Q112" i="60"/>
  <c r="Q364" i="60"/>
  <c r="Q28" i="60"/>
  <c r="Q316" i="60"/>
  <c r="Q91" i="60"/>
  <c r="S91" i="60" s="1"/>
  <c r="Q31" i="60"/>
  <c r="S31" i="60" s="1"/>
  <c r="Q163" i="60"/>
  <c r="S163" i="60" s="1"/>
  <c r="Q19" i="60"/>
  <c r="S19" i="60" s="1"/>
  <c r="Q221" i="60"/>
  <c r="Q69" i="60"/>
  <c r="S69" i="60" s="1"/>
  <c r="Q141" i="60"/>
  <c r="S141" i="60" s="1"/>
  <c r="Q57" i="60"/>
  <c r="S57" i="60" s="1"/>
  <c r="Q207" i="60"/>
  <c r="Q51" i="60"/>
  <c r="Q306" i="60"/>
  <c r="Q294" i="60"/>
  <c r="Q356" i="60"/>
  <c r="Q212" i="60"/>
  <c r="Q308" i="60"/>
  <c r="Q94" i="60"/>
  <c r="Q118" i="60"/>
  <c r="Q298" i="60"/>
  <c r="Q335" i="60"/>
  <c r="S335" i="60" s="1"/>
  <c r="Q179" i="60"/>
  <c r="S179" i="60" s="1"/>
  <c r="Q239" i="60"/>
  <c r="S239" i="60" s="1"/>
  <c r="Q203" i="60"/>
  <c r="S203" i="60" s="1"/>
  <c r="Q132" i="60"/>
  <c r="Q156" i="60"/>
  <c r="Q96" i="60"/>
  <c r="Q36" i="60"/>
  <c r="Q73" i="60"/>
  <c r="S73" i="60" s="1"/>
  <c r="Q85" i="60"/>
  <c r="S85" i="60" s="1"/>
  <c r="Q241" i="60"/>
  <c r="S241" i="60" s="1"/>
  <c r="AE98" i="60"/>
  <c r="AG98" i="60" s="1"/>
  <c r="AE38" i="60"/>
  <c r="AG38" i="60" s="1"/>
  <c r="AE266" i="60"/>
  <c r="AG266" i="60" s="1"/>
  <c r="AE338" i="60"/>
  <c r="AG338" i="60" s="1"/>
  <c r="J218" i="60"/>
  <c r="L218" i="60" s="1"/>
  <c r="AE112" i="60"/>
  <c r="AG112" i="60" s="1"/>
  <c r="AE208" i="60"/>
  <c r="AG208" i="60" s="1"/>
  <c r="AE64" i="60"/>
  <c r="AG64" i="60" s="1"/>
  <c r="AE364" i="60"/>
  <c r="AG364" i="60" s="1"/>
  <c r="J364" i="60"/>
  <c r="J280" i="60"/>
  <c r="AE343" i="60"/>
  <c r="AG343" i="60" s="1"/>
  <c r="AE331" i="60"/>
  <c r="AG331" i="60" s="1"/>
  <c r="AE307" i="60"/>
  <c r="AG307" i="60" s="1"/>
  <c r="AE367" i="60"/>
  <c r="AG367" i="60" s="1"/>
  <c r="J259" i="60"/>
  <c r="L259" i="60" s="1"/>
  <c r="J91" i="60"/>
  <c r="L91" i="60" s="1"/>
  <c r="AE209" i="60"/>
  <c r="AG209" i="60" s="1"/>
  <c r="AE161" i="60"/>
  <c r="AG161" i="60" s="1"/>
  <c r="AE305" i="60"/>
  <c r="AG305" i="60" s="1"/>
  <c r="J233" i="60"/>
  <c r="J185" i="60"/>
  <c r="AE345" i="60"/>
  <c r="AG345" i="60" s="1"/>
  <c r="AE249" i="60"/>
  <c r="AG249" i="60" s="1"/>
  <c r="AE201" i="60"/>
  <c r="AG201" i="60" s="1"/>
  <c r="J45" i="60"/>
  <c r="L45" i="60" s="1"/>
  <c r="J141" i="60"/>
  <c r="L141" i="60" s="1"/>
  <c r="J273" i="60"/>
  <c r="L273" i="60" s="1"/>
  <c r="AE291" i="60"/>
  <c r="AG291" i="60" s="1"/>
  <c r="AE279" i="60"/>
  <c r="AG279" i="60" s="1"/>
  <c r="AE147" i="60"/>
  <c r="AG147" i="60" s="1"/>
  <c r="AE363" i="60"/>
  <c r="AG363" i="60" s="1"/>
  <c r="J243" i="60"/>
  <c r="J339" i="60"/>
  <c r="AE78" i="60"/>
  <c r="AG78" i="60" s="1"/>
  <c r="AE210" i="60"/>
  <c r="AG210" i="60" s="1"/>
  <c r="AE162" i="60"/>
  <c r="AG162" i="60" s="1"/>
  <c r="AE294" i="60"/>
  <c r="AG294" i="60" s="1"/>
  <c r="J294" i="60"/>
  <c r="J30" i="60"/>
  <c r="AE116" i="60"/>
  <c r="AG116" i="60" s="1"/>
  <c r="AE332" i="60"/>
  <c r="AG332" i="60" s="1"/>
  <c r="AE272" i="60"/>
  <c r="AG272" i="60" s="1"/>
  <c r="J128" i="60"/>
  <c r="J20" i="60"/>
  <c r="J164" i="60"/>
  <c r="AE274" i="60"/>
  <c r="AG274" i="60" s="1"/>
  <c r="AE106" i="60"/>
  <c r="AG106" i="60" s="1"/>
  <c r="AE46" i="60"/>
  <c r="AG46" i="60" s="1"/>
  <c r="AE298" i="60"/>
  <c r="AG298" i="60" s="1"/>
  <c r="AE239" i="60"/>
  <c r="AG239" i="60" s="1"/>
  <c r="AE95" i="60"/>
  <c r="AG95" i="60" s="1"/>
  <c r="AE167" i="60"/>
  <c r="AG167" i="60" s="1"/>
  <c r="AE311" i="60"/>
  <c r="AG311" i="60" s="1"/>
  <c r="J155" i="60"/>
  <c r="L155" i="60" s="1"/>
  <c r="J323" i="60"/>
  <c r="L323" i="60" s="1"/>
  <c r="J347" i="60"/>
  <c r="L347" i="60" s="1"/>
  <c r="J192" i="60"/>
  <c r="J228" i="60"/>
  <c r="J216" i="60"/>
  <c r="AE312" i="60"/>
  <c r="AG312" i="60" s="1"/>
  <c r="AE264" i="60"/>
  <c r="AG264" i="60" s="1"/>
  <c r="AE288" i="60"/>
  <c r="AG288" i="60" s="1"/>
  <c r="AE169" i="60"/>
  <c r="AG169" i="60" s="1"/>
  <c r="AE121" i="60"/>
  <c r="AG121" i="60" s="1"/>
  <c r="AE217" i="60"/>
  <c r="AG217" i="60" s="1"/>
  <c r="AE337" i="60"/>
  <c r="AG337" i="60" s="1"/>
  <c r="J61" i="60"/>
  <c r="L61" i="60" s="1"/>
  <c r="AL340" i="60"/>
  <c r="AN340" i="60" s="1"/>
  <c r="AL220" i="60"/>
  <c r="AN220" i="60" s="1"/>
  <c r="BG54" i="54"/>
  <c r="AL52" i="60"/>
  <c r="AN52" i="60" s="1"/>
  <c r="AL184" i="60"/>
  <c r="AN184" i="60" s="1"/>
  <c r="AL319" i="60"/>
  <c r="AL211" i="60"/>
  <c r="AL79" i="60"/>
  <c r="AL19" i="60"/>
  <c r="X321" i="60"/>
  <c r="Z321" i="60" s="1"/>
  <c r="X273" i="60"/>
  <c r="Z273" i="60" s="1"/>
  <c r="X87" i="60"/>
  <c r="X27" i="60"/>
  <c r="X262" i="60"/>
  <c r="X130" i="60"/>
  <c r="X178" i="60"/>
  <c r="AL203" i="60"/>
  <c r="AL251" i="60"/>
  <c r="AL131" i="60"/>
  <c r="AL143" i="60"/>
  <c r="AL288" i="60"/>
  <c r="AN288" i="60" s="1"/>
  <c r="AL192" i="60"/>
  <c r="AN192" i="60" s="1"/>
  <c r="AL120" i="60"/>
  <c r="AN120" i="60" s="1"/>
  <c r="X277" i="60"/>
  <c r="Z277" i="60" s="1"/>
  <c r="X169" i="60"/>
  <c r="Z169" i="60" s="1"/>
  <c r="AL326" i="60"/>
  <c r="AL194" i="60"/>
  <c r="AL110" i="60"/>
  <c r="AL26" i="60"/>
  <c r="X247" i="60"/>
  <c r="Z247" i="60" s="1"/>
  <c r="X128" i="60"/>
  <c r="AL322" i="60"/>
  <c r="AN322" i="60" s="1"/>
  <c r="AL286" i="60"/>
  <c r="AN286" i="60" s="1"/>
  <c r="AL118" i="60"/>
  <c r="AN118" i="60" s="1"/>
  <c r="AL226" i="60"/>
  <c r="AN226" i="60" s="1"/>
  <c r="X323" i="60"/>
  <c r="Z323" i="60" s="1"/>
  <c r="X251" i="60"/>
  <c r="Z251" i="60" s="1"/>
  <c r="X191" i="60"/>
  <c r="Z191" i="60" s="1"/>
  <c r="X47" i="60"/>
  <c r="Z47" i="60" s="1"/>
  <c r="X350" i="60"/>
  <c r="Z350" i="60" s="1"/>
  <c r="X62" i="60"/>
  <c r="Z62" i="60" s="1"/>
  <c r="X328" i="60"/>
  <c r="X52" i="60"/>
  <c r="AL269" i="60"/>
  <c r="AN269" i="60" s="1"/>
  <c r="AL77" i="60"/>
  <c r="AN77" i="60" s="1"/>
  <c r="AL113" i="60"/>
  <c r="AN113" i="60" s="1"/>
  <c r="AL363" i="60"/>
  <c r="AN363" i="60" s="1"/>
  <c r="AL195" i="60"/>
  <c r="AN195" i="60" s="1"/>
  <c r="AL135" i="60"/>
  <c r="AN135" i="60" s="1"/>
  <c r="AL27" i="60"/>
  <c r="AN27" i="60" s="1"/>
  <c r="AL345" i="60"/>
  <c r="AL177" i="60"/>
  <c r="AL189" i="60"/>
  <c r="AL93" i="60"/>
  <c r="AL294" i="60"/>
  <c r="AN294" i="60" s="1"/>
  <c r="AL354" i="60"/>
  <c r="AN354" i="60" s="1"/>
  <c r="AL162" i="60"/>
  <c r="AN162" i="60" s="1"/>
  <c r="AL222" i="60"/>
  <c r="AN222" i="60" s="1"/>
  <c r="AL284" i="60"/>
  <c r="AN284" i="60" s="1"/>
  <c r="AL176" i="60"/>
  <c r="AN176" i="60" s="1"/>
  <c r="BG46" i="54"/>
  <c r="AL44" i="60"/>
  <c r="AN44" i="60" s="1"/>
  <c r="AL32" i="60"/>
  <c r="AN32" i="60" s="1"/>
  <c r="X372" i="60"/>
  <c r="X60" i="60"/>
  <c r="AL337" i="60"/>
  <c r="AL121" i="60"/>
  <c r="AL205" i="60"/>
  <c r="AL37" i="60"/>
  <c r="Q14" i="60"/>
  <c r="S14" i="60" s="1"/>
  <c r="Q86" i="60"/>
  <c r="S86" i="60" s="1"/>
  <c r="Q110" i="60"/>
  <c r="S110" i="60" s="1"/>
  <c r="Q64" i="60"/>
  <c r="Q211" i="60"/>
  <c r="S211" i="60" s="1"/>
  <c r="Q55" i="60"/>
  <c r="S55" i="60" s="1"/>
  <c r="Q103" i="60"/>
  <c r="S103" i="60" s="1"/>
  <c r="Q161" i="60"/>
  <c r="Q113" i="60"/>
  <c r="Q129" i="60"/>
  <c r="S129" i="60" s="1"/>
  <c r="Q93" i="60"/>
  <c r="S93" i="60" s="1"/>
  <c r="Q33" i="60"/>
  <c r="S33" i="60" s="1"/>
  <c r="Q333" i="60"/>
  <c r="S333" i="60" s="1"/>
  <c r="Q315" i="60"/>
  <c r="Q318" i="60"/>
  <c r="Q162" i="60"/>
  <c r="Q210" i="60"/>
  <c r="Q164" i="60"/>
  <c r="Q92" i="60"/>
  <c r="Q58" i="60"/>
  <c r="Q34" i="60"/>
  <c r="Q370" i="60"/>
  <c r="Q347" i="60"/>
  <c r="S347" i="60" s="1"/>
  <c r="Q215" i="60"/>
  <c r="S215" i="60" s="1"/>
  <c r="Q264" i="60"/>
  <c r="Q180" i="60"/>
  <c r="Q49" i="60"/>
  <c r="S49" i="60" s="1"/>
  <c r="AE206" i="60"/>
  <c r="AG206" i="60" s="1"/>
  <c r="AE350" i="60"/>
  <c r="AG350" i="60" s="1"/>
  <c r="AE74" i="60"/>
  <c r="AG74" i="60" s="1"/>
  <c r="J50" i="60"/>
  <c r="L50" i="60" s="1"/>
  <c r="J38" i="60"/>
  <c r="L38" i="60" s="1"/>
  <c r="J338" i="60"/>
  <c r="L338" i="60" s="1"/>
  <c r="AE40" i="60"/>
  <c r="AG40" i="60" s="1"/>
  <c r="AE328" i="60"/>
  <c r="AG328" i="60" s="1"/>
  <c r="AE232" i="60"/>
  <c r="AG232" i="60" s="1"/>
  <c r="AE184" i="60"/>
  <c r="AG184" i="60" s="1"/>
  <c r="J268" i="60"/>
  <c r="J184" i="60"/>
  <c r="AE115" i="60"/>
  <c r="AG115" i="60" s="1"/>
  <c r="AE55" i="60"/>
  <c r="AG55" i="60" s="1"/>
  <c r="AE283" i="60"/>
  <c r="AG283" i="60" s="1"/>
  <c r="AE271" i="60"/>
  <c r="AG271" i="60" s="1"/>
  <c r="J163" i="60"/>
  <c r="L163" i="60" s="1"/>
  <c r="J271" i="60"/>
  <c r="L271" i="60" s="1"/>
  <c r="J199" i="60"/>
  <c r="L199" i="60" s="1"/>
  <c r="AE293" i="60"/>
  <c r="AG293" i="60" s="1"/>
  <c r="AE77" i="60"/>
  <c r="AG77" i="60" s="1"/>
  <c r="AE41" i="60"/>
  <c r="AG41" i="60" s="1"/>
  <c r="AE137" i="60"/>
  <c r="AG137" i="60" s="1"/>
  <c r="J329" i="60"/>
  <c r="J29" i="60"/>
  <c r="AE69" i="60"/>
  <c r="AG69" i="60" s="1"/>
  <c r="AE297" i="60"/>
  <c r="AG297" i="60" s="1"/>
  <c r="AE321" i="60"/>
  <c r="AG321" i="60" s="1"/>
  <c r="AE141" i="60"/>
  <c r="AG141" i="60" s="1"/>
  <c r="J225" i="60"/>
  <c r="L225" i="60" s="1"/>
  <c r="J297" i="60"/>
  <c r="L297" i="60" s="1"/>
  <c r="J105" i="60"/>
  <c r="L105" i="60" s="1"/>
  <c r="AE75" i="60"/>
  <c r="AG75" i="60" s="1"/>
  <c r="AE27" i="60"/>
  <c r="AG27" i="60" s="1"/>
  <c r="AE267" i="60"/>
  <c r="AG267" i="60" s="1"/>
  <c r="AE255" i="60"/>
  <c r="AG255" i="60" s="1"/>
  <c r="J183" i="60"/>
  <c r="AE186" i="60"/>
  <c r="AG186" i="60" s="1"/>
  <c r="AE138" i="60"/>
  <c r="AG138" i="60" s="1"/>
  <c r="AE282" i="60"/>
  <c r="AG282" i="60" s="1"/>
  <c r="AE270" i="60"/>
  <c r="AG270" i="60" s="1"/>
  <c r="J150" i="60"/>
  <c r="J246" i="60"/>
  <c r="J270" i="60"/>
  <c r="J306" i="60"/>
  <c r="AE152" i="60"/>
  <c r="AG152" i="60" s="1"/>
  <c r="AE260" i="60"/>
  <c r="AG260" i="60" s="1"/>
  <c r="AE104" i="60"/>
  <c r="AG104" i="60" s="1"/>
  <c r="AE320" i="60"/>
  <c r="AG320" i="60" s="1"/>
  <c r="J44" i="60"/>
  <c r="J332" i="60"/>
  <c r="J152" i="60"/>
  <c r="J346" i="60"/>
  <c r="J262" i="60"/>
  <c r="AE22" i="60"/>
  <c r="AG22" i="60" s="1"/>
  <c r="AE262" i="60"/>
  <c r="AG262" i="60" s="1"/>
  <c r="AE214" i="60"/>
  <c r="AG214" i="60" s="1"/>
  <c r="AE358" i="60"/>
  <c r="AG358" i="60" s="1"/>
  <c r="AE155" i="60"/>
  <c r="AG155" i="60" s="1"/>
  <c r="AE143" i="60"/>
  <c r="AG143" i="60" s="1"/>
  <c r="AE131" i="60"/>
  <c r="AG131" i="60" s="1"/>
  <c r="J119" i="60"/>
  <c r="L119" i="60" s="1"/>
  <c r="J143" i="60"/>
  <c r="L143" i="60" s="1"/>
  <c r="J251" i="60"/>
  <c r="L251" i="60" s="1"/>
  <c r="J120" i="60"/>
  <c r="J72" i="60"/>
  <c r="J60" i="60"/>
  <c r="AE84" i="60"/>
  <c r="AG84" i="60" s="1"/>
  <c r="AE48" i="60"/>
  <c r="AG48" i="60" s="1"/>
  <c r="AE216" i="60"/>
  <c r="AG216" i="60" s="1"/>
  <c r="AE276" i="60"/>
  <c r="AG276" i="60" s="1"/>
  <c r="AE85" i="60"/>
  <c r="AG85" i="60" s="1"/>
  <c r="AE49" i="60"/>
  <c r="AG49" i="60" s="1"/>
  <c r="AE265" i="60"/>
  <c r="AG265" i="60" s="1"/>
  <c r="AE361" i="60"/>
  <c r="AG361" i="60" s="1"/>
  <c r="J37" i="60"/>
  <c r="L37" i="60" s="1"/>
  <c r="J157" i="60"/>
  <c r="L157" i="60" s="1"/>
  <c r="AL292" i="60"/>
  <c r="AN292" i="60" s="1"/>
  <c r="AL304" i="60"/>
  <c r="AN304" i="60" s="1"/>
  <c r="AL148" i="60"/>
  <c r="AN148" i="60" s="1"/>
  <c r="AL355" i="60"/>
  <c r="AL151" i="60"/>
  <c r="AL55" i="60"/>
  <c r="AL187" i="60"/>
  <c r="X281" i="60"/>
  <c r="X341" i="60"/>
  <c r="X173" i="60"/>
  <c r="X53" i="60"/>
  <c r="X225" i="60"/>
  <c r="Z225" i="60" s="1"/>
  <c r="X279" i="60"/>
  <c r="X291" i="60"/>
  <c r="AL335" i="60"/>
  <c r="AL287" i="60"/>
  <c r="AL47" i="60"/>
  <c r="AL23" i="60"/>
  <c r="AL264" i="60"/>
  <c r="AN264" i="60" s="1"/>
  <c r="AL228" i="60"/>
  <c r="AN228" i="60" s="1"/>
  <c r="AL252" i="60"/>
  <c r="AN252" i="60" s="1"/>
  <c r="AL36" i="60"/>
  <c r="AN36" i="60" s="1"/>
  <c r="X337" i="60"/>
  <c r="Z337" i="60" s="1"/>
  <c r="X193" i="60"/>
  <c r="Z193" i="60" s="1"/>
  <c r="AL242" i="60"/>
  <c r="AL230" i="60"/>
  <c r="AL218" i="60"/>
  <c r="AL50" i="60"/>
  <c r="X259" i="60"/>
  <c r="Z259" i="60" s="1"/>
  <c r="X114" i="60"/>
  <c r="X210" i="60"/>
  <c r="X260" i="60"/>
  <c r="X176" i="60"/>
  <c r="AL346" i="60"/>
  <c r="AN346" i="60" s="1"/>
  <c r="AL94" i="60"/>
  <c r="AN94" i="60" s="1"/>
  <c r="AL130" i="60"/>
  <c r="AN130" i="60" s="1"/>
  <c r="X359" i="60"/>
  <c r="Z359" i="60" s="1"/>
  <c r="X263" i="60"/>
  <c r="Z263" i="60" s="1"/>
  <c r="X227" i="60"/>
  <c r="Z227" i="60" s="1"/>
  <c r="X362" i="60"/>
  <c r="Z362" i="60" s="1"/>
  <c r="X170" i="60"/>
  <c r="Z170" i="60" s="1"/>
  <c r="X268" i="60"/>
  <c r="X220" i="60"/>
  <c r="X208" i="60"/>
  <c r="X16" i="60"/>
  <c r="AL293" i="60"/>
  <c r="AN293" i="60" s="1"/>
  <c r="AL161" i="60"/>
  <c r="AN161" i="60" s="1"/>
  <c r="AL281" i="60"/>
  <c r="AN281" i="60" s="1"/>
  <c r="AL209" i="60"/>
  <c r="AN209" i="60" s="1"/>
  <c r="AL351" i="60"/>
  <c r="AN351" i="60" s="1"/>
  <c r="AL87" i="60"/>
  <c r="AN87" i="60" s="1"/>
  <c r="AL207" i="60"/>
  <c r="AN207" i="60" s="1"/>
  <c r="AL357" i="60"/>
  <c r="AL261" i="60"/>
  <c r="AL213" i="60"/>
  <c r="AL153" i="60"/>
  <c r="AL186" i="60"/>
  <c r="AN186" i="60" s="1"/>
  <c r="AL270" i="60"/>
  <c r="AN270" i="60" s="1"/>
  <c r="AL174" i="60"/>
  <c r="AN174" i="60" s="1"/>
  <c r="AL42" i="60"/>
  <c r="AN42" i="60" s="1"/>
  <c r="AL308" i="60"/>
  <c r="AN308" i="60" s="1"/>
  <c r="AL200" i="60"/>
  <c r="AN200" i="60" s="1"/>
  <c r="AL116" i="60"/>
  <c r="AN116" i="60" s="1"/>
  <c r="X228" i="60"/>
  <c r="X216" i="60"/>
  <c r="X24" i="60"/>
  <c r="AL289" i="60"/>
  <c r="AL349" i="60"/>
  <c r="AL157" i="60"/>
  <c r="AL145" i="60"/>
  <c r="Q362" i="60"/>
  <c r="S362" i="60" s="1"/>
  <c r="Q304" i="60"/>
  <c r="Q52" i="60"/>
  <c r="Q16" i="60"/>
  <c r="Q220" i="60"/>
  <c r="Q283" i="60"/>
  <c r="S283" i="60" s="1"/>
  <c r="Q247" i="60"/>
  <c r="S247" i="60" s="1"/>
  <c r="Q41" i="60"/>
  <c r="Q137" i="60"/>
  <c r="Q201" i="60"/>
  <c r="S201" i="60" s="1"/>
  <c r="Q177" i="60"/>
  <c r="S177" i="60" s="1"/>
  <c r="Q273" i="60"/>
  <c r="S273" i="60" s="1"/>
  <c r="Q339" i="60"/>
  <c r="Q195" i="60"/>
  <c r="Q54" i="60"/>
  <c r="Q246" i="60"/>
  <c r="Q342" i="60"/>
  <c r="Q236" i="60"/>
  <c r="Q188" i="60"/>
  <c r="Q70" i="60"/>
  <c r="Q334" i="60"/>
  <c r="Q202" i="60"/>
  <c r="Q22" i="60"/>
  <c r="Q323" i="60"/>
  <c r="S323" i="60" s="1"/>
  <c r="Q275" i="60"/>
  <c r="S275" i="60" s="1"/>
  <c r="Q300" i="60"/>
  <c r="Q144" i="60"/>
  <c r="Q204" i="60"/>
  <c r="Q168" i="60"/>
  <c r="Q181" i="60"/>
  <c r="S181" i="60" s="1"/>
  <c r="AE134" i="60"/>
  <c r="AG134" i="60" s="1"/>
  <c r="AE122" i="60"/>
  <c r="AG122" i="60" s="1"/>
  <c r="AE290" i="60"/>
  <c r="AG290" i="60" s="1"/>
  <c r="AE362" i="60"/>
  <c r="AG362" i="60" s="1"/>
  <c r="J278" i="60"/>
  <c r="L278" i="60" s="1"/>
  <c r="J98" i="60"/>
  <c r="L98" i="60" s="1"/>
  <c r="J326" i="60"/>
  <c r="L326" i="60" s="1"/>
  <c r="AE52" i="60"/>
  <c r="AG52" i="60" s="1"/>
  <c r="AE280" i="60"/>
  <c r="AG280" i="60" s="1"/>
  <c r="AE304" i="60"/>
  <c r="AG304" i="60" s="1"/>
  <c r="AE268" i="60"/>
  <c r="AG268" i="60" s="1"/>
  <c r="J208" i="60"/>
  <c r="J100" i="60"/>
  <c r="AE223" i="60"/>
  <c r="AG223" i="60" s="1"/>
  <c r="AE31" i="60"/>
  <c r="AG31" i="60" s="1"/>
  <c r="AE199" i="60"/>
  <c r="AG199" i="60" s="1"/>
  <c r="AE259" i="60"/>
  <c r="AG259" i="60" s="1"/>
  <c r="J295" i="60"/>
  <c r="L295" i="60" s="1"/>
  <c r="J343" i="60"/>
  <c r="L343" i="60" s="1"/>
  <c r="AE221" i="60"/>
  <c r="AG221" i="60" s="1"/>
  <c r="AE185" i="60"/>
  <c r="AG185" i="60" s="1"/>
  <c r="AE197" i="60"/>
  <c r="AG197" i="60" s="1"/>
  <c r="AE341" i="60"/>
  <c r="AG341" i="60" s="1"/>
  <c r="J173" i="60"/>
  <c r="J161" i="60"/>
  <c r="J317" i="60"/>
  <c r="AE45" i="60"/>
  <c r="AG45" i="60" s="1"/>
  <c r="AE225" i="60"/>
  <c r="AG225" i="60" s="1"/>
  <c r="AE93" i="60"/>
  <c r="AG93" i="60" s="1"/>
  <c r="AE189" i="60"/>
  <c r="AG189" i="60" s="1"/>
  <c r="J69" i="60"/>
  <c r="L69" i="60" s="1"/>
  <c r="J21" i="60"/>
  <c r="L21" i="60" s="1"/>
  <c r="AE327" i="60"/>
  <c r="AG327" i="60" s="1"/>
  <c r="AE315" i="60"/>
  <c r="AG315" i="60" s="1"/>
  <c r="AE87" i="60"/>
  <c r="AG87" i="60" s="1"/>
  <c r="AE351" i="60"/>
  <c r="AG351" i="60" s="1"/>
  <c r="J255" i="60"/>
  <c r="AE102" i="60"/>
  <c r="AG102" i="60" s="1"/>
  <c r="AE66" i="60"/>
  <c r="AG66" i="60" s="1"/>
  <c r="AE150" i="60"/>
  <c r="AG150" i="60" s="1"/>
  <c r="AE246" i="60"/>
  <c r="AG246" i="60" s="1"/>
  <c r="J90" i="60"/>
  <c r="J78" i="60"/>
  <c r="AE80" i="60"/>
  <c r="AG80" i="60" s="1"/>
  <c r="AE44" i="60"/>
  <c r="AG44" i="60" s="1"/>
  <c r="AE248" i="60"/>
  <c r="AG248" i="60" s="1"/>
  <c r="AE356" i="60"/>
  <c r="AG356" i="60" s="1"/>
  <c r="J140" i="60"/>
  <c r="J190" i="60"/>
  <c r="J250" i="60"/>
  <c r="AE190" i="60"/>
  <c r="AG190" i="60" s="1"/>
  <c r="AE142" i="60"/>
  <c r="AG142" i="60" s="1"/>
  <c r="AE130" i="60"/>
  <c r="AG130" i="60" s="1"/>
  <c r="AE250" i="60"/>
  <c r="AG250" i="60" s="1"/>
  <c r="AE119" i="60"/>
  <c r="AG119" i="60" s="1"/>
  <c r="AE71" i="60"/>
  <c r="AG71" i="60" s="1"/>
  <c r="AE23" i="60"/>
  <c r="AG23" i="60" s="1"/>
  <c r="AE359" i="60"/>
  <c r="AG359" i="60" s="1"/>
  <c r="J311" i="60"/>
  <c r="L311" i="60" s="1"/>
  <c r="J167" i="60"/>
  <c r="L167" i="60" s="1"/>
  <c r="J360" i="60"/>
  <c r="AE204" i="60"/>
  <c r="AG204" i="60" s="1"/>
  <c r="AE348" i="60"/>
  <c r="AG348" i="60" s="1"/>
  <c r="AE144" i="60"/>
  <c r="AG144" i="60" s="1"/>
  <c r="AE228" i="60"/>
  <c r="AG228" i="60" s="1"/>
  <c r="AE205" i="60"/>
  <c r="AG205" i="60" s="1"/>
  <c r="AE157" i="60"/>
  <c r="AG157" i="60" s="1"/>
  <c r="AE289" i="60"/>
  <c r="AG289" i="60" s="1"/>
  <c r="J145" i="60"/>
  <c r="L145" i="60" s="1"/>
  <c r="J289" i="60"/>
  <c r="L289" i="60" s="1"/>
  <c r="AL268" i="60"/>
  <c r="AN268" i="60" s="1"/>
  <c r="AL208" i="60"/>
  <c r="AN208" i="60" s="1"/>
  <c r="AL136" i="60"/>
  <c r="AN136" i="60" s="1"/>
  <c r="AL76" i="60"/>
  <c r="AN76" i="60" s="1"/>
  <c r="AL247" i="60"/>
  <c r="AL223" i="60"/>
  <c r="AL43" i="60"/>
  <c r="AL127" i="60"/>
  <c r="X329" i="60"/>
  <c r="X65" i="60"/>
  <c r="X161" i="60"/>
  <c r="X345" i="60"/>
  <c r="Z345" i="60" s="1"/>
  <c r="X21" i="60"/>
  <c r="Z21" i="60" s="1"/>
  <c r="X105" i="60"/>
  <c r="Z105" i="60" s="1"/>
  <c r="X243" i="60"/>
  <c r="X238" i="60"/>
  <c r="X190" i="60"/>
  <c r="X70" i="60"/>
  <c r="AL275" i="60"/>
  <c r="AL179" i="60"/>
  <c r="AL191" i="60"/>
  <c r="AL276" i="60"/>
  <c r="AN276" i="60" s="1"/>
  <c r="AL300" i="60"/>
  <c r="AN300" i="60" s="1"/>
  <c r="AL156" i="60"/>
  <c r="AN156" i="60" s="1"/>
  <c r="AL84" i="60"/>
  <c r="AN84" i="60" s="1"/>
  <c r="X157" i="60"/>
  <c r="Z157" i="60" s="1"/>
  <c r="AL350" i="60"/>
  <c r="AL122" i="60"/>
  <c r="AL134" i="60"/>
  <c r="X295" i="60"/>
  <c r="Z295" i="60" s="1"/>
  <c r="X139" i="60"/>
  <c r="Z139" i="60" s="1"/>
  <c r="X356" i="60"/>
  <c r="X212" i="60"/>
  <c r="X188" i="60"/>
  <c r="AL310" i="60"/>
  <c r="AN310" i="60" s="1"/>
  <c r="AL274" i="60"/>
  <c r="AN274" i="60" s="1"/>
  <c r="AL142" i="60"/>
  <c r="AN142" i="60" s="1"/>
  <c r="AL22" i="60"/>
  <c r="AN22" i="60" s="1"/>
  <c r="X299" i="60"/>
  <c r="Z299" i="60" s="1"/>
  <c r="X119" i="60"/>
  <c r="Z119" i="60" s="1"/>
  <c r="X278" i="60"/>
  <c r="Z278" i="60" s="1"/>
  <c r="X340" i="60"/>
  <c r="X280" i="60"/>
  <c r="AL353" i="60"/>
  <c r="AN353" i="60" s="1"/>
  <c r="AL317" i="60"/>
  <c r="AN317" i="60" s="1"/>
  <c r="AL101" i="60"/>
  <c r="AN101" i="60" s="1"/>
  <c r="AL329" i="60"/>
  <c r="AN329" i="60" s="1"/>
  <c r="AL267" i="60"/>
  <c r="AN267" i="60" s="1"/>
  <c r="AL279" i="60"/>
  <c r="AN279" i="60" s="1"/>
  <c r="AL171" i="60"/>
  <c r="AN171" i="60" s="1"/>
  <c r="AL51" i="60"/>
  <c r="AN51" i="60" s="1"/>
  <c r="AL273" i="60"/>
  <c r="AL105" i="60"/>
  <c r="AL249" i="60"/>
  <c r="AL330" i="60"/>
  <c r="AN330" i="60" s="1"/>
  <c r="AL318" i="60"/>
  <c r="AN318" i="60" s="1"/>
  <c r="AL90" i="60"/>
  <c r="AN90" i="60" s="1"/>
  <c r="AL30" i="60"/>
  <c r="AN30" i="60" s="1"/>
  <c r="AL296" i="60"/>
  <c r="AN296" i="60" s="1"/>
  <c r="AL140" i="60"/>
  <c r="AN140" i="60" s="1"/>
  <c r="AL128" i="60"/>
  <c r="AN128" i="60" s="1"/>
  <c r="AL260" i="60"/>
  <c r="AN260" i="60" s="1"/>
  <c r="X336" i="60"/>
  <c r="AL373" i="60"/>
  <c r="AL97" i="60"/>
  <c r="AL85" i="60"/>
  <c r="Q194" i="60"/>
  <c r="S194" i="60" s="1"/>
  <c r="Q26" i="60"/>
  <c r="S26" i="60" s="1"/>
  <c r="Q340" i="60"/>
  <c r="Q127" i="60"/>
  <c r="S127" i="60" s="1"/>
  <c r="Q115" i="60"/>
  <c r="S115" i="60" s="1"/>
  <c r="Q65" i="60"/>
  <c r="Q329" i="60"/>
  <c r="Q21" i="60"/>
  <c r="S21" i="60" s="1"/>
  <c r="Q369" i="60"/>
  <c r="S369" i="60" s="1"/>
  <c r="Q153" i="60"/>
  <c r="S153" i="60" s="1"/>
  <c r="Q363" i="60"/>
  <c r="Q327" i="60"/>
  <c r="Q222" i="60"/>
  <c r="Q56" i="60"/>
  <c r="Q320" i="60"/>
  <c r="Q116" i="60"/>
  <c r="Q166" i="60"/>
  <c r="Q262" i="60"/>
  <c r="Q322" i="60"/>
  <c r="Q23" i="60"/>
  <c r="S23" i="60" s="1"/>
  <c r="Q48" i="60"/>
  <c r="Q240" i="60"/>
  <c r="Q301" i="60"/>
  <c r="S301" i="60" s="1"/>
  <c r="G278" i="60"/>
  <c r="I278" i="60" s="1"/>
  <c r="G86" i="60"/>
  <c r="I86" i="60" s="1"/>
  <c r="G158" i="60"/>
  <c r="I158" i="60" s="1"/>
  <c r="G194" i="60"/>
  <c r="I194" i="60" s="1"/>
  <c r="G362" i="60"/>
  <c r="I362" i="60" s="1"/>
  <c r="G208" i="60"/>
  <c r="G124" i="60"/>
  <c r="G100" i="60"/>
  <c r="G256" i="60"/>
  <c r="G295" i="60"/>
  <c r="I295" i="60" s="1"/>
  <c r="G247" i="60"/>
  <c r="I247" i="60" s="1"/>
  <c r="G343" i="60"/>
  <c r="I343" i="60" s="1"/>
  <c r="G122" i="60"/>
  <c r="I122" i="60" s="1"/>
  <c r="G254" i="60"/>
  <c r="I254" i="60" s="1"/>
  <c r="G230" i="60"/>
  <c r="I230" i="60" s="1"/>
  <c r="G26" i="60"/>
  <c r="I26" i="60" s="1"/>
  <c r="G218" i="60"/>
  <c r="I218" i="60" s="1"/>
  <c r="G170" i="60"/>
  <c r="I170" i="60" s="1"/>
  <c r="G14" i="60"/>
  <c r="I14" i="60" s="1"/>
  <c r="G76" i="60"/>
  <c r="G172" i="60"/>
  <c r="G244" i="60"/>
  <c r="G316" i="60"/>
  <c r="G112" i="60"/>
  <c r="G340" i="60"/>
  <c r="G88" i="60"/>
  <c r="G292" i="60"/>
  <c r="G67" i="60"/>
  <c r="I67" i="60" s="1"/>
  <c r="G139" i="60"/>
  <c r="I139" i="60" s="1"/>
  <c r="G331" i="60"/>
  <c r="I331" i="60" s="1"/>
  <c r="G55" i="60"/>
  <c r="I55" i="60" s="1"/>
  <c r="G283" i="60"/>
  <c r="I283" i="60" s="1"/>
  <c r="G355" i="60"/>
  <c r="I355" i="60" s="1"/>
  <c r="G151" i="60"/>
  <c r="I151" i="60" s="1"/>
  <c r="G367" i="60"/>
  <c r="I367" i="60" s="1"/>
  <c r="G41" i="60"/>
  <c r="G329" i="60"/>
  <c r="G125" i="60"/>
  <c r="G353" i="60"/>
  <c r="G269" i="60"/>
  <c r="G29" i="60"/>
  <c r="G257" i="60"/>
  <c r="G33" i="60"/>
  <c r="I33" i="60" s="1"/>
  <c r="G225" i="60"/>
  <c r="I225" i="60" s="1"/>
  <c r="G177" i="60"/>
  <c r="I177" i="60" s="1"/>
  <c r="G297" i="60"/>
  <c r="I297" i="60" s="1"/>
  <c r="G285" i="60"/>
  <c r="I285" i="60" s="1"/>
  <c r="G105" i="60"/>
  <c r="I105" i="60" s="1"/>
  <c r="G309" i="60"/>
  <c r="I309" i="60" s="1"/>
  <c r="G15" i="60"/>
  <c r="G207" i="60"/>
  <c r="G195" i="60"/>
  <c r="G315" i="60"/>
  <c r="G159" i="60"/>
  <c r="G303" i="60"/>
  <c r="G75" i="60"/>
  <c r="G171" i="60"/>
  <c r="G102" i="60"/>
  <c r="G174" i="60"/>
  <c r="G126" i="60"/>
  <c r="G282" i="60"/>
  <c r="G234" i="60"/>
  <c r="G186" i="60"/>
  <c r="G222" i="60"/>
  <c r="G258" i="60"/>
  <c r="G68" i="60"/>
  <c r="G44" i="60"/>
  <c r="G56" i="60"/>
  <c r="G332" i="60"/>
  <c r="G200" i="60"/>
  <c r="G152" i="60"/>
  <c r="G344" i="60"/>
  <c r="G58" i="60"/>
  <c r="G346" i="60"/>
  <c r="G178" i="60"/>
  <c r="G370" i="60"/>
  <c r="G130" i="60"/>
  <c r="G262" i="60"/>
  <c r="G202" i="60"/>
  <c r="G23" i="60"/>
  <c r="I23" i="60" s="1"/>
  <c r="G179" i="60"/>
  <c r="I179" i="60" s="1"/>
  <c r="G263" i="60"/>
  <c r="I263" i="60" s="1"/>
  <c r="G95" i="60"/>
  <c r="I95" i="60" s="1"/>
  <c r="G287" i="60"/>
  <c r="I287" i="60" s="1"/>
  <c r="G47" i="60"/>
  <c r="I47" i="60" s="1"/>
  <c r="G203" i="60"/>
  <c r="I203" i="60" s="1"/>
  <c r="G84" i="60"/>
  <c r="G276" i="60"/>
  <c r="G288" i="60"/>
  <c r="G180" i="60"/>
  <c r="G48" i="60"/>
  <c r="G144" i="60"/>
  <c r="G132" i="60"/>
  <c r="G96" i="60"/>
  <c r="G49" i="60"/>
  <c r="I49" i="60" s="1"/>
  <c r="G205" i="60"/>
  <c r="I205" i="60" s="1"/>
  <c r="G193" i="60"/>
  <c r="I193" i="60" s="1"/>
  <c r="G37" i="60"/>
  <c r="I37" i="60" s="1"/>
  <c r="G349" i="60"/>
  <c r="I349" i="60" s="1"/>
  <c r="G157" i="60"/>
  <c r="I157" i="60" s="1"/>
  <c r="G169" i="60"/>
  <c r="I169" i="60" s="1"/>
  <c r="G301" i="60"/>
  <c r="I301" i="60" s="1"/>
  <c r="AB134" i="60"/>
  <c r="AD134" i="60" s="1"/>
  <c r="AB62" i="60"/>
  <c r="AD62" i="60" s="1"/>
  <c r="AB122" i="60"/>
  <c r="AD122" i="60" s="1"/>
  <c r="AB14" i="60"/>
  <c r="AD14" i="60" s="1"/>
  <c r="AB290" i="60"/>
  <c r="AD290" i="60" s="1"/>
  <c r="AB254" i="60"/>
  <c r="AD254" i="60" s="1"/>
  <c r="AB362" i="60"/>
  <c r="AD362" i="60" s="1"/>
  <c r="AB28" i="60"/>
  <c r="AD28" i="60" s="1"/>
  <c r="AB52" i="60"/>
  <c r="AD52" i="60" s="1"/>
  <c r="AB220" i="60"/>
  <c r="AD220" i="60" s="1"/>
  <c r="AB280" i="60"/>
  <c r="AD280" i="60" s="1"/>
  <c r="AB88" i="60"/>
  <c r="AD88" i="60" s="1"/>
  <c r="AB304" i="60"/>
  <c r="AD304" i="60" s="1"/>
  <c r="AB172" i="60"/>
  <c r="AD172" i="60" s="1"/>
  <c r="AB268" i="60"/>
  <c r="AD268" i="60" s="1"/>
  <c r="AB103" i="60"/>
  <c r="AD103" i="60" s="1"/>
  <c r="AB223" i="60"/>
  <c r="AD223" i="60" s="1"/>
  <c r="AB295" i="60"/>
  <c r="AD295" i="60" s="1"/>
  <c r="AB31" i="60"/>
  <c r="AD31" i="60" s="1"/>
  <c r="AB127" i="60"/>
  <c r="AD127" i="60" s="1"/>
  <c r="AB199" i="60"/>
  <c r="AD199" i="60" s="1"/>
  <c r="AB355" i="60"/>
  <c r="AD355" i="60" s="1"/>
  <c r="AB259" i="60"/>
  <c r="AD259" i="60" s="1"/>
  <c r="AB65" i="60"/>
  <c r="AD65" i="60" s="1"/>
  <c r="AB293" i="60"/>
  <c r="AD293" i="60" s="1"/>
  <c r="AB245" i="60"/>
  <c r="AD245" i="60" s="1"/>
  <c r="AB77" i="60"/>
  <c r="AD77" i="60" s="1"/>
  <c r="AB353" i="60"/>
  <c r="AD353" i="60" s="1"/>
  <c r="AB41" i="60"/>
  <c r="AD41" i="60" s="1"/>
  <c r="AB149" i="60"/>
  <c r="AD149" i="60" s="1"/>
  <c r="AB137" i="60"/>
  <c r="AD137" i="60" s="1"/>
  <c r="AB33" i="60"/>
  <c r="AD33" i="60" s="1"/>
  <c r="AB153" i="60"/>
  <c r="AD153" i="60" s="1"/>
  <c r="AB261" i="60"/>
  <c r="AD261" i="60" s="1"/>
  <c r="AB213" i="60"/>
  <c r="AD213" i="60" s="1"/>
  <c r="AB81" i="60"/>
  <c r="AD81" i="60" s="1"/>
  <c r="AB357" i="60"/>
  <c r="AD357" i="60" s="1"/>
  <c r="AB333" i="60"/>
  <c r="AD333" i="60" s="1"/>
  <c r="AB75" i="60"/>
  <c r="AD75" i="60" s="1"/>
  <c r="AB135" i="60"/>
  <c r="AD135" i="60" s="1"/>
  <c r="AB27" i="60"/>
  <c r="AD27" i="60" s="1"/>
  <c r="AB123" i="60"/>
  <c r="AD123" i="60" s="1"/>
  <c r="AB267" i="60"/>
  <c r="AD267" i="60" s="1"/>
  <c r="AB339" i="60"/>
  <c r="AD339" i="60" s="1"/>
  <c r="AB255" i="60"/>
  <c r="AD255" i="60" s="1"/>
  <c r="AB303" i="60"/>
  <c r="AD303" i="60" s="1"/>
  <c r="AB186" i="60"/>
  <c r="AD186" i="60" s="1"/>
  <c r="AB114" i="60"/>
  <c r="AD114" i="60" s="1"/>
  <c r="AB138" i="60"/>
  <c r="AD138" i="60" s="1"/>
  <c r="AB342" i="60"/>
  <c r="AD342" i="60" s="1"/>
  <c r="AB282" i="60"/>
  <c r="AD282" i="60" s="1"/>
  <c r="AB354" i="60"/>
  <c r="AD354" i="60" s="1"/>
  <c r="AB270" i="60"/>
  <c r="AD270" i="60" s="1"/>
  <c r="AB366" i="60"/>
  <c r="AD366" i="60" s="1"/>
  <c r="AB68" i="60"/>
  <c r="AD68" i="60" s="1"/>
  <c r="AB56" i="60"/>
  <c r="AD56" i="60" s="1"/>
  <c r="AB32" i="60"/>
  <c r="AD32" i="60" s="1"/>
  <c r="AB332" i="60"/>
  <c r="AD332" i="60" s="1"/>
  <c r="AB164" i="60"/>
  <c r="AD164" i="60" s="1"/>
  <c r="AB272" i="60"/>
  <c r="AD272" i="60" s="1"/>
  <c r="AB368" i="60"/>
  <c r="AD368" i="60" s="1"/>
  <c r="AB274" i="60"/>
  <c r="AD274" i="60" s="1"/>
  <c r="AB226" i="60"/>
  <c r="AD226" i="60" s="1"/>
  <c r="AB106" i="60"/>
  <c r="AD106" i="60" s="1"/>
  <c r="AB178" i="60"/>
  <c r="AD178" i="60" s="1"/>
  <c r="AB46" i="60"/>
  <c r="AD46" i="60" s="1"/>
  <c r="AB166" i="60"/>
  <c r="AD166" i="60" s="1"/>
  <c r="AB298" i="60"/>
  <c r="AD298" i="60" s="1"/>
  <c r="AB119" i="60"/>
  <c r="AD119" i="60" s="1"/>
  <c r="AB191" i="60"/>
  <c r="AD191" i="60" s="1"/>
  <c r="AB71" i="60"/>
  <c r="AD71" i="60" s="1"/>
  <c r="AB335" i="60"/>
  <c r="AD335" i="60" s="1"/>
  <c r="AB23" i="60"/>
  <c r="AD23" i="60" s="1"/>
  <c r="AB323" i="60"/>
  <c r="AD323" i="60" s="1"/>
  <c r="AB359" i="60"/>
  <c r="AD359" i="60" s="1"/>
  <c r="AB204" i="60"/>
  <c r="AD204" i="60" s="1"/>
  <c r="AB72" i="60"/>
  <c r="AD72" i="60" s="1"/>
  <c r="AB348" i="60"/>
  <c r="AD348" i="60" s="1"/>
  <c r="AB36" i="60"/>
  <c r="AD36" i="60" s="1"/>
  <c r="AB144" i="60"/>
  <c r="AD144" i="60" s="1"/>
  <c r="AB252" i="60"/>
  <c r="AD252" i="60" s="1"/>
  <c r="AB228" i="60"/>
  <c r="AD228" i="60" s="1"/>
  <c r="AB180" i="60"/>
  <c r="AD180" i="60" s="1"/>
  <c r="AB133" i="60"/>
  <c r="AD133" i="60" s="1"/>
  <c r="AB205" i="60"/>
  <c r="AD205" i="60" s="1"/>
  <c r="AB37" i="60"/>
  <c r="AD37" i="60" s="1"/>
  <c r="AB157" i="60"/>
  <c r="AD157" i="60" s="1"/>
  <c r="AB301" i="60"/>
  <c r="AD301" i="60" s="1"/>
  <c r="AB289" i="60"/>
  <c r="AD289" i="60" s="1"/>
  <c r="AB25" i="60"/>
  <c r="AD25" i="60" s="1"/>
  <c r="U365" i="60"/>
  <c r="U281" i="60"/>
  <c r="U257" i="60"/>
  <c r="U341" i="60"/>
  <c r="U65" i="60"/>
  <c r="U29" i="60"/>
  <c r="U161" i="60"/>
  <c r="U17" i="60"/>
  <c r="U369" i="60"/>
  <c r="W369" i="60" s="1"/>
  <c r="U297" i="60"/>
  <c r="W297" i="60" s="1"/>
  <c r="U225" i="60"/>
  <c r="W225" i="60" s="1"/>
  <c r="U201" i="60"/>
  <c r="W201" i="60" s="1"/>
  <c r="U129" i="60"/>
  <c r="W129" i="60" s="1"/>
  <c r="U249" i="60"/>
  <c r="W249" i="60" s="1"/>
  <c r="U69" i="60"/>
  <c r="W69" i="60" s="1"/>
  <c r="U351" i="60"/>
  <c r="U315" i="60"/>
  <c r="U303" i="60"/>
  <c r="U267" i="60"/>
  <c r="U111" i="60"/>
  <c r="U87" i="60"/>
  <c r="U135" i="60"/>
  <c r="U27" i="60"/>
  <c r="U262" i="60"/>
  <c r="U346" i="60"/>
  <c r="U286" i="60"/>
  <c r="U166" i="60"/>
  <c r="U190" i="60"/>
  <c r="U142" i="60"/>
  <c r="U70" i="60"/>
  <c r="U217" i="60"/>
  <c r="W217" i="60" s="1"/>
  <c r="U241" i="60"/>
  <c r="W241" i="60" s="1"/>
  <c r="U325" i="60"/>
  <c r="W325" i="60" s="1"/>
  <c r="U157" i="60"/>
  <c r="W157" i="60" s="1"/>
  <c r="U133" i="60"/>
  <c r="W133" i="60" s="1"/>
  <c r="U85" i="60"/>
  <c r="W85" i="60" s="1"/>
  <c r="U25" i="60"/>
  <c r="W25" i="60" s="1"/>
  <c r="U283" i="60"/>
  <c r="W283" i="60" s="1"/>
  <c r="U331" i="60"/>
  <c r="W331" i="60" s="1"/>
  <c r="U259" i="60"/>
  <c r="W259" i="60" s="1"/>
  <c r="U307" i="60"/>
  <c r="W307" i="60" s="1"/>
  <c r="U235" i="60"/>
  <c r="W235" i="60" s="1"/>
  <c r="U115" i="60"/>
  <c r="W115" i="60" s="1"/>
  <c r="U19" i="60"/>
  <c r="W19" i="60" s="1"/>
  <c r="U67" i="60"/>
  <c r="W67" i="60" s="1"/>
  <c r="U330" i="60"/>
  <c r="U342" i="60"/>
  <c r="U354" i="60"/>
  <c r="U222" i="60"/>
  <c r="U54" i="60"/>
  <c r="U90" i="60"/>
  <c r="U162" i="60"/>
  <c r="U344" i="60"/>
  <c r="U320" i="60"/>
  <c r="U296" i="60"/>
  <c r="U68" i="60"/>
  <c r="U104" i="60"/>
  <c r="U224" i="60"/>
  <c r="U176" i="60"/>
  <c r="U323" i="60"/>
  <c r="W323" i="60" s="1"/>
  <c r="U347" i="60"/>
  <c r="W347" i="60" s="1"/>
  <c r="U251" i="60"/>
  <c r="W251" i="60" s="1"/>
  <c r="U59" i="60"/>
  <c r="W59" i="60" s="1"/>
  <c r="U191" i="60"/>
  <c r="W191" i="60" s="1"/>
  <c r="U131" i="60"/>
  <c r="W131" i="60" s="1"/>
  <c r="U47" i="60"/>
  <c r="W47" i="60" s="1"/>
  <c r="U266" i="60"/>
  <c r="W266" i="60" s="1"/>
  <c r="U350" i="60"/>
  <c r="W350" i="60" s="1"/>
  <c r="U206" i="60"/>
  <c r="W206" i="60" s="1"/>
  <c r="U290" i="60"/>
  <c r="W290" i="60" s="1"/>
  <c r="U86" i="60"/>
  <c r="W86" i="60" s="1"/>
  <c r="U146" i="60"/>
  <c r="W146" i="60" s="1"/>
  <c r="U38" i="60"/>
  <c r="W38" i="60" s="1"/>
  <c r="U62" i="60"/>
  <c r="W62" i="60" s="1"/>
  <c r="U304" i="60"/>
  <c r="U232" i="60"/>
  <c r="U256" i="60"/>
  <c r="U148" i="60"/>
  <c r="U208" i="60"/>
  <c r="U64" i="60"/>
  <c r="U16" i="60"/>
  <c r="U348" i="60"/>
  <c r="U360" i="60"/>
  <c r="U336" i="60"/>
  <c r="U132" i="60"/>
  <c r="U84" i="60"/>
  <c r="U144" i="60"/>
  <c r="U108" i="60"/>
  <c r="N266" i="60"/>
  <c r="P266" i="60" s="1"/>
  <c r="N314" i="60"/>
  <c r="P314" i="60" s="1"/>
  <c r="N38" i="60"/>
  <c r="P38" i="60" s="1"/>
  <c r="N62" i="60"/>
  <c r="P62" i="60" s="1"/>
  <c r="N98" i="60"/>
  <c r="P98" i="60" s="1"/>
  <c r="N134" i="60"/>
  <c r="P134" i="60" s="1"/>
  <c r="N304" i="60"/>
  <c r="N244" i="60"/>
  <c r="N76" i="60"/>
  <c r="N100" i="60"/>
  <c r="N28" i="60"/>
  <c r="N40" i="60"/>
  <c r="N283" i="60"/>
  <c r="P283" i="60" s="1"/>
  <c r="N127" i="60"/>
  <c r="P127" i="60" s="1"/>
  <c r="N55" i="60"/>
  <c r="P55" i="60" s="1"/>
  <c r="N187" i="60"/>
  <c r="P187" i="60" s="1"/>
  <c r="N223" i="60"/>
  <c r="P223" i="60" s="1"/>
  <c r="N19" i="60"/>
  <c r="P19" i="60" s="1"/>
  <c r="N161" i="60"/>
  <c r="N77" i="60"/>
  <c r="N125" i="60"/>
  <c r="N137" i="60"/>
  <c r="N185" i="60"/>
  <c r="N305" i="60"/>
  <c r="N201" i="60"/>
  <c r="P201" i="60" s="1"/>
  <c r="N105" i="60"/>
  <c r="P105" i="60" s="1"/>
  <c r="N285" i="60"/>
  <c r="P285" i="60" s="1"/>
  <c r="N369" i="60"/>
  <c r="P369" i="60" s="1"/>
  <c r="N141" i="60"/>
  <c r="P141" i="60" s="1"/>
  <c r="N165" i="60"/>
  <c r="P165" i="60" s="1"/>
  <c r="N189" i="60"/>
  <c r="P189" i="60" s="1"/>
  <c r="N39" i="60"/>
  <c r="N279" i="60"/>
  <c r="N315" i="60"/>
  <c r="N27" i="60"/>
  <c r="N63" i="60"/>
  <c r="N99" i="60"/>
  <c r="N126" i="60"/>
  <c r="N54" i="60"/>
  <c r="N282" i="60"/>
  <c r="N294" i="60"/>
  <c r="N138" i="60"/>
  <c r="N198" i="60"/>
  <c r="N164" i="60"/>
  <c r="N284" i="60"/>
  <c r="N20" i="60"/>
  <c r="N344" i="60"/>
  <c r="N68" i="60"/>
  <c r="N116" i="60"/>
  <c r="N286" i="60"/>
  <c r="N154" i="60"/>
  <c r="N334" i="60"/>
  <c r="N106" i="60"/>
  <c r="N298" i="60"/>
  <c r="N22" i="60"/>
  <c r="N131" i="60"/>
  <c r="P131" i="60" s="1"/>
  <c r="N35" i="60"/>
  <c r="P35" i="60" s="1"/>
  <c r="N119" i="60"/>
  <c r="P119" i="60" s="1"/>
  <c r="N167" i="60"/>
  <c r="P167" i="60" s="1"/>
  <c r="N239" i="60"/>
  <c r="P239" i="60" s="1"/>
  <c r="N203" i="60"/>
  <c r="P203" i="60" s="1"/>
  <c r="N372" i="60"/>
  <c r="N132" i="60"/>
  <c r="N276" i="60"/>
  <c r="N264" i="60"/>
  <c r="N204" i="60"/>
  <c r="N240" i="60"/>
  <c r="N84" i="60"/>
  <c r="N97" i="60"/>
  <c r="P97" i="60" s="1"/>
  <c r="N229" i="60"/>
  <c r="P229" i="60" s="1"/>
  <c r="N361" i="60"/>
  <c r="P361" i="60" s="1"/>
  <c r="N85" i="60"/>
  <c r="P85" i="60" s="1"/>
  <c r="N109" i="60"/>
  <c r="P109" i="60" s="1"/>
  <c r="U39" i="60"/>
  <c r="U130" i="60"/>
  <c r="U270" i="60"/>
  <c r="U28" i="60"/>
  <c r="N302" i="60"/>
  <c r="P302" i="60" s="1"/>
  <c r="N26" i="60"/>
  <c r="P26" i="60" s="1"/>
  <c r="N256" i="60"/>
  <c r="N295" i="60"/>
  <c r="P295" i="60" s="1"/>
  <c r="N41" i="60"/>
  <c r="N273" i="60"/>
  <c r="P273" i="60" s="1"/>
  <c r="N243" i="60"/>
  <c r="N342" i="60"/>
  <c r="N272" i="60"/>
  <c r="N200" i="60"/>
  <c r="N58" i="60"/>
  <c r="N238" i="60"/>
  <c r="N359" i="60"/>
  <c r="P359" i="60" s="1"/>
  <c r="N324" i="60"/>
  <c r="N145" i="60"/>
  <c r="P145" i="60" s="1"/>
  <c r="N325" i="60"/>
  <c r="P325" i="60" s="1"/>
  <c r="AI340" i="60"/>
  <c r="AK340" i="60" s="1"/>
  <c r="AI328" i="60"/>
  <c r="AK328" i="60" s="1"/>
  <c r="AI220" i="60"/>
  <c r="AK220" i="60" s="1"/>
  <c r="AI160" i="60"/>
  <c r="AK160" i="60" s="1"/>
  <c r="AI52" i="60"/>
  <c r="AK52" i="60" s="1"/>
  <c r="AI100" i="60"/>
  <c r="AK100" i="60" s="1"/>
  <c r="AI184" i="60"/>
  <c r="AK184" i="60" s="1"/>
  <c r="AI16" i="60"/>
  <c r="AK16" i="60" s="1"/>
  <c r="AI319" i="60"/>
  <c r="AK319" i="60" s="1"/>
  <c r="AI199" i="60"/>
  <c r="AK199" i="60" s="1"/>
  <c r="AI211" i="60"/>
  <c r="AK211" i="60" s="1"/>
  <c r="AI295" i="60"/>
  <c r="AK295" i="60" s="1"/>
  <c r="AI79" i="60"/>
  <c r="AK79" i="60" s="1"/>
  <c r="AI67" i="60"/>
  <c r="AK67" i="60" s="1"/>
  <c r="AI19" i="60"/>
  <c r="AK19" i="60" s="1"/>
  <c r="AI347" i="60"/>
  <c r="AK347" i="60" s="1"/>
  <c r="AI203" i="60"/>
  <c r="AK203" i="60" s="1"/>
  <c r="AI299" i="60"/>
  <c r="AK299" i="60" s="1"/>
  <c r="AI251" i="60"/>
  <c r="AK251" i="60" s="1"/>
  <c r="AI83" i="60"/>
  <c r="AK83" i="60" s="1"/>
  <c r="AI131" i="60"/>
  <c r="AK131" i="60" s="1"/>
  <c r="AI155" i="60"/>
  <c r="AK155" i="60" s="1"/>
  <c r="AI143" i="60"/>
  <c r="AK143" i="60" s="1"/>
  <c r="AI360" i="60"/>
  <c r="AK360" i="60" s="1"/>
  <c r="AI288" i="60"/>
  <c r="AK288" i="60" s="1"/>
  <c r="AI180" i="60"/>
  <c r="AK180" i="60" s="1"/>
  <c r="AI192" i="60"/>
  <c r="AK192" i="60" s="1"/>
  <c r="AI132" i="60"/>
  <c r="AK132" i="60" s="1"/>
  <c r="AI120" i="60"/>
  <c r="AK120" i="60" s="1"/>
  <c r="AI24" i="60"/>
  <c r="AK24" i="60" s="1"/>
  <c r="AI362" i="60"/>
  <c r="AK362" i="60" s="1"/>
  <c r="AI302" i="60"/>
  <c r="AK302" i="60" s="1"/>
  <c r="AI182" i="60"/>
  <c r="AK182" i="60" s="1"/>
  <c r="AI278" i="60"/>
  <c r="AK278" i="60" s="1"/>
  <c r="AI206" i="60"/>
  <c r="AK206" i="60" s="1"/>
  <c r="AI86" i="60"/>
  <c r="AK86" i="60" s="1"/>
  <c r="AI14" i="60"/>
  <c r="AK14" i="60" s="1"/>
  <c r="AI74" i="60"/>
  <c r="AK74" i="60" s="1"/>
  <c r="AI334" i="60"/>
  <c r="AK334" i="60" s="1"/>
  <c r="AI262" i="60"/>
  <c r="AK262" i="60" s="1"/>
  <c r="AI202" i="60"/>
  <c r="AK202" i="60" s="1"/>
  <c r="AI70" i="60"/>
  <c r="AK70" i="60" s="1"/>
  <c r="AI154" i="60"/>
  <c r="AK154" i="60" s="1"/>
  <c r="AI190" i="60"/>
  <c r="AK190" i="60" s="1"/>
  <c r="AI166" i="60"/>
  <c r="AK166" i="60" s="1"/>
  <c r="AI106" i="60"/>
  <c r="AK106" i="60" s="1"/>
  <c r="AI221" i="60"/>
  <c r="AK221" i="60" s="1"/>
  <c r="AI269" i="60"/>
  <c r="AK269" i="60" s="1"/>
  <c r="AI53" i="60"/>
  <c r="AK53" i="60" s="1"/>
  <c r="AI77" i="60"/>
  <c r="AK77" i="60" s="1"/>
  <c r="AI125" i="60"/>
  <c r="AK125" i="60" s="1"/>
  <c r="AI113" i="60"/>
  <c r="AK113" i="60" s="1"/>
  <c r="AI137" i="60"/>
  <c r="AK137" i="60" s="1"/>
  <c r="AI363" i="60"/>
  <c r="AK363" i="60" s="1"/>
  <c r="AI315" i="60"/>
  <c r="AK315" i="60" s="1"/>
  <c r="AI195" i="60"/>
  <c r="AK195" i="60" s="1"/>
  <c r="AI123" i="60"/>
  <c r="AK123" i="60" s="1"/>
  <c r="AI135" i="60"/>
  <c r="AK135" i="60" s="1"/>
  <c r="AI111" i="60"/>
  <c r="AK111" i="60" s="1"/>
  <c r="AI27" i="60"/>
  <c r="AK27" i="60" s="1"/>
  <c r="AI15" i="60"/>
  <c r="AK15" i="60" s="1"/>
  <c r="AI357" i="60"/>
  <c r="AK357" i="60" s="1"/>
  <c r="AI309" i="60"/>
  <c r="AK309" i="60" s="1"/>
  <c r="AI261" i="60"/>
  <c r="AK261" i="60" s="1"/>
  <c r="AI165" i="60"/>
  <c r="AK165" i="60" s="1"/>
  <c r="AI213" i="60"/>
  <c r="AK213" i="60" s="1"/>
  <c r="AI21" i="60"/>
  <c r="AK21" i="60" s="1"/>
  <c r="AI153" i="60"/>
  <c r="AK153" i="60" s="1"/>
  <c r="AI33" i="60"/>
  <c r="AK33" i="60" s="1"/>
  <c r="AI246" i="60"/>
  <c r="AK246" i="60" s="1"/>
  <c r="AI234" i="60"/>
  <c r="AK234" i="60" s="1"/>
  <c r="AI150" i="60"/>
  <c r="AK150" i="60" s="1"/>
  <c r="AI210" i="60"/>
  <c r="AK210" i="60" s="1"/>
  <c r="AI114" i="60"/>
  <c r="AK114" i="60" s="1"/>
  <c r="AI126" i="60"/>
  <c r="AK126" i="60" s="1"/>
  <c r="AI54" i="60"/>
  <c r="AK54" i="60" s="1"/>
  <c r="AI272" i="60"/>
  <c r="AK272" i="60" s="1"/>
  <c r="AI368" i="60"/>
  <c r="AK368" i="60" s="1"/>
  <c r="AI164" i="60"/>
  <c r="AK164" i="60" s="1"/>
  <c r="AI104" i="60"/>
  <c r="AK104" i="60" s="1"/>
  <c r="AI188" i="60"/>
  <c r="AK188" i="60" s="1"/>
  <c r="AI332" i="60"/>
  <c r="AK332" i="60" s="1"/>
  <c r="AI20" i="60"/>
  <c r="AK20" i="60" s="1"/>
  <c r="AI248" i="60"/>
  <c r="AK248" i="60" s="1"/>
  <c r="AI289" i="60"/>
  <c r="AK289" i="60" s="1"/>
  <c r="AI313" i="60"/>
  <c r="AK313" i="60" s="1"/>
  <c r="AI349" i="60"/>
  <c r="AK349" i="60" s="1"/>
  <c r="AI265" i="60"/>
  <c r="AK265" i="60" s="1"/>
  <c r="AI157" i="60"/>
  <c r="AK157" i="60" s="1"/>
  <c r="AO157" i="60" s="1"/>
  <c r="AI61" i="60"/>
  <c r="AK61" i="60" s="1"/>
  <c r="AI145" i="60"/>
  <c r="AK145" i="60" s="1"/>
  <c r="AI73" i="60"/>
  <c r="AK73" i="60" s="1"/>
  <c r="J86" i="60"/>
  <c r="L86" i="60" s="1"/>
  <c r="J362" i="60"/>
  <c r="L362" i="60" s="1"/>
  <c r="J316" i="60"/>
  <c r="J340" i="60"/>
  <c r="J292" i="60"/>
  <c r="J139" i="60"/>
  <c r="L139" i="60" s="1"/>
  <c r="J367" i="60"/>
  <c r="L367" i="60" s="1"/>
  <c r="J113" i="60"/>
  <c r="J221" i="60"/>
  <c r="J249" i="60"/>
  <c r="L249" i="60" s="1"/>
  <c r="J171" i="60"/>
  <c r="J174" i="60"/>
  <c r="J282" i="60"/>
  <c r="J186" i="60"/>
  <c r="J258" i="60"/>
  <c r="J296" i="60"/>
  <c r="J80" i="60"/>
  <c r="J92" i="60"/>
  <c r="J358" i="60"/>
  <c r="J118" i="60"/>
  <c r="J287" i="60"/>
  <c r="L287" i="60" s="1"/>
  <c r="J203" i="60"/>
  <c r="L203" i="60" s="1"/>
  <c r="J144" i="60"/>
  <c r="J229" i="60"/>
  <c r="L229" i="60" s="1"/>
  <c r="X117" i="60"/>
  <c r="Z117" i="60" s="1"/>
  <c r="X147" i="60"/>
  <c r="X171" i="60"/>
  <c r="X334" i="60"/>
  <c r="X34" i="60"/>
  <c r="X133" i="60"/>
  <c r="Z133" i="60" s="1"/>
  <c r="X343" i="60"/>
  <c r="Z343" i="60" s="1"/>
  <c r="X151" i="60"/>
  <c r="Z151" i="60" s="1"/>
  <c r="X54" i="60"/>
  <c r="X162" i="60"/>
  <c r="X320" i="60"/>
  <c r="X20" i="60"/>
  <c r="X287" i="60"/>
  <c r="Z287" i="60" s="1"/>
  <c r="X182" i="60"/>
  <c r="Z182" i="60" s="1"/>
  <c r="X232" i="60"/>
  <c r="X148" i="60"/>
  <c r="X136" i="60"/>
  <c r="X156" i="60"/>
  <c r="X36" i="60"/>
  <c r="Q353" i="60"/>
  <c r="Q209" i="60"/>
  <c r="Q257" i="60"/>
  <c r="Q321" i="60"/>
  <c r="S321" i="60" s="1"/>
  <c r="Q255" i="60"/>
  <c r="Q159" i="60"/>
  <c r="Q354" i="60"/>
  <c r="Q30" i="60"/>
  <c r="Q152" i="60"/>
  <c r="J122" i="60"/>
  <c r="L122" i="60" s="1"/>
  <c r="J230" i="60"/>
  <c r="L230" i="60" s="1"/>
  <c r="J14" i="60"/>
  <c r="L14" i="60" s="1"/>
  <c r="J136" i="60"/>
  <c r="J328" i="60"/>
  <c r="J127" i="60"/>
  <c r="L127" i="60" s="1"/>
  <c r="J223" i="60"/>
  <c r="L223" i="60" s="1"/>
  <c r="J89" i="60"/>
  <c r="J101" i="60"/>
  <c r="J165" i="60"/>
  <c r="L165" i="60" s="1"/>
  <c r="J219" i="60"/>
  <c r="J99" i="60"/>
  <c r="J318" i="60"/>
  <c r="J66" i="60"/>
  <c r="J308" i="60"/>
  <c r="J106" i="60"/>
  <c r="J142" i="60"/>
  <c r="J94" i="60"/>
  <c r="J238" i="60"/>
  <c r="J299" i="60"/>
  <c r="L299" i="60" s="1"/>
  <c r="J240" i="60"/>
  <c r="J265" i="60"/>
  <c r="L265" i="60" s="1"/>
  <c r="J133" i="60"/>
  <c r="L133" i="60" s="1"/>
  <c r="X233" i="60"/>
  <c r="X89" i="60"/>
  <c r="X125" i="60"/>
  <c r="X261" i="60"/>
  <c r="Z261" i="60" s="1"/>
  <c r="X45" i="60"/>
  <c r="Z45" i="60" s="1"/>
  <c r="X363" i="60"/>
  <c r="X123" i="60"/>
  <c r="X286" i="60"/>
  <c r="X373" i="60"/>
  <c r="Z373" i="60" s="1"/>
  <c r="X25" i="60"/>
  <c r="Z25" i="60" s="1"/>
  <c r="X367" i="60"/>
  <c r="Z367" i="60" s="1"/>
  <c r="X127" i="60"/>
  <c r="Z127" i="60" s="1"/>
  <c r="X91" i="60"/>
  <c r="Z91" i="60" s="1"/>
  <c r="X294" i="60"/>
  <c r="X78" i="60"/>
  <c r="X66" i="60"/>
  <c r="X174" i="60"/>
  <c r="X332" i="60"/>
  <c r="X68" i="60"/>
  <c r="X290" i="60"/>
  <c r="Z290" i="60" s="1"/>
  <c r="X146" i="60"/>
  <c r="Z146" i="60" s="1"/>
  <c r="X76" i="60"/>
  <c r="X240" i="60"/>
  <c r="X180" i="60"/>
  <c r="Q182" i="60"/>
  <c r="S182" i="60" s="1"/>
  <c r="Q232" i="60"/>
  <c r="Q280" i="60"/>
  <c r="Q328" i="60"/>
  <c r="Q67" i="60"/>
  <c r="S67" i="60" s="1"/>
  <c r="Q317" i="60"/>
  <c r="Q173" i="60"/>
  <c r="Q39" i="60"/>
  <c r="Q111" i="60"/>
  <c r="Q99" i="60"/>
  <c r="Q258" i="60"/>
  <c r="Q128" i="60"/>
  <c r="Q260" i="60"/>
  <c r="Q143" i="60"/>
  <c r="S143" i="60" s="1"/>
  <c r="Q191" i="60"/>
  <c r="S191" i="60" s="1"/>
  <c r="Q108" i="60"/>
  <c r="Q84" i="60"/>
  <c r="Q265" i="60"/>
  <c r="S265" i="60" s="1"/>
  <c r="J290" i="60"/>
  <c r="L290" i="60" s="1"/>
  <c r="J16" i="60"/>
  <c r="J160" i="60"/>
  <c r="J307" i="60"/>
  <c r="L307" i="60" s="1"/>
  <c r="J353" i="60"/>
  <c r="J51" i="60"/>
  <c r="J351" i="60"/>
  <c r="J327" i="60"/>
  <c r="J370" i="60"/>
  <c r="J239" i="60"/>
  <c r="L239" i="60" s="1"/>
  <c r="J204" i="60"/>
  <c r="J205" i="60"/>
  <c r="L205" i="60" s="1"/>
  <c r="J301" i="60"/>
  <c r="L301" i="60" s="1"/>
  <c r="X369" i="60"/>
  <c r="Z369" i="60" s="1"/>
  <c r="X129" i="60"/>
  <c r="Z129" i="60" s="1"/>
  <c r="X93" i="60"/>
  <c r="Z93" i="60" s="1"/>
  <c r="X51" i="60"/>
  <c r="X99" i="60"/>
  <c r="X310" i="60"/>
  <c r="X250" i="60"/>
  <c r="X94" i="60"/>
  <c r="X118" i="60"/>
  <c r="X145" i="60"/>
  <c r="Z145" i="60" s="1"/>
  <c r="X37" i="60"/>
  <c r="Z37" i="60" s="1"/>
  <c r="X283" i="60"/>
  <c r="Z283" i="60" s="1"/>
  <c r="X235" i="60"/>
  <c r="Z235" i="60" s="1"/>
  <c r="X19" i="60"/>
  <c r="Z19" i="60" s="1"/>
  <c r="X270" i="60"/>
  <c r="X198" i="60"/>
  <c r="X116" i="60"/>
  <c r="X164" i="60"/>
  <c r="X23" i="60"/>
  <c r="Z23" i="60" s="1"/>
  <c r="X230" i="60"/>
  <c r="Z230" i="60" s="1"/>
  <c r="X134" i="60"/>
  <c r="Z134" i="60" s="1"/>
  <c r="X204" i="60"/>
  <c r="Q122" i="60"/>
  <c r="S122" i="60" s="1"/>
  <c r="Q278" i="60"/>
  <c r="S278" i="60" s="1"/>
  <c r="Q295" i="60"/>
  <c r="S295" i="60" s="1"/>
  <c r="Q355" i="60"/>
  <c r="S355" i="60" s="1"/>
  <c r="Q341" i="60"/>
  <c r="Q293" i="60"/>
  <c r="Q225" i="60"/>
  <c r="S225" i="60" s="1"/>
  <c r="Q27" i="60"/>
  <c r="Q291" i="60"/>
  <c r="Q284" i="60"/>
  <c r="Q140" i="60"/>
  <c r="Q311" i="60"/>
  <c r="S311" i="60" s="1"/>
  <c r="Q107" i="60"/>
  <c r="S107" i="60" s="1"/>
  <c r="Q145" i="60"/>
  <c r="S145" i="60" s="1"/>
  <c r="Q61" i="60"/>
  <c r="S61" i="60" s="1"/>
  <c r="Q109" i="60"/>
  <c r="S109" i="60" s="1"/>
  <c r="J206" i="60"/>
  <c r="L206" i="60" s="1"/>
  <c r="J124" i="60"/>
  <c r="J247" i="60"/>
  <c r="L247" i="60" s="1"/>
  <c r="J305" i="60"/>
  <c r="J357" i="60"/>
  <c r="L357" i="60" s="1"/>
  <c r="J153" i="60"/>
  <c r="L153" i="60" s="1"/>
  <c r="J279" i="60"/>
  <c r="J63" i="60"/>
  <c r="J342" i="60"/>
  <c r="J104" i="60"/>
  <c r="J368" i="60"/>
  <c r="J284" i="60"/>
  <c r="J298" i="60"/>
  <c r="J274" i="60"/>
  <c r="J59" i="60"/>
  <c r="L59" i="60" s="1"/>
  <c r="J275" i="60"/>
  <c r="L275" i="60" s="1"/>
  <c r="J348" i="60"/>
  <c r="J300" i="60"/>
  <c r="J313" i="60"/>
  <c r="L313" i="60" s="1"/>
  <c r="J253" i="60"/>
  <c r="L253" i="60" s="1"/>
  <c r="X293" i="60"/>
  <c r="X165" i="60"/>
  <c r="Z165" i="60" s="1"/>
  <c r="X183" i="60"/>
  <c r="X63" i="60"/>
  <c r="X322" i="60"/>
  <c r="X241" i="60"/>
  <c r="Z241" i="60" s="1"/>
  <c r="X49" i="60"/>
  <c r="Z49" i="60" s="1"/>
  <c r="X43" i="60"/>
  <c r="Z43" i="60" s="1"/>
  <c r="X103" i="60"/>
  <c r="Z103" i="60" s="1"/>
  <c r="X318" i="60"/>
  <c r="X42" i="60"/>
  <c r="X126" i="60"/>
  <c r="X284" i="60"/>
  <c r="X203" i="60"/>
  <c r="Z203" i="60" s="1"/>
  <c r="X71" i="60"/>
  <c r="Z71" i="60" s="1"/>
  <c r="X98" i="60"/>
  <c r="Z98" i="60" s="1"/>
  <c r="X110" i="60"/>
  <c r="Z110" i="60" s="1"/>
  <c r="X172" i="60"/>
  <c r="X100" i="60"/>
  <c r="X348" i="60"/>
  <c r="X84" i="60"/>
  <c r="X108" i="60"/>
  <c r="Q350" i="60"/>
  <c r="S350" i="60" s="1"/>
  <c r="Q98" i="60"/>
  <c r="S98" i="60" s="1"/>
  <c r="Q352" i="60"/>
  <c r="Q208" i="60"/>
  <c r="Q235" i="60"/>
  <c r="S235" i="60" s="1"/>
  <c r="Q53" i="60"/>
  <c r="Q101" i="60"/>
  <c r="Q189" i="60"/>
  <c r="S189" i="60" s="1"/>
  <c r="Q63" i="60"/>
  <c r="Q234" i="60"/>
  <c r="Q282" i="60"/>
  <c r="Q186" i="60"/>
  <c r="Q20" i="60"/>
  <c r="Q346" i="60"/>
  <c r="Q35" i="60"/>
  <c r="S35" i="60" s="1"/>
  <c r="Q167" i="60"/>
  <c r="S167" i="60" s="1"/>
  <c r="Q359" i="60"/>
  <c r="S359" i="60" s="1"/>
  <c r="Q24" i="60"/>
  <c r="Q361" i="60"/>
  <c r="S361" i="60" s="1"/>
  <c r="Q217" i="60"/>
  <c r="S217" i="60" s="1"/>
  <c r="Q169" i="60"/>
  <c r="S169" i="60" s="1"/>
  <c r="Q349" i="60"/>
  <c r="S349" i="60" s="1"/>
  <c r="G146" i="60"/>
  <c r="I146" i="60" s="1"/>
  <c r="G314" i="60"/>
  <c r="I314" i="60" s="1"/>
  <c r="G182" i="60"/>
  <c r="I182" i="60" s="1"/>
  <c r="G134" i="60"/>
  <c r="I134" i="60" s="1"/>
  <c r="G52" i="60"/>
  <c r="G196" i="60"/>
  <c r="G304" i="60"/>
  <c r="G103" i="60"/>
  <c r="I103" i="60" s="1"/>
  <c r="G319" i="60"/>
  <c r="I319" i="60" s="1"/>
  <c r="G43" i="60"/>
  <c r="I43" i="60" s="1"/>
  <c r="G89" i="60"/>
  <c r="G50" i="60"/>
  <c r="I50" i="60" s="1"/>
  <c r="G242" i="60"/>
  <c r="I242" i="60" s="1"/>
  <c r="G38" i="60"/>
  <c r="I38" i="60" s="1"/>
  <c r="G266" i="60"/>
  <c r="I266" i="60" s="1"/>
  <c r="G338" i="60"/>
  <c r="I338" i="60" s="1"/>
  <c r="G302" i="60"/>
  <c r="I302" i="60" s="1"/>
  <c r="G290" i="60"/>
  <c r="I290" i="60" s="1"/>
  <c r="G350" i="60"/>
  <c r="I350" i="60" s="1"/>
  <c r="G28" i="60"/>
  <c r="G364" i="60"/>
  <c r="G232" i="60"/>
  <c r="G280" i="60"/>
  <c r="G148" i="60"/>
  <c r="G136" i="60"/>
  <c r="G220" i="60"/>
  <c r="G328" i="60"/>
  <c r="G19" i="60"/>
  <c r="I19" i="60" s="1"/>
  <c r="G259" i="60"/>
  <c r="I259" i="60" s="1"/>
  <c r="G31" i="60"/>
  <c r="I31" i="60" s="1"/>
  <c r="G91" i="60"/>
  <c r="I91" i="60" s="1"/>
  <c r="G115" i="60"/>
  <c r="I115" i="60" s="1"/>
  <c r="G127" i="60"/>
  <c r="I127" i="60" s="1"/>
  <c r="G187" i="60"/>
  <c r="I187" i="60" s="1"/>
  <c r="G223" i="60"/>
  <c r="I223" i="60" s="1"/>
  <c r="G173" i="60"/>
  <c r="G209" i="60"/>
  <c r="G161" i="60"/>
  <c r="G77" i="60"/>
  <c r="G305" i="60"/>
  <c r="G65" i="60"/>
  <c r="G317" i="60"/>
  <c r="G69" i="60"/>
  <c r="I69" i="60" s="1"/>
  <c r="G261" i="60"/>
  <c r="I261" i="60" s="1"/>
  <c r="G21" i="60"/>
  <c r="I21" i="60" s="1"/>
  <c r="G369" i="60"/>
  <c r="I369" i="60" s="1"/>
  <c r="G357" i="60"/>
  <c r="I357" i="60" s="1"/>
  <c r="G237" i="60"/>
  <c r="I237" i="60" s="1"/>
  <c r="G153" i="60"/>
  <c r="I153" i="60" s="1"/>
  <c r="G111" i="60"/>
  <c r="G243" i="60"/>
  <c r="G39" i="60"/>
  <c r="G219" i="60"/>
  <c r="G147" i="60"/>
  <c r="G99" i="60"/>
  <c r="G291" i="60"/>
  <c r="G339" i="60"/>
  <c r="G54" i="60"/>
  <c r="G294" i="60"/>
  <c r="G18" i="60"/>
  <c r="G318" i="60"/>
  <c r="G114" i="60"/>
  <c r="G30" i="60"/>
  <c r="G210" i="60"/>
  <c r="G66" i="60"/>
  <c r="G104" i="60"/>
  <c r="G176" i="60"/>
  <c r="G368" i="60"/>
  <c r="G236" i="60"/>
  <c r="G140" i="60"/>
  <c r="G272" i="60"/>
  <c r="G284" i="60"/>
  <c r="G190" i="60"/>
  <c r="G226" i="60"/>
  <c r="G298" i="60"/>
  <c r="G214" i="60"/>
  <c r="G250" i="60"/>
  <c r="G46" i="60"/>
  <c r="G274" i="60"/>
  <c r="G155" i="60"/>
  <c r="I155" i="60" s="1"/>
  <c r="G107" i="60"/>
  <c r="I107" i="60" s="1"/>
  <c r="G299" i="60"/>
  <c r="I299" i="60" s="1"/>
  <c r="G215" i="60"/>
  <c r="I215" i="60" s="1"/>
  <c r="G323" i="60"/>
  <c r="I323" i="60" s="1"/>
  <c r="G359" i="60"/>
  <c r="I359" i="60" s="1"/>
  <c r="G347" i="60"/>
  <c r="I347" i="60" s="1"/>
  <c r="G36" i="60"/>
  <c r="G192" i="60"/>
  <c r="G336" i="60"/>
  <c r="G228" i="60"/>
  <c r="G24" i="60"/>
  <c r="G216" i="60"/>
  <c r="G168" i="60"/>
  <c r="G240" i="60"/>
  <c r="G145" i="60"/>
  <c r="I145" i="60" s="1"/>
  <c r="G241" i="60"/>
  <c r="I241" i="60" s="1"/>
  <c r="G313" i="60"/>
  <c r="I313" i="60" s="1"/>
  <c r="G73" i="60"/>
  <c r="I73" i="60" s="1"/>
  <c r="G253" i="60"/>
  <c r="I253" i="60" s="1"/>
  <c r="G337" i="60"/>
  <c r="I337" i="60" s="1"/>
  <c r="G289" i="60"/>
  <c r="I289" i="60" s="1"/>
  <c r="G373" i="60"/>
  <c r="I373" i="60" s="1"/>
  <c r="AB110" i="60"/>
  <c r="AD110" i="60" s="1"/>
  <c r="AB326" i="60"/>
  <c r="AD326" i="60" s="1"/>
  <c r="AB50" i="60"/>
  <c r="AD50" i="60" s="1"/>
  <c r="AB314" i="60"/>
  <c r="AD314" i="60" s="1"/>
  <c r="AB230" i="60"/>
  <c r="AD230" i="60" s="1"/>
  <c r="AB182" i="60"/>
  <c r="AD182" i="60" s="1"/>
  <c r="AB194" i="60"/>
  <c r="AD194" i="60" s="1"/>
  <c r="AB146" i="60"/>
  <c r="AD146" i="60" s="1"/>
  <c r="AB16" i="60"/>
  <c r="AD16" i="60" s="1"/>
  <c r="AB292" i="60"/>
  <c r="AD292" i="60" s="1"/>
  <c r="AB352" i="60"/>
  <c r="AD352" i="60" s="1"/>
  <c r="AB160" i="60"/>
  <c r="AD160" i="60" s="1"/>
  <c r="AB76" i="60"/>
  <c r="AD76" i="60" s="1"/>
  <c r="AB148" i="60"/>
  <c r="AD148" i="60" s="1"/>
  <c r="AB316" i="60"/>
  <c r="AD316" i="60" s="1"/>
  <c r="AB151" i="60"/>
  <c r="AD151" i="60" s="1"/>
  <c r="AB79" i="60"/>
  <c r="AD79" i="60" s="1"/>
  <c r="AB139" i="60"/>
  <c r="AD139" i="60" s="1"/>
  <c r="AB19" i="60"/>
  <c r="AD19" i="60" s="1"/>
  <c r="AB319" i="60"/>
  <c r="AD319" i="60" s="1"/>
  <c r="AB235" i="60"/>
  <c r="AD235" i="60" s="1"/>
  <c r="AB211" i="60"/>
  <c r="AD211" i="60" s="1"/>
  <c r="AB221" i="60"/>
  <c r="AD221" i="60" s="1"/>
  <c r="AB173" i="60"/>
  <c r="AD173" i="60" s="1"/>
  <c r="AB185" i="60"/>
  <c r="AD185" i="60" s="1"/>
  <c r="AB125" i="60"/>
  <c r="AD125" i="60" s="1"/>
  <c r="AB197" i="60"/>
  <c r="AD197" i="60" s="1"/>
  <c r="AB29" i="60"/>
  <c r="AD29" i="60" s="1"/>
  <c r="AB341" i="60"/>
  <c r="AD341" i="60" s="1"/>
  <c r="AB233" i="60"/>
  <c r="AD233" i="60" s="1"/>
  <c r="AB273" i="60"/>
  <c r="AD273" i="60" s="1"/>
  <c r="AB345" i="60"/>
  <c r="AD345" i="60" s="1"/>
  <c r="AB21" i="60"/>
  <c r="AD21" i="60" s="1"/>
  <c r="AB249" i="60"/>
  <c r="AD249" i="60" s="1"/>
  <c r="AB129" i="60"/>
  <c r="AD129" i="60" s="1"/>
  <c r="AB201" i="60"/>
  <c r="AD201" i="60" s="1"/>
  <c r="AB117" i="60"/>
  <c r="AD117" i="60" s="1"/>
  <c r="AB63" i="60"/>
  <c r="AD63" i="60" s="1"/>
  <c r="AB327" i="60"/>
  <c r="AD327" i="60" s="1"/>
  <c r="AB15" i="60"/>
  <c r="AD15" i="60" s="1"/>
  <c r="AB315" i="60"/>
  <c r="AD315" i="60" s="1"/>
  <c r="AB111" i="60"/>
  <c r="AD111" i="60" s="1"/>
  <c r="AB87" i="60"/>
  <c r="AD87" i="60" s="1"/>
  <c r="AB207" i="60"/>
  <c r="AD207" i="60" s="1"/>
  <c r="AB351" i="60"/>
  <c r="AD351" i="60" s="1"/>
  <c r="AB222" i="60"/>
  <c r="AD222" i="60" s="1"/>
  <c r="AB102" i="60"/>
  <c r="AD102" i="60" s="1"/>
  <c r="AB330" i="60"/>
  <c r="AD330" i="60" s="1"/>
  <c r="AB66" i="60"/>
  <c r="AD66" i="60" s="1"/>
  <c r="AB126" i="60"/>
  <c r="AD126" i="60" s="1"/>
  <c r="AB150" i="60"/>
  <c r="AD150" i="60" s="1"/>
  <c r="AB306" i="60"/>
  <c r="AD306" i="60" s="1"/>
  <c r="AB246" i="60"/>
  <c r="AD246" i="60" s="1"/>
  <c r="AB308" i="60"/>
  <c r="AD308" i="60" s="1"/>
  <c r="AB116" i="60"/>
  <c r="AD116" i="60" s="1"/>
  <c r="AB260" i="60"/>
  <c r="AD260" i="60" s="1"/>
  <c r="AB212" i="60"/>
  <c r="AD212" i="60" s="1"/>
  <c r="AB104" i="60"/>
  <c r="AD104" i="60" s="1"/>
  <c r="AB224" i="60"/>
  <c r="AD224" i="60" s="1"/>
  <c r="AB320" i="60"/>
  <c r="AD320" i="60" s="1"/>
  <c r="AB22" i="60"/>
  <c r="AD22" i="60" s="1"/>
  <c r="AB310" i="60"/>
  <c r="AD310" i="60" s="1"/>
  <c r="AB262" i="60"/>
  <c r="AD262" i="60" s="1"/>
  <c r="AB94" i="60"/>
  <c r="AD94" i="60" s="1"/>
  <c r="AB214" i="60"/>
  <c r="AD214" i="60" s="1"/>
  <c r="AB286" i="60"/>
  <c r="AD286" i="60" s="1"/>
  <c r="AB358" i="60"/>
  <c r="AD358" i="60" s="1"/>
  <c r="AB370" i="60"/>
  <c r="AD370" i="60" s="1"/>
  <c r="AB203" i="60"/>
  <c r="AD203" i="60" s="1"/>
  <c r="AB107" i="60"/>
  <c r="AD107" i="60" s="1"/>
  <c r="AB227" i="60"/>
  <c r="AD227" i="60" s="1"/>
  <c r="AB59" i="60"/>
  <c r="AD59" i="60" s="1"/>
  <c r="AB179" i="60"/>
  <c r="AD179" i="60" s="1"/>
  <c r="AB251" i="60"/>
  <c r="AD251" i="60" s="1"/>
  <c r="AB347" i="60"/>
  <c r="AD347" i="60" s="1"/>
  <c r="AB263" i="60"/>
  <c r="AD263" i="60" s="1"/>
  <c r="AB240" i="60"/>
  <c r="AD240" i="60" s="1"/>
  <c r="AB120" i="60"/>
  <c r="AD120" i="60" s="1"/>
  <c r="AB192" i="60"/>
  <c r="AD192" i="60" s="1"/>
  <c r="AB24" i="60"/>
  <c r="AD24" i="60" s="1"/>
  <c r="AB336" i="60"/>
  <c r="AD336" i="60" s="1"/>
  <c r="AB108" i="60"/>
  <c r="AD108" i="60" s="1"/>
  <c r="AB372" i="60"/>
  <c r="AD372" i="60" s="1"/>
  <c r="AB109" i="60"/>
  <c r="AD109" i="60" s="1"/>
  <c r="AB325" i="60"/>
  <c r="AD325" i="60" s="1"/>
  <c r="AB373" i="60"/>
  <c r="AD373" i="60" s="1"/>
  <c r="AB277" i="60"/>
  <c r="AD277" i="60" s="1"/>
  <c r="AB349" i="60"/>
  <c r="AD349" i="60" s="1"/>
  <c r="AB181" i="60"/>
  <c r="AD181" i="60" s="1"/>
  <c r="AB145" i="60"/>
  <c r="AD145" i="60" s="1"/>
  <c r="AB337" i="60"/>
  <c r="AD337" i="60" s="1"/>
  <c r="U293" i="60"/>
  <c r="U305" i="60"/>
  <c r="U329" i="60"/>
  <c r="U149" i="60"/>
  <c r="U101" i="60"/>
  <c r="U221" i="60"/>
  <c r="U41" i="60"/>
  <c r="U285" i="60"/>
  <c r="W285" i="60" s="1"/>
  <c r="U345" i="60"/>
  <c r="W345" i="60" s="1"/>
  <c r="U237" i="60"/>
  <c r="W237" i="60" s="1"/>
  <c r="U165" i="60"/>
  <c r="W165" i="60" s="1"/>
  <c r="U33" i="60"/>
  <c r="W33" i="60" s="1"/>
  <c r="U153" i="60"/>
  <c r="W153" i="60" s="1"/>
  <c r="U273" i="60"/>
  <c r="W273" i="60" s="1"/>
  <c r="U327" i="60"/>
  <c r="U363" i="60"/>
  <c r="U231" i="60"/>
  <c r="U123" i="60"/>
  <c r="U51" i="60"/>
  <c r="U75" i="60"/>
  <c r="U99" i="60"/>
  <c r="U310" i="60"/>
  <c r="U370" i="60"/>
  <c r="U250" i="60"/>
  <c r="U214" i="60"/>
  <c r="U94" i="60"/>
  <c r="U82" i="60"/>
  <c r="U34" i="60"/>
  <c r="U301" i="60"/>
  <c r="W301" i="60" s="1"/>
  <c r="U361" i="60"/>
  <c r="W361" i="60" s="1"/>
  <c r="U265" i="60"/>
  <c r="W265" i="60" s="1"/>
  <c r="U313" i="60"/>
  <c r="W313" i="60" s="1"/>
  <c r="U97" i="60"/>
  <c r="W97" i="60" s="1"/>
  <c r="U169" i="60"/>
  <c r="W169" i="60" s="1"/>
  <c r="U121" i="60"/>
  <c r="W121" i="60" s="1"/>
  <c r="U319" i="60"/>
  <c r="W319" i="60" s="1"/>
  <c r="U295" i="60"/>
  <c r="W295" i="60" s="1"/>
  <c r="U223" i="60"/>
  <c r="W223" i="60" s="1"/>
  <c r="U139" i="60"/>
  <c r="W139" i="60" s="1"/>
  <c r="U163" i="60"/>
  <c r="W163" i="60" s="1"/>
  <c r="U43" i="60"/>
  <c r="W43" i="60" s="1"/>
  <c r="U187" i="60"/>
  <c r="W187" i="60" s="1"/>
  <c r="U103" i="60"/>
  <c r="W103" i="60" s="1"/>
  <c r="U366" i="60"/>
  <c r="U294" i="60"/>
  <c r="U306" i="60"/>
  <c r="U78" i="60"/>
  <c r="U186" i="60"/>
  <c r="U66" i="60"/>
  <c r="U18" i="60"/>
  <c r="U174" i="60"/>
  <c r="U308" i="60"/>
  <c r="U332" i="60"/>
  <c r="U236" i="60"/>
  <c r="U32" i="60"/>
  <c r="U164" i="60"/>
  <c r="U188" i="60"/>
  <c r="U44" i="60"/>
  <c r="U215" i="60"/>
  <c r="W215" i="60" s="1"/>
  <c r="U263" i="60"/>
  <c r="W263" i="60" s="1"/>
  <c r="U239" i="60"/>
  <c r="W239" i="60" s="1"/>
  <c r="U23" i="60"/>
  <c r="W23" i="60" s="1"/>
  <c r="U107" i="60"/>
  <c r="W107" i="60" s="1"/>
  <c r="U227" i="60"/>
  <c r="W227" i="60" s="1"/>
  <c r="U35" i="60"/>
  <c r="W35" i="60" s="1"/>
  <c r="U362" i="60"/>
  <c r="W362" i="60" s="1"/>
  <c r="U314" i="60"/>
  <c r="W314" i="60" s="1"/>
  <c r="U230" i="60"/>
  <c r="W230" i="60" s="1"/>
  <c r="U194" i="60"/>
  <c r="W194" i="60" s="1"/>
  <c r="U170" i="60"/>
  <c r="W170" i="60" s="1"/>
  <c r="U74" i="60"/>
  <c r="W74" i="60" s="1"/>
  <c r="U134" i="60"/>
  <c r="W134" i="60" s="1"/>
  <c r="U244" i="60"/>
  <c r="U328" i="60"/>
  <c r="U316" i="60"/>
  <c r="U76" i="60"/>
  <c r="U112" i="60"/>
  <c r="U100" i="60"/>
  <c r="U160" i="60"/>
  <c r="U312" i="60"/>
  <c r="U288" i="60"/>
  <c r="U300" i="60"/>
  <c r="U156" i="60"/>
  <c r="U48" i="60"/>
  <c r="U36" i="60"/>
  <c r="U168" i="60"/>
  <c r="N182" i="60"/>
  <c r="P182" i="60" s="1"/>
  <c r="N122" i="60"/>
  <c r="P122" i="60" s="1"/>
  <c r="N350" i="60"/>
  <c r="P350" i="60" s="1"/>
  <c r="N146" i="60"/>
  <c r="P146" i="60" s="1"/>
  <c r="N206" i="60"/>
  <c r="P206" i="60" s="1"/>
  <c r="N110" i="60"/>
  <c r="P110" i="60" s="1"/>
  <c r="N88" i="60"/>
  <c r="N352" i="60"/>
  <c r="N364" i="60"/>
  <c r="N124" i="60"/>
  <c r="N328" i="60"/>
  <c r="N316" i="60"/>
  <c r="N199" i="60"/>
  <c r="P199" i="60" s="1"/>
  <c r="N331" i="60"/>
  <c r="P331" i="60" s="1"/>
  <c r="N259" i="60"/>
  <c r="P259" i="60" s="1"/>
  <c r="N79" i="60"/>
  <c r="P79" i="60" s="1"/>
  <c r="N235" i="60"/>
  <c r="P235" i="60" s="1"/>
  <c r="N67" i="60"/>
  <c r="P67" i="60" s="1"/>
  <c r="N269" i="60"/>
  <c r="N197" i="60"/>
  <c r="N101" i="60"/>
  <c r="N245" i="60"/>
  <c r="N65" i="60"/>
  <c r="N29" i="60"/>
  <c r="N213" i="60"/>
  <c r="P213" i="60" s="1"/>
  <c r="N21" i="60"/>
  <c r="P21" i="60" s="1"/>
  <c r="N69" i="60"/>
  <c r="P69" i="60" s="1"/>
  <c r="N297" i="60"/>
  <c r="P297" i="60" s="1"/>
  <c r="N33" i="60"/>
  <c r="P33" i="60" s="1"/>
  <c r="N57" i="60"/>
  <c r="P57" i="60" s="1"/>
  <c r="N231" i="60"/>
  <c r="N351" i="60"/>
  <c r="N195" i="60"/>
  <c r="N123" i="60"/>
  <c r="N303" i="60"/>
  <c r="N171" i="60"/>
  <c r="N234" i="60"/>
  <c r="N102" i="60"/>
  <c r="N150" i="60"/>
  <c r="N210" i="60"/>
  <c r="N30" i="60"/>
  <c r="N78" i="60"/>
  <c r="N56" i="60"/>
  <c r="N296" i="60"/>
  <c r="N80" i="60"/>
  <c r="N152" i="60"/>
  <c r="N188" i="60"/>
  <c r="N70" i="60"/>
  <c r="N346" i="60"/>
  <c r="N142" i="60"/>
  <c r="N262" i="60"/>
  <c r="N370" i="60"/>
  <c r="N46" i="60"/>
  <c r="N335" i="60"/>
  <c r="P335" i="60" s="1"/>
  <c r="N59" i="60"/>
  <c r="P59" i="60" s="1"/>
  <c r="N179" i="60"/>
  <c r="P179" i="60" s="1"/>
  <c r="N83" i="60"/>
  <c r="P83" i="60" s="1"/>
  <c r="N155" i="60"/>
  <c r="P155" i="60" s="1"/>
  <c r="N215" i="60"/>
  <c r="P215" i="60" s="1"/>
  <c r="N288" i="60"/>
  <c r="N108" i="60"/>
  <c r="N144" i="60"/>
  <c r="N48" i="60"/>
  <c r="N96" i="60"/>
  <c r="N252" i="60"/>
  <c r="N265" i="60"/>
  <c r="P265" i="60" s="1"/>
  <c r="N373" i="60"/>
  <c r="P373" i="60" s="1"/>
  <c r="N121" i="60"/>
  <c r="P121" i="60" s="1"/>
  <c r="N169" i="60"/>
  <c r="P169" i="60" s="1"/>
  <c r="N49" i="60"/>
  <c r="P49" i="60" s="1"/>
  <c r="N25" i="60"/>
  <c r="P25" i="60" s="1"/>
  <c r="U73" i="60"/>
  <c r="W73" i="60" s="1"/>
  <c r="U56" i="60"/>
  <c r="U40" i="60"/>
  <c r="N290" i="60"/>
  <c r="P290" i="60" s="1"/>
  <c r="N160" i="60"/>
  <c r="N220" i="60"/>
  <c r="N319" i="60"/>
  <c r="P319" i="60" s="1"/>
  <c r="N343" i="60"/>
  <c r="P343" i="60" s="1"/>
  <c r="N365" i="60"/>
  <c r="N177" i="60"/>
  <c r="P177" i="60" s="1"/>
  <c r="N237" i="60"/>
  <c r="P237" i="60" s="1"/>
  <c r="N111" i="60"/>
  <c r="N354" i="60"/>
  <c r="N114" i="60"/>
  <c r="N128" i="60"/>
  <c r="N308" i="60"/>
  <c r="N190" i="60"/>
  <c r="N371" i="60"/>
  <c r="P371" i="60" s="1"/>
  <c r="N312" i="60"/>
  <c r="N37" i="60"/>
  <c r="P37" i="60" s="1"/>
  <c r="AI364" i="60"/>
  <c r="AK364" i="60" s="1"/>
  <c r="AI292" i="60"/>
  <c r="AK292" i="60" s="1"/>
  <c r="AI232" i="60"/>
  <c r="AK232" i="60" s="1"/>
  <c r="AI304" i="60"/>
  <c r="AK304" i="60" s="1"/>
  <c r="AI112" i="60"/>
  <c r="AK112" i="60" s="1"/>
  <c r="AI148" i="60"/>
  <c r="AK148" i="60" s="1"/>
  <c r="AI64" i="60"/>
  <c r="AK64" i="60" s="1"/>
  <c r="AI355" i="60"/>
  <c r="AK355" i="60" s="1"/>
  <c r="AI343" i="60"/>
  <c r="AK343" i="60" s="1"/>
  <c r="AI151" i="60"/>
  <c r="AK151" i="60" s="1"/>
  <c r="AI139" i="60"/>
  <c r="AK139" i="60" s="1"/>
  <c r="AI55" i="60"/>
  <c r="AK55" i="60" s="1"/>
  <c r="AO55" i="60" s="1"/>
  <c r="AI283" i="60"/>
  <c r="AK283" i="60" s="1"/>
  <c r="AO283" i="60" s="1"/>
  <c r="AI187" i="60"/>
  <c r="AK187" i="60" s="1"/>
  <c r="AI271" i="60"/>
  <c r="AK271" i="60" s="1"/>
  <c r="AI335" i="60"/>
  <c r="AK335" i="60" s="1"/>
  <c r="AI371" i="60"/>
  <c r="AK371" i="60" s="1"/>
  <c r="AI287" i="60"/>
  <c r="AK287" i="60" s="1"/>
  <c r="AI227" i="60"/>
  <c r="AK227" i="60" s="1"/>
  <c r="AO227" i="60" s="1"/>
  <c r="AI47" i="60"/>
  <c r="AK47" i="60" s="1"/>
  <c r="AI95" i="60"/>
  <c r="AK95" i="60" s="1"/>
  <c r="AI23" i="60"/>
  <c r="AK23" i="60" s="1"/>
  <c r="AO23" i="60" s="1"/>
  <c r="AI372" i="60"/>
  <c r="AK372" i="60" s="1"/>
  <c r="AI264" i="60"/>
  <c r="AK264" i="60" s="1"/>
  <c r="AI324" i="60"/>
  <c r="AK324" i="60" s="1"/>
  <c r="AI228" i="60"/>
  <c r="AK228" i="60" s="1"/>
  <c r="AI48" i="60"/>
  <c r="AK48" i="60" s="1"/>
  <c r="AI252" i="60"/>
  <c r="AK252" i="60" s="1"/>
  <c r="AI108" i="60"/>
  <c r="AK108" i="60" s="1"/>
  <c r="AI36" i="60"/>
  <c r="AK36" i="60" s="1"/>
  <c r="AI338" i="60"/>
  <c r="AK338" i="60" s="1"/>
  <c r="AI326" i="60"/>
  <c r="AK326" i="60" s="1"/>
  <c r="AI254" i="60"/>
  <c r="AK254" i="60" s="1"/>
  <c r="AO254" i="60" s="1"/>
  <c r="AI194" i="60"/>
  <c r="AK194" i="60" s="1"/>
  <c r="AI158" i="60"/>
  <c r="AK158" i="60" s="1"/>
  <c r="AI110" i="60"/>
  <c r="AK110" i="60" s="1"/>
  <c r="AI98" i="60"/>
  <c r="AK98" i="60" s="1"/>
  <c r="AI26" i="60"/>
  <c r="AK26" i="60" s="1"/>
  <c r="AO26" i="60" s="1"/>
  <c r="AI322" i="60"/>
  <c r="AK322" i="60" s="1"/>
  <c r="AI238" i="60"/>
  <c r="AK238" i="60" s="1"/>
  <c r="AI286" i="60"/>
  <c r="AK286" i="60" s="1"/>
  <c r="AI178" i="60"/>
  <c r="AK178" i="60" s="1"/>
  <c r="AI118" i="60"/>
  <c r="AK118" i="60" s="1"/>
  <c r="AI358" i="60"/>
  <c r="AK358" i="60" s="1"/>
  <c r="AI226" i="60"/>
  <c r="AK226" i="60" s="1"/>
  <c r="AI46" i="60"/>
  <c r="AK46" i="60" s="1"/>
  <c r="AI365" i="60"/>
  <c r="AK365" i="60" s="1"/>
  <c r="AI293" i="60"/>
  <c r="AK293" i="60" s="1"/>
  <c r="AI233" i="60"/>
  <c r="AK233" i="60" s="1"/>
  <c r="AI161" i="60"/>
  <c r="AK161" i="60" s="1"/>
  <c r="AI17" i="60"/>
  <c r="AK17" i="60" s="1"/>
  <c r="AI281" i="60"/>
  <c r="AK281" i="60" s="1"/>
  <c r="AI29" i="60"/>
  <c r="AK29" i="60" s="1"/>
  <c r="AI209" i="60"/>
  <c r="AK209" i="60" s="1"/>
  <c r="AI255" i="60"/>
  <c r="AK255" i="60" s="1"/>
  <c r="AI351" i="60"/>
  <c r="AK351" i="60" s="1"/>
  <c r="AI147" i="60"/>
  <c r="AK147" i="60" s="1"/>
  <c r="AI87" i="60"/>
  <c r="AK87" i="60" s="1"/>
  <c r="AI219" i="60"/>
  <c r="AK219" i="60" s="1"/>
  <c r="AI207" i="60"/>
  <c r="AK207" i="60" s="1"/>
  <c r="AI75" i="60"/>
  <c r="AK75" i="60" s="1"/>
  <c r="AI285" i="60"/>
  <c r="AK285" i="60" s="1"/>
  <c r="AI273" i="60"/>
  <c r="AK273" i="60" s="1"/>
  <c r="AO273" i="60" s="1"/>
  <c r="AI237" i="60"/>
  <c r="AK237" i="60" s="1"/>
  <c r="AI105" i="60"/>
  <c r="AK105" i="60" s="1"/>
  <c r="AI117" i="60"/>
  <c r="AK117" i="60" s="1"/>
  <c r="AI249" i="60"/>
  <c r="AK249" i="60" s="1"/>
  <c r="AI81" i="60"/>
  <c r="AK81" i="60" s="1"/>
  <c r="AI294" i="60"/>
  <c r="AK294" i="60" s="1"/>
  <c r="AI342" i="60"/>
  <c r="AK342" i="60" s="1"/>
  <c r="AI354" i="60"/>
  <c r="AK354" i="60" s="1"/>
  <c r="AI366" i="60"/>
  <c r="AK366" i="60" s="1"/>
  <c r="AI162" i="60"/>
  <c r="AK162" i="60" s="1"/>
  <c r="AI78" i="60"/>
  <c r="AK78" i="60" s="1"/>
  <c r="AI222" i="60"/>
  <c r="AK222" i="60" s="1"/>
  <c r="AI18" i="60"/>
  <c r="AK18" i="60" s="1"/>
  <c r="AI284" i="60"/>
  <c r="AK284" i="60" s="1"/>
  <c r="AI356" i="60"/>
  <c r="AK356" i="60" s="1"/>
  <c r="AI176" i="60"/>
  <c r="AK176" i="60" s="1"/>
  <c r="AI80" i="60"/>
  <c r="AK80" i="60" s="1"/>
  <c r="AI44" i="60"/>
  <c r="AK44" i="60" s="1"/>
  <c r="AI92" i="60"/>
  <c r="AK92" i="60" s="1"/>
  <c r="AI32" i="60"/>
  <c r="AK32" i="60" s="1"/>
  <c r="AI301" i="60"/>
  <c r="AK301" i="60" s="1"/>
  <c r="AI373" i="60"/>
  <c r="AK373" i="60" s="1"/>
  <c r="AI193" i="60"/>
  <c r="AK193" i="60" s="1"/>
  <c r="AI97" i="60"/>
  <c r="AK97" i="60" s="1"/>
  <c r="AI217" i="60"/>
  <c r="AK217" i="60" s="1"/>
  <c r="AI85" i="60"/>
  <c r="AK85" i="60" s="1"/>
  <c r="AI133" i="60"/>
  <c r="AK133" i="60" s="1"/>
  <c r="AO133" i="60" s="1"/>
  <c r="AE326" i="60"/>
  <c r="AG326" i="60" s="1"/>
  <c r="AE314" i="60"/>
  <c r="AG314" i="60" s="1"/>
  <c r="AE182" i="60"/>
  <c r="AG182" i="60" s="1"/>
  <c r="AE146" i="60"/>
  <c r="AG146" i="60" s="1"/>
  <c r="J182" i="60"/>
  <c r="L182" i="60" s="1"/>
  <c r="AE292" i="60"/>
  <c r="AG292" i="60" s="1"/>
  <c r="AE160" i="60"/>
  <c r="AG160" i="60" s="1"/>
  <c r="AE148" i="60"/>
  <c r="AG148" i="60" s="1"/>
  <c r="J76" i="60"/>
  <c r="J112" i="60"/>
  <c r="J88" i="60"/>
  <c r="AE79" i="60"/>
  <c r="AG79" i="60" s="1"/>
  <c r="AE19" i="60"/>
  <c r="AG19" i="60" s="1"/>
  <c r="AE235" i="60"/>
  <c r="AG235" i="60" s="1"/>
  <c r="J67" i="60"/>
  <c r="L67" i="60" s="1"/>
  <c r="AE113" i="60"/>
  <c r="AG113" i="60" s="1"/>
  <c r="AE101" i="60"/>
  <c r="AG101" i="60" s="1"/>
  <c r="AE365" i="60"/>
  <c r="AG365" i="60" s="1"/>
  <c r="AE329" i="60"/>
  <c r="AG329" i="60" s="1"/>
  <c r="J17" i="60"/>
  <c r="J281" i="60"/>
  <c r="J245" i="60"/>
  <c r="AE33" i="60"/>
  <c r="AG33" i="60" s="1"/>
  <c r="AE261" i="60"/>
  <c r="AG261" i="60" s="1"/>
  <c r="AE81" i="60"/>
  <c r="AG81" i="60" s="1"/>
  <c r="AE333" i="60"/>
  <c r="AG333" i="60" s="1"/>
  <c r="J189" i="60"/>
  <c r="L189" i="60" s="1"/>
  <c r="J81" i="60"/>
  <c r="L81" i="60" s="1"/>
  <c r="AE39" i="60"/>
  <c r="AG39" i="60" s="1"/>
  <c r="AE195" i="60"/>
  <c r="AG195" i="60" s="1"/>
  <c r="AE183" i="60"/>
  <c r="AG183" i="60" s="1"/>
  <c r="J15" i="60"/>
  <c r="J159" i="60"/>
  <c r="AE90" i="60"/>
  <c r="AG90" i="60" s="1"/>
  <c r="AE54" i="60"/>
  <c r="AG54" i="60" s="1"/>
  <c r="AE18" i="60"/>
  <c r="AG18" i="60" s="1"/>
  <c r="J102" i="60"/>
  <c r="J126" i="60"/>
  <c r="J234" i="60"/>
  <c r="AE68" i="60"/>
  <c r="AG68" i="60" s="1"/>
  <c r="AE32" i="60"/>
  <c r="AG32" i="60" s="1"/>
  <c r="AE284" i="60"/>
  <c r="AG284" i="60" s="1"/>
  <c r="AE176" i="60"/>
  <c r="AG176" i="60" s="1"/>
  <c r="J224" i="60"/>
  <c r="J320" i="60"/>
  <c r="J34" i="60"/>
  <c r="J286" i="60"/>
  <c r="J334" i="60"/>
  <c r="AE34" i="60"/>
  <c r="AG34" i="60" s="1"/>
  <c r="AE334" i="60"/>
  <c r="AG334" i="60" s="1"/>
  <c r="AE322" i="60"/>
  <c r="AG322" i="60" s="1"/>
  <c r="AE107" i="60"/>
  <c r="AG107" i="60" s="1"/>
  <c r="AE59" i="60"/>
  <c r="AG59" i="60" s="1"/>
  <c r="AE251" i="60"/>
  <c r="AG251" i="60" s="1"/>
  <c r="AE263" i="60"/>
  <c r="AG263" i="60" s="1"/>
  <c r="J95" i="60"/>
  <c r="L95" i="60" s="1"/>
  <c r="J47" i="60"/>
  <c r="L47" i="60" s="1"/>
  <c r="J84" i="60"/>
  <c r="J288" i="60"/>
  <c r="J132" i="60"/>
  <c r="AE240" i="60"/>
  <c r="AG240" i="60" s="1"/>
  <c r="AE192" i="60"/>
  <c r="AG192" i="60" s="1"/>
  <c r="AE336" i="60"/>
  <c r="AG336" i="60" s="1"/>
  <c r="AE372" i="60"/>
  <c r="AG372" i="60" s="1"/>
  <c r="AE109" i="60"/>
  <c r="AG109" i="60" s="1"/>
  <c r="AE373" i="60"/>
  <c r="AG373" i="60" s="1"/>
  <c r="AE349" i="60"/>
  <c r="AG349" i="60" s="1"/>
  <c r="AE241" i="60"/>
  <c r="AG241" i="60" s="1"/>
  <c r="J325" i="60"/>
  <c r="L325" i="60" s="1"/>
  <c r="J181" i="60"/>
  <c r="L181" i="60" s="1"/>
  <c r="AL316" i="60"/>
  <c r="AN316" i="60" s="1"/>
  <c r="AL280" i="60"/>
  <c r="AN280" i="60" s="1"/>
  <c r="BG198" i="54"/>
  <c r="AL196" i="60"/>
  <c r="AN196" i="60" s="1"/>
  <c r="AL40" i="60"/>
  <c r="AN40" i="60" s="1"/>
  <c r="AL331" i="60"/>
  <c r="AL175" i="60"/>
  <c r="AL103" i="60"/>
  <c r="X353" i="60"/>
  <c r="X309" i="60"/>
  <c r="Z309" i="60" s="1"/>
  <c r="X249" i="60"/>
  <c r="Z249" i="60" s="1"/>
  <c r="X303" i="60"/>
  <c r="X39" i="60"/>
  <c r="X219" i="60"/>
  <c r="X298" i="60"/>
  <c r="X82" i="60"/>
  <c r="AL311" i="60"/>
  <c r="AL167" i="60"/>
  <c r="AL59" i="60"/>
  <c r="AL119" i="60"/>
  <c r="AL336" i="60"/>
  <c r="AN336" i="60" s="1"/>
  <c r="BG350" i="54"/>
  <c r="AL348" i="60"/>
  <c r="AN348" i="60" s="1"/>
  <c r="AL72" i="60"/>
  <c r="AN72" i="60" s="1"/>
  <c r="AL144" i="60"/>
  <c r="AN144" i="60" s="1"/>
  <c r="X301" i="60"/>
  <c r="Z301" i="60" s="1"/>
  <c r="AL362" i="60"/>
  <c r="AL182" i="60"/>
  <c r="AL206" i="60"/>
  <c r="AL14" i="60"/>
  <c r="X211" i="60"/>
  <c r="Z211" i="60" s="1"/>
  <c r="X79" i="60"/>
  <c r="Z79" i="60" s="1"/>
  <c r="X222" i="60"/>
  <c r="X344" i="60"/>
  <c r="X296" i="60"/>
  <c r="X152" i="60"/>
  <c r="AL262" i="60"/>
  <c r="AN262" i="60" s="1"/>
  <c r="BG72" i="54"/>
  <c r="AL70" i="60"/>
  <c r="AN70" i="60" s="1"/>
  <c r="BG192" i="54"/>
  <c r="AL190" i="60"/>
  <c r="AN190" i="60" s="1"/>
  <c r="AL106" i="60"/>
  <c r="AN106" i="60" s="1"/>
  <c r="X326" i="60"/>
  <c r="Z326" i="60" s="1"/>
  <c r="X122" i="60"/>
  <c r="Z122" i="60" s="1"/>
  <c r="X304" i="60"/>
  <c r="X256" i="60"/>
  <c r="AL245" i="60"/>
  <c r="AN245" i="60" s="1"/>
  <c r="BG199" i="54"/>
  <c r="AL197" i="60"/>
  <c r="AN197" i="60" s="1"/>
  <c r="BG67" i="54"/>
  <c r="AL65" i="60"/>
  <c r="AN65" i="60" s="1"/>
  <c r="AL41" i="60"/>
  <c r="AN41" i="60" s="1"/>
  <c r="AL303" i="60"/>
  <c r="AN303" i="60" s="1"/>
  <c r="AL159" i="60"/>
  <c r="AN159" i="60" s="1"/>
  <c r="BG233" i="54"/>
  <c r="AL231" i="60"/>
  <c r="AN231" i="60" s="1"/>
  <c r="AL99" i="60"/>
  <c r="AN99" i="60" s="1"/>
  <c r="AL321" i="60"/>
  <c r="AL69" i="60"/>
  <c r="AL201" i="60"/>
  <c r="AL246" i="60"/>
  <c r="AN246" i="60" s="1"/>
  <c r="AL150" i="60"/>
  <c r="AN150" i="60" s="1"/>
  <c r="AL114" i="60"/>
  <c r="AN114" i="60" s="1"/>
  <c r="AL54" i="60"/>
  <c r="AN54" i="60" s="1"/>
  <c r="BG370" i="54"/>
  <c r="AL368" i="60"/>
  <c r="AN368" i="60" s="1"/>
  <c r="AL104" i="60"/>
  <c r="AN104" i="60" s="1"/>
  <c r="AL332" i="60"/>
  <c r="AN332" i="60" s="1"/>
  <c r="BG250" i="54"/>
  <c r="AL248" i="60"/>
  <c r="AN248" i="60" s="1"/>
  <c r="X312" i="60"/>
  <c r="X300" i="60"/>
  <c r="BG255" i="54"/>
  <c r="AL253" i="60"/>
  <c r="AL49" i="60"/>
  <c r="AL109" i="60"/>
  <c r="Q158" i="60"/>
  <c r="S158" i="60" s="1"/>
  <c r="Q206" i="60"/>
  <c r="S206" i="60" s="1"/>
  <c r="Q50" i="60"/>
  <c r="S50" i="60" s="1"/>
  <c r="Q184" i="60"/>
  <c r="Q100" i="60"/>
  <c r="Q148" i="60"/>
  <c r="Q367" i="60"/>
  <c r="S367" i="60" s="1"/>
  <c r="Q331" i="60"/>
  <c r="S331" i="60" s="1"/>
  <c r="Q175" i="60"/>
  <c r="S175" i="60" s="1"/>
  <c r="Q249" i="60"/>
  <c r="S249" i="60" s="1"/>
  <c r="Q357" i="60"/>
  <c r="S357" i="60" s="1"/>
  <c r="Q267" i="60"/>
  <c r="Q171" i="60"/>
  <c r="Q18" i="60"/>
  <c r="Q330" i="60"/>
  <c r="Q198" i="60"/>
  <c r="Q224" i="60"/>
  <c r="Q80" i="60"/>
  <c r="Q68" i="60"/>
  <c r="Q274" i="60"/>
  <c r="Q130" i="60"/>
  <c r="Q59" i="60"/>
  <c r="S59" i="60" s="1"/>
  <c r="Q83" i="60"/>
  <c r="S83" i="60" s="1"/>
  <c r="Q372" i="60"/>
  <c r="Q252" i="60"/>
  <c r="Q253" i="60"/>
  <c r="S253" i="60" s="1"/>
  <c r="Q37" i="60"/>
  <c r="S37" i="60" s="1"/>
  <c r="Q193" i="60"/>
  <c r="S193" i="60" s="1"/>
  <c r="AE170" i="60"/>
  <c r="AG170" i="60" s="1"/>
  <c r="AE158" i="60"/>
  <c r="AG158" i="60" s="1"/>
  <c r="AE218" i="60"/>
  <c r="AG218" i="60" s="1"/>
  <c r="AE242" i="60"/>
  <c r="AG242" i="60" s="1"/>
  <c r="J254" i="60"/>
  <c r="L254" i="60" s="1"/>
  <c r="J26" i="60"/>
  <c r="L26" i="60" s="1"/>
  <c r="AE136" i="60"/>
  <c r="AG136" i="60" s="1"/>
  <c r="AE196" i="60"/>
  <c r="AG196" i="60" s="1"/>
  <c r="AE340" i="60"/>
  <c r="AG340" i="60" s="1"/>
  <c r="J28" i="60"/>
  <c r="J220" i="60"/>
  <c r="AE67" i="60"/>
  <c r="AG67" i="60" s="1"/>
  <c r="AE247" i="60"/>
  <c r="AG247" i="60" s="1"/>
  <c r="AE91" i="60"/>
  <c r="AG91" i="60" s="1"/>
  <c r="J115" i="60"/>
  <c r="L115" i="60" s="1"/>
  <c r="AE257" i="60"/>
  <c r="AG257" i="60" s="1"/>
  <c r="AE89" i="60"/>
  <c r="AG89" i="60" s="1"/>
  <c r="AE53" i="60"/>
  <c r="AG53" i="60" s="1"/>
  <c r="AE281" i="60"/>
  <c r="AG281" i="60" s="1"/>
  <c r="J53" i="60"/>
  <c r="J149" i="60"/>
  <c r="J365" i="60"/>
  <c r="AE273" i="60"/>
  <c r="AG273" i="60" s="1"/>
  <c r="AE21" i="60"/>
  <c r="AG21" i="60" s="1"/>
  <c r="AE129" i="60"/>
  <c r="AG129" i="60" s="1"/>
  <c r="AE117" i="60"/>
  <c r="AG117" i="60" s="1"/>
  <c r="J117" i="60"/>
  <c r="L117" i="60" s="1"/>
  <c r="J321" i="60"/>
  <c r="L321" i="60" s="1"/>
  <c r="AE171" i="60"/>
  <c r="AG171" i="60" s="1"/>
  <c r="AE231" i="60"/>
  <c r="AG231" i="60" s="1"/>
  <c r="AE219" i="60"/>
  <c r="AG219" i="60" s="1"/>
  <c r="J111" i="60"/>
  <c r="J39" i="60"/>
  <c r="J147" i="60"/>
  <c r="AE30" i="60"/>
  <c r="AG30" i="60" s="1"/>
  <c r="AE42" i="60"/>
  <c r="AG42" i="60" s="1"/>
  <c r="AE234" i="60"/>
  <c r="AG234" i="60" s="1"/>
  <c r="J18" i="60"/>
  <c r="J114" i="60"/>
  <c r="J210" i="60"/>
  <c r="AE308" i="60"/>
  <c r="AG308" i="60" s="1"/>
  <c r="AE20" i="60"/>
  <c r="AG20" i="60" s="1"/>
  <c r="AE164" i="60"/>
  <c r="AG164" i="60" s="1"/>
  <c r="AE368" i="60"/>
  <c r="AG368" i="60" s="1"/>
  <c r="J260" i="60"/>
  <c r="J356" i="60"/>
  <c r="J70" i="60"/>
  <c r="J166" i="60"/>
  <c r="AE226" i="60"/>
  <c r="AG226" i="60" s="1"/>
  <c r="AE178" i="60"/>
  <c r="AG178" i="60" s="1"/>
  <c r="AE166" i="60"/>
  <c r="AG166" i="60" s="1"/>
  <c r="AE47" i="60"/>
  <c r="AG47" i="60" s="1"/>
  <c r="AE299" i="60"/>
  <c r="AG299" i="60" s="1"/>
  <c r="AE287" i="60"/>
  <c r="AG287" i="60" s="1"/>
  <c r="AE371" i="60"/>
  <c r="AG371" i="60" s="1"/>
  <c r="J215" i="60"/>
  <c r="L215" i="60" s="1"/>
  <c r="AE96" i="60"/>
  <c r="AG96" i="60" s="1"/>
  <c r="AE360" i="60"/>
  <c r="AG360" i="60" s="1"/>
  <c r="AE324" i="60"/>
  <c r="AG324" i="60" s="1"/>
  <c r="AE60" i="60"/>
  <c r="AG60" i="60" s="1"/>
  <c r="AE97" i="60"/>
  <c r="AG97" i="60" s="1"/>
  <c r="AE61" i="60"/>
  <c r="AG61" i="60" s="1"/>
  <c r="AE229" i="60"/>
  <c r="AG229" i="60" s="1"/>
  <c r="AE145" i="60"/>
  <c r="AG145" i="60" s="1"/>
  <c r="J25" i="60"/>
  <c r="L25" i="60" s="1"/>
  <c r="AL328" i="60"/>
  <c r="AN328" i="60" s="1"/>
  <c r="AL160" i="60"/>
  <c r="AN160" i="60" s="1"/>
  <c r="AL100" i="60"/>
  <c r="AN100" i="60" s="1"/>
  <c r="AL16" i="60"/>
  <c r="AN16" i="60" s="1"/>
  <c r="AL199" i="60"/>
  <c r="AL295" i="60"/>
  <c r="AL67" i="60"/>
  <c r="X209" i="60"/>
  <c r="X137" i="60"/>
  <c r="X213" i="60"/>
  <c r="Z213" i="60" s="1"/>
  <c r="X327" i="60"/>
  <c r="X111" i="60"/>
  <c r="X166" i="60"/>
  <c r="AL347" i="60"/>
  <c r="AL299" i="60"/>
  <c r="AL83" i="60"/>
  <c r="AL155" i="60"/>
  <c r="AL360" i="60"/>
  <c r="AN360" i="60" s="1"/>
  <c r="AL180" i="60"/>
  <c r="AN180" i="60" s="1"/>
  <c r="AL132" i="60"/>
  <c r="AN132" i="60" s="1"/>
  <c r="AL24" i="60"/>
  <c r="AN24" i="60" s="1"/>
  <c r="X349" i="60"/>
  <c r="Z349" i="60" s="1"/>
  <c r="X205" i="60"/>
  <c r="Z205" i="60" s="1"/>
  <c r="X121" i="60"/>
  <c r="Z121" i="60" s="1"/>
  <c r="AL338" i="60"/>
  <c r="AL254" i="60"/>
  <c r="AL158" i="60"/>
  <c r="AL98" i="60"/>
  <c r="X271" i="60"/>
  <c r="Z271" i="60" s="1"/>
  <c r="X258" i="60"/>
  <c r="X306" i="60"/>
  <c r="X18" i="60"/>
  <c r="X104" i="60"/>
  <c r="AL238" i="60"/>
  <c r="AN238" i="60" s="1"/>
  <c r="AL178" i="60"/>
  <c r="AN178" i="60" s="1"/>
  <c r="AL358" i="60"/>
  <c r="AN358" i="60" s="1"/>
  <c r="AL46" i="60"/>
  <c r="AN46" i="60" s="1"/>
  <c r="X206" i="60"/>
  <c r="Z206" i="60" s="1"/>
  <c r="X316" i="60"/>
  <c r="X88" i="60"/>
  <c r="AL221" i="60"/>
  <c r="AN221" i="60" s="1"/>
  <c r="AL53" i="60"/>
  <c r="AN53" i="60" s="1"/>
  <c r="AL125" i="60"/>
  <c r="AN125" i="60" s="1"/>
  <c r="AL137" i="60"/>
  <c r="AN137" i="60" s="1"/>
  <c r="AL315" i="60"/>
  <c r="AN315" i="60" s="1"/>
  <c r="AL123" i="60"/>
  <c r="AN123" i="60" s="1"/>
  <c r="AL111" i="60"/>
  <c r="AN111" i="60" s="1"/>
  <c r="AL15" i="60"/>
  <c r="AN15" i="60" s="1"/>
  <c r="BG371" i="54"/>
  <c r="AL369" i="60"/>
  <c r="AL225" i="60"/>
  <c r="AL129" i="60"/>
  <c r="AL57" i="60"/>
  <c r="AL342" i="60"/>
  <c r="AN342" i="60" s="1"/>
  <c r="AL366" i="60"/>
  <c r="AN366" i="60" s="1"/>
  <c r="AL78" i="60"/>
  <c r="AN78" i="60" s="1"/>
  <c r="AL18" i="60"/>
  <c r="AN18" i="60" s="1"/>
  <c r="AL356" i="60"/>
  <c r="AN356" i="60" s="1"/>
  <c r="AL80" i="60"/>
  <c r="AN80" i="60" s="1"/>
  <c r="AL92" i="60"/>
  <c r="AN92" i="60" s="1"/>
  <c r="X264" i="60"/>
  <c r="X96" i="60"/>
  <c r="AL361" i="60"/>
  <c r="AL181" i="60"/>
  <c r="AL241" i="60"/>
  <c r="AL25" i="60"/>
  <c r="Q218" i="60"/>
  <c r="S218" i="60" s="1"/>
  <c r="Q196" i="60"/>
  <c r="Q124" i="60"/>
  <c r="Q256" i="60"/>
  <c r="Q139" i="60"/>
  <c r="S139" i="60" s="1"/>
  <c r="Q187" i="60"/>
  <c r="S187" i="60" s="1"/>
  <c r="Q151" i="60"/>
  <c r="S151" i="60" s="1"/>
  <c r="Q77" i="60"/>
  <c r="Q365" i="60"/>
  <c r="Q309" i="60"/>
  <c r="S309" i="60" s="1"/>
  <c r="Q165" i="60"/>
  <c r="S165" i="60" s="1"/>
  <c r="Q231" i="60"/>
  <c r="Q279" i="60"/>
  <c r="Q42" i="60"/>
  <c r="Q66" i="60"/>
  <c r="Q138" i="60"/>
  <c r="Q78" i="60"/>
  <c r="Q332" i="60"/>
  <c r="Q32" i="60"/>
  <c r="Q238" i="60"/>
  <c r="Q288" i="60"/>
  <c r="Q192" i="60"/>
  <c r="Q229" i="60"/>
  <c r="S229" i="60" s="1"/>
  <c r="AE86" i="60"/>
  <c r="AG86" i="60" s="1"/>
  <c r="AE278" i="60"/>
  <c r="AG278" i="60" s="1"/>
  <c r="AE302" i="60"/>
  <c r="AG302" i="60" s="1"/>
  <c r="AE26" i="60"/>
  <c r="AG26" i="60" s="1"/>
  <c r="J242" i="60"/>
  <c r="L242" i="60" s="1"/>
  <c r="AE256" i="60"/>
  <c r="AG256" i="60" s="1"/>
  <c r="AE244" i="60"/>
  <c r="AG244" i="60" s="1"/>
  <c r="AE100" i="60"/>
  <c r="AG100" i="60" s="1"/>
  <c r="AE124" i="60"/>
  <c r="AG124" i="60" s="1"/>
  <c r="J352" i="60"/>
  <c r="J64" i="60"/>
  <c r="AE187" i="60"/>
  <c r="AG187" i="60" s="1"/>
  <c r="AE175" i="60"/>
  <c r="AG175" i="60" s="1"/>
  <c r="AE43" i="60"/>
  <c r="AG43" i="60" s="1"/>
  <c r="AE163" i="60"/>
  <c r="AG163" i="60" s="1"/>
  <c r="J175" i="60"/>
  <c r="L175" i="60" s="1"/>
  <c r="J211" i="60"/>
  <c r="L211" i="60" s="1"/>
  <c r="J235" i="60"/>
  <c r="L235" i="60" s="1"/>
  <c r="AE65" i="60"/>
  <c r="AG65" i="60" s="1"/>
  <c r="AE245" i="60"/>
  <c r="AG245" i="60" s="1"/>
  <c r="AE353" i="60"/>
  <c r="AG353" i="60" s="1"/>
  <c r="AE149" i="60"/>
  <c r="AG149" i="60" s="1"/>
  <c r="J41" i="60"/>
  <c r="J269" i="60"/>
  <c r="AE57" i="60"/>
  <c r="AG57" i="60" s="1"/>
  <c r="AE237" i="60"/>
  <c r="AG237" i="60" s="1"/>
  <c r="AE105" i="60"/>
  <c r="AG105" i="60" s="1"/>
  <c r="AE369" i="60"/>
  <c r="AG369" i="60" s="1"/>
  <c r="J285" i="60"/>
  <c r="L285" i="60" s="1"/>
  <c r="AE135" i="60"/>
  <c r="AG135" i="60" s="1"/>
  <c r="AE123" i="60"/>
  <c r="AG123" i="60" s="1"/>
  <c r="AE339" i="60"/>
  <c r="AG339" i="60" s="1"/>
  <c r="AE303" i="60"/>
  <c r="AG303" i="60" s="1"/>
  <c r="J27" i="60"/>
  <c r="J363" i="60"/>
  <c r="AE114" i="60"/>
  <c r="AG114" i="60" s="1"/>
  <c r="AE342" i="60"/>
  <c r="AG342" i="60" s="1"/>
  <c r="AE354" i="60"/>
  <c r="AG354" i="60" s="1"/>
  <c r="AE366" i="60"/>
  <c r="AG366" i="60" s="1"/>
  <c r="J198" i="60"/>
  <c r="AE92" i="60"/>
  <c r="AG92" i="60" s="1"/>
  <c r="AE188" i="60"/>
  <c r="AG188" i="60" s="1"/>
  <c r="AE212" i="60"/>
  <c r="AG212" i="60" s="1"/>
  <c r="AE224" i="60"/>
  <c r="AG224" i="60" s="1"/>
  <c r="J56" i="60"/>
  <c r="J200" i="60"/>
  <c r="J58" i="60"/>
  <c r="J202" i="60"/>
  <c r="AE310" i="60"/>
  <c r="AG310" i="60" s="1"/>
  <c r="AE94" i="60"/>
  <c r="AG94" i="60" s="1"/>
  <c r="AE286" i="60"/>
  <c r="AG286" i="60" s="1"/>
  <c r="AE370" i="60"/>
  <c r="AG370" i="60" s="1"/>
  <c r="AE275" i="60"/>
  <c r="AG275" i="60" s="1"/>
  <c r="AE83" i="60"/>
  <c r="AG83" i="60" s="1"/>
  <c r="AE35" i="60"/>
  <c r="AG35" i="60" s="1"/>
  <c r="AE215" i="60"/>
  <c r="AG215" i="60" s="1"/>
  <c r="J371" i="60"/>
  <c r="L371" i="60" s="1"/>
  <c r="J312" i="60"/>
  <c r="J252" i="60"/>
  <c r="AE168" i="60"/>
  <c r="AG168" i="60" s="1"/>
  <c r="AE156" i="60"/>
  <c r="AG156" i="60" s="1"/>
  <c r="AE300" i="60"/>
  <c r="AG300" i="60" s="1"/>
  <c r="AE132" i="60"/>
  <c r="AG132" i="60" s="1"/>
  <c r="AE73" i="60"/>
  <c r="AG73" i="60" s="1"/>
  <c r="AE313" i="60"/>
  <c r="AG313" i="60" s="1"/>
  <c r="AE253" i="60"/>
  <c r="AG253" i="60" s="1"/>
  <c r="J49" i="60"/>
  <c r="L49" i="60" s="1"/>
  <c r="J193" i="60"/>
  <c r="L193" i="60" s="1"/>
  <c r="J349" i="60"/>
  <c r="L349" i="60" s="1"/>
  <c r="J169" i="60"/>
  <c r="L169" i="60" s="1"/>
  <c r="AL364" i="60"/>
  <c r="AN364" i="60" s="1"/>
  <c r="AL232" i="60"/>
  <c r="AN232" i="60" s="1"/>
  <c r="AL112" i="60"/>
  <c r="AN112" i="60" s="1"/>
  <c r="AL64" i="60"/>
  <c r="AN64" i="60" s="1"/>
  <c r="AL343" i="60"/>
  <c r="AL139" i="60"/>
  <c r="AL283" i="60"/>
  <c r="AL271" i="60"/>
  <c r="X113" i="60"/>
  <c r="X197" i="60"/>
  <c r="X297" i="60"/>
  <c r="Z297" i="60" s="1"/>
  <c r="X159" i="60"/>
  <c r="X370" i="60"/>
  <c r="X214" i="60"/>
  <c r="AL371" i="60"/>
  <c r="AL227" i="60"/>
  <c r="AL95" i="60"/>
  <c r="AL372" i="60"/>
  <c r="AN372" i="60" s="1"/>
  <c r="AL324" i="60"/>
  <c r="AN324" i="60" s="1"/>
  <c r="AL48" i="60"/>
  <c r="AN48" i="60" s="1"/>
  <c r="AL108" i="60"/>
  <c r="AN108" i="60" s="1"/>
  <c r="X253" i="60"/>
  <c r="Z253" i="60" s="1"/>
  <c r="X229" i="60"/>
  <c r="Z229" i="60" s="1"/>
  <c r="AL314" i="60"/>
  <c r="AL266" i="60"/>
  <c r="AL38" i="60"/>
  <c r="X331" i="60"/>
  <c r="Z331" i="60" s="1"/>
  <c r="X307" i="60"/>
  <c r="Z307" i="60" s="1"/>
  <c r="X234" i="60"/>
  <c r="X30" i="60"/>
  <c r="X272" i="60"/>
  <c r="X224" i="60"/>
  <c r="AL370" i="60"/>
  <c r="AN370" i="60" s="1"/>
  <c r="AL214" i="60"/>
  <c r="AN214" i="60" s="1"/>
  <c r="AL82" i="60"/>
  <c r="AN82" i="60" s="1"/>
  <c r="AL58" i="60"/>
  <c r="AN58" i="60" s="1"/>
  <c r="X215" i="60"/>
  <c r="Z215" i="60" s="1"/>
  <c r="X35" i="60"/>
  <c r="Z35" i="60" s="1"/>
  <c r="X314" i="60"/>
  <c r="Z314" i="60" s="1"/>
  <c r="X194" i="60"/>
  <c r="Z194" i="60" s="1"/>
  <c r="X74" i="60"/>
  <c r="Z74" i="60" s="1"/>
  <c r="X364" i="60"/>
  <c r="AL365" i="60"/>
  <c r="AN365" i="60" s="1"/>
  <c r="AL233" i="60"/>
  <c r="AN233" i="60" s="1"/>
  <c r="AL17" i="60"/>
  <c r="AN17" i="60" s="1"/>
  <c r="AL29" i="60"/>
  <c r="AN29" i="60" s="1"/>
  <c r="AL255" i="60"/>
  <c r="AN255" i="60" s="1"/>
  <c r="AL147" i="60"/>
  <c r="AN147" i="60" s="1"/>
  <c r="AL219" i="60"/>
  <c r="AN219" i="60" s="1"/>
  <c r="AL75" i="60"/>
  <c r="AN75" i="60" s="1"/>
  <c r="AL309" i="60"/>
  <c r="AL165" i="60"/>
  <c r="AL21" i="60"/>
  <c r="AL33" i="60"/>
  <c r="AL306" i="60"/>
  <c r="AN306" i="60" s="1"/>
  <c r="AL282" i="60"/>
  <c r="AN282" i="60" s="1"/>
  <c r="AL66" i="60"/>
  <c r="AN66" i="60" s="1"/>
  <c r="AL102" i="60"/>
  <c r="AN102" i="60" s="1"/>
  <c r="AL320" i="60"/>
  <c r="AN320" i="60" s="1"/>
  <c r="AL152" i="60"/>
  <c r="AN152" i="60" s="1"/>
  <c r="AL56" i="60"/>
  <c r="AN56" i="60" s="1"/>
  <c r="AL236" i="60"/>
  <c r="AN236" i="60" s="1"/>
  <c r="X276" i="60"/>
  <c r="AL313" i="60"/>
  <c r="AL265" i="60"/>
  <c r="AL61" i="60"/>
  <c r="AL73" i="60"/>
  <c r="Q74" i="60"/>
  <c r="S74" i="60" s="1"/>
  <c r="Q38" i="60"/>
  <c r="S38" i="60" s="1"/>
  <c r="Q242" i="60"/>
  <c r="S242" i="60" s="1"/>
  <c r="Q136" i="60"/>
  <c r="Q319" i="60"/>
  <c r="S319" i="60" s="1"/>
  <c r="Q223" i="60"/>
  <c r="S223" i="60" s="1"/>
  <c r="Q269" i="60"/>
  <c r="Q125" i="60"/>
  <c r="Q185" i="60"/>
  <c r="Q105" i="60"/>
  <c r="S105" i="60" s="1"/>
  <c r="Q45" i="60"/>
  <c r="S45" i="60" s="1"/>
  <c r="Q15" i="60"/>
  <c r="Q126" i="60"/>
  <c r="Q174" i="60"/>
  <c r="Q104" i="60"/>
  <c r="Q154" i="60"/>
  <c r="Q310" i="60"/>
  <c r="Q299" i="60"/>
  <c r="S299" i="60" s="1"/>
  <c r="Q95" i="60"/>
  <c r="S95" i="60" s="1"/>
  <c r="Q228" i="60"/>
  <c r="Q324" i="60"/>
  <c r="Q120" i="60"/>
  <c r="Q373" i="60"/>
  <c r="S373" i="60" s="1"/>
  <c r="Q157" i="60"/>
  <c r="S157" i="60" s="1"/>
  <c r="Q205" i="60"/>
  <c r="S205" i="60" s="1"/>
  <c r="Q277" i="60"/>
  <c r="S277" i="60" s="1"/>
  <c r="AE62" i="60"/>
  <c r="AG62" i="60" s="1"/>
  <c r="AE14" i="60"/>
  <c r="AG14" i="60" s="1"/>
  <c r="AE254" i="60"/>
  <c r="AG254" i="60" s="1"/>
  <c r="J146" i="60"/>
  <c r="L146" i="60" s="1"/>
  <c r="J74" i="60"/>
  <c r="L74" i="60" s="1"/>
  <c r="J62" i="60"/>
  <c r="L62" i="60" s="1"/>
  <c r="AE28" i="60"/>
  <c r="AG28" i="60" s="1"/>
  <c r="AE220" i="60"/>
  <c r="AG220" i="60" s="1"/>
  <c r="AE88" i="60"/>
  <c r="AG88" i="60" s="1"/>
  <c r="AE172" i="60"/>
  <c r="AG172" i="60" s="1"/>
  <c r="J52" i="60"/>
  <c r="J304" i="60"/>
  <c r="AE103" i="60"/>
  <c r="AG103" i="60" s="1"/>
  <c r="AE295" i="60"/>
  <c r="AG295" i="60" s="1"/>
  <c r="AE127" i="60"/>
  <c r="AG127" i="60" s="1"/>
  <c r="AE355" i="60"/>
  <c r="AG355" i="60" s="1"/>
  <c r="J103" i="60"/>
  <c r="L103" i="60" s="1"/>
  <c r="J43" i="60"/>
  <c r="L43" i="60" s="1"/>
  <c r="J79" i="60"/>
  <c r="L79" i="60" s="1"/>
  <c r="AE173" i="60"/>
  <c r="AG173" i="60" s="1"/>
  <c r="AE125" i="60"/>
  <c r="AG125" i="60" s="1"/>
  <c r="AE29" i="60"/>
  <c r="AG29" i="60" s="1"/>
  <c r="AE233" i="60"/>
  <c r="AG233" i="60" s="1"/>
  <c r="J65" i="60"/>
  <c r="AE309" i="60"/>
  <c r="AG309" i="60" s="1"/>
  <c r="AE177" i="60"/>
  <c r="AG177" i="60" s="1"/>
  <c r="AE165" i="60"/>
  <c r="AG165" i="60" s="1"/>
  <c r="AE285" i="60"/>
  <c r="AG285" i="60" s="1"/>
  <c r="J369" i="60"/>
  <c r="L369" i="60" s="1"/>
  <c r="J237" i="60"/>
  <c r="L237" i="60" s="1"/>
  <c r="AE63" i="60"/>
  <c r="AG63" i="60" s="1"/>
  <c r="AE15" i="60"/>
  <c r="AG15" i="60" s="1"/>
  <c r="AE111" i="60"/>
  <c r="AG111" i="60" s="1"/>
  <c r="AE207" i="60"/>
  <c r="AG207" i="60" s="1"/>
  <c r="J87" i="60"/>
  <c r="J123" i="60"/>
  <c r="AE222" i="60"/>
  <c r="AG222" i="60" s="1"/>
  <c r="AE330" i="60"/>
  <c r="AG330" i="60" s="1"/>
  <c r="AE126" i="60"/>
  <c r="AG126" i="60" s="1"/>
  <c r="AE306" i="60"/>
  <c r="AG306" i="60" s="1"/>
  <c r="J138" i="60"/>
  <c r="J162" i="60"/>
  <c r="J354" i="60"/>
  <c r="J330" i="60"/>
  <c r="AE344" i="60"/>
  <c r="AG344" i="60" s="1"/>
  <c r="AE296" i="60"/>
  <c r="AG296" i="60" s="1"/>
  <c r="AE200" i="60"/>
  <c r="AG200" i="60" s="1"/>
  <c r="AE128" i="60"/>
  <c r="AG128" i="60" s="1"/>
  <c r="J176" i="60"/>
  <c r="J272" i="60"/>
  <c r="J46" i="60"/>
  <c r="AE82" i="60"/>
  <c r="AG82" i="60" s="1"/>
  <c r="AE202" i="60"/>
  <c r="AG202" i="60" s="1"/>
  <c r="AE70" i="60"/>
  <c r="AG70" i="60" s="1"/>
  <c r="AE346" i="60"/>
  <c r="AG346" i="60" s="1"/>
  <c r="AE191" i="60"/>
  <c r="AG191" i="60" s="1"/>
  <c r="AE335" i="60"/>
  <c r="AG335" i="60" s="1"/>
  <c r="AE323" i="60"/>
  <c r="AG323" i="60" s="1"/>
  <c r="J35" i="60"/>
  <c r="L35" i="60" s="1"/>
  <c r="J131" i="60"/>
  <c r="L131" i="60" s="1"/>
  <c r="J227" i="60"/>
  <c r="L227" i="60" s="1"/>
  <c r="J108" i="60"/>
  <c r="J372" i="60"/>
  <c r="AE72" i="60"/>
  <c r="AG72" i="60" s="1"/>
  <c r="AE36" i="60"/>
  <c r="AG36" i="60" s="1"/>
  <c r="AE252" i="60"/>
  <c r="AG252" i="60" s="1"/>
  <c r="AE180" i="60"/>
  <c r="AG180" i="60" s="1"/>
  <c r="AE133" i="60"/>
  <c r="AG133" i="60" s="1"/>
  <c r="AE37" i="60"/>
  <c r="AG37" i="60" s="1"/>
  <c r="AE301" i="60"/>
  <c r="AG301" i="60" s="1"/>
  <c r="AE193" i="60"/>
  <c r="AG193" i="60" s="1"/>
  <c r="J241" i="60"/>
  <c r="L241" i="60" s="1"/>
  <c r="J73" i="60"/>
  <c r="L73" i="60" s="1"/>
  <c r="J337" i="60"/>
  <c r="L337" i="60" s="1"/>
  <c r="J373" i="60"/>
  <c r="L373" i="60" s="1"/>
  <c r="AL256" i="60"/>
  <c r="AN256" i="60" s="1"/>
  <c r="AL172" i="60"/>
  <c r="AN172" i="60" s="1"/>
  <c r="AL124" i="60"/>
  <c r="AN124" i="60" s="1"/>
  <c r="AL259" i="60"/>
  <c r="AL163" i="60"/>
  <c r="AL115" i="60"/>
  <c r="AL31" i="60"/>
  <c r="X305" i="60"/>
  <c r="X185" i="60"/>
  <c r="X33" i="60"/>
  <c r="Z33" i="60" s="1"/>
  <c r="X255" i="60"/>
  <c r="X207" i="60"/>
  <c r="X226" i="60"/>
  <c r="AL263" i="60"/>
  <c r="AL215" i="60"/>
  <c r="AL107" i="60"/>
  <c r="AL71" i="60"/>
  <c r="AL168" i="60"/>
  <c r="AN168" i="60" s="1"/>
  <c r="AL240" i="60"/>
  <c r="AN240" i="60" s="1"/>
  <c r="AL96" i="60"/>
  <c r="AN96" i="60" s="1"/>
  <c r="AL204" i="60"/>
  <c r="AN204" i="60" s="1"/>
  <c r="X217" i="60"/>
  <c r="Z217" i="60" s="1"/>
  <c r="X73" i="60"/>
  <c r="Z73" i="60" s="1"/>
  <c r="AL290" i="60"/>
  <c r="AL146" i="60"/>
  <c r="AL62" i="60"/>
  <c r="AL170" i="60"/>
  <c r="X223" i="60"/>
  <c r="Z223" i="60" s="1"/>
  <c r="X282" i="60"/>
  <c r="X44" i="60"/>
  <c r="AL298" i="60"/>
  <c r="AN298" i="60" s="1"/>
  <c r="AL34" i="60"/>
  <c r="AN34" i="60" s="1"/>
  <c r="AL250" i="60"/>
  <c r="AN250" i="60" s="1"/>
  <c r="X335" i="60"/>
  <c r="Z335" i="60" s="1"/>
  <c r="X311" i="60"/>
  <c r="Z311" i="60" s="1"/>
  <c r="X167" i="60"/>
  <c r="Z167" i="60" s="1"/>
  <c r="X352" i="60"/>
  <c r="X160" i="60"/>
  <c r="AL305" i="60"/>
  <c r="AN305" i="60" s="1"/>
  <c r="AL149" i="60"/>
  <c r="AN149" i="60" s="1"/>
  <c r="AL173" i="60"/>
  <c r="AN173" i="60" s="1"/>
  <c r="AL89" i="60"/>
  <c r="AN89" i="60" s="1"/>
  <c r="AL291" i="60"/>
  <c r="AN291" i="60" s="1"/>
  <c r="AL63" i="60"/>
  <c r="AN63" i="60" s="1"/>
  <c r="AL243" i="60"/>
  <c r="AN243" i="60" s="1"/>
  <c r="AL285" i="60"/>
  <c r="AL237" i="60"/>
  <c r="AL117" i="60"/>
  <c r="AL81" i="60"/>
  <c r="AL258" i="60"/>
  <c r="AN258" i="60" s="1"/>
  <c r="AL198" i="60"/>
  <c r="AN198" i="60" s="1"/>
  <c r="AL138" i="60"/>
  <c r="AN138" i="60" s="1"/>
  <c r="AL344" i="60"/>
  <c r="AN344" i="60" s="1"/>
  <c r="AL212" i="60"/>
  <c r="AN212" i="60" s="1"/>
  <c r="AL224" i="60"/>
  <c r="AN224" i="60" s="1"/>
  <c r="AL68" i="60"/>
  <c r="AN68" i="60" s="1"/>
  <c r="X360" i="60"/>
  <c r="AL301" i="60"/>
  <c r="AL193" i="60"/>
  <c r="AL217" i="60"/>
  <c r="AL133" i="60"/>
  <c r="Q254" i="60"/>
  <c r="S254" i="60" s="1"/>
  <c r="Q230" i="60"/>
  <c r="S230" i="60" s="1"/>
  <c r="Q326" i="60"/>
  <c r="S326" i="60" s="1"/>
  <c r="Q172" i="60"/>
  <c r="Q40" i="60"/>
  <c r="Q307" i="60"/>
  <c r="S307" i="60" s="1"/>
  <c r="Q43" i="60"/>
  <c r="S43" i="60" s="1"/>
  <c r="Q149" i="60"/>
  <c r="Q245" i="60"/>
  <c r="Q305" i="60"/>
  <c r="Q213" i="60"/>
  <c r="S213" i="60" s="1"/>
  <c r="Q285" i="60"/>
  <c r="S285" i="60" s="1"/>
  <c r="Q117" i="60"/>
  <c r="S117" i="60" s="1"/>
  <c r="Q147" i="60"/>
  <c r="Q87" i="60"/>
  <c r="Q303" i="60"/>
  <c r="Q75" i="60"/>
  <c r="Q102" i="60"/>
  <c r="Q250" i="60"/>
  <c r="Q142" i="60"/>
  <c r="Q82" i="60"/>
  <c r="Q119" i="60"/>
  <c r="S119" i="60" s="1"/>
  <c r="Q227" i="60"/>
  <c r="S227" i="60" s="1"/>
  <c r="Q287" i="60"/>
  <c r="S287" i="60" s="1"/>
  <c r="Q348" i="60"/>
  <c r="Q312" i="60"/>
  <c r="Q60" i="60"/>
  <c r="Q289" i="60"/>
  <c r="S289" i="60" s="1"/>
  <c r="Q121" i="60"/>
  <c r="S121" i="60" s="1"/>
  <c r="Q337" i="60"/>
  <c r="S337" i="60" s="1"/>
  <c r="Q25" i="60"/>
  <c r="S25" i="60" s="1"/>
  <c r="Q133" i="60"/>
  <c r="S133" i="60" s="1"/>
  <c r="G74" i="60"/>
  <c r="I74" i="60" s="1"/>
  <c r="G98" i="60"/>
  <c r="I98" i="60" s="1"/>
  <c r="G110" i="60"/>
  <c r="I110" i="60" s="1"/>
  <c r="G326" i="60"/>
  <c r="I326" i="60" s="1"/>
  <c r="G62" i="60"/>
  <c r="I62" i="60" s="1"/>
  <c r="G206" i="60"/>
  <c r="I206" i="60" s="1"/>
  <c r="G16" i="60"/>
  <c r="G40" i="60"/>
  <c r="G160" i="60"/>
  <c r="G352" i="60"/>
  <c r="G268" i="60"/>
  <c r="G64" i="60"/>
  <c r="G184" i="60"/>
  <c r="G163" i="60"/>
  <c r="I163" i="60" s="1"/>
  <c r="G175" i="60"/>
  <c r="I175" i="60" s="1"/>
  <c r="G271" i="60"/>
  <c r="I271" i="60" s="1"/>
  <c r="G211" i="60"/>
  <c r="I211" i="60" s="1"/>
  <c r="G199" i="60"/>
  <c r="I199" i="60" s="1"/>
  <c r="G235" i="60"/>
  <c r="I235" i="60" s="1"/>
  <c r="G307" i="60"/>
  <c r="I307" i="60" s="1"/>
  <c r="G137" i="60"/>
  <c r="G17" i="60"/>
  <c r="G341" i="60"/>
  <c r="G281" i="60"/>
  <c r="G113" i="60"/>
  <c r="G245" i="60"/>
  <c r="G221" i="60"/>
  <c r="G293" i="60"/>
  <c r="G93" i="60"/>
  <c r="I93" i="60" s="1"/>
  <c r="G189" i="60"/>
  <c r="I189" i="60" s="1"/>
  <c r="G249" i="60"/>
  <c r="I249" i="60" s="1"/>
  <c r="G333" i="60"/>
  <c r="I333" i="60" s="1"/>
  <c r="G129" i="60"/>
  <c r="I129" i="60" s="1"/>
  <c r="G81" i="60"/>
  <c r="I81" i="60" s="1"/>
  <c r="G201" i="60"/>
  <c r="I201" i="60" s="1"/>
  <c r="G345" i="60"/>
  <c r="I345" i="60" s="1"/>
  <c r="G51" i="60"/>
  <c r="G27" i="60"/>
  <c r="G351" i="60"/>
  <c r="G363" i="60"/>
  <c r="G183" i="60"/>
  <c r="G135" i="60"/>
  <c r="G327" i="60"/>
  <c r="G150" i="60"/>
  <c r="G366" i="60"/>
  <c r="G246" i="60"/>
  <c r="G42" i="60"/>
  <c r="G270" i="60"/>
  <c r="G198" i="60"/>
  <c r="G306" i="60"/>
  <c r="G32" i="60"/>
  <c r="G224" i="60"/>
  <c r="G296" i="60"/>
  <c r="G212" i="60"/>
  <c r="G80" i="60"/>
  <c r="G320" i="60"/>
  <c r="G92" i="60"/>
  <c r="G188" i="60"/>
  <c r="G154" i="60"/>
  <c r="G34" i="60"/>
  <c r="G358" i="60"/>
  <c r="G22" i="60"/>
  <c r="G118" i="60"/>
  <c r="G286" i="60"/>
  <c r="G82" i="60"/>
  <c r="G334" i="60"/>
  <c r="G119" i="60"/>
  <c r="I119" i="60" s="1"/>
  <c r="G191" i="60"/>
  <c r="I191" i="60" s="1"/>
  <c r="G143" i="60"/>
  <c r="I143" i="60" s="1"/>
  <c r="G335" i="60"/>
  <c r="I335" i="60" s="1"/>
  <c r="G251" i="60"/>
  <c r="I251" i="60" s="1"/>
  <c r="G371" i="60"/>
  <c r="I371" i="60" s="1"/>
  <c r="G239" i="60"/>
  <c r="I239" i="60" s="1"/>
  <c r="G83" i="60"/>
  <c r="I83" i="60" s="1"/>
  <c r="G120" i="60"/>
  <c r="G312" i="60"/>
  <c r="G72" i="60"/>
  <c r="G264" i="60"/>
  <c r="G60" i="60"/>
  <c r="G252" i="60"/>
  <c r="G204" i="60"/>
  <c r="G85" i="60"/>
  <c r="I85" i="60" s="1"/>
  <c r="G277" i="60"/>
  <c r="I277" i="60" s="1"/>
  <c r="G325" i="60"/>
  <c r="I325" i="60" s="1"/>
  <c r="G229" i="60"/>
  <c r="I229" i="60" s="1"/>
  <c r="G181" i="60"/>
  <c r="I181" i="60" s="1"/>
  <c r="G217" i="60"/>
  <c r="I217" i="60" s="1"/>
  <c r="G109" i="60"/>
  <c r="I109" i="60" s="1"/>
  <c r="AB98" i="60"/>
  <c r="AD98" i="60" s="1"/>
  <c r="AB170" i="60"/>
  <c r="AD170" i="60" s="1"/>
  <c r="AB38" i="60"/>
  <c r="AD38" i="60" s="1"/>
  <c r="AB158" i="60"/>
  <c r="AD158" i="60" s="1"/>
  <c r="AB266" i="60"/>
  <c r="AD266" i="60" s="1"/>
  <c r="AB218" i="60"/>
  <c r="AD218" i="60" s="1"/>
  <c r="AB338" i="60"/>
  <c r="AD338" i="60" s="1"/>
  <c r="AB242" i="60"/>
  <c r="AD242" i="60" s="1"/>
  <c r="AB112" i="60"/>
  <c r="AD112" i="60" s="1"/>
  <c r="AB136" i="60"/>
  <c r="AD136" i="60" s="1"/>
  <c r="AB208" i="60"/>
  <c r="AD208" i="60" s="1"/>
  <c r="AB196" i="60"/>
  <c r="AD196" i="60" s="1"/>
  <c r="AB64" i="60"/>
  <c r="AD64" i="60" s="1"/>
  <c r="AB340" i="60"/>
  <c r="AD340" i="60" s="1"/>
  <c r="AB364" i="60"/>
  <c r="AD364" i="60" s="1"/>
  <c r="AB343" i="60"/>
  <c r="AD343" i="60" s="1"/>
  <c r="AB67" i="60"/>
  <c r="AD67" i="60" s="1"/>
  <c r="AB331" i="60"/>
  <c r="AD331" i="60" s="1"/>
  <c r="AB247" i="60"/>
  <c r="AD247" i="60" s="1"/>
  <c r="AB307" i="60"/>
  <c r="AD307" i="60" s="1"/>
  <c r="AB91" i="60"/>
  <c r="AD91" i="60" s="1"/>
  <c r="AB367" i="60"/>
  <c r="AD367" i="60" s="1"/>
  <c r="AB113" i="60"/>
  <c r="AD113" i="60" s="1"/>
  <c r="AB17" i="60"/>
  <c r="AD17" i="60" s="1"/>
  <c r="AB101" i="60"/>
  <c r="AD101" i="60" s="1"/>
  <c r="AB317" i="60"/>
  <c r="AD317" i="60" s="1"/>
  <c r="AB365" i="60"/>
  <c r="AD365" i="60" s="1"/>
  <c r="AB269" i="60"/>
  <c r="AD269" i="60" s="1"/>
  <c r="AB329" i="60"/>
  <c r="AD329" i="60" s="1"/>
  <c r="AB57" i="60"/>
  <c r="AD57" i="60" s="1"/>
  <c r="AB69" i="60"/>
  <c r="AD69" i="60" s="1"/>
  <c r="AB237" i="60"/>
  <c r="AD237" i="60" s="1"/>
  <c r="AB297" i="60"/>
  <c r="AD297" i="60" s="1"/>
  <c r="AB105" i="60"/>
  <c r="AD105" i="60" s="1"/>
  <c r="AB321" i="60"/>
  <c r="AD321" i="60" s="1"/>
  <c r="AB369" i="60"/>
  <c r="AD369" i="60" s="1"/>
  <c r="AB141" i="60"/>
  <c r="AD141" i="60" s="1"/>
  <c r="AB51" i="60"/>
  <c r="AD51" i="60" s="1"/>
  <c r="AB39" i="60"/>
  <c r="AD39" i="60" s="1"/>
  <c r="AB243" i="60"/>
  <c r="AD243" i="60" s="1"/>
  <c r="AB195" i="60"/>
  <c r="AD195" i="60" s="1"/>
  <c r="AB99" i="60"/>
  <c r="AD99" i="60" s="1"/>
  <c r="AB183" i="60"/>
  <c r="AD183" i="60" s="1"/>
  <c r="AB159" i="60"/>
  <c r="AD159" i="60" s="1"/>
  <c r="AB258" i="60"/>
  <c r="AD258" i="60" s="1"/>
  <c r="AB90" i="60"/>
  <c r="AD90" i="60" s="1"/>
  <c r="AB174" i="60"/>
  <c r="AD174" i="60" s="1"/>
  <c r="AB54" i="60"/>
  <c r="AD54" i="60" s="1"/>
  <c r="AB318" i="60"/>
  <c r="AD318" i="60" s="1"/>
  <c r="AB18" i="60"/>
  <c r="AD18" i="60" s="1"/>
  <c r="AB198" i="60"/>
  <c r="AD198" i="60" s="1"/>
  <c r="AB92" i="60"/>
  <c r="AD92" i="60" s="1"/>
  <c r="AB152" i="60"/>
  <c r="AD152" i="60" s="1"/>
  <c r="AB188" i="60"/>
  <c r="AD188" i="60" s="1"/>
  <c r="AB296" i="60"/>
  <c r="AD296" i="60" s="1"/>
  <c r="AB248" i="60"/>
  <c r="AD248" i="60" s="1"/>
  <c r="AB200" i="60"/>
  <c r="AD200" i="60" s="1"/>
  <c r="AB356" i="60"/>
  <c r="AD356" i="60" s="1"/>
  <c r="AB128" i="60"/>
  <c r="AD128" i="60" s="1"/>
  <c r="AB82" i="60"/>
  <c r="AD82" i="60" s="1"/>
  <c r="AB190" i="60"/>
  <c r="AD190" i="60" s="1"/>
  <c r="AB202" i="60"/>
  <c r="AD202" i="60" s="1"/>
  <c r="AB142" i="60"/>
  <c r="AD142" i="60" s="1"/>
  <c r="AB70" i="60"/>
  <c r="AD70" i="60" s="1"/>
  <c r="AB130" i="60"/>
  <c r="AD130" i="60" s="1"/>
  <c r="AB346" i="60"/>
  <c r="AD346" i="60" s="1"/>
  <c r="AB250" i="60"/>
  <c r="AD250" i="60" s="1"/>
  <c r="AB239" i="60"/>
  <c r="AD239" i="60" s="1"/>
  <c r="AB47" i="60"/>
  <c r="AD47" i="60" s="1"/>
  <c r="AB95" i="60"/>
  <c r="AD95" i="60" s="1"/>
  <c r="AB299" i="60"/>
  <c r="AD299" i="60" s="1"/>
  <c r="AB167" i="60"/>
  <c r="AD167" i="60" s="1"/>
  <c r="AB287" i="60"/>
  <c r="AD287" i="60" s="1"/>
  <c r="AB311" i="60"/>
  <c r="AD311" i="60" s="1"/>
  <c r="AB371" i="60"/>
  <c r="AD371" i="60" s="1"/>
  <c r="AB96" i="60"/>
  <c r="AD96" i="60" s="1"/>
  <c r="AB312" i="60"/>
  <c r="AD312" i="60" s="1"/>
  <c r="AB360" i="60"/>
  <c r="AD360" i="60" s="1"/>
  <c r="AB264" i="60"/>
  <c r="AD264" i="60" s="1"/>
  <c r="AB324" i="60"/>
  <c r="AD324" i="60" s="1"/>
  <c r="AB288" i="60"/>
  <c r="AD288" i="60" s="1"/>
  <c r="AB60" i="60"/>
  <c r="AD60" i="60" s="1"/>
  <c r="AB97" i="60"/>
  <c r="AD97" i="60" s="1"/>
  <c r="AB169" i="60"/>
  <c r="AD169" i="60" s="1"/>
  <c r="AB61" i="60"/>
  <c r="AD61" i="60" s="1"/>
  <c r="AB121" i="60"/>
  <c r="AD121" i="60" s="1"/>
  <c r="AB229" i="60"/>
  <c r="AD229" i="60" s="1"/>
  <c r="AB217" i="60"/>
  <c r="AD217" i="60" s="1"/>
  <c r="AB361" i="60"/>
  <c r="AD361" i="60" s="1"/>
  <c r="U353" i="60"/>
  <c r="U269" i="60"/>
  <c r="U317" i="60"/>
  <c r="U89" i="60"/>
  <c r="U137" i="60"/>
  <c r="U125" i="60"/>
  <c r="U77" i="60"/>
  <c r="U357" i="60"/>
  <c r="W357" i="60" s="1"/>
  <c r="U309" i="60"/>
  <c r="W309" i="60" s="1"/>
  <c r="U333" i="60"/>
  <c r="W333" i="60" s="1"/>
  <c r="U189" i="60"/>
  <c r="W189" i="60" s="1"/>
  <c r="U117" i="60"/>
  <c r="W117" i="60" s="1"/>
  <c r="U93" i="60"/>
  <c r="W93" i="60" s="1"/>
  <c r="U141" i="60"/>
  <c r="W141" i="60" s="1"/>
  <c r="U279" i="60"/>
  <c r="U339" i="60"/>
  <c r="U291" i="60"/>
  <c r="U159" i="60"/>
  <c r="U15" i="60"/>
  <c r="U63" i="60"/>
  <c r="U195" i="60"/>
  <c r="U274" i="60"/>
  <c r="U322" i="60"/>
  <c r="U226" i="60"/>
  <c r="U238" i="60"/>
  <c r="U22" i="60"/>
  <c r="U46" i="60"/>
  <c r="U178" i="60"/>
  <c r="U289" i="60"/>
  <c r="W289" i="60" s="1"/>
  <c r="U373" i="60"/>
  <c r="W373" i="60" s="1"/>
  <c r="U349" i="60"/>
  <c r="W349" i="60" s="1"/>
  <c r="U277" i="60"/>
  <c r="W277" i="60" s="1"/>
  <c r="U205" i="60"/>
  <c r="W205" i="60" s="1"/>
  <c r="U181" i="60"/>
  <c r="W181" i="60" s="1"/>
  <c r="U109" i="60"/>
  <c r="W109" i="60" s="1"/>
  <c r="U355" i="60"/>
  <c r="W355" i="60" s="1"/>
  <c r="U211" i="60"/>
  <c r="W211" i="60" s="1"/>
  <c r="U343" i="60"/>
  <c r="W343" i="60" s="1"/>
  <c r="U199" i="60"/>
  <c r="W199" i="60" s="1"/>
  <c r="U175" i="60"/>
  <c r="W175" i="60" s="1"/>
  <c r="U79" i="60"/>
  <c r="W79" i="60" s="1"/>
  <c r="U151" i="60"/>
  <c r="W151" i="60" s="1"/>
  <c r="U258" i="60"/>
  <c r="U234" i="60"/>
  <c r="U198" i="60"/>
  <c r="U30" i="60"/>
  <c r="U114" i="60"/>
  <c r="U102" i="60"/>
  <c r="U210" i="60"/>
  <c r="U368" i="60"/>
  <c r="U260" i="60"/>
  <c r="U272" i="60"/>
  <c r="U116" i="60"/>
  <c r="U212" i="60"/>
  <c r="U92" i="60"/>
  <c r="U152" i="60"/>
  <c r="U359" i="60"/>
  <c r="W359" i="60" s="1"/>
  <c r="U299" i="60"/>
  <c r="W299" i="60" s="1"/>
  <c r="U311" i="60"/>
  <c r="W311" i="60" s="1"/>
  <c r="U203" i="60"/>
  <c r="W203" i="60" s="1"/>
  <c r="U155" i="60"/>
  <c r="W155" i="60" s="1"/>
  <c r="U71" i="60"/>
  <c r="W71" i="60" s="1"/>
  <c r="U167" i="60"/>
  <c r="W167" i="60" s="1"/>
  <c r="U119" i="60"/>
  <c r="W119" i="60" s="1"/>
  <c r="U242" i="60"/>
  <c r="W242" i="60" s="1"/>
  <c r="U278" i="60"/>
  <c r="W278" i="60" s="1"/>
  <c r="U338" i="60"/>
  <c r="W338" i="60" s="1"/>
  <c r="U98" i="60"/>
  <c r="W98" i="60" s="1"/>
  <c r="U14" i="60"/>
  <c r="W14" i="60" s="1"/>
  <c r="U110" i="60"/>
  <c r="W110" i="60" s="1"/>
  <c r="U50" i="60"/>
  <c r="W50" i="60" s="1"/>
  <c r="U364" i="60"/>
  <c r="U268" i="60"/>
  <c r="U292" i="60"/>
  <c r="U220" i="60"/>
  <c r="U196" i="60"/>
  <c r="U136" i="60"/>
  <c r="U124" i="60"/>
  <c r="U372" i="60"/>
  <c r="U264" i="60"/>
  <c r="U240" i="60"/>
  <c r="U324" i="60"/>
  <c r="U180" i="60"/>
  <c r="U120" i="60"/>
  <c r="U60" i="60"/>
  <c r="U96" i="60"/>
  <c r="N74" i="60"/>
  <c r="P74" i="60" s="1"/>
  <c r="N230" i="60"/>
  <c r="P230" i="60" s="1"/>
  <c r="N158" i="60"/>
  <c r="P158" i="60" s="1"/>
  <c r="N86" i="60"/>
  <c r="P86" i="60" s="1"/>
  <c r="N218" i="60"/>
  <c r="P218" i="60" s="1"/>
  <c r="N338" i="60"/>
  <c r="P338" i="60" s="1"/>
  <c r="N184" i="60"/>
  <c r="N112" i="60"/>
  <c r="N268" i="60"/>
  <c r="N280" i="60"/>
  <c r="N16" i="60"/>
  <c r="N136" i="60"/>
  <c r="N64" i="60"/>
  <c r="N367" i="60"/>
  <c r="P367" i="60" s="1"/>
  <c r="N91" i="60"/>
  <c r="P91" i="60" s="1"/>
  <c r="N139" i="60"/>
  <c r="P139" i="60" s="1"/>
  <c r="N115" i="60"/>
  <c r="P115" i="60" s="1"/>
  <c r="N163" i="60"/>
  <c r="P163" i="60" s="1"/>
  <c r="N151" i="60"/>
  <c r="P151" i="60" s="1"/>
  <c r="N341" i="60"/>
  <c r="N53" i="60"/>
  <c r="N209" i="60"/>
  <c r="N17" i="60"/>
  <c r="N257" i="60"/>
  <c r="N281" i="60"/>
  <c r="N329" i="60"/>
  <c r="N321" i="60"/>
  <c r="P321" i="60" s="1"/>
  <c r="N249" i="60"/>
  <c r="P249" i="60" s="1"/>
  <c r="N93" i="60"/>
  <c r="P93" i="60" s="1"/>
  <c r="N309" i="60"/>
  <c r="P309" i="60" s="1"/>
  <c r="N345" i="60"/>
  <c r="P345" i="60" s="1"/>
  <c r="N333" i="60"/>
  <c r="P333" i="60" s="1"/>
  <c r="N339" i="60"/>
  <c r="N363" i="60"/>
  <c r="N87" i="60"/>
  <c r="N327" i="60"/>
  <c r="N51" i="60"/>
  <c r="N75" i="60"/>
  <c r="N306" i="60"/>
  <c r="N18" i="60"/>
  <c r="N162" i="60"/>
  <c r="N66" i="60"/>
  <c r="N366" i="60"/>
  <c r="N258" i="60"/>
  <c r="N248" i="60"/>
  <c r="N224" i="60"/>
  <c r="N212" i="60"/>
  <c r="N332" i="60"/>
  <c r="N44" i="60"/>
  <c r="N92" i="60"/>
  <c r="N358" i="60"/>
  <c r="N250" i="60"/>
  <c r="N214" i="60"/>
  <c r="N118" i="60"/>
  <c r="N274" i="60"/>
  <c r="N310" i="60"/>
  <c r="N143" i="60"/>
  <c r="P143" i="60" s="1"/>
  <c r="N71" i="60"/>
  <c r="P71" i="60" s="1"/>
  <c r="N191" i="60"/>
  <c r="P191" i="60" s="1"/>
  <c r="N263" i="60"/>
  <c r="P263" i="60" s="1"/>
  <c r="N47" i="60"/>
  <c r="P47" i="60" s="1"/>
  <c r="N95" i="60"/>
  <c r="P95" i="60" s="1"/>
  <c r="N300" i="60"/>
  <c r="N228" i="60"/>
  <c r="N348" i="60"/>
  <c r="N72" i="60"/>
  <c r="N180" i="60"/>
  <c r="N168" i="60"/>
  <c r="N181" i="60"/>
  <c r="P181" i="60" s="1"/>
  <c r="N301" i="60"/>
  <c r="P301" i="60" s="1"/>
  <c r="N349" i="60"/>
  <c r="P349" i="60" s="1"/>
  <c r="N61" i="60"/>
  <c r="P61" i="60" s="1"/>
  <c r="N205" i="60"/>
  <c r="P205" i="60" s="1"/>
  <c r="N193" i="60"/>
  <c r="P193" i="60" s="1"/>
  <c r="AB20" i="60"/>
  <c r="AD20" i="60" s="1"/>
  <c r="U185" i="60"/>
  <c r="U45" i="60"/>
  <c r="W45" i="60" s="1"/>
  <c r="U37" i="60"/>
  <c r="W37" i="60" s="1"/>
  <c r="U20" i="60"/>
  <c r="N278" i="60"/>
  <c r="P278" i="60" s="1"/>
  <c r="N208" i="60"/>
  <c r="N307" i="60"/>
  <c r="P307" i="60" s="1"/>
  <c r="N43" i="60"/>
  <c r="P43" i="60" s="1"/>
  <c r="N221" i="60"/>
  <c r="N225" i="60"/>
  <c r="P225" i="60" s="1"/>
  <c r="N219" i="60"/>
  <c r="N183" i="60"/>
  <c r="N90" i="60"/>
  <c r="N270" i="60"/>
  <c r="N260" i="60"/>
  <c r="N202" i="60"/>
  <c r="N107" i="60"/>
  <c r="P107" i="60" s="1"/>
  <c r="N287" i="60"/>
  <c r="P287" i="60" s="1"/>
  <c r="N360" i="60"/>
  <c r="N253" i="60"/>
  <c r="P253" i="60" s="1"/>
  <c r="N277" i="60"/>
  <c r="P277" i="60" s="1"/>
  <c r="AI268" i="60"/>
  <c r="AK268" i="60" s="1"/>
  <c r="AI256" i="60"/>
  <c r="AK256" i="60" s="1"/>
  <c r="AI208" i="60"/>
  <c r="AK208" i="60" s="1"/>
  <c r="AI172" i="60"/>
  <c r="AK172" i="60" s="1"/>
  <c r="AI136" i="60"/>
  <c r="AK136" i="60" s="1"/>
  <c r="AI124" i="60"/>
  <c r="AK124" i="60" s="1"/>
  <c r="AI76" i="60"/>
  <c r="AK76" i="60" s="1"/>
  <c r="AI259" i="60"/>
  <c r="AK259" i="60" s="1"/>
  <c r="AO259" i="60" s="1"/>
  <c r="AI247" i="60"/>
  <c r="AK247" i="60" s="1"/>
  <c r="AO247" i="60" s="1"/>
  <c r="AI163" i="60"/>
  <c r="AK163" i="60" s="1"/>
  <c r="AO163" i="60" s="1"/>
  <c r="AI223" i="60"/>
  <c r="AK223" i="60" s="1"/>
  <c r="AO223" i="60" s="1"/>
  <c r="AI115" i="60"/>
  <c r="AK115" i="60" s="1"/>
  <c r="AO115" i="60" s="1"/>
  <c r="AI43" i="60"/>
  <c r="AK43" i="60" s="1"/>
  <c r="AI31" i="60"/>
  <c r="AK31" i="60" s="1"/>
  <c r="AO31" i="60" s="1"/>
  <c r="AI127" i="60"/>
  <c r="AK127" i="60" s="1"/>
  <c r="AO127" i="60" s="1"/>
  <c r="AI263" i="60"/>
  <c r="AK263" i="60" s="1"/>
  <c r="AI275" i="60"/>
  <c r="AK275" i="60" s="1"/>
  <c r="AO275" i="60" s="1"/>
  <c r="AI215" i="60"/>
  <c r="AK215" i="60" s="1"/>
  <c r="AO215" i="60" s="1"/>
  <c r="AI179" i="60"/>
  <c r="AK179" i="60" s="1"/>
  <c r="AO179" i="60" s="1"/>
  <c r="AI107" i="60"/>
  <c r="AK107" i="60" s="1"/>
  <c r="AI191" i="60"/>
  <c r="AK191" i="60" s="1"/>
  <c r="AI71" i="60"/>
  <c r="AK71" i="60" s="1"/>
  <c r="AI276" i="60"/>
  <c r="AK276" i="60" s="1"/>
  <c r="AI168" i="60"/>
  <c r="AK168" i="60" s="1"/>
  <c r="AI300" i="60"/>
  <c r="AK300" i="60" s="1"/>
  <c r="AI240" i="60"/>
  <c r="AK240" i="60" s="1"/>
  <c r="AI156" i="60"/>
  <c r="AK156" i="60" s="1"/>
  <c r="AI96" i="60"/>
  <c r="AK96" i="60" s="1"/>
  <c r="AI84" i="60"/>
  <c r="AK84" i="60" s="1"/>
  <c r="AI204" i="60"/>
  <c r="AK204" i="60" s="1"/>
  <c r="AI242" i="60"/>
  <c r="AK242" i="60" s="1"/>
  <c r="AO242" i="60" s="1"/>
  <c r="AI314" i="60"/>
  <c r="AK314" i="60" s="1"/>
  <c r="AO314" i="60" s="1"/>
  <c r="AI230" i="60"/>
  <c r="AK230" i="60" s="1"/>
  <c r="AO230" i="60" s="1"/>
  <c r="AI266" i="60"/>
  <c r="AK266" i="60" s="1"/>
  <c r="AO266" i="60" s="1"/>
  <c r="AI218" i="60"/>
  <c r="AK218" i="60" s="1"/>
  <c r="AI38" i="60"/>
  <c r="AK38" i="60" s="1"/>
  <c r="AO38" i="60" s="1"/>
  <c r="AI50" i="60"/>
  <c r="AK50" i="60" s="1"/>
  <c r="AO50" i="60" s="1"/>
  <c r="AI370" i="60"/>
  <c r="AK370" i="60" s="1"/>
  <c r="AI346" i="60"/>
  <c r="AK346" i="60" s="1"/>
  <c r="AI214" i="60"/>
  <c r="AK214" i="60" s="1"/>
  <c r="AI94" i="60"/>
  <c r="AK94" i="60" s="1"/>
  <c r="AI82" i="60"/>
  <c r="AK82" i="60" s="1"/>
  <c r="AI130" i="60"/>
  <c r="AK130" i="60" s="1"/>
  <c r="AI58" i="60"/>
  <c r="AK58" i="60" s="1"/>
  <c r="AI353" i="60"/>
  <c r="AK353" i="60" s="1"/>
  <c r="AI305" i="60"/>
  <c r="AK305" i="60" s="1"/>
  <c r="AI317" i="60"/>
  <c r="AK317" i="60" s="1"/>
  <c r="AI149" i="60"/>
  <c r="AK149" i="60" s="1"/>
  <c r="AI101" i="60"/>
  <c r="AK101" i="60" s="1"/>
  <c r="AI173" i="60"/>
  <c r="AK173" i="60" s="1"/>
  <c r="AI329" i="60"/>
  <c r="AK329" i="60" s="1"/>
  <c r="AI89" i="60"/>
  <c r="AK89" i="60" s="1"/>
  <c r="AI267" i="60"/>
  <c r="AK267" i="60" s="1"/>
  <c r="AI291" i="60"/>
  <c r="AK291" i="60" s="1"/>
  <c r="AI279" i="60"/>
  <c r="AK279" i="60" s="1"/>
  <c r="AI63" i="60"/>
  <c r="AK63" i="60" s="1"/>
  <c r="AI171" i="60"/>
  <c r="AK171" i="60" s="1"/>
  <c r="AI243" i="60"/>
  <c r="AK243" i="60" s="1"/>
  <c r="AI51" i="60"/>
  <c r="AK51" i="60" s="1"/>
  <c r="AI297" i="60"/>
  <c r="AK297" i="60" s="1"/>
  <c r="AO297" i="60" s="1"/>
  <c r="AI321" i="60"/>
  <c r="AK321" i="60" s="1"/>
  <c r="AI333" i="60"/>
  <c r="AK333" i="60" s="1"/>
  <c r="AI69" i="60"/>
  <c r="AK69" i="60" s="1"/>
  <c r="AO69" i="60" s="1"/>
  <c r="AI141" i="60"/>
  <c r="AK141" i="60" s="1"/>
  <c r="AO141" i="60" s="1"/>
  <c r="AI201" i="60"/>
  <c r="AK201" i="60" s="1"/>
  <c r="AO201" i="60" s="1"/>
  <c r="AI45" i="60"/>
  <c r="AK45" i="60" s="1"/>
  <c r="AI306" i="60"/>
  <c r="AK306" i="60" s="1"/>
  <c r="AI186" i="60"/>
  <c r="AK186" i="60" s="1"/>
  <c r="AI282" i="60"/>
  <c r="AK282" i="60" s="1"/>
  <c r="AI270" i="60"/>
  <c r="AK270" i="60" s="1"/>
  <c r="AI66" i="60"/>
  <c r="AK66" i="60" s="1"/>
  <c r="AI174" i="60"/>
  <c r="AK174" i="60" s="1"/>
  <c r="AI102" i="60"/>
  <c r="AK102" i="60" s="1"/>
  <c r="AI42" i="60"/>
  <c r="AK42" i="60" s="1"/>
  <c r="AI320" i="60"/>
  <c r="AK320" i="60" s="1"/>
  <c r="AI308" i="60"/>
  <c r="AK308" i="60" s="1"/>
  <c r="AI152" i="60"/>
  <c r="AK152" i="60" s="1"/>
  <c r="AI200" i="60"/>
  <c r="AK200" i="60" s="1"/>
  <c r="AI56" i="60"/>
  <c r="AK56" i="60" s="1"/>
  <c r="AI116" i="60"/>
  <c r="AK116" i="60" s="1"/>
  <c r="AI236" i="60"/>
  <c r="AK236" i="60" s="1"/>
  <c r="AI325" i="60"/>
  <c r="AK325" i="60" s="1"/>
  <c r="AO325" i="60" s="1"/>
  <c r="AI253" i="60"/>
  <c r="AK253" i="60" s="1"/>
  <c r="AI229" i="60"/>
  <c r="AK229" i="60" s="1"/>
  <c r="AO229" i="60" s="1"/>
  <c r="AI49" i="60"/>
  <c r="AK49" i="60" s="1"/>
  <c r="AO49" i="60" s="1"/>
  <c r="AI277" i="60"/>
  <c r="AK277" i="60" s="1"/>
  <c r="AI109" i="60"/>
  <c r="AK109" i="60" s="1"/>
  <c r="AO109" i="60" s="1"/>
  <c r="AI169" i="60"/>
  <c r="AK169" i="60" s="1"/>
  <c r="AO169" i="60" s="1"/>
  <c r="J314" i="60"/>
  <c r="L314" i="60" s="1"/>
  <c r="J134" i="60"/>
  <c r="L134" i="60" s="1"/>
  <c r="J244" i="60"/>
  <c r="J331" i="60"/>
  <c r="L331" i="60" s="1"/>
  <c r="J283" i="60"/>
  <c r="L283" i="60" s="1"/>
  <c r="J151" i="60"/>
  <c r="L151" i="60" s="1"/>
  <c r="J293" i="60"/>
  <c r="J333" i="60"/>
  <c r="L333" i="60" s="1"/>
  <c r="J345" i="60"/>
  <c r="L345" i="60" s="1"/>
  <c r="J195" i="60"/>
  <c r="J75" i="60"/>
  <c r="J222" i="60"/>
  <c r="J212" i="60"/>
  <c r="J188" i="60"/>
  <c r="J22" i="60"/>
  <c r="J179" i="60"/>
  <c r="L179" i="60" s="1"/>
  <c r="J48" i="60"/>
  <c r="J85" i="60"/>
  <c r="L85" i="60" s="1"/>
  <c r="J109" i="60"/>
  <c r="L109" i="60" s="1"/>
  <c r="X317" i="60"/>
  <c r="X101" i="60"/>
  <c r="X41" i="60"/>
  <c r="X189" i="60"/>
  <c r="Z189" i="60" s="1"/>
  <c r="X351" i="60"/>
  <c r="X106" i="60"/>
  <c r="X265" i="60"/>
  <c r="Z265" i="60" s="1"/>
  <c r="X97" i="60"/>
  <c r="Z97" i="60" s="1"/>
  <c r="X85" i="60"/>
  <c r="Z85" i="60" s="1"/>
  <c r="X199" i="60"/>
  <c r="Z199" i="60" s="1"/>
  <c r="X366" i="60"/>
  <c r="X342" i="60"/>
  <c r="X90" i="60"/>
  <c r="X200" i="60"/>
  <c r="X371" i="60"/>
  <c r="Z371" i="60" s="1"/>
  <c r="X83" i="60"/>
  <c r="Z83" i="60" s="1"/>
  <c r="X143" i="60"/>
  <c r="Z143" i="60" s="1"/>
  <c r="X302" i="60"/>
  <c r="Z302" i="60" s="1"/>
  <c r="X26" i="60"/>
  <c r="Z26" i="60" s="1"/>
  <c r="X28" i="60"/>
  <c r="X124" i="60"/>
  <c r="X48" i="60"/>
  <c r="X168" i="60"/>
  <c r="Q302" i="60"/>
  <c r="S302" i="60" s="1"/>
  <c r="Q160" i="60"/>
  <c r="Q343" i="60"/>
  <c r="S343" i="60" s="1"/>
  <c r="Q233" i="60"/>
  <c r="Q17" i="60"/>
  <c r="Q281" i="60"/>
  <c r="Q297" i="60"/>
  <c r="S297" i="60" s="1"/>
  <c r="Q219" i="60"/>
  <c r="Q135" i="60"/>
  <c r="Q150" i="60"/>
  <c r="Q178" i="60"/>
  <c r="Q214" i="60"/>
  <c r="Q47" i="60"/>
  <c r="S47" i="60" s="1"/>
  <c r="Q276" i="60"/>
  <c r="Q72" i="60"/>
  <c r="J170" i="60"/>
  <c r="L170" i="60" s="1"/>
  <c r="J232" i="60"/>
  <c r="J148" i="60"/>
  <c r="J19" i="60"/>
  <c r="L19" i="60" s="1"/>
  <c r="J31" i="60"/>
  <c r="L31" i="60" s="1"/>
  <c r="J187" i="60"/>
  <c r="L187" i="60" s="1"/>
  <c r="J197" i="60"/>
  <c r="J57" i="60"/>
  <c r="L57" i="60" s="1"/>
  <c r="J213" i="60"/>
  <c r="L213" i="60" s="1"/>
  <c r="J291" i="60"/>
  <c r="J54" i="60"/>
  <c r="J248" i="60"/>
  <c r="J116" i="60"/>
  <c r="J322" i="60"/>
  <c r="J310" i="60"/>
  <c r="J107" i="60"/>
  <c r="L107" i="60" s="1"/>
  <c r="J359" i="60"/>
  <c r="L359" i="60" s="1"/>
  <c r="J36" i="60"/>
  <c r="J336" i="60"/>
  <c r="J24" i="60"/>
  <c r="J168" i="60"/>
  <c r="J121" i="60"/>
  <c r="L121" i="60" s="1"/>
  <c r="J97" i="60"/>
  <c r="L97" i="60" s="1"/>
  <c r="J361" i="60"/>
  <c r="L361" i="60" s="1"/>
  <c r="X245" i="60"/>
  <c r="X77" i="60"/>
  <c r="X177" i="60"/>
  <c r="Z177" i="60" s="1"/>
  <c r="X153" i="60"/>
  <c r="Z153" i="60" s="1"/>
  <c r="X231" i="60"/>
  <c r="X135" i="60"/>
  <c r="X346" i="60"/>
  <c r="X46" i="60"/>
  <c r="X289" i="60"/>
  <c r="Z289" i="60" s="1"/>
  <c r="X31" i="60"/>
  <c r="Z31" i="60" s="1"/>
  <c r="X55" i="60"/>
  <c r="Z55" i="60" s="1"/>
  <c r="X186" i="60"/>
  <c r="X308" i="60"/>
  <c r="X236" i="60"/>
  <c r="X80" i="60"/>
  <c r="X347" i="60"/>
  <c r="Z347" i="60" s="1"/>
  <c r="X59" i="60"/>
  <c r="Z59" i="60" s="1"/>
  <c r="X131" i="60"/>
  <c r="Z131" i="60" s="1"/>
  <c r="X266" i="60"/>
  <c r="Z266" i="60" s="1"/>
  <c r="X86" i="60"/>
  <c r="Z86" i="60" s="1"/>
  <c r="X38" i="60"/>
  <c r="Z38" i="60" s="1"/>
  <c r="X244" i="60"/>
  <c r="X40" i="60"/>
  <c r="X324" i="60"/>
  <c r="X120" i="60"/>
  <c r="Q314" i="60"/>
  <c r="S314" i="60" s="1"/>
  <c r="Q170" i="60"/>
  <c r="S170" i="60" s="1"/>
  <c r="Q268" i="60"/>
  <c r="Q271" i="60"/>
  <c r="S271" i="60" s="1"/>
  <c r="Q89" i="60"/>
  <c r="Q261" i="60"/>
  <c r="S261" i="60" s="1"/>
  <c r="Q243" i="60"/>
  <c r="Q183" i="60"/>
  <c r="Q368" i="60"/>
  <c r="Q286" i="60"/>
  <c r="Q226" i="60"/>
  <c r="Q190" i="60"/>
  <c r="Q71" i="60"/>
  <c r="S71" i="60" s="1"/>
  <c r="Q263" i="60"/>
  <c r="S263" i="60" s="1"/>
  <c r="Q371" i="60"/>
  <c r="S371" i="60" s="1"/>
  <c r="Q336" i="60"/>
  <c r="Q360" i="60"/>
  <c r="J266" i="60"/>
  <c r="L266" i="60" s="1"/>
  <c r="J302" i="60"/>
  <c r="L302" i="60" s="1"/>
  <c r="J350" i="60"/>
  <c r="L350" i="60" s="1"/>
  <c r="J40" i="60"/>
  <c r="J125" i="60"/>
  <c r="J257" i="60"/>
  <c r="J33" i="60"/>
  <c r="L33" i="60" s="1"/>
  <c r="J177" i="60"/>
  <c r="L177" i="60" s="1"/>
  <c r="J309" i="60"/>
  <c r="L309" i="60" s="1"/>
  <c r="J135" i="60"/>
  <c r="J366" i="60"/>
  <c r="J42" i="60"/>
  <c r="J68" i="60"/>
  <c r="J344" i="60"/>
  <c r="J178" i="60"/>
  <c r="J130" i="60"/>
  <c r="J191" i="60"/>
  <c r="L191" i="60" s="1"/>
  <c r="J335" i="60"/>
  <c r="L335" i="60" s="1"/>
  <c r="J83" i="60"/>
  <c r="L83" i="60" s="1"/>
  <c r="J264" i="60"/>
  <c r="X365" i="60"/>
  <c r="X257" i="60"/>
  <c r="X201" i="60"/>
  <c r="Z201" i="60" s="1"/>
  <c r="X57" i="60"/>
  <c r="Z57" i="60" s="1"/>
  <c r="X141" i="60"/>
  <c r="Z141" i="60" s="1"/>
  <c r="X339" i="60"/>
  <c r="X75" i="60"/>
  <c r="X154" i="60"/>
  <c r="X58" i="60"/>
  <c r="X181" i="60"/>
  <c r="Z181" i="60" s="1"/>
  <c r="X115" i="60"/>
  <c r="Z115" i="60" s="1"/>
  <c r="X67" i="60"/>
  <c r="Z67" i="60" s="1"/>
  <c r="X102" i="60"/>
  <c r="X368" i="60"/>
  <c r="X32" i="60"/>
  <c r="X239" i="60"/>
  <c r="Z239" i="60" s="1"/>
  <c r="X107" i="60"/>
  <c r="Z107" i="60" s="1"/>
  <c r="X292" i="60"/>
  <c r="X196" i="60"/>
  <c r="X64" i="60"/>
  <c r="X252" i="60"/>
  <c r="X192" i="60"/>
  <c r="X72" i="60"/>
  <c r="Q338" i="60"/>
  <c r="S338" i="60" s="1"/>
  <c r="Q244" i="60"/>
  <c r="Q292" i="60"/>
  <c r="Q259" i="60"/>
  <c r="S259" i="60" s="1"/>
  <c r="Q29" i="60"/>
  <c r="Q345" i="60"/>
  <c r="S345" i="60" s="1"/>
  <c r="Q81" i="60"/>
  <c r="S81" i="60" s="1"/>
  <c r="Q351" i="60"/>
  <c r="Q123" i="60"/>
  <c r="Q366" i="60"/>
  <c r="Q270" i="60"/>
  <c r="Q272" i="60"/>
  <c r="Q44" i="60"/>
  <c r="Q176" i="60"/>
  <c r="Q358" i="60"/>
  <c r="Q106" i="60"/>
  <c r="Q251" i="60"/>
  <c r="S251" i="60" s="1"/>
  <c r="Q155" i="60"/>
  <c r="S155" i="60" s="1"/>
  <c r="J110" i="60"/>
  <c r="L110" i="60" s="1"/>
  <c r="J196" i="60"/>
  <c r="J256" i="60"/>
  <c r="J319" i="60"/>
  <c r="L319" i="60" s="1"/>
  <c r="J209" i="60"/>
  <c r="J77" i="60"/>
  <c r="J261" i="60"/>
  <c r="L261" i="60" s="1"/>
  <c r="J231" i="60"/>
  <c r="J267" i="60"/>
  <c r="J236" i="60"/>
  <c r="J226" i="60"/>
  <c r="J214" i="60"/>
  <c r="J71" i="60"/>
  <c r="L71" i="60" s="1"/>
  <c r="J156" i="60"/>
  <c r="J324" i="60"/>
  <c r="X29" i="60"/>
  <c r="X17" i="60"/>
  <c r="X285" i="60"/>
  <c r="Z285" i="60" s="1"/>
  <c r="X237" i="60"/>
  <c r="Z237" i="60" s="1"/>
  <c r="X81" i="60"/>
  <c r="Z81" i="60" s="1"/>
  <c r="X15" i="60"/>
  <c r="X195" i="60"/>
  <c r="X274" i="60"/>
  <c r="X22" i="60"/>
  <c r="X142" i="60"/>
  <c r="X325" i="60"/>
  <c r="Z325" i="60" s="1"/>
  <c r="X109" i="60"/>
  <c r="Z109" i="60" s="1"/>
  <c r="X319" i="60"/>
  <c r="Z319" i="60" s="1"/>
  <c r="X163" i="60"/>
  <c r="Z163" i="60" s="1"/>
  <c r="X187" i="60"/>
  <c r="Z187" i="60" s="1"/>
  <c r="X246" i="60"/>
  <c r="X138" i="60"/>
  <c r="X150" i="60"/>
  <c r="X248" i="60"/>
  <c r="X140" i="60"/>
  <c r="X92" i="60"/>
  <c r="X155" i="60"/>
  <c r="Z155" i="60" s="1"/>
  <c r="X242" i="60"/>
  <c r="Z242" i="60" s="1"/>
  <c r="X338" i="60"/>
  <c r="Z338" i="60" s="1"/>
  <c r="X14" i="60"/>
  <c r="Z14" i="60" s="1"/>
  <c r="X50" i="60"/>
  <c r="Z50" i="60" s="1"/>
  <c r="X184" i="60"/>
  <c r="X112" i="60"/>
  <c r="X132" i="60"/>
  <c r="X144" i="60"/>
  <c r="Q62" i="60"/>
  <c r="S62" i="60" s="1"/>
  <c r="Q88" i="60"/>
  <c r="Q76" i="60"/>
  <c r="Q199" i="60"/>
  <c r="S199" i="60" s="1"/>
  <c r="Q79" i="60"/>
  <c r="S79" i="60" s="1"/>
  <c r="Q197" i="60"/>
  <c r="Q237" i="60"/>
  <c r="S237" i="60" s="1"/>
  <c r="Q90" i="60"/>
  <c r="Q114" i="60"/>
  <c r="Q248" i="60"/>
  <c r="Q296" i="60"/>
  <c r="Q344" i="60"/>
  <c r="Q200" i="60"/>
  <c r="Q46" i="60"/>
  <c r="Q131" i="60"/>
  <c r="S131" i="60" s="1"/>
  <c r="Q216" i="60"/>
  <c r="Q313" i="60"/>
  <c r="S313" i="60" s="1"/>
  <c r="Q325" i="60"/>
  <c r="S325" i="60" s="1"/>
  <c r="Q97" i="60"/>
  <c r="S97" i="60" s="1"/>
  <c r="BG116" i="54"/>
  <c r="BG297" i="54"/>
  <c r="BF297" i="54"/>
  <c r="BG133" i="54"/>
  <c r="BG259" i="54"/>
  <c r="BF152" i="54"/>
  <c r="BF227" i="54"/>
  <c r="Q11" i="54"/>
  <c r="BG30" i="54"/>
  <c r="BG304" i="54"/>
  <c r="BG299" i="54"/>
  <c r="BF314" i="54"/>
  <c r="BF309" i="54"/>
  <c r="BF93" i="54"/>
  <c r="BF241" i="54"/>
  <c r="BF259" i="54"/>
  <c r="BF329" i="54"/>
  <c r="BF47" i="54"/>
  <c r="BG282" i="54"/>
  <c r="BG42" i="54"/>
  <c r="BG177" i="54"/>
  <c r="BG105" i="54"/>
  <c r="BG313" i="54"/>
  <c r="BG169" i="54"/>
  <c r="BG121" i="54"/>
  <c r="BG74" i="54"/>
  <c r="BG208" i="54"/>
  <c r="BG16" i="54"/>
  <c r="BG264" i="54"/>
  <c r="BG323" i="54"/>
  <c r="BG248" i="54"/>
  <c r="BG152" i="54"/>
  <c r="BG106" i="54"/>
  <c r="BG334" i="54"/>
  <c r="BG51" i="54"/>
  <c r="BG227" i="54"/>
  <c r="BF282" i="54"/>
  <c r="BF177" i="54"/>
  <c r="BF16" i="54"/>
  <c r="BF323" i="54"/>
  <c r="BF334" i="54"/>
  <c r="BF371" i="54"/>
  <c r="BG354" i="54"/>
  <c r="BG246" i="54"/>
  <c r="BG90" i="54"/>
  <c r="BG369" i="54"/>
  <c r="BG237" i="54"/>
  <c r="BG88" i="54"/>
  <c r="BG336" i="54"/>
  <c r="BG204" i="54"/>
  <c r="BG156" i="54"/>
  <c r="BF354" i="54"/>
  <c r="BF246" i="54"/>
  <c r="BF90" i="54"/>
  <c r="BF369" i="54"/>
  <c r="BF237" i="54"/>
  <c r="BF88" i="54"/>
  <c r="BF336" i="54"/>
  <c r="BF204" i="54"/>
  <c r="BF156" i="54"/>
  <c r="BG318" i="54"/>
  <c r="BG333" i="54"/>
  <c r="BG61" i="54"/>
  <c r="BG338" i="54"/>
  <c r="BG146" i="54"/>
  <c r="BG364" i="54"/>
  <c r="BG184" i="54"/>
  <c r="BG108" i="54"/>
  <c r="BF318" i="54"/>
  <c r="BF333" i="54"/>
  <c r="BF61" i="54"/>
  <c r="BF338" i="54"/>
  <c r="BF146" i="54"/>
  <c r="BF364" i="54"/>
  <c r="BF184" i="54"/>
  <c r="BF108" i="54"/>
  <c r="BG343" i="54"/>
  <c r="BG185" i="54"/>
  <c r="BG41" i="54"/>
  <c r="BG335" i="54"/>
  <c r="BG236" i="54"/>
  <c r="BG128" i="54"/>
  <c r="BG190" i="54"/>
  <c r="BG22" i="54"/>
  <c r="BG327" i="54"/>
  <c r="BG231" i="54"/>
  <c r="BG279" i="54"/>
  <c r="BG342" i="54"/>
  <c r="BG222" i="54"/>
  <c r="BG186" i="54"/>
  <c r="BG321" i="54"/>
  <c r="BG213" i="54"/>
  <c r="BG81" i="54"/>
  <c r="BG21" i="54"/>
  <c r="BG205" i="54"/>
  <c r="BG253" i="54"/>
  <c r="BG145" i="54"/>
  <c r="BG290" i="54"/>
  <c r="BG194" i="54"/>
  <c r="BG122" i="54"/>
  <c r="BG328" i="54"/>
  <c r="BG196" i="54"/>
  <c r="BG112" i="54"/>
  <c r="BG28" i="54"/>
  <c r="BG324" i="54"/>
  <c r="BG288" i="54"/>
  <c r="BG120" i="54"/>
  <c r="BG228" i="54"/>
  <c r="BG271" i="54"/>
  <c r="BG79" i="54"/>
  <c r="BG115" i="54"/>
  <c r="BG365" i="54"/>
  <c r="BG197" i="54"/>
  <c r="BG137" i="54"/>
  <c r="BG29" i="54"/>
  <c r="BG347" i="54"/>
  <c r="BG179" i="54"/>
  <c r="BG191" i="54"/>
  <c r="BG95" i="54"/>
  <c r="BG296" i="54"/>
  <c r="BG356" i="54"/>
  <c r="BG164" i="54"/>
  <c r="BG224" i="54"/>
  <c r="BG286" i="54"/>
  <c r="BG178" i="54"/>
  <c r="BG34" i="54"/>
  <c r="BF343" i="54"/>
  <c r="BF185" i="54"/>
  <c r="BF41" i="54"/>
  <c r="BF335" i="54"/>
  <c r="BF236" i="54"/>
  <c r="BF128" i="54"/>
  <c r="BF190" i="54"/>
  <c r="BF22" i="54"/>
  <c r="BF327" i="54"/>
  <c r="BF231" i="54"/>
  <c r="BF279" i="54"/>
  <c r="BF342" i="54"/>
  <c r="BF222" i="54"/>
  <c r="BF186" i="54"/>
  <c r="BF321" i="54"/>
  <c r="BF213" i="54"/>
  <c r="BF81" i="54"/>
  <c r="BF21" i="54"/>
  <c r="BF205" i="54"/>
  <c r="BF253" i="54"/>
  <c r="BF145" i="54"/>
  <c r="BF290" i="54"/>
  <c r="BF194" i="54"/>
  <c r="BF122" i="54"/>
  <c r="BF328" i="54"/>
  <c r="BF196" i="54"/>
  <c r="BF112" i="54"/>
  <c r="BF28" i="54"/>
  <c r="BF324" i="54"/>
  <c r="BF288" i="54"/>
  <c r="BF120" i="54"/>
  <c r="BF228" i="54"/>
  <c r="BF271" i="54"/>
  <c r="BF79" i="54"/>
  <c r="BF115" i="54"/>
  <c r="BF365" i="54"/>
  <c r="BF197" i="54"/>
  <c r="BF137" i="54"/>
  <c r="BF29" i="54"/>
  <c r="BF347" i="54"/>
  <c r="BF179" i="54"/>
  <c r="BF191" i="54"/>
  <c r="BF95" i="54"/>
  <c r="BF296" i="54"/>
  <c r="BF356" i="54"/>
  <c r="BF164" i="54"/>
  <c r="BF224" i="54"/>
  <c r="BF286" i="54"/>
  <c r="BF178" i="54"/>
  <c r="BF34" i="54"/>
  <c r="BG247" i="54"/>
  <c r="BG43" i="54"/>
  <c r="BG305" i="54"/>
  <c r="BG161" i="54"/>
  <c r="BG101" i="54"/>
  <c r="AU11" i="54"/>
  <c r="BG71" i="54"/>
  <c r="BG203" i="54"/>
  <c r="BG56" i="54"/>
  <c r="BG111" i="54"/>
  <c r="AA11" i="54"/>
  <c r="BG330" i="54"/>
  <c r="BG162" i="54"/>
  <c r="BG102" i="54"/>
  <c r="BG18" i="54"/>
  <c r="BG201" i="54"/>
  <c r="BG69" i="54"/>
  <c r="BG349" i="54"/>
  <c r="BG301" i="54"/>
  <c r="BG85" i="54"/>
  <c r="BG157" i="54"/>
  <c r="BG362" i="54"/>
  <c r="BG182" i="54"/>
  <c r="BG134" i="54"/>
  <c r="BG26" i="54"/>
  <c r="BG340" i="54"/>
  <c r="BG256" i="54"/>
  <c r="BG160" i="54"/>
  <c r="BG100" i="54"/>
  <c r="BG240" i="54"/>
  <c r="BG180" i="54"/>
  <c r="BG360" i="54"/>
  <c r="BG48" i="54"/>
  <c r="BG223" i="54"/>
  <c r="BG55" i="54"/>
  <c r="BG127" i="54"/>
  <c r="BG139" i="54"/>
  <c r="BG317" i="54"/>
  <c r="BG125" i="54"/>
  <c r="BG113" i="54"/>
  <c r="BG17" i="54"/>
  <c r="BG131" i="54"/>
  <c r="BG59" i="54"/>
  <c r="BG344" i="54"/>
  <c r="BG368" i="54"/>
  <c r="BG80" i="54"/>
  <c r="BG20" i="54"/>
  <c r="BG358" i="54"/>
  <c r="BF247" i="54"/>
  <c r="BF43" i="54"/>
  <c r="BF305" i="54"/>
  <c r="BF161" i="54"/>
  <c r="BF101" i="54"/>
  <c r="BF71" i="54"/>
  <c r="BF203" i="54"/>
  <c r="BF56" i="54"/>
  <c r="BF111" i="54"/>
  <c r="Z11" i="54"/>
  <c r="BF330" i="54"/>
  <c r="BF162" i="54"/>
  <c r="BF102" i="54"/>
  <c r="BF18" i="54"/>
  <c r="BF201" i="54"/>
  <c r="BF69" i="54"/>
  <c r="BF349" i="54"/>
  <c r="BF301" i="54"/>
  <c r="BF85" i="54"/>
  <c r="BF157" i="54"/>
  <c r="BF362" i="54"/>
  <c r="BF182" i="54"/>
  <c r="BF134" i="54"/>
  <c r="BF26" i="54"/>
  <c r="BF340" i="54"/>
  <c r="BF256" i="54"/>
  <c r="BF160" i="54"/>
  <c r="BF100" i="54"/>
  <c r="BF240" i="54"/>
  <c r="BF180" i="54"/>
  <c r="BF360" i="54"/>
  <c r="BF48" i="54"/>
  <c r="BF223" i="54"/>
  <c r="BF55" i="54"/>
  <c r="BF127" i="54"/>
  <c r="BF139" i="54"/>
  <c r="BF317" i="54"/>
  <c r="BF125" i="54"/>
  <c r="BF113" i="54"/>
  <c r="BF17" i="54"/>
  <c r="BF131" i="54"/>
  <c r="BF59" i="54"/>
  <c r="BF344" i="54"/>
  <c r="BF368" i="54"/>
  <c r="BF80" i="54"/>
  <c r="BF20" i="54"/>
  <c r="BF358" i="54"/>
  <c r="BG339" i="54"/>
  <c r="BG123" i="54"/>
  <c r="BG207" i="54"/>
  <c r="BG39" i="54"/>
  <c r="BG294" i="54"/>
  <c r="BG306" i="54"/>
  <c r="BG150" i="54"/>
  <c r="BG357" i="54"/>
  <c r="BG153" i="54"/>
  <c r="BG57" i="54"/>
  <c r="BG189" i="54"/>
  <c r="BG337" i="54"/>
  <c r="BG289" i="54"/>
  <c r="BG49" i="54"/>
  <c r="BG25" i="54"/>
  <c r="BG266" i="54"/>
  <c r="BG230" i="54"/>
  <c r="BG254" i="54"/>
  <c r="BG38" i="54"/>
  <c r="BG244" i="54"/>
  <c r="BG232" i="54"/>
  <c r="BG220" i="54"/>
  <c r="BG52" i="54"/>
  <c r="BG348" i="54"/>
  <c r="BG96" i="54"/>
  <c r="BG132" i="54"/>
  <c r="BF339" i="54"/>
  <c r="BF123" i="54"/>
  <c r="BF207" i="54"/>
  <c r="BF39" i="54"/>
  <c r="AT11" i="54"/>
  <c r="BF294" i="54"/>
  <c r="BF306" i="54"/>
  <c r="BF150" i="54"/>
  <c r="BF357" i="54"/>
  <c r="BF153" i="54"/>
  <c r="BF57" i="54"/>
  <c r="BF189" i="54"/>
  <c r="BF337" i="54"/>
  <c r="BF289" i="54"/>
  <c r="BF49" i="54"/>
  <c r="BF25" i="54"/>
  <c r="BF266" i="54"/>
  <c r="BF230" i="54"/>
  <c r="BF254" i="54"/>
  <c r="BF38" i="54"/>
  <c r="BF244" i="54"/>
  <c r="BF232" i="54"/>
  <c r="BF220" i="54"/>
  <c r="BF52" i="54"/>
  <c r="BF348" i="54"/>
  <c r="BF96" i="54"/>
  <c r="BF132" i="54"/>
  <c r="BG82" i="54"/>
  <c r="BG94" i="54"/>
  <c r="BG363" i="54"/>
  <c r="BG183" i="54"/>
  <c r="BG243" i="54"/>
  <c r="BG27" i="54"/>
  <c r="BG366" i="54"/>
  <c r="BG234" i="54"/>
  <c r="BG114" i="54"/>
  <c r="BG66" i="54"/>
  <c r="BG345" i="54"/>
  <c r="BG141" i="54"/>
  <c r="BG285" i="54"/>
  <c r="BG273" i="54"/>
  <c r="BG373" i="54"/>
  <c r="BG229" i="54"/>
  <c r="BG97" i="54"/>
  <c r="BG374" i="54"/>
  <c r="BG326" i="54"/>
  <c r="BG50" i="54"/>
  <c r="BG110" i="54"/>
  <c r="BG316" i="54"/>
  <c r="BG268" i="54"/>
  <c r="BG40" i="54"/>
  <c r="BG372" i="54"/>
  <c r="BG216" i="54"/>
  <c r="BG84" i="54"/>
  <c r="BG60" i="54"/>
  <c r="BF82" i="54"/>
  <c r="BF94" i="54"/>
  <c r="BF363" i="54"/>
  <c r="BF183" i="54"/>
  <c r="BF243" i="54"/>
  <c r="BF27" i="54"/>
  <c r="P11" i="54"/>
  <c r="BF366" i="54"/>
  <c r="BF234" i="54"/>
  <c r="BF114" i="54"/>
  <c r="BF66" i="54"/>
  <c r="BF345" i="54"/>
  <c r="BF141" i="54"/>
  <c r="BF285" i="54"/>
  <c r="BF273" i="54"/>
  <c r="BF373" i="54"/>
  <c r="BF229" i="54"/>
  <c r="BF97" i="54"/>
  <c r="BF374" i="54"/>
  <c r="BF326" i="54"/>
  <c r="BF50" i="54"/>
  <c r="BF110" i="54"/>
  <c r="BF316" i="54"/>
  <c r="BF268" i="54"/>
  <c r="BF40" i="54"/>
  <c r="BF372" i="54"/>
  <c r="BF216" i="54"/>
  <c r="BF84" i="54"/>
  <c r="BF60" i="54"/>
  <c r="BG295" i="54"/>
  <c r="BG163" i="54"/>
  <c r="BG283" i="54"/>
  <c r="BG211" i="54"/>
  <c r="BG353" i="54"/>
  <c r="BG89" i="54"/>
  <c r="BG209" i="54"/>
  <c r="BG359" i="54"/>
  <c r="BG263" i="54"/>
  <c r="BG215" i="54"/>
  <c r="BG155" i="54"/>
  <c r="BG188" i="54"/>
  <c r="BG272" i="54"/>
  <c r="BG176" i="54"/>
  <c r="BG44" i="54"/>
  <c r="BG310" i="54"/>
  <c r="BG202" i="54"/>
  <c r="BG118" i="54"/>
  <c r="BG291" i="54"/>
  <c r="BG351" i="54"/>
  <c r="BG159" i="54"/>
  <c r="BG147" i="54"/>
  <c r="BF295" i="54"/>
  <c r="BF163" i="54"/>
  <c r="BF283" i="54"/>
  <c r="BF211" i="54"/>
  <c r="BF353" i="54"/>
  <c r="BF89" i="54"/>
  <c r="BF209" i="54"/>
  <c r="BF359" i="54"/>
  <c r="BF263" i="54"/>
  <c r="BF215" i="54"/>
  <c r="BF155" i="54"/>
  <c r="BF188" i="54"/>
  <c r="BF272" i="54"/>
  <c r="BF176" i="54"/>
  <c r="BF44" i="54"/>
  <c r="BF310" i="54"/>
  <c r="BF202" i="54"/>
  <c r="BF118" i="54"/>
  <c r="BF291" i="54"/>
  <c r="BF351" i="54"/>
  <c r="BF159" i="54"/>
  <c r="BF147" i="54"/>
  <c r="BG367" i="54"/>
  <c r="BG235" i="54"/>
  <c r="BG19" i="54"/>
  <c r="BG31" i="54"/>
  <c r="BG257" i="54"/>
  <c r="BG149" i="54"/>
  <c r="BG221" i="54"/>
  <c r="BG77" i="54"/>
  <c r="BG311" i="54"/>
  <c r="BG167" i="54"/>
  <c r="BG23" i="54"/>
  <c r="BG35" i="54"/>
  <c r="BG308" i="54"/>
  <c r="BG284" i="54"/>
  <c r="BG68" i="54"/>
  <c r="BG104" i="54"/>
  <c r="BG322" i="54"/>
  <c r="BG154" i="54"/>
  <c r="BG58" i="54"/>
  <c r="BG238" i="54"/>
  <c r="BF367" i="54"/>
  <c r="BF235" i="54"/>
  <c r="BF19" i="54"/>
  <c r="BF31" i="54"/>
  <c r="BF257" i="54"/>
  <c r="BF149" i="54"/>
  <c r="BF221" i="54"/>
  <c r="BF77" i="54"/>
  <c r="BF311" i="54"/>
  <c r="BF167" i="54"/>
  <c r="BF23" i="54"/>
  <c r="BF35" i="54"/>
  <c r="BF308" i="54"/>
  <c r="BF284" i="54"/>
  <c r="BF68" i="54"/>
  <c r="BF104" i="54"/>
  <c r="BF322" i="54"/>
  <c r="BF154" i="54"/>
  <c r="BF58" i="54"/>
  <c r="BF238" i="54"/>
  <c r="AK11" i="54"/>
  <c r="BG270" i="54"/>
  <c r="BG210" i="54"/>
  <c r="BG138" i="54"/>
  <c r="BG78" i="54"/>
  <c r="BG249" i="54"/>
  <c r="BG225" i="54"/>
  <c r="BG45" i="54"/>
  <c r="BG129" i="54"/>
  <c r="BG277" i="54"/>
  <c r="BG181" i="54"/>
  <c r="BG193" i="54"/>
  <c r="BG278" i="54"/>
  <c r="BG302" i="54"/>
  <c r="BG158" i="54"/>
  <c r="BG86" i="54"/>
  <c r="BG352" i="54"/>
  <c r="BG124" i="54"/>
  <c r="BG136" i="54"/>
  <c r="BG312" i="54"/>
  <c r="BG276" i="54"/>
  <c r="BG144" i="54"/>
  <c r="BG24" i="54"/>
  <c r="AJ11" i="54"/>
  <c r="BF270" i="54"/>
  <c r="BF210" i="54"/>
  <c r="BF138" i="54"/>
  <c r="BF78" i="54"/>
  <c r="BF249" i="54"/>
  <c r="BF225" i="54"/>
  <c r="BF45" i="54"/>
  <c r="BF129" i="54"/>
  <c r="BF277" i="54"/>
  <c r="BF181" i="54"/>
  <c r="BF193" i="54"/>
  <c r="BF278" i="54"/>
  <c r="BF302" i="54"/>
  <c r="BF158" i="54"/>
  <c r="BF86" i="54"/>
  <c r="BF352" i="54"/>
  <c r="BF124" i="54"/>
  <c r="BF136" i="54"/>
  <c r="BF312" i="54"/>
  <c r="BF276" i="54"/>
  <c r="BF144" i="54"/>
  <c r="BF24" i="54"/>
  <c r="BG315" i="54"/>
  <c r="BG267" i="54"/>
  <c r="BG63" i="54"/>
  <c r="BG75" i="54"/>
  <c r="BG258" i="54"/>
  <c r="BG174" i="54"/>
  <c r="BG126" i="54"/>
  <c r="BG261" i="54"/>
  <c r="BG165" i="54"/>
  <c r="BG117" i="54"/>
  <c r="BG33" i="54"/>
  <c r="BG265" i="54"/>
  <c r="BG217" i="54"/>
  <c r="BG109" i="54"/>
  <c r="BG73" i="54"/>
  <c r="BG170" i="54"/>
  <c r="BG242" i="54"/>
  <c r="BG98" i="54"/>
  <c r="BG206" i="54"/>
  <c r="BG292" i="54"/>
  <c r="BG148" i="54"/>
  <c r="BG64" i="54"/>
  <c r="BG172" i="54"/>
  <c r="BG300" i="54"/>
  <c r="BG36" i="54"/>
  <c r="BG252" i="54"/>
  <c r="BF315" i="54"/>
  <c r="BF267" i="54"/>
  <c r="BF63" i="54"/>
  <c r="BF75" i="54"/>
  <c r="BF258" i="54"/>
  <c r="BF174" i="54"/>
  <c r="BF126" i="54"/>
  <c r="BF261" i="54"/>
  <c r="BF165" i="54"/>
  <c r="BF117" i="54"/>
  <c r="BF33" i="54"/>
  <c r="BF265" i="54"/>
  <c r="BF217" i="54"/>
  <c r="BF109" i="54"/>
  <c r="BF73" i="54"/>
  <c r="BF170" i="54"/>
  <c r="BF242" i="54"/>
  <c r="BF98" i="54"/>
  <c r="BF206" i="54"/>
  <c r="BF292" i="54"/>
  <c r="BF148" i="54"/>
  <c r="BF64" i="54"/>
  <c r="BF172" i="54"/>
  <c r="BF300" i="54"/>
  <c r="BF36" i="54"/>
  <c r="BF252" i="54"/>
  <c r="BG355" i="54"/>
  <c r="BG319" i="54"/>
  <c r="BG103" i="54"/>
  <c r="BG331" i="54"/>
  <c r="BG269" i="54"/>
  <c r="BG281" i="54"/>
  <c r="BG173" i="54"/>
  <c r="BG53" i="54"/>
  <c r="BG275" i="54"/>
  <c r="BG107" i="54"/>
  <c r="BG251" i="54"/>
  <c r="BG332" i="54"/>
  <c r="BG320" i="54"/>
  <c r="BG92" i="54"/>
  <c r="BG32" i="54"/>
  <c r="BG298" i="54"/>
  <c r="BG142" i="54"/>
  <c r="BG130" i="54"/>
  <c r="BG262" i="54"/>
  <c r="BG375" i="54"/>
  <c r="BG99" i="54"/>
  <c r="BG87" i="54"/>
  <c r="BF355" i="54"/>
  <c r="BF319" i="54"/>
  <c r="BF103" i="54"/>
  <c r="BF331" i="54"/>
  <c r="BF269" i="54"/>
  <c r="BF281" i="54"/>
  <c r="BF173" i="54"/>
  <c r="BF53" i="54"/>
  <c r="BF275" i="54"/>
  <c r="BF107" i="54"/>
  <c r="BF251" i="54"/>
  <c r="BF332" i="54"/>
  <c r="BF320" i="54"/>
  <c r="BF92" i="54"/>
  <c r="BF32" i="54"/>
  <c r="BF298" i="54"/>
  <c r="BF142" i="54"/>
  <c r="BF130" i="54"/>
  <c r="BF262" i="54"/>
  <c r="BF375" i="54"/>
  <c r="BF99" i="54"/>
  <c r="BF87" i="54"/>
  <c r="BG307" i="54"/>
  <c r="BG151" i="54"/>
  <c r="BG175" i="54"/>
  <c r="BG91" i="54"/>
  <c r="BG293" i="54"/>
  <c r="BG65" i="54"/>
  <c r="BG245" i="54"/>
  <c r="BG287" i="54"/>
  <c r="BG239" i="54"/>
  <c r="BG119" i="54"/>
  <c r="BG83" i="54"/>
  <c r="BG260" i="54"/>
  <c r="BG200" i="54"/>
  <c r="BG140" i="54"/>
  <c r="BG346" i="54"/>
  <c r="BG214" i="54"/>
  <c r="BG226" i="54"/>
  <c r="BG70" i="54"/>
  <c r="BG303" i="54"/>
  <c r="BG195" i="54"/>
  <c r="BG219" i="54"/>
  <c r="BG135" i="54"/>
  <c r="BF307" i="54"/>
  <c r="BF151" i="54"/>
  <c r="BF175" i="54"/>
  <c r="BF91" i="54"/>
  <c r="BF293" i="54"/>
  <c r="BF65" i="54"/>
  <c r="BF245" i="54"/>
  <c r="BF287" i="54"/>
  <c r="BF239" i="54"/>
  <c r="BF119" i="54"/>
  <c r="BF83" i="54"/>
  <c r="BF260" i="54"/>
  <c r="BF200" i="54"/>
  <c r="BF140" i="54"/>
  <c r="BF346" i="54"/>
  <c r="BF214" i="54"/>
  <c r="BF226" i="54"/>
  <c r="BF70" i="54"/>
  <c r="BF303" i="54"/>
  <c r="BF195" i="54"/>
  <c r="BF219" i="54"/>
  <c r="BF135" i="54"/>
  <c r="BE11" i="54"/>
  <c r="BD11" i="54"/>
  <c r="AY11" i="54"/>
  <c r="U11" i="54"/>
  <c r="AO11" i="54"/>
  <c r="AE11" i="54"/>
  <c r="K11" i="54"/>
  <c r="AO321" i="60" l="1"/>
  <c r="AO191" i="60"/>
  <c r="AO131" i="60"/>
  <c r="AO45" i="60"/>
  <c r="AO333" i="60"/>
  <c r="AO194" i="60"/>
  <c r="AO218" i="60"/>
  <c r="AO71" i="60"/>
  <c r="AO277" i="60"/>
  <c r="AO253" i="60"/>
  <c r="AO43" i="60"/>
  <c r="AO85" i="60"/>
  <c r="AO373" i="60"/>
  <c r="AO105" i="60"/>
  <c r="AO158" i="60"/>
  <c r="AO338" i="60"/>
  <c r="AO287" i="60"/>
  <c r="AO343" i="60"/>
  <c r="AO217" i="60"/>
  <c r="AO301" i="60"/>
  <c r="AO81" i="60"/>
  <c r="AO237" i="60"/>
  <c r="AO95" i="60"/>
  <c r="AO371" i="60"/>
  <c r="AO355" i="60"/>
  <c r="AO107" i="60"/>
  <c r="AO263" i="60"/>
  <c r="AO97" i="60"/>
  <c r="AO249" i="60"/>
  <c r="AO98" i="60"/>
  <c r="AO47" i="60"/>
  <c r="AO335" i="60"/>
  <c r="AO193" i="60"/>
  <c r="AO117" i="60"/>
  <c r="AO285" i="60"/>
  <c r="AO110" i="60"/>
  <c r="AO326" i="60"/>
  <c r="AO61" i="60"/>
  <c r="AO313" i="60"/>
  <c r="AO33" i="60"/>
  <c r="AO165" i="60"/>
  <c r="AO206" i="60"/>
  <c r="AO362" i="60"/>
  <c r="AO155" i="60"/>
  <c r="AO299" i="60"/>
  <c r="AO79" i="60"/>
  <c r="AO319" i="60"/>
  <c r="AO289" i="60"/>
  <c r="AO153" i="60"/>
  <c r="AO261" i="60"/>
  <c r="AO74" i="60"/>
  <c r="AO278" i="60"/>
  <c r="AO203" i="60"/>
  <c r="AO295" i="60"/>
  <c r="AO271" i="60"/>
  <c r="AO139" i="60"/>
  <c r="AO73" i="60"/>
  <c r="AO265" i="60"/>
  <c r="AO21" i="60"/>
  <c r="AO309" i="60"/>
  <c r="AO14" i="60"/>
  <c r="AO182" i="60"/>
  <c r="AO83" i="60"/>
  <c r="AO347" i="60"/>
  <c r="AO19" i="60"/>
  <c r="AO211" i="60"/>
  <c r="AO187" i="60"/>
  <c r="AO151" i="60"/>
  <c r="AO145" i="60"/>
  <c r="AO349" i="60"/>
  <c r="AO213" i="60"/>
  <c r="AO357" i="60"/>
  <c r="AO86" i="60"/>
  <c r="AO302" i="60"/>
  <c r="AO143" i="60"/>
  <c r="AO251" i="60"/>
  <c r="AO67" i="60"/>
  <c r="AO199" i="60"/>
  <c r="AO205" i="60"/>
  <c r="AO337" i="60"/>
  <c r="AO93" i="60"/>
  <c r="AO177" i="60"/>
  <c r="AO122" i="60"/>
  <c r="AO119" i="60"/>
  <c r="AO167" i="60"/>
  <c r="AO235" i="60"/>
  <c r="AO307" i="60"/>
  <c r="AO241" i="60"/>
  <c r="AO361" i="60"/>
  <c r="AO57" i="60"/>
  <c r="AO225" i="60"/>
  <c r="AO170" i="60"/>
  <c r="AO146" i="60"/>
  <c r="AO239" i="60"/>
  <c r="AO359" i="60"/>
  <c r="AO175" i="60"/>
  <c r="AO37" i="60"/>
  <c r="AO121" i="60"/>
  <c r="AO189" i="60"/>
  <c r="AO345" i="60"/>
  <c r="AO134" i="60"/>
  <c r="AO350" i="60"/>
  <c r="AO59" i="60"/>
  <c r="AO311" i="60"/>
  <c r="AO91" i="60"/>
  <c r="AO367" i="60"/>
  <c r="AO25" i="60"/>
  <c r="AO181" i="60"/>
  <c r="AO129" i="60"/>
  <c r="AO369" i="60"/>
  <c r="AO62" i="60"/>
  <c r="AO290" i="60"/>
  <c r="AO35" i="60"/>
  <c r="AO323" i="60"/>
  <c r="AO103" i="60"/>
  <c r="AO331" i="60"/>
  <c r="AN33" i="60"/>
  <c r="AP33" i="60" s="1"/>
  <c r="AR33" i="60" s="1"/>
  <c r="AT33" i="60" s="1"/>
  <c r="AV33" i="60" s="1"/>
  <c r="AX33" i="60" s="1"/>
  <c r="AZ33" i="60" s="1"/>
  <c r="BB33" i="60" s="1"/>
  <c r="AU33" i="60"/>
  <c r="AN38" i="60"/>
  <c r="AP38" i="60" s="1"/>
  <c r="AR38" i="60" s="1"/>
  <c r="AT38" i="60" s="1"/>
  <c r="AV38" i="60" s="1"/>
  <c r="AX38" i="60" s="1"/>
  <c r="AZ38" i="60" s="1"/>
  <c r="BB38" i="60" s="1"/>
  <c r="AU38" i="60"/>
  <c r="AN67" i="60"/>
  <c r="AP67" i="60" s="1"/>
  <c r="AR67" i="60" s="1"/>
  <c r="AT67" i="60" s="1"/>
  <c r="AV67" i="60" s="1"/>
  <c r="AX67" i="60" s="1"/>
  <c r="AZ67" i="60" s="1"/>
  <c r="BB67" i="60" s="1"/>
  <c r="AU67" i="60"/>
  <c r="AN199" i="60"/>
  <c r="AP199" i="60" s="1"/>
  <c r="AR199" i="60" s="1"/>
  <c r="AT199" i="60" s="1"/>
  <c r="AV199" i="60" s="1"/>
  <c r="AX199" i="60" s="1"/>
  <c r="AZ199" i="60" s="1"/>
  <c r="BB199" i="60" s="1"/>
  <c r="AU199" i="60"/>
  <c r="AN49" i="60"/>
  <c r="AP49" i="60" s="1"/>
  <c r="AR49" i="60" s="1"/>
  <c r="AT49" i="60" s="1"/>
  <c r="AV49" i="60" s="1"/>
  <c r="AX49" i="60" s="1"/>
  <c r="AZ49" i="60" s="1"/>
  <c r="BB49" i="60" s="1"/>
  <c r="AU49" i="60"/>
  <c r="AN69" i="60"/>
  <c r="AP69" i="60" s="1"/>
  <c r="AR69" i="60" s="1"/>
  <c r="AT69" i="60" s="1"/>
  <c r="AV69" i="60" s="1"/>
  <c r="AX69" i="60" s="1"/>
  <c r="AZ69" i="60" s="1"/>
  <c r="BB69" i="60" s="1"/>
  <c r="AU69" i="60"/>
  <c r="AN182" i="60"/>
  <c r="AP182" i="60" s="1"/>
  <c r="AR182" i="60" s="1"/>
  <c r="AT182" i="60" s="1"/>
  <c r="AV182" i="60" s="1"/>
  <c r="AX182" i="60" s="1"/>
  <c r="AZ182" i="60" s="1"/>
  <c r="BB182" i="60" s="1"/>
  <c r="AU182" i="60"/>
  <c r="AN59" i="60"/>
  <c r="AP59" i="60" s="1"/>
  <c r="AR59" i="60" s="1"/>
  <c r="AT59" i="60" s="1"/>
  <c r="AV59" i="60" s="1"/>
  <c r="AX59" i="60" s="1"/>
  <c r="AZ59" i="60" s="1"/>
  <c r="BB59" i="60" s="1"/>
  <c r="AU59" i="60"/>
  <c r="AN311" i="60"/>
  <c r="AP311" i="60" s="1"/>
  <c r="AR311" i="60" s="1"/>
  <c r="AT311" i="60" s="1"/>
  <c r="AV311" i="60" s="1"/>
  <c r="AX311" i="60" s="1"/>
  <c r="AZ311" i="60" s="1"/>
  <c r="BB311" i="60" s="1"/>
  <c r="AU311" i="60"/>
  <c r="AN175" i="60"/>
  <c r="AP175" i="60" s="1"/>
  <c r="AR175" i="60" s="1"/>
  <c r="AT175" i="60" s="1"/>
  <c r="AV175" i="60" s="1"/>
  <c r="AX175" i="60" s="1"/>
  <c r="AZ175" i="60" s="1"/>
  <c r="BB175" i="60" s="1"/>
  <c r="AU175" i="60"/>
  <c r="AN23" i="60"/>
  <c r="AP23" i="60" s="1"/>
  <c r="AR23" i="60" s="1"/>
  <c r="AT23" i="60" s="1"/>
  <c r="AV23" i="60" s="1"/>
  <c r="AX23" i="60" s="1"/>
  <c r="AZ23" i="60" s="1"/>
  <c r="BB23" i="60" s="1"/>
  <c r="AU23" i="60"/>
  <c r="AN205" i="60"/>
  <c r="AP205" i="60" s="1"/>
  <c r="AR205" i="60" s="1"/>
  <c r="AT205" i="60" s="1"/>
  <c r="AV205" i="60" s="1"/>
  <c r="AX205" i="60" s="1"/>
  <c r="AZ205" i="60" s="1"/>
  <c r="BB205" i="60" s="1"/>
  <c r="AU205" i="60"/>
  <c r="AN337" i="60"/>
  <c r="AP337" i="60" s="1"/>
  <c r="AR337" i="60" s="1"/>
  <c r="AT337" i="60" s="1"/>
  <c r="AV337" i="60" s="1"/>
  <c r="AX337" i="60" s="1"/>
  <c r="AZ337" i="60" s="1"/>
  <c r="BB337" i="60" s="1"/>
  <c r="AU337" i="60"/>
  <c r="AN93" i="60"/>
  <c r="AP93" i="60" s="1"/>
  <c r="AR93" i="60" s="1"/>
  <c r="AT93" i="60" s="1"/>
  <c r="AV93" i="60" s="1"/>
  <c r="AX93" i="60" s="1"/>
  <c r="AZ93" i="60" s="1"/>
  <c r="BB93" i="60" s="1"/>
  <c r="AU93" i="60"/>
  <c r="AN177" i="60"/>
  <c r="AP177" i="60" s="1"/>
  <c r="AR177" i="60" s="1"/>
  <c r="AT177" i="60" s="1"/>
  <c r="AV177" i="60" s="1"/>
  <c r="AX177" i="60" s="1"/>
  <c r="AZ177" i="60" s="1"/>
  <c r="BB177" i="60" s="1"/>
  <c r="AU177" i="60"/>
  <c r="AN110" i="60"/>
  <c r="AP110" i="60" s="1"/>
  <c r="AR110" i="60" s="1"/>
  <c r="AT110" i="60" s="1"/>
  <c r="AV110" i="60" s="1"/>
  <c r="AX110" i="60" s="1"/>
  <c r="AZ110" i="60" s="1"/>
  <c r="BB110" i="60" s="1"/>
  <c r="AU110" i="60"/>
  <c r="AN326" i="60"/>
  <c r="AP326" i="60" s="1"/>
  <c r="AR326" i="60" s="1"/>
  <c r="AT326" i="60" s="1"/>
  <c r="AV326" i="60" s="1"/>
  <c r="AX326" i="60" s="1"/>
  <c r="AZ326" i="60" s="1"/>
  <c r="BB326" i="60" s="1"/>
  <c r="AU326" i="60"/>
  <c r="AN211" i="60"/>
  <c r="AP211" i="60" s="1"/>
  <c r="AR211" i="60" s="1"/>
  <c r="AT211" i="60" s="1"/>
  <c r="AV211" i="60" s="1"/>
  <c r="AX211" i="60" s="1"/>
  <c r="AZ211" i="60" s="1"/>
  <c r="BB211" i="60" s="1"/>
  <c r="AU211" i="60"/>
  <c r="AN277" i="60"/>
  <c r="AP277" i="60" s="1"/>
  <c r="AR277" i="60" s="1"/>
  <c r="AT277" i="60" s="1"/>
  <c r="AV277" i="60" s="1"/>
  <c r="AX277" i="60" s="1"/>
  <c r="AZ277" i="60" s="1"/>
  <c r="BB277" i="60" s="1"/>
  <c r="AU277" i="60"/>
  <c r="AN325" i="60"/>
  <c r="AP325" i="60" s="1"/>
  <c r="AR325" i="60" s="1"/>
  <c r="AT325" i="60" s="1"/>
  <c r="AV325" i="60" s="1"/>
  <c r="AX325" i="60" s="1"/>
  <c r="AZ325" i="60" s="1"/>
  <c r="BB325" i="60" s="1"/>
  <c r="AU325" i="60"/>
  <c r="AN333" i="60"/>
  <c r="AP333" i="60" s="1"/>
  <c r="AR333" i="60" s="1"/>
  <c r="AT333" i="60" s="1"/>
  <c r="AV333" i="60" s="1"/>
  <c r="AX333" i="60" s="1"/>
  <c r="AZ333" i="60" s="1"/>
  <c r="BB333" i="60" s="1"/>
  <c r="AU333" i="60"/>
  <c r="AN35" i="60"/>
  <c r="AP35" i="60" s="1"/>
  <c r="AR35" i="60" s="1"/>
  <c r="AT35" i="60" s="1"/>
  <c r="AV35" i="60" s="1"/>
  <c r="AX35" i="60" s="1"/>
  <c r="AZ35" i="60" s="1"/>
  <c r="BB35" i="60" s="1"/>
  <c r="AU35" i="60"/>
  <c r="AN239" i="60"/>
  <c r="AP239" i="60" s="1"/>
  <c r="AR239" i="60" s="1"/>
  <c r="AT239" i="60" s="1"/>
  <c r="AV239" i="60" s="1"/>
  <c r="AX239" i="60" s="1"/>
  <c r="AZ239" i="60" s="1"/>
  <c r="BB239" i="60" s="1"/>
  <c r="AU239" i="60"/>
  <c r="AN367" i="60"/>
  <c r="AP367" i="60" s="1"/>
  <c r="AR367" i="60" s="1"/>
  <c r="AT367" i="60" s="1"/>
  <c r="AV367" i="60" s="1"/>
  <c r="AX367" i="60" s="1"/>
  <c r="AZ367" i="60" s="1"/>
  <c r="BB367" i="60" s="1"/>
  <c r="AU367" i="60"/>
  <c r="AN217" i="60"/>
  <c r="AP217" i="60" s="1"/>
  <c r="AR217" i="60" s="1"/>
  <c r="AT217" i="60" s="1"/>
  <c r="AV217" i="60" s="1"/>
  <c r="AX217" i="60" s="1"/>
  <c r="AZ217" i="60" s="1"/>
  <c r="BB217" i="60" s="1"/>
  <c r="AU217" i="60"/>
  <c r="AN301" i="60"/>
  <c r="AP301" i="60" s="1"/>
  <c r="AR301" i="60" s="1"/>
  <c r="AT301" i="60" s="1"/>
  <c r="AV301" i="60" s="1"/>
  <c r="AX301" i="60" s="1"/>
  <c r="AZ301" i="60" s="1"/>
  <c r="BB301" i="60" s="1"/>
  <c r="AU301" i="60"/>
  <c r="AN81" i="60"/>
  <c r="AP81" i="60" s="1"/>
  <c r="AR81" i="60" s="1"/>
  <c r="AT81" i="60" s="1"/>
  <c r="AV81" i="60" s="1"/>
  <c r="AX81" i="60" s="1"/>
  <c r="AZ81" i="60" s="1"/>
  <c r="BB81" i="60" s="1"/>
  <c r="AU81" i="60"/>
  <c r="AN237" i="60"/>
  <c r="AP237" i="60" s="1"/>
  <c r="AR237" i="60" s="1"/>
  <c r="AT237" i="60" s="1"/>
  <c r="AV237" i="60" s="1"/>
  <c r="AX237" i="60" s="1"/>
  <c r="AZ237" i="60" s="1"/>
  <c r="BB237" i="60" s="1"/>
  <c r="AU237" i="60"/>
  <c r="AN170" i="60"/>
  <c r="AP170" i="60" s="1"/>
  <c r="AR170" i="60" s="1"/>
  <c r="AT170" i="60" s="1"/>
  <c r="AV170" i="60" s="1"/>
  <c r="AX170" i="60" s="1"/>
  <c r="AZ170" i="60" s="1"/>
  <c r="BB170" i="60" s="1"/>
  <c r="AU170" i="60"/>
  <c r="AN146" i="60"/>
  <c r="AP146" i="60" s="1"/>
  <c r="AR146" i="60" s="1"/>
  <c r="AT146" i="60" s="1"/>
  <c r="AV146" i="60" s="1"/>
  <c r="AX146" i="60" s="1"/>
  <c r="AZ146" i="60" s="1"/>
  <c r="BB146" i="60" s="1"/>
  <c r="AU146" i="60"/>
  <c r="AN107" i="60"/>
  <c r="AP107" i="60" s="1"/>
  <c r="AR107" i="60" s="1"/>
  <c r="AT107" i="60" s="1"/>
  <c r="AV107" i="60" s="1"/>
  <c r="AX107" i="60" s="1"/>
  <c r="AZ107" i="60" s="1"/>
  <c r="BB107" i="60" s="1"/>
  <c r="AU107" i="60"/>
  <c r="AN263" i="60"/>
  <c r="AP263" i="60" s="1"/>
  <c r="AR263" i="60" s="1"/>
  <c r="AT263" i="60" s="1"/>
  <c r="AV263" i="60" s="1"/>
  <c r="AX263" i="60" s="1"/>
  <c r="AZ263" i="60" s="1"/>
  <c r="BB263" i="60" s="1"/>
  <c r="AU263" i="60"/>
  <c r="AN115" i="60"/>
  <c r="AP115" i="60" s="1"/>
  <c r="AR115" i="60" s="1"/>
  <c r="AT115" i="60" s="1"/>
  <c r="AV115" i="60" s="1"/>
  <c r="AX115" i="60" s="1"/>
  <c r="AZ115" i="60" s="1"/>
  <c r="BB115" i="60" s="1"/>
  <c r="AU115" i="60"/>
  <c r="AN259" i="60"/>
  <c r="AP259" i="60" s="1"/>
  <c r="AR259" i="60" s="1"/>
  <c r="AT259" i="60" s="1"/>
  <c r="AV259" i="60" s="1"/>
  <c r="AX259" i="60" s="1"/>
  <c r="AZ259" i="60" s="1"/>
  <c r="BB259" i="60" s="1"/>
  <c r="AU259" i="60"/>
  <c r="AN61" i="60"/>
  <c r="AP61" i="60" s="1"/>
  <c r="AR61" i="60" s="1"/>
  <c r="AT61" i="60" s="1"/>
  <c r="AV61" i="60" s="1"/>
  <c r="AX61" i="60" s="1"/>
  <c r="AZ61" i="60" s="1"/>
  <c r="BB61" i="60" s="1"/>
  <c r="AU61" i="60"/>
  <c r="AN313" i="60"/>
  <c r="AP313" i="60" s="1"/>
  <c r="AR313" i="60" s="1"/>
  <c r="AT313" i="60" s="1"/>
  <c r="AV313" i="60" s="1"/>
  <c r="AX313" i="60" s="1"/>
  <c r="AZ313" i="60" s="1"/>
  <c r="BB313" i="60" s="1"/>
  <c r="AU313" i="60"/>
  <c r="AN165" i="60"/>
  <c r="AP165" i="60" s="1"/>
  <c r="AR165" i="60" s="1"/>
  <c r="AT165" i="60" s="1"/>
  <c r="AV165" i="60" s="1"/>
  <c r="AX165" i="60" s="1"/>
  <c r="AZ165" i="60" s="1"/>
  <c r="BB165" i="60" s="1"/>
  <c r="AU165" i="60"/>
  <c r="AN314" i="60"/>
  <c r="AP314" i="60" s="1"/>
  <c r="AR314" i="60" s="1"/>
  <c r="AT314" i="60" s="1"/>
  <c r="AV314" i="60" s="1"/>
  <c r="AX314" i="60" s="1"/>
  <c r="AZ314" i="60" s="1"/>
  <c r="BB314" i="60" s="1"/>
  <c r="AU314" i="60"/>
  <c r="AN227" i="60"/>
  <c r="AP227" i="60" s="1"/>
  <c r="AR227" i="60" s="1"/>
  <c r="AT227" i="60" s="1"/>
  <c r="AV227" i="60" s="1"/>
  <c r="AX227" i="60" s="1"/>
  <c r="AZ227" i="60" s="1"/>
  <c r="BB227" i="60" s="1"/>
  <c r="AU227" i="60"/>
  <c r="AN283" i="60"/>
  <c r="AP283" i="60" s="1"/>
  <c r="AR283" i="60" s="1"/>
  <c r="AT283" i="60" s="1"/>
  <c r="AV283" i="60" s="1"/>
  <c r="AX283" i="60" s="1"/>
  <c r="AZ283" i="60" s="1"/>
  <c r="BB283" i="60" s="1"/>
  <c r="AU283" i="60"/>
  <c r="AN343" i="60"/>
  <c r="AP343" i="60" s="1"/>
  <c r="AR343" i="60" s="1"/>
  <c r="AT343" i="60" s="1"/>
  <c r="AV343" i="60" s="1"/>
  <c r="AX343" i="60" s="1"/>
  <c r="AZ343" i="60" s="1"/>
  <c r="BB343" i="60" s="1"/>
  <c r="AU343" i="60"/>
  <c r="AN25" i="60"/>
  <c r="AP25" i="60" s="1"/>
  <c r="AR25" i="60" s="1"/>
  <c r="AT25" i="60" s="1"/>
  <c r="AV25" i="60" s="1"/>
  <c r="AX25" i="60" s="1"/>
  <c r="AZ25" i="60" s="1"/>
  <c r="BB25" i="60" s="1"/>
  <c r="AU25" i="60"/>
  <c r="AN181" i="60"/>
  <c r="AP181" i="60" s="1"/>
  <c r="AR181" i="60" s="1"/>
  <c r="AT181" i="60" s="1"/>
  <c r="AV181" i="60" s="1"/>
  <c r="AX181" i="60" s="1"/>
  <c r="AZ181" i="60" s="1"/>
  <c r="BB181" i="60" s="1"/>
  <c r="AU181" i="60"/>
  <c r="AN129" i="60"/>
  <c r="AP129" i="60" s="1"/>
  <c r="AR129" i="60" s="1"/>
  <c r="AT129" i="60" s="1"/>
  <c r="AV129" i="60" s="1"/>
  <c r="AX129" i="60" s="1"/>
  <c r="AZ129" i="60" s="1"/>
  <c r="BB129" i="60" s="1"/>
  <c r="AU129" i="60"/>
  <c r="AN369" i="60"/>
  <c r="AP369" i="60" s="1"/>
  <c r="AR369" i="60" s="1"/>
  <c r="AT369" i="60" s="1"/>
  <c r="AV369" i="60" s="1"/>
  <c r="AX369" i="60" s="1"/>
  <c r="AZ369" i="60" s="1"/>
  <c r="BB369" i="60" s="1"/>
  <c r="AU369" i="60"/>
  <c r="AN98" i="60"/>
  <c r="AP98" i="60" s="1"/>
  <c r="AR98" i="60" s="1"/>
  <c r="AT98" i="60" s="1"/>
  <c r="AV98" i="60" s="1"/>
  <c r="AX98" i="60" s="1"/>
  <c r="AZ98" i="60" s="1"/>
  <c r="BB98" i="60" s="1"/>
  <c r="AU98" i="60"/>
  <c r="AN254" i="60"/>
  <c r="AP254" i="60" s="1"/>
  <c r="AR254" i="60" s="1"/>
  <c r="AT254" i="60" s="1"/>
  <c r="AV254" i="60" s="1"/>
  <c r="AX254" i="60" s="1"/>
  <c r="AZ254" i="60" s="1"/>
  <c r="BB254" i="60" s="1"/>
  <c r="AU254" i="60"/>
  <c r="AN155" i="60"/>
  <c r="AP155" i="60" s="1"/>
  <c r="AR155" i="60" s="1"/>
  <c r="AT155" i="60" s="1"/>
  <c r="AV155" i="60" s="1"/>
  <c r="AX155" i="60" s="1"/>
  <c r="AZ155" i="60" s="1"/>
  <c r="BB155" i="60" s="1"/>
  <c r="AU155" i="60"/>
  <c r="AN299" i="60"/>
  <c r="AP299" i="60" s="1"/>
  <c r="AR299" i="60" s="1"/>
  <c r="AT299" i="60" s="1"/>
  <c r="AV299" i="60" s="1"/>
  <c r="AX299" i="60" s="1"/>
  <c r="AZ299" i="60" s="1"/>
  <c r="BB299" i="60" s="1"/>
  <c r="AU299" i="60"/>
  <c r="AN85" i="60"/>
  <c r="AP85" i="60" s="1"/>
  <c r="AR85" i="60" s="1"/>
  <c r="AT85" i="60" s="1"/>
  <c r="AV85" i="60" s="1"/>
  <c r="AX85" i="60" s="1"/>
  <c r="AZ85" i="60" s="1"/>
  <c r="BB85" i="60" s="1"/>
  <c r="AU85" i="60"/>
  <c r="AN373" i="60"/>
  <c r="AP373" i="60" s="1"/>
  <c r="AR373" i="60" s="1"/>
  <c r="AT373" i="60" s="1"/>
  <c r="AV373" i="60" s="1"/>
  <c r="AX373" i="60" s="1"/>
  <c r="AZ373" i="60" s="1"/>
  <c r="BB373" i="60" s="1"/>
  <c r="AU373" i="60"/>
  <c r="AN249" i="60"/>
  <c r="AP249" i="60" s="1"/>
  <c r="AR249" i="60" s="1"/>
  <c r="AT249" i="60" s="1"/>
  <c r="AV249" i="60" s="1"/>
  <c r="AX249" i="60" s="1"/>
  <c r="AZ249" i="60" s="1"/>
  <c r="BB249" i="60" s="1"/>
  <c r="AU249" i="60"/>
  <c r="AN273" i="60"/>
  <c r="AP273" i="60" s="1"/>
  <c r="AR273" i="60" s="1"/>
  <c r="AT273" i="60" s="1"/>
  <c r="AV273" i="60" s="1"/>
  <c r="AX273" i="60" s="1"/>
  <c r="AZ273" i="60" s="1"/>
  <c r="BB273" i="60" s="1"/>
  <c r="AU273" i="60"/>
  <c r="AN122" i="60"/>
  <c r="AP122" i="60" s="1"/>
  <c r="AR122" i="60" s="1"/>
  <c r="AT122" i="60" s="1"/>
  <c r="AV122" i="60" s="1"/>
  <c r="AX122" i="60" s="1"/>
  <c r="AZ122" i="60" s="1"/>
  <c r="BB122" i="60" s="1"/>
  <c r="AU122" i="60"/>
  <c r="AN191" i="60"/>
  <c r="AP191" i="60" s="1"/>
  <c r="AR191" i="60" s="1"/>
  <c r="AT191" i="60" s="1"/>
  <c r="AV191" i="60" s="1"/>
  <c r="AX191" i="60" s="1"/>
  <c r="AZ191" i="60" s="1"/>
  <c r="BB191" i="60" s="1"/>
  <c r="AU191" i="60"/>
  <c r="AN275" i="60"/>
  <c r="AP275" i="60" s="1"/>
  <c r="AR275" i="60" s="1"/>
  <c r="AT275" i="60" s="1"/>
  <c r="AV275" i="60" s="1"/>
  <c r="AX275" i="60" s="1"/>
  <c r="AZ275" i="60" s="1"/>
  <c r="BB275" i="60" s="1"/>
  <c r="AU275" i="60"/>
  <c r="AN127" i="60"/>
  <c r="AP127" i="60" s="1"/>
  <c r="AR127" i="60" s="1"/>
  <c r="AT127" i="60" s="1"/>
  <c r="AV127" i="60" s="1"/>
  <c r="AX127" i="60" s="1"/>
  <c r="AZ127" i="60" s="1"/>
  <c r="BB127" i="60" s="1"/>
  <c r="AU127" i="60"/>
  <c r="AN223" i="60"/>
  <c r="AP223" i="60" s="1"/>
  <c r="AR223" i="60" s="1"/>
  <c r="AT223" i="60" s="1"/>
  <c r="AV223" i="60" s="1"/>
  <c r="AX223" i="60" s="1"/>
  <c r="AZ223" i="60" s="1"/>
  <c r="BB223" i="60" s="1"/>
  <c r="AU223" i="60"/>
  <c r="AN145" i="60"/>
  <c r="AP145" i="60" s="1"/>
  <c r="AR145" i="60" s="1"/>
  <c r="AT145" i="60" s="1"/>
  <c r="AV145" i="60" s="1"/>
  <c r="AX145" i="60" s="1"/>
  <c r="AZ145" i="60" s="1"/>
  <c r="BB145" i="60" s="1"/>
  <c r="AU145" i="60"/>
  <c r="AN349" i="60"/>
  <c r="AP349" i="60" s="1"/>
  <c r="AR349" i="60" s="1"/>
  <c r="AT349" i="60" s="1"/>
  <c r="AV349" i="60" s="1"/>
  <c r="AX349" i="60" s="1"/>
  <c r="AZ349" i="60" s="1"/>
  <c r="BB349" i="60" s="1"/>
  <c r="AU349" i="60"/>
  <c r="AN213" i="60"/>
  <c r="AP213" i="60" s="1"/>
  <c r="AR213" i="60" s="1"/>
  <c r="AT213" i="60" s="1"/>
  <c r="AV213" i="60" s="1"/>
  <c r="AX213" i="60" s="1"/>
  <c r="AZ213" i="60" s="1"/>
  <c r="BB213" i="60" s="1"/>
  <c r="AU213" i="60"/>
  <c r="AN357" i="60"/>
  <c r="AP357" i="60" s="1"/>
  <c r="AR357" i="60" s="1"/>
  <c r="AT357" i="60" s="1"/>
  <c r="AV357" i="60" s="1"/>
  <c r="AX357" i="60" s="1"/>
  <c r="AZ357" i="60" s="1"/>
  <c r="BB357" i="60" s="1"/>
  <c r="AU357" i="60"/>
  <c r="AN50" i="60"/>
  <c r="AP50" i="60" s="1"/>
  <c r="AR50" i="60" s="1"/>
  <c r="AT50" i="60" s="1"/>
  <c r="AV50" i="60" s="1"/>
  <c r="AX50" i="60" s="1"/>
  <c r="AZ50" i="60" s="1"/>
  <c r="BB50" i="60" s="1"/>
  <c r="AU50" i="60"/>
  <c r="AN230" i="60"/>
  <c r="AP230" i="60" s="1"/>
  <c r="AR230" i="60" s="1"/>
  <c r="AT230" i="60" s="1"/>
  <c r="AV230" i="60" s="1"/>
  <c r="AX230" i="60" s="1"/>
  <c r="AZ230" i="60" s="1"/>
  <c r="BB230" i="60" s="1"/>
  <c r="AU230" i="60"/>
  <c r="AN287" i="60"/>
  <c r="AP287" i="60" s="1"/>
  <c r="AR287" i="60" s="1"/>
  <c r="AT287" i="60" s="1"/>
  <c r="AV287" i="60" s="1"/>
  <c r="AX287" i="60" s="1"/>
  <c r="AZ287" i="60" s="1"/>
  <c r="BB287" i="60" s="1"/>
  <c r="AU287" i="60"/>
  <c r="AN55" i="60"/>
  <c r="AP55" i="60" s="1"/>
  <c r="AR55" i="60" s="1"/>
  <c r="AT55" i="60" s="1"/>
  <c r="AV55" i="60" s="1"/>
  <c r="AX55" i="60" s="1"/>
  <c r="AZ55" i="60" s="1"/>
  <c r="BB55" i="60" s="1"/>
  <c r="AU55" i="60"/>
  <c r="AN355" i="60"/>
  <c r="AP355" i="60" s="1"/>
  <c r="AR355" i="60" s="1"/>
  <c r="AT355" i="60" s="1"/>
  <c r="AV355" i="60" s="1"/>
  <c r="AX355" i="60" s="1"/>
  <c r="AZ355" i="60" s="1"/>
  <c r="BB355" i="60" s="1"/>
  <c r="AU355" i="60"/>
  <c r="AN26" i="60"/>
  <c r="AP26" i="60" s="1"/>
  <c r="AR26" i="60" s="1"/>
  <c r="AT26" i="60" s="1"/>
  <c r="AV26" i="60" s="1"/>
  <c r="AX26" i="60" s="1"/>
  <c r="AZ26" i="60" s="1"/>
  <c r="BB26" i="60" s="1"/>
  <c r="AU26" i="60"/>
  <c r="AN143" i="60"/>
  <c r="AP143" i="60" s="1"/>
  <c r="AR143" i="60" s="1"/>
  <c r="AT143" i="60" s="1"/>
  <c r="AV143" i="60" s="1"/>
  <c r="AX143" i="60" s="1"/>
  <c r="AZ143" i="60" s="1"/>
  <c r="BB143" i="60" s="1"/>
  <c r="AU143" i="60"/>
  <c r="AN251" i="60"/>
  <c r="AP251" i="60" s="1"/>
  <c r="AR251" i="60" s="1"/>
  <c r="AT251" i="60" s="1"/>
  <c r="AV251" i="60" s="1"/>
  <c r="AX251" i="60" s="1"/>
  <c r="AZ251" i="60" s="1"/>
  <c r="BB251" i="60" s="1"/>
  <c r="AU251" i="60"/>
  <c r="AN169" i="60"/>
  <c r="AP169" i="60" s="1"/>
  <c r="AR169" i="60" s="1"/>
  <c r="AT169" i="60" s="1"/>
  <c r="AV169" i="60" s="1"/>
  <c r="AX169" i="60" s="1"/>
  <c r="AZ169" i="60" s="1"/>
  <c r="BB169" i="60" s="1"/>
  <c r="AU169" i="60"/>
  <c r="AN45" i="60"/>
  <c r="AP45" i="60" s="1"/>
  <c r="AR45" i="60" s="1"/>
  <c r="AT45" i="60" s="1"/>
  <c r="AV45" i="60" s="1"/>
  <c r="AX45" i="60" s="1"/>
  <c r="AZ45" i="60" s="1"/>
  <c r="BB45" i="60" s="1"/>
  <c r="AU45" i="60"/>
  <c r="AN141" i="60"/>
  <c r="AP141" i="60" s="1"/>
  <c r="AR141" i="60" s="1"/>
  <c r="AT141" i="60" s="1"/>
  <c r="AV141" i="60" s="1"/>
  <c r="AX141" i="60" s="1"/>
  <c r="AZ141" i="60" s="1"/>
  <c r="BB141" i="60" s="1"/>
  <c r="AU141" i="60"/>
  <c r="AN86" i="60"/>
  <c r="AP86" i="60" s="1"/>
  <c r="AR86" i="60" s="1"/>
  <c r="AT86" i="60" s="1"/>
  <c r="AV86" i="60" s="1"/>
  <c r="AX86" i="60" s="1"/>
  <c r="AZ86" i="60" s="1"/>
  <c r="BB86" i="60" s="1"/>
  <c r="AU86" i="60"/>
  <c r="AN31" i="60"/>
  <c r="AP31" i="60" s="1"/>
  <c r="AR31" i="60" s="1"/>
  <c r="AT31" i="60" s="1"/>
  <c r="AV31" i="60" s="1"/>
  <c r="AX31" i="60" s="1"/>
  <c r="AZ31" i="60" s="1"/>
  <c r="BB31" i="60" s="1"/>
  <c r="AU31" i="60"/>
  <c r="AN295" i="60"/>
  <c r="AP295" i="60" s="1"/>
  <c r="AR295" i="60" s="1"/>
  <c r="AT295" i="60" s="1"/>
  <c r="AV295" i="60" s="1"/>
  <c r="AX295" i="60" s="1"/>
  <c r="AZ295" i="60" s="1"/>
  <c r="BB295" i="60" s="1"/>
  <c r="AU295" i="60"/>
  <c r="AN201" i="60"/>
  <c r="AP201" i="60" s="1"/>
  <c r="AR201" i="60" s="1"/>
  <c r="AT201" i="60" s="1"/>
  <c r="AV201" i="60" s="1"/>
  <c r="AX201" i="60" s="1"/>
  <c r="AZ201" i="60" s="1"/>
  <c r="BB201" i="60" s="1"/>
  <c r="AU201" i="60"/>
  <c r="AN321" i="60"/>
  <c r="AP321" i="60" s="1"/>
  <c r="AR321" i="60" s="1"/>
  <c r="AT321" i="60" s="1"/>
  <c r="AV321" i="60" s="1"/>
  <c r="AX321" i="60" s="1"/>
  <c r="AZ321" i="60" s="1"/>
  <c r="BB321" i="60" s="1"/>
  <c r="AU321" i="60"/>
  <c r="AN206" i="60"/>
  <c r="AP206" i="60" s="1"/>
  <c r="AR206" i="60" s="1"/>
  <c r="AT206" i="60" s="1"/>
  <c r="AV206" i="60" s="1"/>
  <c r="AX206" i="60" s="1"/>
  <c r="AZ206" i="60" s="1"/>
  <c r="BB206" i="60" s="1"/>
  <c r="AU206" i="60"/>
  <c r="AN362" i="60"/>
  <c r="AP362" i="60" s="1"/>
  <c r="AR362" i="60" s="1"/>
  <c r="AT362" i="60" s="1"/>
  <c r="AV362" i="60" s="1"/>
  <c r="AX362" i="60" s="1"/>
  <c r="AZ362" i="60" s="1"/>
  <c r="BB362" i="60" s="1"/>
  <c r="AU362" i="60"/>
  <c r="AN119" i="60"/>
  <c r="AP119" i="60" s="1"/>
  <c r="AR119" i="60" s="1"/>
  <c r="AT119" i="60" s="1"/>
  <c r="AV119" i="60" s="1"/>
  <c r="AX119" i="60" s="1"/>
  <c r="AZ119" i="60" s="1"/>
  <c r="BB119" i="60" s="1"/>
  <c r="AU119" i="60"/>
  <c r="AN167" i="60"/>
  <c r="AP167" i="60" s="1"/>
  <c r="AR167" i="60" s="1"/>
  <c r="AT167" i="60" s="1"/>
  <c r="AV167" i="60" s="1"/>
  <c r="AX167" i="60" s="1"/>
  <c r="AZ167" i="60" s="1"/>
  <c r="BB167" i="60" s="1"/>
  <c r="BD167" i="60" s="1"/>
  <c r="AU167" i="60"/>
  <c r="AN103" i="60"/>
  <c r="AP103" i="60" s="1"/>
  <c r="AR103" i="60" s="1"/>
  <c r="AT103" i="60" s="1"/>
  <c r="AV103" i="60" s="1"/>
  <c r="AX103" i="60" s="1"/>
  <c r="AZ103" i="60" s="1"/>
  <c r="BB103" i="60" s="1"/>
  <c r="BD103" i="60" s="1"/>
  <c r="AU103" i="60"/>
  <c r="AN331" i="60"/>
  <c r="AP331" i="60" s="1"/>
  <c r="AR331" i="60" s="1"/>
  <c r="AT331" i="60" s="1"/>
  <c r="AV331" i="60" s="1"/>
  <c r="AX331" i="60" s="1"/>
  <c r="AZ331" i="60" s="1"/>
  <c r="BB331" i="60" s="1"/>
  <c r="AU331" i="60"/>
  <c r="AN43" i="60"/>
  <c r="AP43" i="60" s="1"/>
  <c r="AR43" i="60" s="1"/>
  <c r="AT43" i="60" s="1"/>
  <c r="AV43" i="60" s="1"/>
  <c r="AX43" i="60" s="1"/>
  <c r="AZ43" i="60" s="1"/>
  <c r="BB43" i="60" s="1"/>
  <c r="AU43" i="60"/>
  <c r="AN37" i="60"/>
  <c r="AP37" i="60" s="1"/>
  <c r="AR37" i="60" s="1"/>
  <c r="AT37" i="60" s="1"/>
  <c r="AV37" i="60" s="1"/>
  <c r="AX37" i="60" s="1"/>
  <c r="AZ37" i="60" s="1"/>
  <c r="BB37" i="60" s="1"/>
  <c r="AU37" i="60"/>
  <c r="AN121" i="60"/>
  <c r="AP121" i="60" s="1"/>
  <c r="AR121" i="60" s="1"/>
  <c r="AT121" i="60" s="1"/>
  <c r="AV121" i="60" s="1"/>
  <c r="AX121" i="60" s="1"/>
  <c r="AZ121" i="60" s="1"/>
  <c r="BB121" i="60" s="1"/>
  <c r="AU121" i="60"/>
  <c r="AN189" i="60"/>
  <c r="AP189" i="60" s="1"/>
  <c r="AR189" i="60" s="1"/>
  <c r="AT189" i="60" s="1"/>
  <c r="AV189" i="60" s="1"/>
  <c r="AX189" i="60" s="1"/>
  <c r="AZ189" i="60" s="1"/>
  <c r="BB189" i="60" s="1"/>
  <c r="AU189" i="60"/>
  <c r="AN345" i="60"/>
  <c r="AP345" i="60" s="1"/>
  <c r="AR345" i="60" s="1"/>
  <c r="AT345" i="60" s="1"/>
  <c r="AV345" i="60" s="1"/>
  <c r="AX345" i="60" s="1"/>
  <c r="AZ345" i="60" s="1"/>
  <c r="BB345" i="60" s="1"/>
  <c r="AU345" i="60"/>
  <c r="AN194" i="60"/>
  <c r="AP194" i="60" s="1"/>
  <c r="AR194" i="60" s="1"/>
  <c r="AT194" i="60" s="1"/>
  <c r="AV194" i="60" s="1"/>
  <c r="AX194" i="60" s="1"/>
  <c r="AZ194" i="60" s="1"/>
  <c r="BB194" i="60" s="1"/>
  <c r="AU194" i="60"/>
  <c r="AN79" i="60"/>
  <c r="AP79" i="60" s="1"/>
  <c r="AR79" i="60" s="1"/>
  <c r="AT79" i="60" s="1"/>
  <c r="AV79" i="60" s="1"/>
  <c r="AX79" i="60" s="1"/>
  <c r="AZ79" i="60" s="1"/>
  <c r="BB79" i="60" s="1"/>
  <c r="AU79" i="60"/>
  <c r="AN319" i="60"/>
  <c r="AP319" i="60" s="1"/>
  <c r="AR319" i="60" s="1"/>
  <c r="AT319" i="60" s="1"/>
  <c r="AV319" i="60" s="1"/>
  <c r="AX319" i="60" s="1"/>
  <c r="AZ319" i="60" s="1"/>
  <c r="BB319" i="60" s="1"/>
  <c r="AU319" i="60"/>
  <c r="AN229" i="60"/>
  <c r="AP229" i="60" s="1"/>
  <c r="AR229" i="60" s="1"/>
  <c r="AT229" i="60" s="1"/>
  <c r="AV229" i="60" s="1"/>
  <c r="AX229" i="60" s="1"/>
  <c r="AZ229" i="60" s="1"/>
  <c r="BB229" i="60" s="1"/>
  <c r="AU229" i="60"/>
  <c r="AN297" i="60"/>
  <c r="AP297" i="60" s="1"/>
  <c r="AR297" i="60" s="1"/>
  <c r="AT297" i="60" s="1"/>
  <c r="AV297" i="60" s="1"/>
  <c r="AX297" i="60" s="1"/>
  <c r="AZ297" i="60" s="1"/>
  <c r="BB297" i="60" s="1"/>
  <c r="AU297" i="60"/>
  <c r="AN74" i="60"/>
  <c r="AP74" i="60" s="1"/>
  <c r="AR74" i="60" s="1"/>
  <c r="AT74" i="60" s="1"/>
  <c r="AV74" i="60" s="1"/>
  <c r="AX74" i="60" s="1"/>
  <c r="AZ74" i="60" s="1"/>
  <c r="BB74" i="60" s="1"/>
  <c r="AU74" i="60"/>
  <c r="AN302" i="60"/>
  <c r="AP302" i="60" s="1"/>
  <c r="AR302" i="60" s="1"/>
  <c r="AT302" i="60" s="1"/>
  <c r="AV302" i="60" s="1"/>
  <c r="AX302" i="60" s="1"/>
  <c r="AZ302" i="60" s="1"/>
  <c r="BB302" i="60" s="1"/>
  <c r="AU302" i="60"/>
  <c r="AN359" i="60"/>
  <c r="AP359" i="60" s="1"/>
  <c r="AR359" i="60" s="1"/>
  <c r="AT359" i="60" s="1"/>
  <c r="AV359" i="60" s="1"/>
  <c r="AX359" i="60" s="1"/>
  <c r="AZ359" i="60" s="1"/>
  <c r="BB359" i="60" s="1"/>
  <c r="AU359" i="60"/>
  <c r="AN235" i="60"/>
  <c r="AP235" i="60" s="1"/>
  <c r="AR235" i="60" s="1"/>
  <c r="AT235" i="60" s="1"/>
  <c r="AV235" i="60" s="1"/>
  <c r="AX235" i="60" s="1"/>
  <c r="AZ235" i="60" s="1"/>
  <c r="BB235" i="60" s="1"/>
  <c r="AU235" i="60"/>
  <c r="AN307" i="60"/>
  <c r="AP307" i="60" s="1"/>
  <c r="AR307" i="60" s="1"/>
  <c r="AT307" i="60" s="1"/>
  <c r="AV307" i="60" s="1"/>
  <c r="AX307" i="60" s="1"/>
  <c r="AZ307" i="60" s="1"/>
  <c r="BB307" i="60" s="1"/>
  <c r="BD307" i="60" s="1"/>
  <c r="AU307" i="60"/>
  <c r="AN133" i="60"/>
  <c r="AP133" i="60" s="1"/>
  <c r="AR133" i="60" s="1"/>
  <c r="AT133" i="60" s="1"/>
  <c r="AV133" i="60" s="1"/>
  <c r="AX133" i="60" s="1"/>
  <c r="AZ133" i="60" s="1"/>
  <c r="BB133" i="60" s="1"/>
  <c r="AU133" i="60"/>
  <c r="AN193" i="60"/>
  <c r="AP193" i="60" s="1"/>
  <c r="AR193" i="60" s="1"/>
  <c r="AT193" i="60" s="1"/>
  <c r="AV193" i="60" s="1"/>
  <c r="AX193" i="60" s="1"/>
  <c r="AZ193" i="60" s="1"/>
  <c r="BB193" i="60" s="1"/>
  <c r="BD193" i="60" s="1"/>
  <c r="AU193" i="60"/>
  <c r="AN117" i="60"/>
  <c r="AP117" i="60" s="1"/>
  <c r="AR117" i="60" s="1"/>
  <c r="AT117" i="60" s="1"/>
  <c r="AV117" i="60" s="1"/>
  <c r="AX117" i="60" s="1"/>
  <c r="AZ117" i="60" s="1"/>
  <c r="BB117" i="60" s="1"/>
  <c r="AU117" i="60"/>
  <c r="AN285" i="60"/>
  <c r="AP285" i="60" s="1"/>
  <c r="AR285" i="60" s="1"/>
  <c r="AT285" i="60" s="1"/>
  <c r="AV285" i="60" s="1"/>
  <c r="AX285" i="60" s="1"/>
  <c r="AZ285" i="60" s="1"/>
  <c r="BB285" i="60" s="1"/>
  <c r="BD285" i="60" s="1"/>
  <c r="AU285" i="60"/>
  <c r="AN62" i="60"/>
  <c r="AP62" i="60" s="1"/>
  <c r="AR62" i="60" s="1"/>
  <c r="AT62" i="60" s="1"/>
  <c r="AV62" i="60" s="1"/>
  <c r="AX62" i="60" s="1"/>
  <c r="AZ62" i="60" s="1"/>
  <c r="BB62" i="60" s="1"/>
  <c r="BD62" i="60" s="1"/>
  <c r="AU62" i="60"/>
  <c r="AN290" i="60"/>
  <c r="AP290" i="60" s="1"/>
  <c r="AR290" i="60" s="1"/>
  <c r="AT290" i="60" s="1"/>
  <c r="AV290" i="60" s="1"/>
  <c r="AX290" i="60" s="1"/>
  <c r="AZ290" i="60" s="1"/>
  <c r="BB290" i="60" s="1"/>
  <c r="AU290" i="60"/>
  <c r="AN71" i="60"/>
  <c r="AP71" i="60" s="1"/>
  <c r="AR71" i="60" s="1"/>
  <c r="AT71" i="60" s="1"/>
  <c r="AV71" i="60" s="1"/>
  <c r="AX71" i="60" s="1"/>
  <c r="AZ71" i="60" s="1"/>
  <c r="BB71" i="60" s="1"/>
  <c r="AU71" i="60"/>
  <c r="AN215" i="60"/>
  <c r="AP215" i="60" s="1"/>
  <c r="AR215" i="60" s="1"/>
  <c r="AT215" i="60" s="1"/>
  <c r="AV215" i="60" s="1"/>
  <c r="AX215" i="60" s="1"/>
  <c r="AZ215" i="60" s="1"/>
  <c r="BB215" i="60" s="1"/>
  <c r="BD215" i="60" s="1"/>
  <c r="AU215" i="60"/>
  <c r="AN163" i="60"/>
  <c r="AP163" i="60" s="1"/>
  <c r="AR163" i="60" s="1"/>
  <c r="AT163" i="60" s="1"/>
  <c r="AV163" i="60" s="1"/>
  <c r="AX163" i="60" s="1"/>
  <c r="AZ163" i="60" s="1"/>
  <c r="BB163" i="60" s="1"/>
  <c r="AU163" i="60"/>
  <c r="AN73" i="60"/>
  <c r="AP73" i="60" s="1"/>
  <c r="AR73" i="60" s="1"/>
  <c r="AT73" i="60" s="1"/>
  <c r="AV73" i="60" s="1"/>
  <c r="AX73" i="60" s="1"/>
  <c r="AZ73" i="60" s="1"/>
  <c r="BB73" i="60" s="1"/>
  <c r="AU73" i="60"/>
  <c r="AN265" i="60"/>
  <c r="AP265" i="60" s="1"/>
  <c r="AR265" i="60" s="1"/>
  <c r="AT265" i="60" s="1"/>
  <c r="AV265" i="60" s="1"/>
  <c r="AX265" i="60" s="1"/>
  <c r="AZ265" i="60" s="1"/>
  <c r="BB265" i="60" s="1"/>
  <c r="AU265" i="60"/>
  <c r="AN21" i="60"/>
  <c r="AP21" i="60" s="1"/>
  <c r="AR21" i="60" s="1"/>
  <c r="AT21" i="60" s="1"/>
  <c r="AV21" i="60" s="1"/>
  <c r="AX21" i="60" s="1"/>
  <c r="AZ21" i="60" s="1"/>
  <c r="BB21" i="60" s="1"/>
  <c r="AU21" i="60"/>
  <c r="AN309" i="60"/>
  <c r="AP309" i="60" s="1"/>
  <c r="AR309" i="60" s="1"/>
  <c r="AT309" i="60" s="1"/>
  <c r="AV309" i="60" s="1"/>
  <c r="AX309" i="60" s="1"/>
  <c r="AZ309" i="60" s="1"/>
  <c r="BB309" i="60" s="1"/>
  <c r="AU309" i="60"/>
  <c r="AN266" i="60"/>
  <c r="AP266" i="60" s="1"/>
  <c r="AR266" i="60" s="1"/>
  <c r="AT266" i="60" s="1"/>
  <c r="AV266" i="60" s="1"/>
  <c r="AX266" i="60" s="1"/>
  <c r="AZ266" i="60" s="1"/>
  <c r="BB266" i="60" s="1"/>
  <c r="AU266" i="60"/>
  <c r="AN95" i="60"/>
  <c r="AP95" i="60" s="1"/>
  <c r="AR95" i="60" s="1"/>
  <c r="AT95" i="60" s="1"/>
  <c r="AV95" i="60" s="1"/>
  <c r="AX95" i="60" s="1"/>
  <c r="AZ95" i="60" s="1"/>
  <c r="BB95" i="60" s="1"/>
  <c r="AU95" i="60"/>
  <c r="AN371" i="60"/>
  <c r="AP371" i="60" s="1"/>
  <c r="AR371" i="60" s="1"/>
  <c r="AT371" i="60" s="1"/>
  <c r="AV371" i="60" s="1"/>
  <c r="AX371" i="60" s="1"/>
  <c r="AZ371" i="60" s="1"/>
  <c r="BB371" i="60" s="1"/>
  <c r="AU371" i="60"/>
  <c r="AN271" i="60"/>
  <c r="AP271" i="60" s="1"/>
  <c r="AR271" i="60" s="1"/>
  <c r="AT271" i="60" s="1"/>
  <c r="AV271" i="60" s="1"/>
  <c r="AX271" i="60" s="1"/>
  <c r="AZ271" i="60" s="1"/>
  <c r="BB271" i="60" s="1"/>
  <c r="AU271" i="60"/>
  <c r="AN139" i="60"/>
  <c r="AP139" i="60" s="1"/>
  <c r="AR139" i="60" s="1"/>
  <c r="AT139" i="60" s="1"/>
  <c r="AV139" i="60" s="1"/>
  <c r="AX139" i="60" s="1"/>
  <c r="AZ139" i="60" s="1"/>
  <c r="BB139" i="60" s="1"/>
  <c r="AU139" i="60"/>
  <c r="AN241" i="60"/>
  <c r="AP241" i="60" s="1"/>
  <c r="AR241" i="60" s="1"/>
  <c r="AT241" i="60" s="1"/>
  <c r="AV241" i="60" s="1"/>
  <c r="AX241" i="60" s="1"/>
  <c r="AZ241" i="60" s="1"/>
  <c r="BB241" i="60" s="1"/>
  <c r="AU241" i="60"/>
  <c r="AN361" i="60"/>
  <c r="AP361" i="60" s="1"/>
  <c r="AR361" i="60" s="1"/>
  <c r="AT361" i="60" s="1"/>
  <c r="AV361" i="60" s="1"/>
  <c r="AX361" i="60" s="1"/>
  <c r="AZ361" i="60" s="1"/>
  <c r="BB361" i="60" s="1"/>
  <c r="AU361" i="60"/>
  <c r="AN57" i="60"/>
  <c r="AP57" i="60" s="1"/>
  <c r="AR57" i="60" s="1"/>
  <c r="AT57" i="60" s="1"/>
  <c r="AV57" i="60" s="1"/>
  <c r="AX57" i="60" s="1"/>
  <c r="AZ57" i="60" s="1"/>
  <c r="BB57" i="60" s="1"/>
  <c r="AU57" i="60"/>
  <c r="AN225" i="60"/>
  <c r="AP225" i="60" s="1"/>
  <c r="AR225" i="60" s="1"/>
  <c r="AT225" i="60" s="1"/>
  <c r="AV225" i="60" s="1"/>
  <c r="AX225" i="60" s="1"/>
  <c r="AZ225" i="60" s="1"/>
  <c r="BB225" i="60" s="1"/>
  <c r="AU225" i="60"/>
  <c r="AN158" i="60"/>
  <c r="AP158" i="60" s="1"/>
  <c r="AR158" i="60" s="1"/>
  <c r="AT158" i="60" s="1"/>
  <c r="AV158" i="60" s="1"/>
  <c r="AX158" i="60" s="1"/>
  <c r="AZ158" i="60" s="1"/>
  <c r="BB158" i="60" s="1"/>
  <c r="BD158" i="60" s="1"/>
  <c r="AU158" i="60"/>
  <c r="AN338" i="60"/>
  <c r="AP338" i="60" s="1"/>
  <c r="AR338" i="60" s="1"/>
  <c r="AT338" i="60" s="1"/>
  <c r="AV338" i="60" s="1"/>
  <c r="AX338" i="60" s="1"/>
  <c r="AZ338" i="60" s="1"/>
  <c r="BB338" i="60" s="1"/>
  <c r="BD338" i="60" s="1"/>
  <c r="AU338" i="60"/>
  <c r="AN83" i="60"/>
  <c r="AP83" i="60" s="1"/>
  <c r="AR83" i="60" s="1"/>
  <c r="AT83" i="60" s="1"/>
  <c r="AV83" i="60" s="1"/>
  <c r="AX83" i="60" s="1"/>
  <c r="AZ83" i="60" s="1"/>
  <c r="BB83" i="60" s="1"/>
  <c r="BD83" i="60" s="1"/>
  <c r="AU83" i="60"/>
  <c r="AN347" i="60"/>
  <c r="AP347" i="60" s="1"/>
  <c r="AR347" i="60" s="1"/>
  <c r="AT347" i="60" s="1"/>
  <c r="AV347" i="60" s="1"/>
  <c r="AX347" i="60" s="1"/>
  <c r="AZ347" i="60" s="1"/>
  <c r="BB347" i="60" s="1"/>
  <c r="BD347" i="60" s="1"/>
  <c r="AU347" i="60"/>
  <c r="AN109" i="60"/>
  <c r="AP109" i="60" s="1"/>
  <c r="AR109" i="60" s="1"/>
  <c r="AT109" i="60" s="1"/>
  <c r="AV109" i="60" s="1"/>
  <c r="AX109" i="60" s="1"/>
  <c r="AZ109" i="60" s="1"/>
  <c r="BB109" i="60" s="1"/>
  <c r="AU109" i="60"/>
  <c r="AN253" i="60"/>
  <c r="AP253" i="60" s="1"/>
  <c r="AR253" i="60" s="1"/>
  <c r="AT253" i="60" s="1"/>
  <c r="AV253" i="60" s="1"/>
  <c r="AX253" i="60" s="1"/>
  <c r="AZ253" i="60" s="1"/>
  <c r="BB253" i="60" s="1"/>
  <c r="BD253" i="60" s="1"/>
  <c r="AU253" i="60"/>
  <c r="AN14" i="60"/>
  <c r="AP14" i="60" s="1"/>
  <c r="AR14" i="60" s="1"/>
  <c r="AT14" i="60" s="1"/>
  <c r="AV14" i="60" s="1"/>
  <c r="AX14" i="60" s="1"/>
  <c r="AZ14" i="60" s="1"/>
  <c r="BB14" i="60" s="1"/>
  <c r="BD14" i="60" s="1"/>
  <c r="AU14" i="60"/>
  <c r="AN97" i="60"/>
  <c r="AP97" i="60" s="1"/>
  <c r="AR97" i="60" s="1"/>
  <c r="AT97" i="60" s="1"/>
  <c r="AV97" i="60" s="1"/>
  <c r="AX97" i="60" s="1"/>
  <c r="AZ97" i="60" s="1"/>
  <c r="BB97" i="60" s="1"/>
  <c r="BD97" i="60" s="1"/>
  <c r="AU97" i="60"/>
  <c r="AN105" i="60"/>
  <c r="AP105" i="60" s="1"/>
  <c r="AR105" i="60" s="1"/>
  <c r="AT105" i="60" s="1"/>
  <c r="AV105" i="60" s="1"/>
  <c r="AX105" i="60" s="1"/>
  <c r="AZ105" i="60" s="1"/>
  <c r="BB105" i="60" s="1"/>
  <c r="AU105" i="60"/>
  <c r="AN134" i="60"/>
  <c r="AP134" i="60" s="1"/>
  <c r="AR134" i="60" s="1"/>
  <c r="AT134" i="60" s="1"/>
  <c r="AV134" i="60" s="1"/>
  <c r="AX134" i="60" s="1"/>
  <c r="AZ134" i="60" s="1"/>
  <c r="BB134" i="60" s="1"/>
  <c r="AU134" i="60"/>
  <c r="AN350" i="60"/>
  <c r="AP350" i="60" s="1"/>
  <c r="AR350" i="60" s="1"/>
  <c r="AT350" i="60" s="1"/>
  <c r="AV350" i="60" s="1"/>
  <c r="AX350" i="60" s="1"/>
  <c r="AZ350" i="60" s="1"/>
  <c r="BB350" i="60" s="1"/>
  <c r="BD350" i="60" s="1"/>
  <c r="AU350" i="60"/>
  <c r="AN179" i="60"/>
  <c r="AP179" i="60" s="1"/>
  <c r="AR179" i="60" s="1"/>
  <c r="AT179" i="60" s="1"/>
  <c r="AV179" i="60" s="1"/>
  <c r="AX179" i="60" s="1"/>
  <c r="AZ179" i="60" s="1"/>
  <c r="BB179" i="60" s="1"/>
  <c r="BD179" i="60" s="1"/>
  <c r="AU179" i="60"/>
  <c r="AN247" i="60"/>
  <c r="AP247" i="60" s="1"/>
  <c r="AR247" i="60" s="1"/>
  <c r="AT247" i="60" s="1"/>
  <c r="AV247" i="60" s="1"/>
  <c r="AX247" i="60" s="1"/>
  <c r="AZ247" i="60" s="1"/>
  <c r="BB247" i="60" s="1"/>
  <c r="BD247" i="60" s="1"/>
  <c r="AU247" i="60"/>
  <c r="AN157" i="60"/>
  <c r="AP157" i="60" s="1"/>
  <c r="AR157" i="60" s="1"/>
  <c r="AT157" i="60" s="1"/>
  <c r="AV157" i="60" s="1"/>
  <c r="AX157" i="60" s="1"/>
  <c r="AZ157" i="60" s="1"/>
  <c r="BB157" i="60" s="1"/>
  <c r="AU157" i="60"/>
  <c r="AN289" i="60"/>
  <c r="AP289" i="60" s="1"/>
  <c r="AR289" i="60" s="1"/>
  <c r="AT289" i="60" s="1"/>
  <c r="AV289" i="60" s="1"/>
  <c r="AX289" i="60" s="1"/>
  <c r="AZ289" i="60" s="1"/>
  <c r="BB289" i="60" s="1"/>
  <c r="BD289" i="60" s="1"/>
  <c r="AU289" i="60"/>
  <c r="AN153" i="60"/>
  <c r="AP153" i="60" s="1"/>
  <c r="AR153" i="60" s="1"/>
  <c r="AT153" i="60" s="1"/>
  <c r="AV153" i="60" s="1"/>
  <c r="AX153" i="60" s="1"/>
  <c r="AZ153" i="60" s="1"/>
  <c r="BB153" i="60" s="1"/>
  <c r="BD153" i="60" s="1"/>
  <c r="AU153" i="60"/>
  <c r="AN261" i="60"/>
  <c r="AP261" i="60" s="1"/>
  <c r="AR261" i="60" s="1"/>
  <c r="AT261" i="60" s="1"/>
  <c r="AV261" i="60" s="1"/>
  <c r="AX261" i="60" s="1"/>
  <c r="AZ261" i="60" s="1"/>
  <c r="BB261" i="60" s="1"/>
  <c r="BD261" i="60" s="1"/>
  <c r="AU261" i="60"/>
  <c r="AN218" i="60"/>
  <c r="AP218" i="60" s="1"/>
  <c r="AR218" i="60" s="1"/>
  <c r="AT218" i="60" s="1"/>
  <c r="AV218" i="60" s="1"/>
  <c r="AX218" i="60" s="1"/>
  <c r="AZ218" i="60" s="1"/>
  <c r="BB218" i="60" s="1"/>
  <c r="BD218" i="60" s="1"/>
  <c r="AU218" i="60"/>
  <c r="AN242" i="60"/>
  <c r="AP242" i="60" s="1"/>
  <c r="AR242" i="60" s="1"/>
  <c r="AT242" i="60" s="1"/>
  <c r="AV242" i="60" s="1"/>
  <c r="AX242" i="60" s="1"/>
  <c r="AZ242" i="60" s="1"/>
  <c r="BB242" i="60" s="1"/>
  <c r="AU242" i="60"/>
  <c r="AN47" i="60"/>
  <c r="AP47" i="60" s="1"/>
  <c r="AR47" i="60" s="1"/>
  <c r="AT47" i="60" s="1"/>
  <c r="AV47" i="60" s="1"/>
  <c r="AX47" i="60" s="1"/>
  <c r="AZ47" i="60" s="1"/>
  <c r="BB47" i="60" s="1"/>
  <c r="BD47" i="60" s="1"/>
  <c r="AU47" i="60"/>
  <c r="AN335" i="60"/>
  <c r="AP335" i="60" s="1"/>
  <c r="AR335" i="60" s="1"/>
  <c r="AT335" i="60" s="1"/>
  <c r="AV335" i="60" s="1"/>
  <c r="AX335" i="60" s="1"/>
  <c r="AZ335" i="60" s="1"/>
  <c r="BB335" i="60" s="1"/>
  <c r="BD335" i="60" s="1"/>
  <c r="AU335" i="60"/>
  <c r="AN187" i="60"/>
  <c r="AP187" i="60" s="1"/>
  <c r="AR187" i="60" s="1"/>
  <c r="AT187" i="60" s="1"/>
  <c r="AV187" i="60" s="1"/>
  <c r="AX187" i="60" s="1"/>
  <c r="AZ187" i="60" s="1"/>
  <c r="BB187" i="60" s="1"/>
  <c r="AU187" i="60"/>
  <c r="AN151" i="60"/>
  <c r="AP151" i="60" s="1"/>
  <c r="AR151" i="60" s="1"/>
  <c r="AT151" i="60" s="1"/>
  <c r="AV151" i="60" s="1"/>
  <c r="AX151" i="60" s="1"/>
  <c r="AZ151" i="60" s="1"/>
  <c r="BB151" i="60" s="1"/>
  <c r="BD151" i="60" s="1"/>
  <c r="AU151" i="60"/>
  <c r="AN131" i="60"/>
  <c r="AP131" i="60" s="1"/>
  <c r="AR131" i="60" s="1"/>
  <c r="AT131" i="60" s="1"/>
  <c r="AV131" i="60" s="1"/>
  <c r="AX131" i="60" s="1"/>
  <c r="AZ131" i="60" s="1"/>
  <c r="BB131" i="60" s="1"/>
  <c r="AU131" i="60"/>
  <c r="AN203" i="60"/>
  <c r="AP203" i="60" s="1"/>
  <c r="AR203" i="60" s="1"/>
  <c r="AT203" i="60" s="1"/>
  <c r="AV203" i="60" s="1"/>
  <c r="AX203" i="60" s="1"/>
  <c r="AZ203" i="60" s="1"/>
  <c r="BB203" i="60" s="1"/>
  <c r="AU203" i="60"/>
  <c r="AN19" i="60"/>
  <c r="AP19" i="60" s="1"/>
  <c r="AR19" i="60" s="1"/>
  <c r="AT19" i="60" s="1"/>
  <c r="AV19" i="60" s="1"/>
  <c r="AX19" i="60" s="1"/>
  <c r="AZ19" i="60" s="1"/>
  <c r="BB19" i="60" s="1"/>
  <c r="AU19" i="60"/>
  <c r="AN278" i="60"/>
  <c r="AP278" i="60" s="1"/>
  <c r="AR278" i="60" s="1"/>
  <c r="AT278" i="60" s="1"/>
  <c r="AV278" i="60" s="1"/>
  <c r="AX278" i="60" s="1"/>
  <c r="AZ278" i="60" s="1"/>
  <c r="BB278" i="60" s="1"/>
  <c r="AU278" i="60"/>
  <c r="AN323" i="60"/>
  <c r="AP323" i="60" s="1"/>
  <c r="AR323" i="60" s="1"/>
  <c r="AT323" i="60" s="1"/>
  <c r="AV323" i="60" s="1"/>
  <c r="AX323" i="60" s="1"/>
  <c r="AZ323" i="60" s="1"/>
  <c r="BB323" i="60" s="1"/>
  <c r="AU323" i="60"/>
  <c r="AN91" i="60"/>
  <c r="AP91" i="60" s="1"/>
  <c r="AR91" i="60" s="1"/>
  <c r="AT91" i="60" s="1"/>
  <c r="AV91" i="60" s="1"/>
  <c r="AX91" i="60" s="1"/>
  <c r="AZ91" i="60" s="1"/>
  <c r="BB91" i="60" s="1"/>
  <c r="AU91" i="60"/>
  <c r="BF11" i="54"/>
  <c r="D14" i="55"/>
  <c r="F14" i="55"/>
  <c r="E14" i="55"/>
  <c r="O1917" i="10"/>
  <c r="P1917" i="10"/>
  <c r="Q1917" i="10"/>
  <c r="R1917" i="10"/>
  <c r="S1917" i="10"/>
  <c r="T1917" i="10"/>
  <c r="C14" i="10"/>
  <c r="C15" i="10"/>
  <c r="C16" i="10"/>
  <c r="C17" i="10"/>
  <c r="C18" i="10"/>
  <c r="C19" i="10"/>
  <c r="C20" i="10"/>
  <c r="C21" i="10"/>
  <c r="C22" i="10"/>
  <c r="C23" i="10"/>
  <c r="C24" i="10"/>
  <c r="C25" i="10"/>
  <c r="C26" i="10"/>
  <c r="C27" i="10"/>
  <c r="C28" i="10"/>
  <c r="C29" i="10"/>
  <c r="C30" i="10"/>
  <c r="C31" i="10"/>
  <c r="C32" i="10"/>
  <c r="C33" i="10"/>
  <c r="C34" i="10"/>
  <c r="C35" i="10"/>
  <c r="C36" i="10"/>
  <c r="C37" i="10"/>
  <c r="C38" i="10"/>
  <c r="C39" i="10"/>
  <c r="C40" i="10"/>
  <c r="C41" i="10"/>
  <c r="C42" i="10"/>
  <c r="C43" i="10"/>
  <c r="C44" i="10"/>
  <c r="C45" i="10"/>
  <c r="C46" i="10"/>
  <c r="C47" i="10"/>
  <c r="C48" i="10"/>
  <c r="C49" i="10"/>
  <c r="C50" i="10"/>
  <c r="C51" i="10"/>
  <c r="C52" i="10"/>
  <c r="C53" i="10"/>
  <c r="C54" i="10"/>
  <c r="C55" i="10"/>
  <c r="C56" i="10"/>
  <c r="C57" i="10"/>
  <c r="C58" i="10"/>
  <c r="C59" i="10"/>
  <c r="C60" i="10"/>
  <c r="C61" i="10"/>
  <c r="C62" i="10"/>
  <c r="C63" i="10"/>
  <c r="C64" i="10"/>
  <c r="C65" i="10"/>
  <c r="C66" i="10"/>
  <c r="C67" i="10"/>
  <c r="C68" i="10"/>
  <c r="C69" i="10"/>
  <c r="C70" i="10"/>
  <c r="C71" i="10"/>
  <c r="C72" i="10"/>
  <c r="C73" i="10"/>
  <c r="C74" i="10"/>
  <c r="C75" i="10"/>
  <c r="C76" i="10"/>
  <c r="C77" i="10"/>
  <c r="C78" i="10"/>
  <c r="C79" i="10"/>
  <c r="C80" i="10"/>
  <c r="C81" i="10"/>
  <c r="C82" i="10"/>
  <c r="C83" i="10"/>
  <c r="C84" i="10"/>
  <c r="C85" i="10"/>
  <c r="C86" i="10"/>
  <c r="C87" i="10"/>
  <c r="C88" i="10"/>
  <c r="C89" i="10"/>
  <c r="C90" i="10"/>
  <c r="C91" i="10"/>
  <c r="C92" i="10"/>
  <c r="C93" i="10"/>
  <c r="C94" i="10"/>
  <c r="C95" i="10"/>
  <c r="C96" i="10"/>
  <c r="C97" i="10"/>
  <c r="C98" i="10"/>
  <c r="C99" i="10"/>
  <c r="C100" i="10"/>
  <c r="C101" i="10"/>
  <c r="C102" i="10"/>
  <c r="C103" i="10"/>
  <c r="C104" i="10"/>
  <c r="C105" i="10"/>
  <c r="C106" i="10"/>
  <c r="C107" i="10"/>
  <c r="C108" i="10"/>
  <c r="C109" i="10"/>
  <c r="C110" i="10"/>
  <c r="C111" i="10"/>
  <c r="C112" i="10"/>
  <c r="C113" i="10"/>
  <c r="C114" i="10"/>
  <c r="C115" i="10"/>
  <c r="C116" i="10"/>
  <c r="C117" i="10"/>
  <c r="C118" i="10"/>
  <c r="C119" i="10"/>
  <c r="C120" i="10"/>
  <c r="C121" i="10"/>
  <c r="C122" i="10"/>
  <c r="C123" i="10"/>
  <c r="C124" i="10"/>
  <c r="C125" i="10"/>
  <c r="C126" i="10"/>
  <c r="C127" i="10"/>
  <c r="C128" i="10"/>
  <c r="C129" i="10"/>
  <c r="C130" i="10"/>
  <c r="C131" i="10"/>
  <c r="C132" i="10"/>
  <c r="C133" i="10"/>
  <c r="C134" i="10"/>
  <c r="C135" i="10"/>
  <c r="C136" i="10"/>
  <c r="C137" i="10"/>
  <c r="C138" i="10"/>
  <c r="C139" i="10"/>
  <c r="C140" i="10"/>
  <c r="C141" i="10"/>
  <c r="C142" i="10"/>
  <c r="C143" i="10"/>
  <c r="C144" i="10"/>
  <c r="C145" i="10"/>
  <c r="C146" i="10"/>
  <c r="C147" i="10"/>
  <c r="C148" i="10"/>
  <c r="C149" i="10"/>
  <c r="C150" i="10"/>
  <c r="C151" i="10"/>
  <c r="C152" i="10"/>
  <c r="C153" i="10"/>
  <c r="C154" i="10"/>
  <c r="C155" i="10"/>
  <c r="C156" i="10"/>
  <c r="C157" i="10"/>
  <c r="C158" i="10"/>
  <c r="C159" i="10"/>
  <c r="C160" i="10"/>
  <c r="C161" i="10"/>
  <c r="C162" i="10"/>
  <c r="C163" i="10"/>
  <c r="C164" i="10"/>
  <c r="C165" i="10"/>
  <c r="C166" i="10"/>
  <c r="C167" i="10"/>
  <c r="C168" i="10"/>
  <c r="C169" i="10"/>
  <c r="C170" i="10"/>
  <c r="C171" i="10"/>
  <c r="C172" i="10"/>
  <c r="C173" i="10"/>
  <c r="C174" i="10"/>
  <c r="C175" i="10"/>
  <c r="C176" i="10"/>
  <c r="C177" i="10"/>
  <c r="C178" i="10"/>
  <c r="C179" i="10"/>
  <c r="C180" i="10"/>
  <c r="C181" i="10"/>
  <c r="C182" i="10"/>
  <c r="C183" i="10"/>
  <c r="C184" i="10"/>
  <c r="C185" i="10"/>
  <c r="C186" i="10"/>
  <c r="C187" i="10"/>
  <c r="C188" i="10"/>
  <c r="C189" i="10"/>
  <c r="C190" i="10"/>
  <c r="C191" i="10"/>
  <c r="C192" i="10"/>
  <c r="C193" i="10"/>
  <c r="C194" i="10"/>
  <c r="C195" i="10"/>
  <c r="C196" i="10"/>
  <c r="C197" i="10"/>
  <c r="C198" i="10"/>
  <c r="C199" i="10"/>
  <c r="C200" i="10"/>
  <c r="C201" i="10"/>
  <c r="C202" i="10"/>
  <c r="C203" i="10"/>
  <c r="C204" i="10"/>
  <c r="C205" i="10"/>
  <c r="C206" i="10"/>
  <c r="C207" i="10"/>
  <c r="C208" i="10"/>
  <c r="C209" i="10"/>
  <c r="C210" i="10"/>
  <c r="C211" i="10"/>
  <c r="C212" i="10"/>
  <c r="C213" i="10"/>
  <c r="C214" i="10"/>
  <c r="C215" i="10"/>
  <c r="C216" i="10"/>
  <c r="C217" i="10"/>
  <c r="C218" i="10"/>
  <c r="C219" i="10"/>
  <c r="C220" i="10"/>
  <c r="C221" i="10"/>
  <c r="C222" i="10"/>
  <c r="C223" i="10"/>
  <c r="C224" i="10"/>
  <c r="C225" i="10"/>
  <c r="C226" i="10"/>
  <c r="C227" i="10"/>
  <c r="C228" i="10"/>
  <c r="C229" i="10"/>
  <c r="C230" i="10"/>
  <c r="C231" i="10"/>
  <c r="C232" i="10"/>
  <c r="C233" i="10"/>
  <c r="C234" i="10"/>
  <c r="C235" i="10"/>
  <c r="C236" i="10"/>
  <c r="C237" i="10"/>
  <c r="C238" i="10"/>
  <c r="C239" i="10"/>
  <c r="C240" i="10"/>
  <c r="C241" i="10"/>
  <c r="C242" i="10"/>
  <c r="C243" i="10"/>
  <c r="C244" i="10"/>
  <c r="C245" i="10"/>
  <c r="C246" i="10"/>
  <c r="C247" i="10"/>
  <c r="C248" i="10"/>
  <c r="C249" i="10"/>
  <c r="C250" i="10"/>
  <c r="C251" i="10"/>
  <c r="C252" i="10"/>
  <c r="C253" i="10"/>
  <c r="C254" i="10"/>
  <c r="C255" i="10"/>
  <c r="C256" i="10"/>
  <c r="C257" i="10"/>
  <c r="C258" i="10"/>
  <c r="C259" i="10"/>
  <c r="C260" i="10"/>
  <c r="C261" i="10"/>
  <c r="C262" i="10"/>
  <c r="C263" i="10"/>
  <c r="C264" i="10"/>
  <c r="C265" i="10"/>
  <c r="C266" i="10"/>
  <c r="C267" i="10"/>
  <c r="C268" i="10"/>
  <c r="C269" i="10"/>
  <c r="C270" i="10"/>
  <c r="C271" i="10"/>
  <c r="C272" i="10"/>
  <c r="C273" i="10"/>
  <c r="C274" i="10"/>
  <c r="C275" i="10"/>
  <c r="C276" i="10"/>
  <c r="C277" i="10"/>
  <c r="C278" i="10"/>
  <c r="C279" i="10"/>
  <c r="C280" i="10"/>
  <c r="C281" i="10"/>
  <c r="C282" i="10"/>
  <c r="C283" i="10"/>
  <c r="C284" i="10"/>
  <c r="C285" i="10"/>
  <c r="C286" i="10"/>
  <c r="C287" i="10"/>
  <c r="C288" i="10"/>
  <c r="C289" i="10"/>
  <c r="C290" i="10"/>
  <c r="C291" i="10"/>
  <c r="C292" i="10"/>
  <c r="C293" i="10"/>
  <c r="C294" i="10"/>
  <c r="C295" i="10"/>
  <c r="C296" i="10"/>
  <c r="C297" i="10"/>
  <c r="C298" i="10"/>
  <c r="C299" i="10"/>
  <c r="C300" i="10"/>
  <c r="C301" i="10"/>
  <c r="C302" i="10"/>
  <c r="C303" i="10"/>
  <c r="C304" i="10"/>
  <c r="C305" i="10"/>
  <c r="C306" i="10"/>
  <c r="C307" i="10"/>
  <c r="C308" i="10"/>
  <c r="C309" i="10"/>
  <c r="C310" i="10"/>
  <c r="C311" i="10"/>
  <c r="C312" i="10"/>
  <c r="C313" i="10"/>
  <c r="C314" i="10"/>
  <c r="C315" i="10"/>
  <c r="C316" i="10"/>
  <c r="C317" i="10"/>
  <c r="C318" i="10"/>
  <c r="C319" i="10"/>
  <c r="C320" i="10"/>
  <c r="C321" i="10"/>
  <c r="C322" i="10"/>
  <c r="C323" i="10"/>
  <c r="C324" i="10"/>
  <c r="C325" i="10"/>
  <c r="C326" i="10"/>
  <c r="C327" i="10"/>
  <c r="C328" i="10"/>
  <c r="C329" i="10"/>
  <c r="C330" i="10"/>
  <c r="C331" i="10"/>
  <c r="C332" i="10"/>
  <c r="C333" i="10"/>
  <c r="C334" i="10"/>
  <c r="C335" i="10"/>
  <c r="C336" i="10"/>
  <c r="C337" i="10"/>
  <c r="C338" i="10"/>
  <c r="C339" i="10"/>
  <c r="C340" i="10"/>
  <c r="C341" i="10"/>
  <c r="C342" i="10"/>
  <c r="C343" i="10"/>
  <c r="C344" i="10"/>
  <c r="C345" i="10"/>
  <c r="C346" i="10"/>
  <c r="C347" i="10"/>
  <c r="C348" i="10"/>
  <c r="C349" i="10"/>
  <c r="C350" i="10"/>
  <c r="C351" i="10"/>
  <c r="C352" i="10"/>
  <c r="C353" i="10"/>
  <c r="C354" i="10"/>
  <c r="C355" i="10"/>
  <c r="C356" i="10"/>
  <c r="C357" i="10"/>
  <c r="C358" i="10"/>
  <c r="C359" i="10"/>
  <c r="C360" i="10"/>
  <c r="C361" i="10"/>
  <c r="C362" i="10"/>
  <c r="C363" i="10"/>
  <c r="C364" i="10"/>
  <c r="C365" i="10"/>
  <c r="C366" i="10"/>
  <c r="C367" i="10"/>
  <c r="C368" i="10"/>
  <c r="C369" i="10"/>
  <c r="C370" i="10"/>
  <c r="C371" i="10"/>
  <c r="C372" i="10"/>
  <c r="C373" i="10"/>
  <c r="C374" i="10"/>
  <c r="C375" i="10"/>
  <c r="C376" i="10"/>
  <c r="C377" i="10"/>
  <c r="C378" i="10"/>
  <c r="C379" i="10"/>
  <c r="C380" i="10"/>
  <c r="C381" i="10"/>
  <c r="C382" i="10"/>
  <c r="C383" i="10"/>
  <c r="C384" i="10"/>
  <c r="C385" i="10"/>
  <c r="C386" i="10"/>
  <c r="C387" i="10"/>
  <c r="C388" i="10"/>
  <c r="C389" i="10"/>
  <c r="C390" i="10"/>
  <c r="C391" i="10"/>
  <c r="C392" i="10"/>
  <c r="C393" i="10"/>
  <c r="C394" i="10"/>
  <c r="C395" i="10"/>
  <c r="C396" i="10"/>
  <c r="C397" i="10"/>
  <c r="C398" i="10"/>
  <c r="C399" i="10"/>
  <c r="C400" i="10"/>
  <c r="C401" i="10"/>
  <c r="C402" i="10"/>
  <c r="C403" i="10"/>
  <c r="C404" i="10"/>
  <c r="C405" i="10"/>
  <c r="C406" i="10"/>
  <c r="C407" i="10"/>
  <c r="C408" i="10"/>
  <c r="C409" i="10"/>
  <c r="C410" i="10"/>
  <c r="C411" i="10"/>
  <c r="C412" i="10"/>
  <c r="C413" i="10"/>
  <c r="C414" i="10"/>
  <c r="C415" i="10"/>
  <c r="C416" i="10"/>
  <c r="C417" i="10"/>
  <c r="C418" i="10"/>
  <c r="C419" i="10"/>
  <c r="C420" i="10"/>
  <c r="C421" i="10"/>
  <c r="C422" i="10"/>
  <c r="C423" i="10"/>
  <c r="C424" i="10"/>
  <c r="C425" i="10"/>
  <c r="C426" i="10"/>
  <c r="C427" i="10"/>
  <c r="C428" i="10"/>
  <c r="C429" i="10"/>
  <c r="C430" i="10"/>
  <c r="C431" i="10"/>
  <c r="C432" i="10"/>
  <c r="C433" i="10"/>
  <c r="C434" i="10"/>
  <c r="C435" i="10"/>
  <c r="C436" i="10"/>
  <c r="C437" i="10"/>
  <c r="C438" i="10"/>
  <c r="C439" i="10"/>
  <c r="C440" i="10"/>
  <c r="C441" i="10"/>
  <c r="C442" i="10"/>
  <c r="C443" i="10"/>
  <c r="C444" i="10"/>
  <c r="C445" i="10"/>
  <c r="C446" i="10"/>
  <c r="C447" i="10"/>
  <c r="C448" i="10"/>
  <c r="C449" i="10"/>
  <c r="C450" i="10"/>
  <c r="C451" i="10"/>
  <c r="C452" i="10"/>
  <c r="C453" i="10"/>
  <c r="C454" i="10"/>
  <c r="C455" i="10"/>
  <c r="C456" i="10"/>
  <c r="C457" i="10"/>
  <c r="C458" i="10"/>
  <c r="C459" i="10"/>
  <c r="C460" i="10"/>
  <c r="C461" i="10"/>
  <c r="C462" i="10"/>
  <c r="C463" i="10"/>
  <c r="C464" i="10"/>
  <c r="C465" i="10"/>
  <c r="C466" i="10"/>
  <c r="C467" i="10"/>
  <c r="C468" i="10"/>
  <c r="C469" i="10"/>
  <c r="C470" i="10"/>
  <c r="C471" i="10"/>
  <c r="C472" i="10"/>
  <c r="C473" i="10"/>
  <c r="C474" i="10"/>
  <c r="C475" i="10"/>
  <c r="C476" i="10"/>
  <c r="C477" i="10"/>
  <c r="C478" i="10"/>
  <c r="C479" i="10"/>
  <c r="C480" i="10"/>
  <c r="C481" i="10"/>
  <c r="C482" i="10"/>
  <c r="C483" i="10"/>
  <c r="C484" i="10"/>
  <c r="C485" i="10"/>
  <c r="C486" i="10"/>
  <c r="C487" i="10"/>
  <c r="C488" i="10"/>
  <c r="C489" i="10"/>
  <c r="C490" i="10"/>
  <c r="C491" i="10"/>
  <c r="C492" i="10"/>
  <c r="C493" i="10"/>
  <c r="C494" i="10"/>
  <c r="C495" i="10"/>
  <c r="C496" i="10"/>
  <c r="C497" i="10"/>
  <c r="C498" i="10"/>
  <c r="C499" i="10"/>
  <c r="C500" i="10"/>
  <c r="C501" i="10"/>
  <c r="C502" i="10"/>
  <c r="C503" i="10"/>
  <c r="C504" i="10"/>
  <c r="C505" i="10"/>
  <c r="C506" i="10"/>
  <c r="C507" i="10"/>
  <c r="C508" i="10"/>
  <c r="C509" i="10"/>
  <c r="C510" i="10"/>
  <c r="C511" i="10"/>
  <c r="C512" i="10"/>
  <c r="C513" i="10"/>
  <c r="C514" i="10"/>
  <c r="C515" i="10"/>
  <c r="C516" i="10"/>
  <c r="C517" i="10"/>
  <c r="C518" i="10"/>
  <c r="C519" i="10"/>
  <c r="C520" i="10"/>
  <c r="C521" i="10"/>
  <c r="C522" i="10"/>
  <c r="C523" i="10"/>
  <c r="C524" i="10"/>
  <c r="C525" i="10"/>
  <c r="C526" i="10"/>
  <c r="C527" i="10"/>
  <c r="C528" i="10"/>
  <c r="C529" i="10"/>
  <c r="C530" i="10"/>
  <c r="C531" i="10"/>
  <c r="C532" i="10"/>
  <c r="C533" i="10"/>
  <c r="C534" i="10"/>
  <c r="C535" i="10"/>
  <c r="C536" i="10"/>
  <c r="C537" i="10"/>
  <c r="C538" i="10"/>
  <c r="C539" i="10"/>
  <c r="C540" i="10"/>
  <c r="C541" i="10"/>
  <c r="C542" i="10"/>
  <c r="C543" i="10"/>
  <c r="C544" i="10"/>
  <c r="C545" i="10"/>
  <c r="C546" i="10"/>
  <c r="C547" i="10"/>
  <c r="C548" i="10"/>
  <c r="C549" i="10"/>
  <c r="C550" i="10"/>
  <c r="C551" i="10"/>
  <c r="C552" i="10"/>
  <c r="C553" i="10"/>
  <c r="C554" i="10"/>
  <c r="C555" i="10"/>
  <c r="C556" i="10"/>
  <c r="C557" i="10"/>
  <c r="C558" i="10"/>
  <c r="C559" i="10"/>
  <c r="C560" i="10"/>
  <c r="C561" i="10"/>
  <c r="C562" i="10"/>
  <c r="C563" i="10"/>
  <c r="C564" i="10"/>
  <c r="C565" i="10"/>
  <c r="C566" i="10"/>
  <c r="C567" i="10"/>
  <c r="C568" i="10"/>
  <c r="C569" i="10"/>
  <c r="C570" i="10"/>
  <c r="C571" i="10"/>
  <c r="C572" i="10"/>
  <c r="C573" i="10"/>
  <c r="C574" i="10"/>
  <c r="C575" i="10"/>
  <c r="C576" i="10"/>
  <c r="C577" i="10"/>
  <c r="C578" i="10"/>
  <c r="C579" i="10"/>
  <c r="C580" i="10"/>
  <c r="C581" i="10"/>
  <c r="C582" i="10"/>
  <c r="C583" i="10"/>
  <c r="C584" i="10"/>
  <c r="C585" i="10"/>
  <c r="C586" i="10"/>
  <c r="C587" i="10"/>
  <c r="C588" i="10"/>
  <c r="C589" i="10"/>
  <c r="C590" i="10"/>
  <c r="C591" i="10"/>
  <c r="C592" i="10"/>
  <c r="C593" i="10"/>
  <c r="C594" i="10"/>
  <c r="C595" i="10"/>
  <c r="C596" i="10"/>
  <c r="C597" i="10"/>
  <c r="C598" i="10"/>
  <c r="C599" i="10"/>
  <c r="C600" i="10"/>
  <c r="C601" i="10"/>
  <c r="C602" i="10"/>
  <c r="C603" i="10"/>
  <c r="C604" i="10"/>
  <c r="C605" i="10"/>
  <c r="C606" i="10"/>
  <c r="C607" i="10"/>
  <c r="C608" i="10"/>
  <c r="C609" i="10"/>
  <c r="C610" i="10"/>
  <c r="C611" i="10"/>
  <c r="C612" i="10"/>
  <c r="C613" i="10"/>
  <c r="C614" i="10"/>
  <c r="C615" i="10"/>
  <c r="C616" i="10"/>
  <c r="C617" i="10"/>
  <c r="C618" i="10"/>
  <c r="C619" i="10"/>
  <c r="C620" i="10"/>
  <c r="C621" i="10"/>
  <c r="C622" i="10"/>
  <c r="C623" i="10"/>
  <c r="C624" i="10"/>
  <c r="C625" i="10"/>
  <c r="C626" i="10"/>
  <c r="C627" i="10"/>
  <c r="C628" i="10"/>
  <c r="C629" i="10"/>
  <c r="C630" i="10"/>
  <c r="C631" i="10"/>
  <c r="C632" i="10"/>
  <c r="C633" i="10"/>
  <c r="C634" i="10"/>
  <c r="C635" i="10"/>
  <c r="C636" i="10"/>
  <c r="C637" i="10"/>
  <c r="C638" i="10"/>
  <c r="C639" i="10"/>
  <c r="C640" i="10"/>
  <c r="C641" i="10"/>
  <c r="C642" i="10"/>
  <c r="C643" i="10"/>
  <c r="C644" i="10"/>
  <c r="C645" i="10"/>
  <c r="C646" i="10"/>
  <c r="C647" i="10"/>
  <c r="C648" i="10"/>
  <c r="C649" i="10"/>
  <c r="C650" i="10"/>
  <c r="C651" i="10"/>
  <c r="C652" i="10"/>
  <c r="C653" i="10"/>
  <c r="C654" i="10"/>
  <c r="C655" i="10"/>
  <c r="C656" i="10"/>
  <c r="C657" i="10"/>
  <c r="C658" i="10"/>
  <c r="C659" i="10"/>
  <c r="C660" i="10"/>
  <c r="C661" i="10"/>
  <c r="C662" i="10"/>
  <c r="C663" i="10"/>
  <c r="C664" i="10"/>
  <c r="C665" i="10"/>
  <c r="C666" i="10"/>
  <c r="C667" i="10"/>
  <c r="C668" i="10"/>
  <c r="C669" i="10"/>
  <c r="C670" i="10"/>
  <c r="C671" i="10"/>
  <c r="C672" i="10"/>
  <c r="C673" i="10"/>
  <c r="C674" i="10"/>
  <c r="C675" i="10"/>
  <c r="C676" i="10"/>
  <c r="C677" i="10"/>
  <c r="C678" i="10"/>
  <c r="C679" i="10"/>
  <c r="C680" i="10"/>
  <c r="C681" i="10"/>
  <c r="C682" i="10"/>
  <c r="C683" i="10"/>
  <c r="C684" i="10"/>
  <c r="C685" i="10"/>
  <c r="C686" i="10"/>
  <c r="C687" i="10"/>
  <c r="C688" i="10"/>
  <c r="C689" i="10"/>
  <c r="C690" i="10"/>
  <c r="C691" i="10"/>
  <c r="C692" i="10"/>
  <c r="C693" i="10"/>
  <c r="C694" i="10"/>
  <c r="C695" i="10"/>
  <c r="C696" i="10"/>
  <c r="C697" i="10"/>
  <c r="C698" i="10"/>
  <c r="C699" i="10"/>
  <c r="C700" i="10"/>
  <c r="C701" i="10"/>
  <c r="C702" i="10"/>
  <c r="C703" i="10"/>
  <c r="C704" i="10"/>
  <c r="C705" i="10"/>
  <c r="C706" i="10"/>
  <c r="C707" i="10"/>
  <c r="C708" i="10"/>
  <c r="C709" i="10"/>
  <c r="C710" i="10"/>
  <c r="C711" i="10"/>
  <c r="C712" i="10"/>
  <c r="C713" i="10"/>
  <c r="C714" i="10"/>
  <c r="C715" i="10"/>
  <c r="C716" i="10"/>
  <c r="C717" i="10"/>
  <c r="C718" i="10"/>
  <c r="C719" i="10"/>
  <c r="C720" i="10"/>
  <c r="C721" i="10"/>
  <c r="C722" i="10"/>
  <c r="C723" i="10"/>
  <c r="C724" i="10"/>
  <c r="C725" i="10"/>
  <c r="C726" i="10"/>
  <c r="C727" i="10"/>
  <c r="C728" i="10"/>
  <c r="C729" i="10"/>
  <c r="C730" i="10"/>
  <c r="C731" i="10"/>
  <c r="C732" i="10"/>
  <c r="C733" i="10"/>
  <c r="C734" i="10"/>
  <c r="C735" i="10"/>
  <c r="C736" i="10"/>
  <c r="C737" i="10"/>
  <c r="C738" i="10"/>
  <c r="C739" i="10"/>
  <c r="C740" i="10"/>
  <c r="C741" i="10"/>
  <c r="C742" i="10"/>
  <c r="C743" i="10"/>
  <c r="C744" i="10"/>
  <c r="C745" i="10"/>
  <c r="C746" i="10"/>
  <c r="C747" i="10"/>
  <c r="C748" i="10"/>
  <c r="C749" i="10"/>
  <c r="C750" i="10"/>
  <c r="C751" i="10"/>
  <c r="C752" i="10"/>
  <c r="C753" i="10"/>
  <c r="C754" i="10"/>
  <c r="C755" i="10"/>
  <c r="C756" i="10"/>
  <c r="C757" i="10"/>
  <c r="C758" i="10"/>
  <c r="C759" i="10"/>
  <c r="C760" i="10"/>
  <c r="C761" i="10"/>
  <c r="C762" i="10"/>
  <c r="C763" i="10"/>
  <c r="C764" i="10"/>
  <c r="C765" i="10"/>
  <c r="C766" i="10"/>
  <c r="C767" i="10"/>
  <c r="C768" i="10"/>
  <c r="C769" i="10"/>
  <c r="C770" i="10"/>
  <c r="C771" i="10"/>
  <c r="C772" i="10"/>
  <c r="C773" i="10"/>
  <c r="C774" i="10"/>
  <c r="C775" i="10"/>
  <c r="C776" i="10"/>
  <c r="C777" i="10"/>
  <c r="C778" i="10"/>
  <c r="C779" i="10"/>
  <c r="C780" i="10"/>
  <c r="C781" i="10"/>
  <c r="C782" i="10"/>
  <c r="C783" i="10"/>
  <c r="C784" i="10"/>
  <c r="C785" i="10"/>
  <c r="C786" i="10"/>
  <c r="C787" i="10"/>
  <c r="C788" i="10"/>
  <c r="C789" i="10"/>
  <c r="C790" i="10"/>
  <c r="C791" i="10"/>
  <c r="C792" i="10"/>
  <c r="C793" i="10"/>
  <c r="C794" i="10"/>
  <c r="C795" i="10"/>
  <c r="C796" i="10"/>
  <c r="C797" i="10"/>
  <c r="C798" i="10"/>
  <c r="C799" i="10"/>
  <c r="C800" i="10"/>
  <c r="C801" i="10"/>
  <c r="C802" i="10"/>
  <c r="C803" i="10"/>
  <c r="C804" i="10"/>
  <c r="C805" i="10"/>
  <c r="C806" i="10"/>
  <c r="C807" i="10"/>
  <c r="C808" i="10"/>
  <c r="C809" i="10"/>
  <c r="C810" i="10"/>
  <c r="C811" i="10"/>
  <c r="C812" i="10"/>
  <c r="C813" i="10"/>
  <c r="C814" i="10"/>
  <c r="C815" i="10"/>
  <c r="C816" i="10"/>
  <c r="C817" i="10"/>
  <c r="C818" i="10"/>
  <c r="C819" i="10"/>
  <c r="C820" i="10"/>
  <c r="C821" i="10"/>
  <c r="C822" i="10"/>
  <c r="C823" i="10"/>
  <c r="C824" i="10"/>
  <c r="C825" i="10"/>
  <c r="C826" i="10"/>
  <c r="C827" i="10"/>
  <c r="C828" i="10"/>
  <c r="C829" i="10"/>
  <c r="C830" i="10"/>
  <c r="C831" i="10"/>
  <c r="C832" i="10"/>
  <c r="C833" i="10"/>
  <c r="C834" i="10"/>
  <c r="C835" i="10"/>
  <c r="C836" i="10"/>
  <c r="C837" i="10"/>
  <c r="C838" i="10"/>
  <c r="C839" i="10"/>
  <c r="C840" i="10"/>
  <c r="C841" i="10"/>
  <c r="C842" i="10"/>
  <c r="C843" i="10"/>
  <c r="C844" i="10"/>
  <c r="C845" i="10"/>
  <c r="C846" i="10"/>
  <c r="C847" i="10"/>
  <c r="C848" i="10"/>
  <c r="C849" i="10"/>
  <c r="C850" i="10"/>
  <c r="C851" i="10"/>
  <c r="C852" i="10"/>
  <c r="C853" i="10"/>
  <c r="C854" i="10"/>
  <c r="C855" i="10"/>
  <c r="C856" i="10"/>
  <c r="C857" i="10"/>
  <c r="C858" i="10"/>
  <c r="C859" i="10"/>
  <c r="C860" i="10"/>
  <c r="C861" i="10"/>
  <c r="C862" i="10"/>
  <c r="C863" i="10"/>
  <c r="C864" i="10"/>
  <c r="C865" i="10"/>
  <c r="C866" i="10"/>
  <c r="C867" i="10"/>
  <c r="C868" i="10"/>
  <c r="C869" i="10"/>
  <c r="C870" i="10"/>
  <c r="C871" i="10"/>
  <c r="C872" i="10"/>
  <c r="C873" i="10"/>
  <c r="C874" i="10"/>
  <c r="C875" i="10"/>
  <c r="C876" i="10"/>
  <c r="C877" i="10"/>
  <c r="C878" i="10"/>
  <c r="C879" i="10"/>
  <c r="C880" i="10"/>
  <c r="C881" i="10"/>
  <c r="C882" i="10"/>
  <c r="C883" i="10"/>
  <c r="C884" i="10"/>
  <c r="C885" i="10"/>
  <c r="C886" i="10"/>
  <c r="C887" i="10"/>
  <c r="C888" i="10"/>
  <c r="C889" i="10"/>
  <c r="C890" i="10"/>
  <c r="C891" i="10"/>
  <c r="C892" i="10"/>
  <c r="C893" i="10"/>
  <c r="C894" i="10"/>
  <c r="C895" i="10"/>
  <c r="C896" i="10"/>
  <c r="C897" i="10"/>
  <c r="C898" i="10"/>
  <c r="C899" i="10"/>
  <c r="C900" i="10"/>
  <c r="C901" i="10"/>
  <c r="C902" i="10"/>
  <c r="C903" i="10"/>
  <c r="C904" i="10"/>
  <c r="C905" i="10"/>
  <c r="C906" i="10"/>
  <c r="C907" i="10"/>
  <c r="C908" i="10"/>
  <c r="C909" i="10"/>
  <c r="C910" i="10"/>
  <c r="C911" i="10"/>
  <c r="C912" i="10"/>
  <c r="C913" i="10"/>
  <c r="C914" i="10"/>
  <c r="C915" i="10"/>
  <c r="C916" i="10"/>
  <c r="C917" i="10"/>
  <c r="C918" i="10"/>
  <c r="C919" i="10"/>
  <c r="C920" i="10"/>
  <c r="C921" i="10"/>
  <c r="C922" i="10"/>
  <c r="C923" i="10"/>
  <c r="C924" i="10"/>
  <c r="C925" i="10"/>
  <c r="C926" i="10"/>
  <c r="C927" i="10"/>
  <c r="C928" i="10"/>
  <c r="C929" i="10"/>
  <c r="C930" i="10"/>
  <c r="C931" i="10"/>
  <c r="C932" i="10"/>
  <c r="C933" i="10"/>
  <c r="C934" i="10"/>
  <c r="C935" i="10"/>
  <c r="C936" i="10"/>
  <c r="C937" i="10"/>
  <c r="C938" i="10"/>
  <c r="C939" i="10"/>
  <c r="C940" i="10"/>
  <c r="C941" i="10"/>
  <c r="C942" i="10"/>
  <c r="C943" i="10"/>
  <c r="C944" i="10"/>
  <c r="C945" i="10"/>
  <c r="C946" i="10"/>
  <c r="C947" i="10"/>
  <c r="C948" i="10"/>
  <c r="C949" i="10"/>
  <c r="C950" i="10"/>
  <c r="C951" i="10"/>
  <c r="C952" i="10"/>
  <c r="C953" i="10"/>
  <c r="C954" i="10"/>
  <c r="C955" i="10"/>
  <c r="C956" i="10"/>
  <c r="C957" i="10"/>
  <c r="C958" i="10"/>
  <c r="C959" i="10"/>
  <c r="C960" i="10"/>
  <c r="C961" i="10"/>
  <c r="C962" i="10"/>
  <c r="C963" i="10"/>
  <c r="C964" i="10"/>
  <c r="C965" i="10"/>
  <c r="C966" i="10"/>
  <c r="C967" i="10"/>
  <c r="C968" i="10"/>
  <c r="C969" i="10"/>
  <c r="C970" i="10"/>
  <c r="C971" i="10"/>
  <c r="C972" i="10"/>
  <c r="C973" i="10"/>
  <c r="C974" i="10"/>
  <c r="C975" i="10"/>
  <c r="C976" i="10"/>
  <c r="C977" i="10"/>
  <c r="C978" i="10"/>
  <c r="C979" i="10"/>
  <c r="C980" i="10"/>
  <c r="C981" i="10"/>
  <c r="C982" i="10"/>
  <c r="C983" i="10"/>
  <c r="C984" i="10"/>
  <c r="C985" i="10"/>
  <c r="C986" i="10"/>
  <c r="C987" i="10"/>
  <c r="C988" i="10"/>
  <c r="C989" i="10"/>
  <c r="C990" i="10"/>
  <c r="C991" i="10"/>
  <c r="C992" i="10"/>
  <c r="C993" i="10"/>
  <c r="C994" i="10"/>
  <c r="C995" i="10"/>
  <c r="C996" i="10"/>
  <c r="C997" i="10"/>
  <c r="C998" i="10"/>
  <c r="C999" i="10"/>
  <c r="C1000" i="10"/>
  <c r="C1001" i="10"/>
  <c r="C1002" i="10"/>
  <c r="C1003" i="10"/>
  <c r="C1004" i="10"/>
  <c r="C1005" i="10"/>
  <c r="C1006" i="10"/>
  <c r="C1007" i="10"/>
  <c r="C1008" i="10"/>
  <c r="C1009" i="10"/>
  <c r="C1010" i="10"/>
  <c r="C1011" i="10"/>
  <c r="C1012" i="10"/>
  <c r="C1013" i="10"/>
  <c r="C1014" i="10"/>
  <c r="C1015" i="10"/>
  <c r="C1016" i="10"/>
  <c r="C1017" i="10"/>
  <c r="C1018" i="10"/>
  <c r="C1019" i="10"/>
  <c r="C1020" i="10"/>
  <c r="C1021" i="10"/>
  <c r="C1022" i="10"/>
  <c r="C1023" i="10"/>
  <c r="C1024" i="10"/>
  <c r="C1025" i="10"/>
  <c r="C1026" i="10"/>
  <c r="C1027" i="10"/>
  <c r="C1028" i="10"/>
  <c r="C1029" i="10"/>
  <c r="C1030" i="10"/>
  <c r="C1031" i="10"/>
  <c r="C1032" i="10"/>
  <c r="C1033" i="10"/>
  <c r="C1034" i="10"/>
  <c r="C1035" i="10"/>
  <c r="C1036" i="10"/>
  <c r="C1037" i="10"/>
  <c r="C1038" i="10"/>
  <c r="C1039" i="10"/>
  <c r="C1040" i="10"/>
  <c r="C1041" i="10"/>
  <c r="C1042" i="10"/>
  <c r="C1043" i="10"/>
  <c r="C1044" i="10"/>
  <c r="C1045" i="10"/>
  <c r="C1046" i="10"/>
  <c r="C1047" i="10"/>
  <c r="C1048" i="10"/>
  <c r="C1049" i="10"/>
  <c r="C1050" i="10"/>
  <c r="C1051" i="10"/>
  <c r="C1052" i="10"/>
  <c r="C1053" i="10"/>
  <c r="C1054" i="10"/>
  <c r="C1055" i="10"/>
  <c r="C1056" i="10"/>
  <c r="C1057" i="10"/>
  <c r="C1058" i="10"/>
  <c r="C1059" i="10"/>
  <c r="C1060" i="10"/>
  <c r="C1061" i="10"/>
  <c r="C1062" i="10"/>
  <c r="C1063" i="10"/>
  <c r="C1064" i="10"/>
  <c r="C1065" i="10"/>
  <c r="C1066" i="10"/>
  <c r="C1067" i="10"/>
  <c r="C1068" i="10"/>
  <c r="C1069" i="10"/>
  <c r="C1070" i="10"/>
  <c r="C1071" i="10"/>
  <c r="C1072" i="10"/>
  <c r="C1073" i="10"/>
  <c r="C1074" i="10"/>
  <c r="C1075" i="10"/>
  <c r="C1076" i="10"/>
  <c r="C1077" i="10"/>
  <c r="C1078" i="10"/>
  <c r="C1079" i="10"/>
  <c r="C1080" i="10"/>
  <c r="C1081" i="10"/>
  <c r="C1082" i="10"/>
  <c r="C1083" i="10"/>
  <c r="C1084" i="10"/>
  <c r="C1085" i="10"/>
  <c r="C1086" i="10"/>
  <c r="C1087" i="10"/>
  <c r="C1088" i="10"/>
  <c r="C1089" i="10"/>
  <c r="C1090" i="10"/>
  <c r="C1091" i="10"/>
  <c r="C1092" i="10"/>
  <c r="C1093" i="10"/>
  <c r="C1094" i="10"/>
  <c r="C1095" i="10"/>
  <c r="C1096" i="10"/>
  <c r="C1097" i="10"/>
  <c r="C1098" i="10"/>
  <c r="C1099" i="10"/>
  <c r="C1100" i="10"/>
  <c r="C1101" i="10"/>
  <c r="C1102" i="10"/>
  <c r="C1103" i="10"/>
  <c r="C1104" i="10"/>
  <c r="C1105" i="10"/>
  <c r="C1106" i="10"/>
  <c r="C1107" i="10"/>
  <c r="C1108" i="10"/>
  <c r="C1109" i="10"/>
  <c r="C1110" i="10"/>
  <c r="C1111" i="10"/>
  <c r="C1112" i="10"/>
  <c r="C1113" i="10"/>
  <c r="C1114" i="10"/>
  <c r="C1115" i="10"/>
  <c r="C1116" i="10"/>
  <c r="C1117" i="10"/>
  <c r="C1118" i="10"/>
  <c r="C1119" i="10"/>
  <c r="C1120" i="10"/>
  <c r="C1121" i="10"/>
  <c r="C1122" i="10"/>
  <c r="C1123" i="10"/>
  <c r="C1124" i="10"/>
  <c r="C1125" i="10"/>
  <c r="C1126" i="10"/>
  <c r="C1127" i="10"/>
  <c r="C1128" i="10"/>
  <c r="C1129" i="10"/>
  <c r="C1130" i="10"/>
  <c r="C1131" i="10"/>
  <c r="C1132" i="10"/>
  <c r="C1133" i="10"/>
  <c r="C1134" i="10"/>
  <c r="C1135" i="10"/>
  <c r="C1136" i="10"/>
  <c r="C1137" i="10"/>
  <c r="C1138" i="10"/>
  <c r="C1139" i="10"/>
  <c r="C1140" i="10"/>
  <c r="C1141" i="10"/>
  <c r="C1142" i="10"/>
  <c r="C1143" i="10"/>
  <c r="C1144" i="10"/>
  <c r="C1145" i="10"/>
  <c r="C1146" i="10"/>
  <c r="C1147" i="10"/>
  <c r="C1148" i="10"/>
  <c r="C1149" i="10"/>
  <c r="C1150" i="10"/>
  <c r="C1151" i="10"/>
  <c r="C1152" i="10"/>
  <c r="C1153" i="10"/>
  <c r="C1154" i="10"/>
  <c r="C1155" i="10"/>
  <c r="C1156" i="10"/>
  <c r="C1157" i="10"/>
  <c r="C1158" i="10"/>
  <c r="C1159" i="10"/>
  <c r="C1160" i="10"/>
  <c r="C1161" i="10"/>
  <c r="C1162" i="10"/>
  <c r="C1163" i="10"/>
  <c r="C1164" i="10"/>
  <c r="C1165" i="10"/>
  <c r="C1166" i="10"/>
  <c r="C1167" i="10"/>
  <c r="C1168" i="10"/>
  <c r="C1169" i="10"/>
  <c r="C1170" i="10"/>
  <c r="C1171" i="10"/>
  <c r="C1172" i="10"/>
  <c r="C1173" i="10"/>
  <c r="C1174" i="10"/>
  <c r="C1175" i="10"/>
  <c r="C1176" i="10"/>
  <c r="C1177" i="10"/>
  <c r="C1178" i="10"/>
  <c r="C1179" i="10"/>
  <c r="C1180" i="10"/>
  <c r="C1181" i="10"/>
  <c r="C1182" i="10"/>
  <c r="C1183" i="10"/>
  <c r="C1184" i="10"/>
  <c r="C1185" i="10"/>
  <c r="C1186" i="10"/>
  <c r="C1187" i="10"/>
  <c r="C1188" i="10"/>
  <c r="C1189" i="10"/>
  <c r="C1190" i="10"/>
  <c r="C1191" i="10"/>
  <c r="C1192" i="10"/>
  <c r="C1193" i="10"/>
  <c r="C1194" i="10"/>
  <c r="C1195" i="10"/>
  <c r="C1196" i="10"/>
  <c r="C1197" i="10"/>
  <c r="C1198" i="10"/>
  <c r="C1199" i="10"/>
  <c r="C1200" i="10"/>
  <c r="C1201" i="10"/>
  <c r="C1202" i="10"/>
  <c r="C1203" i="10"/>
  <c r="C1204" i="10"/>
  <c r="C1205" i="10"/>
  <c r="C1206" i="10"/>
  <c r="C1207" i="10"/>
  <c r="C1208" i="10"/>
  <c r="C1209" i="10"/>
  <c r="C1210" i="10"/>
  <c r="C1211" i="10"/>
  <c r="C1212" i="10"/>
  <c r="C1213" i="10"/>
  <c r="C1214" i="10"/>
  <c r="C1215" i="10"/>
  <c r="C1216" i="10"/>
  <c r="C1217" i="10"/>
  <c r="C1218" i="10"/>
  <c r="C1219" i="10"/>
  <c r="C1220" i="10"/>
  <c r="C1221" i="10"/>
  <c r="C1222" i="10"/>
  <c r="C1223" i="10"/>
  <c r="C1224" i="10"/>
  <c r="C1225" i="10"/>
  <c r="C1226" i="10"/>
  <c r="C1227" i="10"/>
  <c r="C1228" i="10"/>
  <c r="C1229" i="10"/>
  <c r="C1230" i="10"/>
  <c r="C1231" i="10"/>
  <c r="C1232" i="10"/>
  <c r="C1233" i="10"/>
  <c r="C1234" i="10"/>
  <c r="C1235" i="10"/>
  <c r="C1236" i="10"/>
  <c r="C1237" i="10"/>
  <c r="C1238" i="10"/>
  <c r="C1239" i="10"/>
  <c r="C1240" i="10"/>
  <c r="C1241" i="10"/>
  <c r="C1242" i="10"/>
  <c r="C1243" i="10"/>
  <c r="C1244" i="10"/>
  <c r="C1245" i="10"/>
  <c r="C1246" i="10"/>
  <c r="C1247" i="10"/>
  <c r="C1248" i="10"/>
  <c r="C1249" i="10"/>
  <c r="C1250" i="10"/>
  <c r="C1251" i="10"/>
  <c r="C1252" i="10"/>
  <c r="C1253" i="10"/>
  <c r="C1254" i="10"/>
  <c r="C1255" i="10"/>
  <c r="C1256" i="10"/>
  <c r="C1257" i="10"/>
  <c r="C1258" i="10"/>
  <c r="C1259" i="10"/>
  <c r="C1260" i="10"/>
  <c r="C1261" i="10"/>
  <c r="C1262" i="10"/>
  <c r="C1263" i="10"/>
  <c r="C1264" i="10"/>
  <c r="C1265" i="10"/>
  <c r="C1266" i="10"/>
  <c r="C1267" i="10"/>
  <c r="C1268" i="10"/>
  <c r="C1269" i="10"/>
  <c r="C1270" i="10"/>
  <c r="C1271" i="10"/>
  <c r="C1272" i="10"/>
  <c r="C1273" i="10"/>
  <c r="C1274" i="10"/>
  <c r="C1275" i="10"/>
  <c r="C1276" i="10"/>
  <c r="C1277" i="10"/>
  <c r="C1278" i="10"/>
  <c r="C1279" i="10"/>
  <c r="C1280" i="10"/>
  <c r="C1281" i="10"/>
  <c r="C1282" i="10"/>
  <c r="C1283" i="10"/>
  <c r="C1284" i="10"/>
  <c r="C1285" i="10"/>
  <c r="C1286" i="10"/>
  <c r="C1287" i="10"/>
  <c r="C1288" i="10"/>
  <c r="C1289" i="10"/>
  <c r="C1290" i="10"/>
  <c r="C1291" i="10"/>
  <c r="C1292" i="10"/>
  <c r="C1293" i="10"/>
  <c r="C1294" i="10"/>
  <c r="C1295" i="10"/>
  <c r="C1296" i="10"/>
  <c r="C1297" i="10"/>
  <c r="C1298" i="10"/>
  <c r="C1299" i="10"/>
  <c r="C1300" i="10"/>
  <c r="C1301" i="10"/>
  <c r="C1302" i="10"/>
  <c r="C1303" i="10"/>
  <c r="C1304" i="10"/>
  <c r="C1305" i="10"/>
  <c r="C1306" i="10"/>
  <c r="C1307" i="10"/>
  <c r="C1308" i="10"/>
  <c r="C1309" i="10"/>
  <c r="C1310" i="10"/>
  <c r="C1311" i="10"/>
  <c r="C1312" i="10"/>
  <c r="C1313" i="10"/>
  <c r="C1314" i="10"/>
  <c r="C1315" i="10"/>
  <c r="C1316" i="10"/>
  <c r="C1317" i="10"/>
  <c r="C1318" i="10"/>
  <c r="C1319" i="10"/>
  <c r="C1320" i="10"/>
  <c r="C1321" i="10"/>
  <c r="C1322" i="10"/>
  <c r="C1323" i="10"/>
  <c r="C1324" i="10"/>
  <c r="C1325" i="10"/>
  <c r="C1326" i="10"/>
  <c r="C1327" i="10"/>
  <c r="C1328" i="10"/>
  <c r="C1329" i="10"/>
  <c r="C1330" i="10"/>
  <c r="C1331" i="10"/>
  <c r="C1332" i="10"/>
  <c r="C1333" i="10"/>
  <c r="C1334" i="10"/>
  <c r="C1335" i="10"/>
  <c r="C1336" i="10"/>
  <c r="C1337" i="10"/>
  <c r="C1338" i="10"/>
  <c r="C1339" i="10"/>
  <c r="C1340" i="10"/>
  <c r="C1341" i="10"/>
  <c r="C1342" i="10"/>
  <c r="C1343" i="10"/>
  <c r="C1344" i="10"/>
  <c r="C1345" i="10"/>
  <c r="C1346" i="10"/>
  <c r="C1347" i="10"/>
  <c r="C1348" i="10"/>
  <c r="C1349" i="10"/>
  <c r="C1350" i="10"/>
  <c r="C1351" i="10"/>
  <c r="C1352" i="10"/>
  <c r="C1353" i="10"/>
  <c r="C1354" i="10"/>
  <c r="C1355" i="10"/>
  <c r="C1356" i="10"/>
  <c r="C1357" i="10"/>
  <c r="C1358" i="10"/>
  <c r="C1359" i="10"/>
  <c r="C1360" i="10"/>
  <c r="C1361" i="10"/>
  <c r="C1362" i="10"/>
  <c r="C1363" i="10"/>
  <c r="C1364" i="10"/>
  <c r="C1365" i="10"/>
  <c r="C1366" i="10"/>
  <c r="C1367" i="10"/>
  <c r="C1368" i="10"/>
  <c r="C1369" i="10"/>
  <c r="C1370" i="10"/>
  <c r="C1371" i="10"/>
  <c r="C1372" i="10"/>
  <c r="C1373" i="10"/>
  <c r="C1374" i="10"/>
  <c r="C1375" i="10"/>
  <c r="C1376" i="10"/>
  <c r="C1377" i="10"/>
  <c r="C1378" i="10"/>
  <c r="C1379" i="10"/>
  <c r="C1380" i="10"/>
  <c r="C1381" i="10"/>
  <c r="C1382" i="10"/>
  <c r="C1383" i="10"/>
  <c r="C1384" i="10"/>
  <c r="C1385" i="10"/>
  <c r="C1386" i="10"/>
  <c r="C1387" i="10"/>
  <c r="C1388" i="10"/>
  <c r="C1389" i="10"/>
  <c r="C1390" i="10"/>
  <c r="C1391" i="10"/>
  <c r="C1392" i="10"/>
  <c r="C1393" i="10"/>
  <c r="C1394" i="10"/>
  <c r="C1395" i="10"/>
  <c r="C1396" i="10"/>
  <c r="C1397" i="10"/>
  <c r="C1398" i="10"/>
  <c r="C1399" i="10"/>
  <c r="C1400" i="10"/>
  <c r="C1401" i="10"/>
  <c r="C1402" i="10"/>
  <c r="C1403" i="10"/>
  <c r="C1404" i="10"/>
  <c r="C1405" i="10"/>
  <c r="C1406" i="10"/>
  <c r="C1407" i="10"/>
  <c r="C1408" i="10"/>
  <c r="C1409" i="10"/>
  <c r="C1410" i="10"/>
  <c r="C1411" i="10"/>
  <c r="C1412" i="10"/>
  <c r="C1413" i="10"/>
  <c r="C1414" i="10"/>
  <c r="C1415" i="10"/>
  <c r="C1416" i="10"/>
  <c r="C1417" i="10"/>
  <c r="C1418" i="10"/>
  <c r="C1419" i="10"/>
  <c r="C1420" i="10"/>
  <c r="C1421" i="10"/>
  <c r="C1422" i="10"/>
  <c r="C1423" i="10"/>
  <c r="C1424" i="10"/>
  <c r="C1425" i="10"/>
  <c r="C1426" i="10"/>
  <c r="C1427" i="10"/>
  <c r="C1428" i="10"/>
  <c r="C1429" i="10"/>
  <c r="C1430" i="10"/>
  <c r="C1431" i="10"/>
  <c r="C1432" i="10"/>
  <c r="C1433" i="10"/>
  <c r="C1434" i="10"/>
  <c r="C1435" i="10"/>
  <c r="C1436" i="10"/>
  <c r="C1437" i="10"/>
  <c r="C1438" i="10"/>
  <c r="C1439" i="10"/>
  <c r="C1440" i="10"/>
  <c r="C1441" i="10"/>
  <c r="C1442" i="10"/>
  <c r="C1443" i="10"/>
  <c r="C1444" i="10"/>
  <c r="C1445" i="10"/>
  <c r="C1446" i="10"/>
  <c r="C1447" i="10"/>
  <c r="C1448" i="10"/>
  <c r="C1449" i="10"/>
  <c r="C1450" i="10"/>
  <c r="C1451" i="10"/>
  <c r="C1452" i="10"/>
  <c r="C1453" i="10"/>
  <c r="C1454" i="10"/>
  <c r="C1455" i="10"/>
  <c r="C1456" i="10"/>
  <c r="C1457" i="10"/>
  <c r="C1458" i="10"/>
  <c r="C1459" i="10"/>
  <c r="C1460" i="10"/>
  <c r="C1461" i="10"/>
  <c r="C1462" i="10"/>
  <c r="C1463" i="10"/>
  <c r="C1464" i="10"/>
  <c r="C1465" i="10"/>
  <c r="C1466" i="10"/>
  <c r="C1467" i="10"/>
  <c r="C1468" i="10"/>
  <c r="C1469" i="10"/>
  <c r="C1470" i="10"/>
  <c r="C1471" i="10"/>
  <c r="C1472" i="10"/>
  <c r="C1473" i="10"/>
  <c r="C1474" i="10"/>
  <c r="C1475" i="10"/>
  <c r="C1476" i="10"/>
  <c r="C1477" i="10"/>
  <c r="C1478" i="10"/>
  <c r="C1479" i="10"/>
  <c r="C1480" i="10"/>
  <c r="C1481" i="10"/>
  <c r="C1482" i="10"/>
  <c r="C1483" i="10"/>
  <c r="C1484" i="10"/>
  <c r="C1485" i="10"/>
  <c r="C1486" i="10"/>
  <c r="C1487" i="10"/>
  <c r="C1488" i="10"/>
  <c r="C1489" i="10"/>
  <c r="C1490" i="10"/>
  <c r="C1491" i="10"/>
  <c r="C1492" i="10"/>
  <c r="C1493" i="10"/>
  <c r="C1494" i="10"/>
  <c r="C1495" i="10"/>
  <c r="C1496" i="10"/>
  <c r="C1497" i="10"/>
  <c r="C1498" i="10"/>
  <c r="C1499" i="10"/>
  <c r="C1500" i="10"/>
  <c r="C1501" i="10"/>
  <c r="C1502" i="10"/>
  <c r="C1503" i="10"/>
  <c r="C1504" i="10"/>
  <c r="C1505" i="10"/>
  <c r="C1506" i="10"/>
  <c r="C1507" i="10"/>
  <c r="C1508" i="10"/>
  <c r="C1509" i="10"/>
  <c r="C1510" i="10"/>
  <c r="C1511" i="10"/>
  <c r="C1512" i="10"/>
  <c r="C1513" i="10"/>
  <c r="C1514" i="10"/>
  <c r="C1515" i="10"/>
  <c r="C1516" i="10"/>
  <c r="C1517" i="10"/>
  <c r="C1518" i="10"/>
  <c r="C1519" i="10"/>
  <c r="C1520" i="10"/>
  <c r="C1521" i="10"/>
  <c r="C1522" i="10"/>
  <c r="C1523" i="10"/>
  <c r="C1524" i="10"/>
  <c r="C1525" i="10"/>
  <c r="C1526" i="10"/>
  <c r="C1527" i="10"/>
  <c r="C1528" i="10"/>
  <c r="C1529" i="10"/>
  <c r="C1530" i="10"/>
  <c r="C1531" i="10"/>
  <c r="C1532" i="10"/>
  <c r="C1533" i="10"/>
  <c r="C1534" i="10"/>
  <c r="C1535" i="10"/>
  <c r="C1536" i="10"/>
  <c r="C1537" i="10"/>
  <c r="C1538" i="10"/>
  <c r="C1539" i="10"/>
  <c r="C1540" i="10"/>
  <c r="C1541" i="10"/>
  <c r="C1542" i="10"/>
  <c r="C1543" i="10"/>
  <c r="C1544" i="10"/>
  <c r="C1545" i="10"/>
  <c r="C1546" i="10"/>
  <c r="C1547" i="10"/>
  <c r="C1548" i="10"/>
  <c r="C1549" i="10"/>
  <c r="C1550" i="10"/>
  <c r="C1551" i="10"/>
  <c r="C1552" i="10"/>
  <c r="C1553" i="10"/>
  <c r="C1554" i="10"/>
  <c r="C1555" i="10"/>
  <c r="C1556" i="10"/>
  <c r="C1557" i="10"/>
  <c r="C1558" i="10"/>
  <c r="C1559" i="10"/>
  <c r="C1560" i="10"/>
  <c r="C1561" i="10"/>
  <c r="C1562" i="10"/>
  <c r="C1563" i="10"/>
  <c r="C1564" i="10"/>
  <c r="C1565" i="10"/>
  <c r="C1566" i="10"/>
  <c r="C1567" i="10"/>
  <c r="C1568" i="10"/>
  <c r="C1569" i="10"/>
  <c r="C1570" i="10"/>
  <c r="C1571" i="10"/>
  <c r="C1572" i="10"/>
  <c r="C1573" i="10"/>
  <c r="C1574" i="10"/>
  <c r="C1575" i="10"/>
  <c r="C1576" i="10"/>
  <c r="C1577" i="10"/>
  <c r="C1578" i="10"/>
  <c r="C1579" i="10"/>
  <c r="C1580" i="10"/>
  <c r="C1581" i="10"/>
  <c r="C1582" i="10"/>
  <c r="C1583" i="10"/>
  <c r="C1584" i="10"/>
  <c r="C1585" i="10"/>
  <c r="C1586" i="10"/>
  <c r="C1587" i="10"/>
  <c r="C1588" i="10"/>
  <c r="C1589" i="10"/>
  <c r="C1590" i="10"/>
  <c r="C1591" i="10"/>
  <c r="C1592" i="10"/>
  <c r="C1593" i="10"/>
  <c r="C1594" i="10"/>
  <c r="C1595" i="10"/>
  <c r="C1596" i="10"/>
  <c r="C1597" i="10"/>
  <c r="C1598" i="10"/>
  <c r="C1599" i="10"/>
  <c r="C1600" i="10"/>
  <c r="C1601" i="10"/>
  <c r="C1602" i="10"/>
  <c r="C1603" i="10"/>
  <c r="C1604" i="10"/>
  <c r="C1605" i="10"/>
  <c r="C1606" i="10"/>
  <c r="C1607" i="10"/>
  <c r="C1608" i="10"/>
  <c r="C1609" i="10"/>
  <c r="C1610" i="10"/>
  <c r="C1611" i="10"/>
  <c r="C1612" i="10"/>
  <c r="C1613" i="10"/>
  <c r="C1614" i="10"/>
  <c r="C1615" i="10"/>
  <c r="C1616" i="10"/>
  <c r="C1617" i="10"/>
  <c r="C1618" i="10"/>
  <c r="C1619" i="10"/>
  <c r="C1620" i="10"/>
  <c r="C1621" i="10"/>
  <c r="C1622" i="10"/>
  <c r="C1623" i="10"/>
  <c r="C1624" i="10"/>
  <c r="C1625" i="10"/>
  <c r="C1626" i="10"/>
  <c r="C1627" i="10"/>
  <c r="C1628" i="10"/>
  <c r="C1629" i="10"/>
  <c r="C1630" i="10"/>
  <c r="C1631" i="10"/>
  <c r="C1632" i="10"/>
  <c r="C1633" i="10"/>
  <c r="C1634" i="10"/>
  <c r="C1635" i="10"/>
  <c r="C1636" i="10"/>
  <c r="C1637" i="10"/>
  <c r="C1638" i="10"/>
  <c r="C1639" i="10"/>
  <c r="C1640" i="10"/>
  <c r="C1641" i="10"/>
  <c r="C1642" i="10"/>
  <c r="C1643" i="10"/>
  <c r="C1644" i="10"/>
  <c r="C1645" i="10"/>
  <c r="C1646" i="10"/>
  <c r="C1647" i="10"/>
  <c r="C1648" i="10"/>
  <c r="C1649" i="10"/>
  <c r="C1650" i="10"/>
  <c r="C1651" i="10"/>
  <c r="C1652" i="10"/>
  <c r="C1653" i="10"/>
  <c r="C1654" i="10"/>
  <c r="C1655" i="10"/>
  <c r="C1656" i="10"/>
  <c r="C1657" i="10"/>
  <c r="C1658" i="10"/>
  <c r="C1659" i="10"/>
  <c r="C1660" i="10"/>
  <c r="C1661" i="10"/>
  <c r="C1662" i="10"/>
  <c r="C1663" i="10"/>
  <c r="C1664" i="10"/>
  <c r="C1665" i="10"/>
  <c r="C1666" i="10"/>
  <c r="C1667" i="10"/>
  <c r="C1668" i="10"/>
  <c r="C1669" i="10"/>
  <c r="C1670" i="10"/>
  <c r="C1671" i="10"/>
  <c r="C1672" i="10"/>
  <c r="C1673" i="10"/>
  <c r="C1674" i="10"/>
  <c r="C1675" i="10"/>
  <c r="C1676" i="10"/>
  <c r="C1677" i="10"/>
  <c r="C1678" i="10"/>
  <c r="C1679" i="10"/>
  <c r="C1680" i="10"/>
  <c r="C1681" i="10"/>
  <c r="C1682" i="10"/>
  <c r="C1683" i="10"/>
  <c r="C1684" i="10"/>
  <c r="C1685" i="10"/>
  <c r="C1686" i="10"/>
  <c r="C1687" i="10"/>
  <c r="C1688" i="10"/>
  <c r="C1689" i="10"/>
  <c r="C1690" i="10"/>
  <c r="C1691" i="10"/>
  <c r="C1692" i="10"/>
  <c r="C1693" i="10"/>
  <c r="C1694" i="10"/>
  <c r="C1695" i="10"/>
  <c r="C1696" i="10"/>
  <c r="C1697" i="10"/>
  <c r="C1698" i="10"/>
  <c r="C1699" i="10"/>
  <c r="C1700" i="10"/>
  <c r="C1701" i="10"/>
  <c r="C1702" i="10"/>
  <c r="C1703" i="10"/>
  <c r="C1704" i="10"/>
  <c r="C1705" i="10"/>
  <c r="C1706" i="10"/>
  <c r="C1707" i="10"/>
  <c r="C1708" i="10"/>
  <c r="C1709" i="10"/>
  <c r="C1710" i="10"/>
  <c r="C1711" i="10"/>
  <c r="C1712" i="10"/>
  <c r="C1713" i="10"/>
  <c r="C1714" i="10"/>
  <c r="C1715" i="10"/>
  <c r="C1716" i="10"/>
  <c r="C1717" i="10"/>
  <c r="C1718" i="10"/>
  <c r="C1719" i="10"/>
  <c r="C1720" i="10"/>
  <c r="C1721" i="10"/>
  <c r="C1722" i="10"/>
  <c r="C1723" i="10"/>
  <c r="C1724" i="10"/>
  <c r="C1725" i="10"/>
  <c r="C1726" i="10"/>
  <c r="C1727" i="10"/>
  <c r="C1728" i="10"/>
  <c r="C1729" i="10"/>
  <c r="C1730" i="10"/>
  <c r="C1731" i="10"/>
  <c r="C1732" i="10"/>
  <c r="C1733" i="10"/>
  <c r="C1734" i="10"/>
  <c r="C1735" i="10"/>
  <c r="C1736" i="10"/>
  <c r="C1737" i="10"/>
  <c r="C1738" i="10"/>
  <c r="C1739" i="10"/>
  <c r="C1740" i="10"/>
  <c r="C1741" i="10"/>
  <c r="C1742" i="10"/>
  <c r="C1743" i="10"/>
  <c r="C1744" i="10"/>
  <c r="C1745" i="10"/>
  <c r="C1746" i="10"/>
  <c r="C1747" i="10"/>
  <c r="C1748" i="10"/>
  <c r="C1749" i="10"/>
  <c r="C1750" i="10"/>
  <c r="C1751" i="10"/>
  <c r="C1752" i="10"/>
  <c r="C1753" i="10"/>
  <c r="C1754" i="10"/>
  <c r="C1755" i="10"/>
  <c r="C1756" i="10"/>
  <c r="C1757" i="10"/>
  <c r="C1758" i="10"/>
  <c r="C1759" i="10"/>
  <c r="C1760" i="10"/>
  <c r="C1761" i="10"/>
  <c r="C1762" i="10"/>
  <c r="C1763" i="10"/>
  <c r="C1764" i="10"/>
  <c r="C1765" i="10"/>
  <c r="C1766" i="10"/>
  <c r="C1767" i="10"/>
  <c r="C1768" i="10"/>
  <c r="C1769" i="10"/>
  <c r="C1770" i="10"/>
  <c r="C1771" i="10"/>
  <c r="C1772" i="10"/>
  <c r="C1773" i="10"/>
  <c r="C1774" i="10"/>
  <c r="C1775" i="10"/>
  <c r="C1776" i="10"/>
  <c r="C1777" i="10"/>
  <c r="C1778" i="10"/>
  <c r="C1779" i="10"/>
  <c r="C1780" i="10"/>
  <c r="C1781" i="10"/>
  <c r="C1782" i="10"/>
  <c r="C1783" i="10"/>
  <c r="C1784" i="10"/>
  <c r="C1785" i="10"/>
  <c r="C1786" i="10"/>
  <c r="C1787" i="10"/>
  <c r="C1788" i="10"/>
  <c r="C1789" i="10"/>
  <c r="C1790" i="10"/>
  <c r="C1791" i="10"/>
  <c r="C1792" i="10"/>
  <c r="C1793" i="10"/>
  <c r="C1794" i="10"/>
  <c r="C1795" i="10"/>
  <c r="C1796" i="10"/>
  <c r="C1797" i="10"/>
  <c r="C1798" i="10"/>
  <c r="C1799" i="10"/>
  <c r="C1800" i="10"/>
  <c r="C1801" i="10"/>
  <c r="C1802" i="10"/>
  <c r="C1803" i="10"/>
  <c r="C1804" i="10"/>
  <c r="C1805" i="10"/>
  <c r="C1806" i="10"/>
  <c r="C1807" i="10"/>
  <c r="C1808" i="10"/>
  <c r="C1809" i="10"/>
  <c r="C1810" i="10"/>
  <c r="C1811" i="10"/>
  <c r="C1812" i="10"/>
  <c r="C1813" i="10"/>
  <c r="C1814" i="10"/>
  <c r="C1815" i="10"/>
  <c r="C1816" i="10"/>
  <c r="C1817" i="10"/>
  <c r="C1818" i="10"/>
  <c r="C1819" i="10"/>
  <c r="C1820" i="10"/>
  <c r="C1821" i="10"/>
  <c r="C1822" i="10"/>
  <c r="C1823" i="10"/>
  <c r="C1824" i="10"/>
  <c r="C1825" i="10"/>
  <c r="C1826" i="10"/>
  <c r="C1827" i="10"/>
  <c r="C1828" i="10"/>
  <c r="C1829" i="10"/>
  <c r="C1830" i="10"/>
  <c r="C1831" i="10"/>
  <c r="C1832" i="10"/>
  <c r="C1833" i="10"/>
  <c r="C1834" i="10"/>
  <c r="C1835" i="10"/>
  <c r="C1836" i="10"/>
  <c r="C1837" i="10"/>
  <c r="C1838" i="10"/>
  <c r="C1839" i="10"/>
  <c r="C1840" i="10"/>
  <c r="C1841" i="10"/>
  <c r="C1842" i="10"/>
  <c r="C1843" i="10"/>
  <c r="C1844" i="10"/>
  <c r="C1845" i="10"/>
  <c r="C1846" i="10"/>
  <c r="C1847" i="10"/>
  <c r="C1848" i="10"/>
  <c r="C1849" i="10"/>
  <c r="C1850" i="10"/>
  <c r="C1851" i="10"/>
  <c r="C1852" i="10"/>
  <c r="C1853" i="10"/>
  <c r="C1854" i="10"/>
  <c r="C1855" i="10"/>
  <c r="C1856" i="10"/>
  <c r="C1857" i="10"/>
  <c r="C1858" i="10"/>
  <c r="C1859" i="10"/>
  <c r="C1860" i="10"/>
  <c r="C1861" i="10"/>
  <c r="C1862" i="10"/>
  <c r="C1863" i="10"/>
  <c r="C1864" i="10"/>
  <c r="C1865" i="10"/>
  <c r="C1866" i="10"/>
  <c r="C1867" i="10"/>
  <c r="C1868" i="10"/>
  <c r="C1869" i="10"/>
  <c r="C1870" i="10"/>
  <c r="C1871" i="10"/>
  <c r="C1872" i="10"/>
  <c r="C1873" i="10"/>
  <c r="C1874" i="10"/>
  <c r="C1875" i="10"/>
  <c r="C1876" i="10"/>
  <c r="C1877" i="10"/>
  <c r="C1878" i="10"/>
  <c r="C1879" i="10"/>
  <c r="C1880" i="10"/>
  <c r="C1881" i="10"/>
  <c r="C1882" i="10"/>
  <c r="C1883" i="10"/>
  <c r="C1884" i="10"/>
  <c r="C1885" i="10"/>
  <c r="C1886" i="10"/>
  <c r="C1887" i="10"/>
  <c r="C1888" i="10"/>
  <c r="C1889" i="10"/>
  <c r="C1890" i="10"/>
  <c r="C1891" i="10"/>
  <c r="C1892" i="10"/>
  <c r="C1893" i="10"/>
  <c r="C1894" i="10"/>
  <c r="C1895" i="10"/>
  <c r="C1896" i="10"/>
  <c r="C1897" i="10"/>
  <c r="C1898" i="10"/>
  <c r="C1899" i="10"/>
  <c r="C1900" i="10"/>
  <c r="C1901" i="10"/>
  <c r="C1902" i="10"/>
  <c r="C1903" i="10"/>
  <c r="C1904" i="10"/>
  <c r="C1905" i="10"/>
  <c r="C1906" i="10"/>
  <c r="C1907" i="10"/>
  <c r="C1908" i="10"/>
  <c r="C1909" i="10"/>
  <c r="C1910" i="10"/>
  <c r="C1911" i="10"/>
  <c r="C1912" i="10"/>
  <c r="C1913" i="10"/>
  <c r="C1914" i="10"/>
  <c r="C1915" i="10"/>
  <c r="C1916" i="10"/>
  <c r="BD117" i="60" l="1"/>
  <c r="BD235" i="60"/>
  <c r="BD206" i="60"/>
  <c r="BD201" i="60"/>
  <c r="BD141" i="60"/>
  <c r="BD169" i="60"/>
  <c r="BD251" i="60"/>
  <c r="BD355" i="60"/>
  <c r="BD287" i="60"/>
  <c r="BD357" i="60"/>
  <c r="BD349" i="60"/>
  <c r="BD223" i="60"/>
  <c r="BD191" i="60"/>
  <c r="BD122" i="60"/>
  <c r="BD249" i="60"/>
  <c r="BD314" i="60"/>
  <c r="BD165" i="60"/>
  <c r="BD115" i="60"/>
  <c r="BD107" i="60"/>
  <c r="BD217" i="60"/>
  <c r="BD35" i="60"/>
  <c r="BD86" i="60"/>
  <c r="AW69" i="60"/>
  <c r="AY69" i="60" s="1"/>
  <c r="BA69" i="60" s="1"/>
  <c r="BC69" i="60" s="1"/>
  <c r="BE69" i="60" s="1"/>
  <c r="BG69" i="60" s="1"/>
  <c r="AW199" i="60"/>
  <c r="AY199" i="60" s="1"/>
  <c r="BA199" i="60" s="1"/>
  <c r="BC199" i="60" s="1"/>
  <c r="BE199" i="60" s="1"/>
  <c r="BG199" i="60" s="1"/>
  <c r="BD26" i="60"/>
  <c r="BD55" i="60"/>
  <c r="BD50" i="60"/>
  <c r="BD213" i="60"/>
  <c r="BD127" i="60"/>
  <c r="BD273" i="60"/>
  <c r="BD373" i="60"/>
  <c r="BD129" i="60"/>
  <c r="BD25" i="60"/>
  <c r="BD343" i="60"/>
  <c r="BD313" i="60"/>
  <c r="BD259" i="60"/>
  <c r="BD263" i="60"/>
  <c r="BD170" i="60"/>
  <c r="BD237" i="60"/>
  <c r="BD301" i="60"/>
  <c r="AW139" i="60"/>
  <c r="AY139" i="60" s="1"/>
  <c r="BA139" i="60" s="1"/>
  <c r="BC139" i="60" s="1"/>
  <c r="BE139" i="60" s="1"/>
  <c r="BG139" i="60" s="1"/>
  <c r="AW91" i="60"/>
  <c r="AY91" i="60" s="1"/>
  <c r="BA91" i="60" s="1"/>
  <c r="BC91" i="60" s="1"/>
  <c r="BE91" i="60" s="1"/>
  <c r="BG91" i="60" s="1"/>
  <c r="AW323" i="60"/>
  <c r="AY323" i="60" s="1"/>
  <c r="BA323" i="60" s="1"/>
  <c r="BC323" i="60" s="1"/>
  <c r="BE323" i="60" s="1"/>
  <c r="BG323" i="60" s="1"/>
  <c r="AW19" i="60"/>
  <c r="AY19" i="60" s="1"/>
  <c r="BA19" i="60" s="1"/>
  <c r="BC19" i="60" s="1"/>
  <c r="BE19" i="60" s="1"/>
  <c r="BG19" i="60" s="1"/>
  <c r="BD38" i="60"/>
  <c r="AW177" i="60"/>
  <c r="AY177" i="60" s="1"/>
  <c r="BA177" i="60" s="1"/>
  <c r="BC177" i="60" s="1"/>
  <c r="BE177" i="60" s="1"/>
  <c r="BG177" i="60" s="1"/>
  <c r="AW49" i="60"/>
  <c r="AY49" i="60" s="1"/>
  <c r="BA49" i="60" s="1"/>
  <c r="BC49" i="60" s="1"/>
  <c r="BE49" i="60" s="1"/>
  <c r="BG49" i="60" s="1"/>
  <c r="AW67" i="60"/>
  <c r="AY67" i="60" s="1"/>
  <c r="BA67" i="60" s="1"/>
  <c r="BC67" i="60" s="1"/>
  <c r="BE67" i="60" s="1"/>
  <c r="BG67" i="60" s="1"/>
  <c r="AW326" i="60"/>
  <c r="AY326" i="60" s="1"/>
  <c r="BA326" i="60" s="1"/>
  <c r="BC326" i="60" s="1"/>
  <c r="BE326" i="60" s="1"/>
  <c r="BG326" i="60" s="1"/>
  <c r="AW239" i="60"/>
  <c r="AY239" i="60" s="1"/>
  <c r="BA239" i="60" s="1"/>
  <c r="BC239" i="60" s="1"/>
  <c r="BE239" i="60" s="1"/>
  <c r="BG239" i="60" s="1"/>
  <c r="BD131" i="60"/>
  <c r="AW134" i="60"/>
  <c r="AY134" i="60" s="1"/>
  <c r="BA134" i="60" s="1"/>
  <c r="BC134" i="60" s="1"/>
  <c r="BE134" i="60" s="1"/>
  <c r="BG134" i="60" s="1"/>
  <c r="AW109" i="60"/>
  <c r="AY109" i="60" s="1"/>
  <c r="BA109" i="60" s="1"/>
  <c r="BC109" i="60" s="1"/>
  <c r="BE109" i="60" s="1"/>
  <c r="BG109" i="60" s="1"/>
  <c r="BD225" i="60"/>
  <c r="BD361" i="60"/>
  <c r="BD271" i="60"/>
  <c r="BD371" i="60"/>
  <c r="BD309" i="60"/>
  <c r="BD265" i="60"/>
  <c r="AW163" i="60"/>
  <c r="AY163" i="60" s="1"/>
  <c r="BA163" i="60" s="1"/>
  <c r="BC163" i="60" s="1"/>
  <c r="BE163" i="60" s="1"/>
  <c r="BG163" i="60" s="1"/>
  <c r="AW359" i="60"/>
  <c r="AY359" i="60" s="1"/>
  <c r="BA359" i="60" s="1"/>
  <c r="BC359" i="60" s="1"/>
  <c r="BE359" i="60" s="1"/>
  <c r="BG359" i="60" s="1"/>
  <c r="BD302" i="60"/>
  <c r="BD74" i="60"/>
  <c r="BD297" i="60"/>
  <c r="BD229" i="60"/>
  <c r="BD79" i="60"/>
  <c r="BD278" i="60"/>
  <c r="BD203" i="60"/>
  <c r="AW187" i="60"/>
  <c r="AY187" i="60" s="1"/>
  <c r="BA187" i="60" s="1"/>
  <c r="BC187" i="60" s="1"/>
  <c r="BE187" i="60" s="1"/>
  <c r="BG187" i="60" s="1"/>
  <c r="AW242" i="60"/>
  <c r="AY242" i="60" s="1"/>
  <c r="BA242" i="60" s="1"/>
  <c r="BC242" i="60" s="1"/>
  <c r="BE242" i="60" s="1"/>
  <c r="BG242" i="60" s="1"/>
  <c r="AW157" i="60"/>
  <c r="AY157" i="60" s="1"/>
  <c r="BA157" i="60" s="1"/>
  <c r="BC157" i="60" s="1"/>
  <c r="BE157" i="60" s="1"/>
  <c r="BG157" i="60" s="1"/>
  <c r="AW105" i="60"/>
  <c r="AY105" i="60" s="1"/>
  <c r="BA105" i="60" s="1"/>
  <c r="BC105" i="60" s="1"/>
  <c r="BE105" i="60" s="1"/>
  <c r="BG105" i="60" s="1"/>
  <c r="BD57" i="60"/>
  <c r="BF57" i="60" s="1"/>
  <c r="BD241" i="60"/>
  <c r="BD95" i="60"/>
  <c r="BD266" i="60"/>
  <c r="BD21" i="60"/>
  <c r="BD73" i="60"/>
  <c r="AW71" i="60"/>
  <c r="AY71" i="60" s="1"/>
  <c r="BA71" i="60" s="1"/>
  <c r="BC71" i="60" s="1"/>
  <c r="BE71" i="60" s="1"/>
  <c r="BG71" i="60" s="1"/>
  <c r="AW290" i="60"/>
  <c r="AY290" i="60" s="1"/>
  <c r="BA290" i="60" s="1"/>
  <c r="BC290" i="60" s="1"/>
  <c r="BE290" i="60" s="1"/>
  <c r="BG290" i="60" s="1"/>
  <c r="AW133" i="60"/>
  <c r="AY133" i="60" s="1"/>
  <c r="BA133" i="60" s="1"/>
  <c r="BC133" i="60" s="1"/>
  <c r="BE133" i="60" s="1"/>
  <c r="BG133" i="60" s="1"/>
  <c r="BD319" i="60"/>
  <c r="BD367" i="60"/>
  <c r="BD333" i="60"/>
  <c r="BD325" i="60"/>
  <c r="BD110" i="60"/>
  <c r="BD337" i="60"/>
  <c r="BD175" i="60"/>
  <c r="BD59" i="60"/>
  <c r="BF59" i="60" s="1"/>
  <c r="AW33" i="60"/>
  <c r="AY33" i="60" s="1"/>
  <c r="BA33" i="60" s="1"/>
  <c r="BC33" i="60" s="1"/>
  <c r="BE33" i="60" s="1"/>
  <c r="BG33" i="60" s="1"/>
  <c r="BD194" i="60"/>
  <c r="BD345" i="60"/>
  <c r="BD121" i="60"/>
  <c r="BD43" i="60"/>
  <c r="AW119" i="60"/>
  <c r="AY119" i="60" s="1"/>
  <c r="BA119" i="60" s="1"/>
  <c r="BC119" i="60" s="1"/>
  <c r="BE119" i="60" s="1"/>
  <c r="BG119" i="60" s="1"/>
  <c r="AW321" i="60"/>
  <c r="AY321" i="60" s="1"/>
  <c r="BA321" i="60" s="1"/>
  <c r="BC321" i="60" s="1"/>
  <c r="BE321" i="60" s="1"/>
  <c r="BG321" i="60" s="1"/>
  <c r="AW143" i="60"/>
  <c r="AY143" i="60" s="1"/>
  <c r="BA143" i="60" s="1"/>
  <c r="BC143" i="60" s="1"/>
  <c r="BE143" i="60" s="1"/>
  <c r="BG143" i="60" s="1"/>
  <c r="AW230" i="60"/>
  <c r="AY230" i="60" s="1"/>
  <c r="BA230" i="60" s="1"/>
  <c r="BC230" i="60" s="1"/>
  <c r="BE230" i="60" s="1"/>
  <c r="BG230" i="60" s="1"/>
  <c r="BD155" i="60"/>
  <c r="BD98" i="60"/>
  <c r="AW227" i="60"/>
  <c r="AY227" i="60" s="1"/>
  <c r="BA227" i="60" s="1"/>
  <c r="BC227" i="60" s="1"/>
  <c r="BE227" i="60" s="1"/>
  <c r="BG227" i="60" s="1"/>
  <c r="AW146" i="60"/>
  <c r="AY146" i="60" s="1"/>
  <c r="BA146" i="60" s="1"/>
  <c r="BC146" i="60" s="1"/>
  <c r="BE146" i="60" s="1"/>
  <c r="BG146" i="60" s="1"/>
  <c r="BD277" i="60"/>
  <c r="BD211" i="60"/>
  <c r="BD93" i="60"/>
  <c r="BF93" i="60" s="1"/>
  <c r="BD205" i="60"/>
  <c r="AW23" i="60"/>
  <c r="AY23" i="60" s="1"/>
  <c r="BA23" i="60" s="1"/>
  <c r="BC23" i="60" s="1"/>
  <c r="BE23" i="60" s="1"/>
  <c r="BG23" i="60" s="1"/>
  <c r="BD311" i="60"/>
  <c r="BD182" i="60"/>
  <c r="BF182" i="60" s="1"/>
  <c r="BD189" i="60"/>
  <c r="BD37" i="60"/>
  <c r="AW331" i="60"/>
  <c r="AY331" i="60" s="1"/>
  <c r="BA331" i="60" s="1"/>
  <c r="BC331" i="60" s="1"/>
  <c r="BE331" i="60" s="1"/>
  <c r="BG331" i="60" s="1"/>
  <c r="AW362" i="60"/>
  <c r="AY362" i="60" s="1"/>
  <c r="BA362" i="60" s="1"/>
  <c r="BC362" i="60" s="1"/>
  <c r="BE362" i="60" s="1"/>
  <c r="BG362" i="60" s="1"/>
  <c r="AW295" i="60"/>
  <c r="AY295" i="60" s="1"/>
  <c r="BA295" i="60" s="1"/>
  <c r="BC295" i="60" s="1"/>
  <c r="BE295" i="60" s="1"/>
  <c r="BG295" i="60" s="1"/>
  <c r="BD31" i="60"/>
  <c r="AW45" i="60"/>
  <c r="AY45" i="60" s="1"/>
  <c r="BA45" i="60" s="1"/>
  <c r="BC45" i="60" s="1"/>
  <c r="BE45" i="60" s="1"/>
  <c r="BG45" i="60" s="1"/>
  <c r="AW145" i="60"/>
  <c r="AY145" i="60" s="1"/>
  <c r="BA145" i="60" s="1"/>
  <c r="BC145" i="60" s="1"/>
  <c r="BE145" i="60" s="1"/>
  <c r="BG145" i="60" s="1"/>
  <c r="AW275" i="60"/>
  <c r="AY275" i="60" s="1"/>
  <c r="BA275" i="60" s="1"/>
  <c r="BC275" i="60" s="1"/>
  <c r="BE275" i="60" s="1"/>
  <c r="BG275" i="60" s="1"/>
  <c r="AW85" i="60"/>
  <c r="AY85" i="60" s="1"/>
  <c r="BA85" i="60" s="1"/>
  <c r="BC85" i="60" s="1"/>
  <c r="BE85" i="60" s="1"/>
  <c r="BG85" i="60" s="1"/>
  <c r="BD299" i="60"/>
  <c r="BD254" i="60"/>
  <c r="AW369" i="60"/>
  <c r="AY369" i="60" s="1"/>
  <c r="BA369" i="60" s="1"/>
  <c r="BC369" i="60" s="1"/>
  <c r="BE369" i="60" s="1"/>
  <c r="BG369" i="60" s="1"/>
  <c r="AW181" i="60"/>
  <c r="AY181" i="60" s="1"/>
  <c r="BA181" i="60" s="1"/>
  <c r="BC181" i="60" s="1"/>
  <c r="BE181" i="60" s="1"/>
  <c r="BG181" i="60" s="1"/>
  <c r="AW283" i="60"/>
  <c r="AY283" i="60" s="1"/>
  <c r="BA283" i="60" s="1"/>
  <c r="BC283" i="60" s="1"/>
  <c r="BE283" i="60" s="1"/>
  <c r="BG283" i="60" s="1"/>
  <c r="AW61" i="60"/>
  <c r="AY61" i="60" s="1"/>
  <c r="BA61" i="60" s="1"/>
  <c r="BC61" i="60" s="1"/>
  <c r="BE61" i="60" s="1"/>
  <c r="BG61" i="60" s="1"/>
  <c r="AW81" i="60"/>
  <c r="AY81" i="60" s="1"/>
  <c r="BA81" i="60" s="1"/>
  <c r="BC81" i="60" s="1"/>
  <c r="BE81" i="60" s="1"/>
  <c r="BG81" i="60" s="1"/>
  <c r="AW203" i="60"/>
  <c r="AY203" i="60" s="1"/>
  <c r="BA203" i="60" s="1"/>
  <c r="BC203" i="60" s="1"/>
  <c r="BE203" i="60" s="1"/>
  <c r="BG203" i="60" s="1"/>
  <c r="BD187" i="60"/>
  <c r="AW47" i="60"/>
  <c r="AY47" i="60" s="1"/>
  <c r="BA47" i="60" s="1"/>
  <c r="BC47" i="60" s="1"/>
  <c r="BE47" i="60" s="1"/>
  <c r="BG47" i="60" s="1"/>
  <c r="BD242" i="60"/>
  <c r="BF242" i="60" s="1"/>
  <c r="AW153" i="60"/>
  <c r="AY153" i="60" s="1"/>
  <c r="BA153" i="60" s="1"/>
  <c r="BC153" i="60" s="1"/>
  <c r="BE153" i="60" s="1"/>
  <c r="BG153" i="60" s="1"/>
  <c r="BD157" i="60"/>
  <c r="BF157" i="60" s="1"/>
  <c r="AW179" i="60"/>
  <c r="AY179" i="60" s="1"/>
  <c r="BA179" i="60" s="1"/>
  <c r="BC179" i="60" s="1"/>
  <c r="BE179" i="60" s="1"/>
  <c r="BG179" i="60" s="1"/>
  <c r="BD134" i="60"/>
  <c r="BF134" i="60" s="1"/>
  <c r="BD105" i="60"/>
  <c r="BF105" i="60" s="1"/>
  <c r="BD109" i="60"/>
  <c r="AW347" i="60"/>
  <c r="AY347" i="60" s="1"/>
  <c r="BA347" i="60" s="1"/>
  <c r="BC347" i="60" s="1"/>
  <c r="BE347" i="60" s="1"/>
  <c r="BG347" i="60" s="1"/>
  <c r="AW338" i="60"/>
  <c r="AY338" i="60" s="1"/>
  <c r="BA338" i="60" s="1"/>
  <c r="BC338" i="60" s="1"/>
  <c r="BE338" i="60" s="1"/>
  <c r="BG338" i="60" s="1"/>
  <c r="AW57" i="60"/>
  <c r="AY57" i="60" s="1"/>
  <c r="BA57" i="60" s="1"/>
  <c r="BC57" i="60" s="1"/>
  <c r="BE57" i="60" s="1"/>
  <c r="BG57" i="60" s="1"/>
  <c r="AW361" i="60"/>
  <c r="AY361" i="60" s="1"/>
  <c r="BA361" i="60" s="1"/>
  <c r="BC361" i="60" s="1"/>
  <c r="BE361" i="60" s="1"/>
  <c r="BG361" i="60" s="1"/>
  <c r="BD139" i="60"/>
  <c r="BF139" i="60" s="1"/>
  <c r="AW95" i="60"/>
  <c r="AY95" i="60" s="1"/>
  <c r="BA95" i="60" s="1"/>
  <c r="BC95" i="60" s="1"/>
  <c r="BE95" i="60" s="1"/>
  <c r="BG95" i="60" s="1"/>
  <c r="AW309" i="60"/>
  <c r="AY309" i="60" s="1"/>
  <c r="BA309" i="60" s="1"/>
  <c r="BC309" i="60" s="1"/>
  <c r="BE309" i="60" s="1"/>
  <c r="BG309" i="60" s="1"/>
  <c r="AW265" i="60"/>
  <c r="AY265" i="60" s="1"/>
  <c r="BA265" i="60" s="1"/>
  <c r="BC265" i="60" s="1"/>
  <c r="BE265" i="60" s="1"/>
  <c r="BG265" i="60" s="1"/>
  <c r="BD163" i="60"/>
  <c r="BF163" i="60" s="1"/>
  <c r="BD71" i="60"/>
  <c r="BF71" i="60" s="1"/>
  <c r="BD290" i="60"/>
  <c r="BF290" i="60" s="1"/>
  <c r="AW117" i="60"/>
  <c r="AY117" i="60" s="1"/>
  <c r="BA117" i="60" s="1"/>
  <c r="BC117" i="60" s="1"/>
  <c r="BE117" i="60" s="1"/>
  <c r="BG117" i="60" s="1"/>
  <c r="BD133" i="60"/>
  <c r="BF133" i="60" s="1"/>
  <c r="AW235" i="60"/>
  <c r="AY235" i="60" s="1"/>
  <c r="BA235" i="60" s="1"/>
  <c r="BC235" i="60" s="1"/>
  <c r="BE235" i="60" s="1"/>
  <c r="BG235" i="60" s="1"/>
  <c r="BD359" i="60"/>
  <c r="AW297" i="60"/>
  <c r="AY297" i="60" s="1"/>
  <c r="BA297" i="60" s="1"/>
  <c r="BC297" i="60" s="1"/>
  <c r="BE297" i="60" s="1"/>
  <c r="BG297" i="60" s="1"/>
  <c r="AW79" i="60"/>
  <c r="AY79" i="60" s="1"/>
  <c r="BA79" i="60" s="1"/>
  <c r="BC79" i="60" s="1"/>
  <c r="BE79" i="60" s="1"/>
  <c r="BG79" i="60" s="1"/>
  <c r="AW194" i="60"/>
  <c r="AY194" i="60" s="1"/>
  <c r="BA194" i="60" s="1"/>
  <c r="BC194" i="60" s="1"/>
  <c r="BE194" i="60" s="1"/>
  <c r="BG194" i="60" s="1"/>
  <c r="AW189" i="60"/>
  <c r="AY189" i="60" s="1"/>
  <c r="BA189" i="60" s="1"/>
  <c r="BC189" i="60" s="1"/>
  <c r="BE189" i="60" s="1"/>
  <c r="BG189" i="60" s="1"/>
  <c r="AW37" i="60"/>
  <c r="AY37" i="60" s="1"/>
  <c r="BA37" i="60" s="1"/>
  <c r="BC37" i="60" s="1"/>
  <c r="BE37" i="60" s="1"/>
  <c r="BG37" i="60" s="1"/>
  <c r="BD321" i="60"/>
  <c r="BF321" i="60" s="1"/>
  <c r="BD295" i="60"/>
  <c r="BF295" i="60" s="1"/>
  <c r="AW86" i="60"/>
  <c r="AY86" i="60" s="1"/>
  <c r="BA86" i="60" s="1"/>
  <c r="BC86" i="60" s="1"/>
  <c r="BE86" i="60" s="1"/>
  <c r="BG86" i="60" s="1"/>
  <c r="BD45" i="60"/>
  <c r="BF45" i="60" s="1"/>
  <c r="BD143" i="60"/>
  <c r="BF143" i="60" s="1"/>
  <c r="AW355" i="60"/>
  <c r="AY355" i="60" s="1"/>
  <c r="BA355" i="60" s="1"/>
  <c r="BC355" i="60" s="1"/>
  <c r="BE355" i="60" s="1"/>
  <c r="BG355" i="60" s="1"/>
  <c r="BD230" i="60"/>
  <c r="BF230" i="60" s="1"/>
  <c r="AW213" i="60"/>
  <c r="AY213" i="60" s="1"/>
  <c r="BA213" i="60" s="1"/>
  <c r="BC213" i="60" s="1"/>
  <c r="BE213" i="60" s="1"/>
  <c r="BG213" i="60" s="1"/>
  <c r="BD145" i="60"/>
  <c r="AW127" i="60"/>
  <c r="AY127" i="60" s="1"/>
  <c r="BA127" i="60" s="1"/>
  <c r="BC127" i="60" s="1"/>
  <c r="BE127" i="60" s="1"/>
  <c r="BG127" i="60" s="1"/>
  <c r="BD275" i="60"/>
  <c r="BF275" i="60" s="1"/>
  <c r="AW249" i="60"/>
  <c r="AY249" i="60" s="1"/>
  <c r="BA249" i="60" s="1"/>
  <c r="BC249" i="60" s="1"/>
  <c r="BE249" i="60" s="1"/>
  <c r="BG249" i="60" s="1"/>
  <c r="BD85" i="60"/>
  <c r="BF85" i="60" s="1"/>
  <c r="AW155" i="60"/>
  <c r="AY155" i="60" s="1"/>
  <c r="BA155" i="60" s="1"/>
  <c r="BC155" i="60" s="1"/>
  <c r="BE155" i="60" s="1"/>
  <c r="BG155" i="60" s="1"/>
  <c r="AW254" i="60"/>
  <c r="AY254" i="60" s="1"/>
  <c r="BA254" i="60" s="1"/>
  <c r="BC254" i="60" s="1"/>
  <c r="BE254" i="60" s="1"/>
  <c r="BG254" i="60" s="1"/>
  <c r="BD369" i="60"/>
  <c r="BF369" i="60" s="1"/>
  <c r="BD181" i="60"/>
  <c r="BF181" i="60" s="1"/>
  <c r="BD283" i="60"/>
  <c r="BF283" i="60" s="1"/>
  <c r="BD227" i="60"/>
  <c r="BD61" i="60"/>
  <c r="AW115" i="60"/>
  <c r="AY115" i="60" s="1"/>
  <c r="BA115" i="60" s="1"/>
  <c r="BC115" i="60" s="1"/>
  <c r="BE115" i="60" s="1"/>
  <c r="BG115" i="60" s="1"/>
  <c r="AW263" i="60"/>
  <c r="AY263" i="60" s="1"/>
  <c r="BA263" i="60" s="1"/>
  <c r="BC263" i="60" s="1"/>
  <c r="BE263" i="60" s="1"/>
  <c r="BG263" i="60" s="1"/>
  <c r="BD146" i="60"/>
  <c r="BF146" i="60" s="1"/>
  <c r="BD81" i="60"/>
  <c r="BF81" i="60" s="1"/>
  <c r="AW301" i="60"/>
  <c r="AY301" i="60" s="1"/>
  <c r="BA301" i="60" s="1"/>
  <c r="BC301" i="60" s="1"/>
  <c r="BE301" i="60" s="1"/>
  <c r="BG301" i="60" s="1"/>
  <c r="BD239" i="60"/>
  <c r="BF239" i="60" s="1"/>
  <c r="AW277" i="60"/>
  <c r="AY277" i="60" s="1"/>
  <c r="BA277" i="60" s="1"/>
  <c r="BC277" i="60" s="1"/>
  <c r="BE277" i="60" s="1"/>
  <c r="BG277" i="60" s="1"/>
  <c r="BD326" i="60"/>
  <c r="BD177" i="60"/>
  <c r="BF177" i="60" s="1"/>
  <c r="AW205" i="60"/>
  <c r="AY205" i="60" s="1"/>
  <c r="BA205" i="60" s="1"/>
  <c r="BC205" i="60" s="1"/>
  <c r="BE205" i="60" s="1"/>
  <c r="BG205" i="60" s="1"/>
  <c r="BD23" i="60"/>
  <c r="BF23" i="60" s="1"/>
  <c r="AW59" i="60"/>
  <c r="AY59" i="60" s="1"/>
  <c r="BA59" i="60" s="1"/>
  <c r="BC59" i="60" s="1"/>
  <c r="BE59" i="60" s="1"/>
  <c r="BG59" i="60" s="1"/>
  <c r="AW182" i="60"/>
  <c r="AY182" i="60" s="1"/>
  <c r="BA182" i="60" s="1"/>
  <c r="BC182" i="60" s="1"/>
  <c r="BE182" i="60" s="1"/>
  <c r="BG182" i="60" s="1"/>
  <c r="BD69" i="60"/>
  <c r="BF69" i="60" s="1"/>
  <c r="BD199" i="60"/>
  <c r="BF199" i="60" s="1"/>
  <c r="BF203" i="60"/>
  <c r="AW151" i="60"/>
  <c r="AY151" i="60" s="1"/>
  <c r="BA151" i="60" s="1"/>
  <c r="BC151" i="60" s="1"/>
  <c r="BE151" i="60" s="1"/>
  <c r="BG151" i="60" s="1"/>
  <c r="AW218" i="60"/>
  <c r="AY218" i="60" s="1"/>
  <c r="BA218" i="60" s="1"/>
  <c r="BC218" i="60" s="1"/>
  <c r="BE218" i="60" s="1"/>
  <c r="BG218" i="60" s="1"/>
  <c r="BF153" i="60"/>
  <c r="AW289" i="60"/>
  <c r="AY289" i="60" s="1"/>
  <c r="BA289" i="60" s="1"/>
  <c r="BC289" i="60" s="1"/>
  <c r="BE289" i="60" s="1"/>
  <c r="BG289" i="60" s="1"/>
  <c r="AW350" i="60"/>
  <c r="AY350" i="60" s="1"/>
  <c r="BA350" i="60" s="1"/>
  <c r="BC350" i="60" s="1"/>
  <c r="BE350" i="60" s="1"/>
  <c r="BG350" i="60" s="1"/>
  <c r="AW97" i="60"/>
  <c r="AY97" i="60" s="1"/>
  <c r="BA97" i="60" s="1"/>
  <c r="BC97" i="60" s="1"/>
  <c r="BE97" i="60" s="1"/>
  <c r="BG97" i="60" s="1"/>
  <c r="AW253" i="60"/>
  <c r="AY253" i="60" s="1"/>
  <c r="BA253" i="60" s="1"/>
  <c r="BC253" i="60" s="1"/>
  <c r="BE253" i="60" s="1"/>
  <c r="BG253" i="60" s="1"/>
  <c r="BF347" i="60"/>
  <c r="BF338" i="60"/>
  <c r="BF361" i="60"/>
  <c r="AW271" i="60"/>
  <c r="AY271" i="60" s="1"/>
  <c r="BA271" i="60" s="1"/>
  <c r="BC271" i="60" s="1"/>
  <c r="BE271" i="60" s="1"/>
  <c r="BG271" i="60" s="1"/>
  <c r="BF95" i="60"/>
  <c r="BF309" i="60"/>
  <c r="AW215" i="60"/>
  <c r="AY215" i="60" s="1"/>
  <c r="BA215" i="60" s="1"/>
  <c r="BC215" i="60" s="1"/>
  <c r="BE215" i="60" s="1"/>
  <c r="BG215" i="60" s="1"/>
  <c r="AW62" i="60"/>
  <c r="AY62" i="60" s="1"/>
  <c r="BA62" i="60" s="1"/>
  <c r="BC62" i="60" s="1"/>
  <c r="BE62" i="60" s="1"/>
  <c r="BG62" i="60" s="1"/>
  <c r="BF117" i="60"/>
  <c r="AW193" i="60"/>
  <c r="AY193" i="60" s="1"/>
  <c r="BA193" i="60" s="1"/>
  <c r="BC193" i="60" s="1"/>
  <c r="BE193" i="60" s="1"/>
  <c r="BG193" i="60" s="1"/>
  <c r="BF235" i="60"/>
  <c r="AW302" i="60"/>
  <c r="AY302" i="60" s="1"/>
  <c r="BA302" i="60" s="1"/>
  <c r="BC302" i="60" s="1"/>
  <c r="BE302" i="60" s="1"/>
  <c r="BG302" i="60" s="1"/>
  <c r="AW74" i="60"/>
  <c r="AY74" i="60" s="1"/>
  <c r="BA74" i="60" s="1"/>
  <c r="BC74" i="60" s="1"/>
  <c r="BE74" i="60" s="1"/>
  <c r="BG74" i="60" s="1"/>
  <c r="BF297" i="60"/>
  <c r="BF194" i="60"/>
  <c r="BF37" i="60"/>
  <c r="AW43" i="60"/>
  <c r="AY43" i="60" s="1"/>
  <c r="BA43" i="60" s="1"/>
  <c r="BC43" i="60" s="1"/>
  <c r="BE43" i="60" s="1"/>
  <c r="BG43" i="60" s="1"/>
  <c r="BD331" i="60"/>
  <c r="BF331" i="60" s="1"/>
  <c r="BD119" i="60"/>
  <c r="BF119" i="60" s="1"/>
  <c r="BD362" i="60"/>
  <c r="AW201" i="60"/>
  <c r="AY201" i="60" s="1"/>
  <c r="BA201" i="60" s="1"/>
  <c r="BC201" i="60" s="1"/>
  <c r="BE201" i="60" s="1"/>
  <c r="BG201" i="60" s="1"/>
  <c r="AW31" i="60"/>
  <c r="AY31" i="60" s="1"/>
  <c r="BA31" i="60" s="1"/>
  <c r="BC31" i="60" s="1"/>
  <c r="BE31" i="60" s="1"/>
  <c r="BG31" i="60" s="1"/>
  <c r="BF86" i="60"/>
  <c r="AW141" i="60"/>
  <c r="AY141" i="60" s="1"/>
  <c r="BA141" i="60" s="1"/>
  <c r="BC141" i="60" s="1"/>
  <c r="BE141" i="60" s="1"/>
  <c r="BG141" i="60" s="1"/>
  <c r="AW251" i="60"/>
  <c r="AY251" i="60" s="1"/>
  <c r="BA251" i="60" s="1"/>
  <c r="BC251" i="60" s="1"/>
  <c r="BE251" i="60" s="1"/>
  <c r="BG251" i="60" s="1"/>
  <c r="AW50" i="60"/>
  <c r="AY50" i="60" s="1"/>
  <c r="BA50" i="60" s="1"/>
  <c r="BC50" i="60" s="1"/>
  <c r="BE50" i="60" s="1"/>
  <c r="BG50" i="60" s="1"/>
  <c r="BF213" i="60"/>
  <c r="AW349" i="60"/>
  <c r="AY349" i="60" s="1"/>
  <c r="BA349" i="60" s="1"/>
  <c r="BC349" i="60" s="1"/>
  <c r="BE349" i="60" s="1"/>
  <c r="BG349" i="60" s="1"/>
  <c r="AW191" i="60"/>
  <c r="AY191" i="60" s="1"/>
  <c r="BA191" i="60" s="1"/>
  <c r="BC191" i="60" s="1"/>
  <c r="BE191" i="60" s="1"/>
  <c r="BG191" i="60" s="1"/>
  <c r="BF249" i="60"/>
  <c r="AW373" i="60"/>
  <c r="AY373" i="60" s="1"/>
  <c r="BA373" i="60" s="1"/>
  <c r="BC373" i="60" s="1"/>
  <c r="BE373" i="60" s="1"/>
  <c r="BG373" i="60" s="1"/>
  <c r="AW129" i="60"/>
  <c r="AY129" i="60" s="1"/>
  <c r="BA129" i="60" s="1"/>
  <c r="BC129" i="60" s="1"/>
  <c r="BE129" i="60" s="1"/>
  <c r="BG129" i="60" s="1"/>
  <c r="AW25" i="60"/>
  <c r="AY25" i="60" s="1"/>
  <c r="BA25" i="60" s="1"/>
  <c r="BC25" i="60" s="1"/>
  <c r="BE25" i="60" s="1"/>
  <c r="BG25" i="60" s="1"/>
  <c r="AW343" i="60"/>
  <c r="AY343" i="60" s="1"/>
  <c r="BA343" i="60" s="1"/>
  <c r="BC343" i="60" s="1"/>
  <c r="BE343" i="60" s="1"/>
  <c r="BG343" i="60" s="1"/>
  <c r="AW314" i="60"/>
  <c r="AY314" i="60" s="1"/>
  <c r="BA314" i="60" s="1"/>
  <c r="BC314" i="60" s="1"/>
  <c r="BE314" i="60" s="1"/>
  <c r="BG314" i="60" s="1"/>
  <c r="AW313" i="60"/>
  <c r="AY313" i="60" s="1"/>
  <c r="BA313" i="60" s="1"/>
  <c r="BC313" i="60" s="1"/>
  <c r="BE313" i="60" s="1"/>
  <c r="BG313" i="60" s="1"/>
  <c r="BF263" i="60"/>
  <c r="AW170" i="60"/>
  <c r="AY170" i="60" s="1"/>
  <c r="BA170" i="60" s="1"/>
  <c r="BC170" i="60" s="1"/>
  <c r="BE170" i="60" s="1"/>
  <c r="BG170" i="60" s="1"/>
  <c r="AW237" i="60"/>
  <c r="AY237" i="60" s="1"/>
  <c r="BA237" i="60" s="1"/>
  <c r="BC237" i="60" s="1"/>
  <c r="BE237" i="60" s="1"/>
  <c r="BG237" i="60" s="1"/>
  <c r="AW35" i="60"/>
  <c r="AY35" i="60" s="1"/>
  <c r="BA35" i="60" s="1"/>
  <c r="BC35" i="60" s="1"/>
  <c r="BE35" i="60" s="1"/>
  <c r="BG35" i="60" s="1"/>
  <c r="AW211" i="60"/>
  <c r="AY211" i="60" s="1"/>
  <c r="BA211" i="60" s="1"/>
  <c r="BC211" i="60" s="1"/>
  <c r="BE211" i="60" s="1"/>
  <c r="BG211" i="60" s="1"/>
  <c r="AW110" i="60"/>
  <c r="AY110" i="60" s="1"/>
  <c r="BA110" i="60" s="1"/>
  <c r="BC110" i="60" s="1"/>
  <c r="BE110" i="60" s="1"/>
  <c r="BG110" i="60" s="1"/>
  <c r="AW93" i="60"/>
  <c r="AY93" i="60" s="1"/>
  <c r="BA93" i="60" s="1"/>
  <c r="BC93" i="60" s="1"/>
  <c r="BE93" i="60" s="1"/>
  <c r="BG93" i="60" s="1"/>
  <c r="BF205" i="60"/>
  <c r="AW38" i="60"/>
  <c r="AY38" i="60" s="1"/>
  <c r="BA38" i="60" s="1"/>
  <c r="BC38" i="60" s="1"/>
  <c r="BE38" i="60" s="1"/>
  <c r="BG38" i="60" s="1"/>
  <c r="BD91" i="60"/>
  <c r="BF91" i="60" s="1"/>
  <c r="BD323" i="60"/>
  <c r="BF323" i="60" s="1"/>
  <c r="AW278" i="60"/>
  <c r="AY278" i="60" s="1"/>
  <c r="BA278" i="60" s="1"/>
  <c r="BC278" i="60" s="1"/>
  <c r="BE278" i="60" s="1"/>
  <c r="BG278" i="60" s="1"/>
  <c r="BD19" i="60"/>
  <c r="BF19" i="60" s="1"/>
  <c r="AW131" i="60"/>
  <c r="AY131" i="60" s="1"/>
  <c r="BA131" i="60" s="1"/>
  <c r="BC131" i="60" s="1"/>
  <c r="BE131" i="60" s="1"/>
  <c r="BG131" i="60" s="1"/>
  <c r="AW335" i="60"/>
  <c r="AY335" i="60" s="1"/>
  <c r="BA335" i="60" s="1"/>
  <c r="BC335" i="60" s="1"/>
  <c r="BE335" i="60" s="1"/>
  <c r="BG335" i="60" s="1"/>
  <c r="AW261" i="60"/>
  <c r="AY261" i="60" s="1"/>
  <c r="BA261" i="60" s="1"/>
  <c r="BC261" i="60" s="1"/>
  <c r="BE261" i="60" s="1"/>
  <c r="BG261" i="60" s="1"/>
  <c r="BF289" i="60"/>
  <c r="AW247" i="60"/>
  <c r="AY247" i="60" s="1"/>
  <c r="BA247" i="60" s="1"/>
  <c r="BC247" i="60" s="1"/>
  <c r="BE247" i="60" s="1"/>
  <c r="BG247" i="60" s="1"/>
  <c r="BF350" i="60"/>
  <c r="BF97" i="60"/>
  <c r="AW14" i="60"/>
  <c r="AY14" i="60" s="1"/>
  <c r="BA14" i="60" s="1"/>
  <c r="BC14" i="60" s="1"/>
  <c r="BE14" i="60" s="1"/>
  <c r="BG14" i="60" s="1"/>
  <c r="AW83" i="60"/>
  <c r="AY83" i="60" s="1"/>
  <c r="BA83" i="60" s="1"/>
  <c r="BC83" i="60" s="1"/>
  <c r="BE83" i="60" s="1"/>
  <c r="BG83" i="60" s="1"/>
  <c r="AW158" i="60"/>
  <c r="AY158" i="60" s="1"/>
  <c r="BA158" i="60" s="1"/>
  <c r="BC158" i="60" s="1"/>
  <c r="BE158" i="60" s="1"/>
  <c r="BG158" i="60" s="1"/>
  <c r="AW225" i="60"/>
  <c r="AY225" i="60" s="1"/>
  <c r="BA225" i="60" s="1"/>
  <c r="BC225" i="60" s="1"/>
  <c r="BE225" i="60" s="1"/>
  <c r="BG225" i="60" s="1"/>
  <c r="AW241" i="60"/>
  <c r="AY241" i="60" s="1"/>
  <c r="BA241" i="60" s="1"/>
  <c r="BC241" i="60" s="1"/>
  <c r="BE241" i="60" s="1"/>
  <c r="BG241" i="60" s="1"/>
  <c r="AW371" i="60"/>
  <c r="AY371" i="60" s="1"/>
  <c r="BA371" i="60" s="1"/>
  <c r="BC371" i="60" s="1"/>
  <c r="BE371" i="60" s="1"/>
  <c r="BG371" i="60" s="1"/>
  <c r="AW266" i="60"/>
  <c r="AY266" i="60" s="1"/>
  <c r="BA266" i="60" s="1"/>
  <c r="BC266" i="60" s="1"/>
  <c r="BE266" i="60" s="1"/>
  <c r="BG266" i="60" s="1"/>
  <c r="AW21" i="60"/>
  <c r="AY21" i="60" s="1"/>
  <c r="BA21" i="60" s="1"/>
  <c r="BC21" i="60" s="1"/>
  <c r="BE21" i="60" s="1"/>
  <c r="BG21" i="60" s="1"/>
  <c r="AW73" i="60"/>
  <c r="AY73" i="60" s="1"/>
  <c r="BA73" i="60" s="1"/>
  <c r="BC73" i="60" s="1"/>
  <c r="BE73" i="60" s="1"/>
  <c r="BG73" i="60" s="1"/>
  <c r="AW285" i="60"/>
  <c r="AY285" i="60" s="1"/>
  <c r="BA285" i="60" s="1"/>
  <c r="BC285" i="60" s="1"/>
  <c r="BE285" i="60" s="1"/>
  <c r="BG285" i="60" s="1"/>
  <c r="BF193" i="60"/>
  <c r="AW307" i="60"/>
  <c r="AY307" i="60" s="1"/>
  <c r="BA307" i="60" s="1"/>
  <c r="BC307" i="60" s="1"/>
  <c r="BE307" i="60" s="1"/>
  <c r="BG307" i="60" s="1"/>
  <c r="BF74" i="60"/>
  <c r="AW229" i="60"/>
  <c r="AY229" i="60" s="1"/>
  <c r="BA229" i="60" s="1"/>
  <c r="BC229" i="60" s="1"/>
  <c r="BE229" i="60" s="1"/>
  <c r="BG229" i="60" s="1"/>
  <c r="AW319" i="60"/>
  <c r="AY319" i="60" s="1"/>
  <c r="BA319" i="60" s="1"/>
  <c r="BC319" i="60" s="1"/>
  <c r="BE319" i="60" s="1"/>
  <c r="BG319" i="60" s="1"/>
  <c r="AW345" i="60"/>
  <c r="AY345" i="60" s="1"/>
  <c r="BA345" i="60" s="1"/>
  <c r="BC345" i="60" s="1"/>
  <c r="BE345" i="60" s="1"/>
  <c r="BG345" i="60" s="1"/>
  <c r="AW121" i="60"/>
  <c r="AY121" i="60" s="1"/>
  <c r="BA121" i="60" s="1"/>
  <c r="BC121" i="60" s="1"/>
  <c r="BE121" i="60" s="1"/>
  <c r="BG121" i="60" s="1"/>
  <c r="BF43" i="60"/>
  <c r="AW103" i="60"/>
  <c r="AY103" i="60" s="1"/>
  <c r="BA103" i="60" s="1"/>
  <c r="BC103" i="60" s="1"/>
  <c r="BE103" i="60" s="1"/>
  <c r="BG103" i="60" s="1"/>
  <c r="AW167" i="60"/>
  <c r="AY167" i="60" s="1"/>
  <c r="BA167" i="60" s="1"/>
  <c r="BC167" i="60" s="1"/>
  <c r="BE167" i="60" s="1"/>
  <c r="BG167" i="60" s="1"/>
  <c r="AW206" i="60"/>
  <c r="AY206" i="60" s="1"/>
  <c r="BA206" i="60" s="1"/>
  <c r="BC206" i="60" s="1"/>
  <c r="BE206" i="60" s="1"/>
  <c r="BG206" i="60" s="1"/>
  <c r="BF31" i="60"/>
  <c r="AW169" i="60"/>
  <c r="AY169" i="60" s="1"/>
  <c r="BA169" i="60" s="1"/>
  <c r="BC169" i="60" s="1"/>
  <c r="BE169" i="60" s="1"/>
  <c r="BG169" i="60" s="1"/>
  <c r="BF251" i="60"/>
  <c r="AW26" i="60"/>
  <c r="AY26" i="60" s="1"/>
  <c r="BA26" i="60" s="1"/>
  <c r="BC26" i="60" s="1"/>
  <c r="BE26" i="60" s="1"/>
  <c r="BG26" i="60" s="1"/>
  <c r="AW55" i="60"/>
  <c r="AY55" i="60" s="1"/>
  <c r="BA55" i="60" s="1"/>
  <c r="BC55" i="60" s="1"/>
  <c r="BE55" i="60" s="1"/>
  <c r="BG55" i="60" s="1"/>
  <c r="AW287" i="60"/>
  <c r="AY287" i="60" s="1"/>
  <c r="BA287" i="60" s="1"/>
  <c r="BC287" i="60" s="1"/>
  <c r="BE287" i="60" s="1"/>
  <c r="BG287" i="60" s="1"/>
  <c r="BF50" i="60"/>
  <c r="AW357" i="60"/>
  <c r="AY357" i="60" s="1"/>
  <c r="BA357" i="60" s="1"/>
  <c r="BC357" i="60" s="1"/>
  <c r="BE357" i="60" s="1"/>
  <c r="BG357" i="60" s="1"/>
  <c r="AW223" i="60"/>
  <c r="AY223" i="60" s="1"/>
  <c r="BA223" i="60" s="1"/>
  <c r="BC223" i="60" s="1"/>
  <c r="BE223" i="60" s="1"/>
  <c r="BG223" i="60" s="1"/>
  <c r="AW122" i="60"/>
  <c r="AY122" i="60" s="1"/>
  <c r="BA122" i="60" s="1"/>
  <c r="BC122" i="60" s="1"/>
  <c r="BE122" i="60" s="1"/>
  <c r="BG122" i="60" s="1"/>
  <c r="AW273" i="60"/>
  <c r="AY273" i="60" s="1"/>
  <c r="BA273" i="60" s="1"/>
  <c r="BC273" i="60" s="1"/>
  <c r="BE273" i="60" s="1"/>
  <c r="BG273" i="60" s="1"/>
  <c r="AW299" i="60"/>
  <c r="AY299" i="60" s="1"/>
  <c r="BA299" i="60" s="1"/>
  <c r="BC299" i="60" s="1"/>
  <c r="BE299" i="60" s="1"/>
  <c r="BG299" i="60" s="1"/>
  <c r="AW98" i="60"/>
  <c r="AY98" i="60" s="1"/>
  <c r="BA98" i="60" s="1"/>
  <c r="BC98" i="60" s="1"/>
  <c r="BE98" i="60" s="1"/>
  <c r="BG98" i="60" s="1"/>
  <c r="BF129" i="60"/>
  <c r="BF25" i="60"/>
  <c r="BF343" i="60"/>
  <c r="AW165" i="60"/>
  <c r="AY165" i="60" s="1"/>
  <c r="BA165" i="60" s="1"/>
  <c r="BC165" i="60" s="1"/>
  <c r="BE165" i="60" s="1"/>
  <c r="BG165" i="60" s="1"/>
  <c r="AW259" i="60"/>
  <c r="AY259" i="60" s="1"/>
  <c r="BA259" i="60" s="1"/>
  <c r="BC259" i="60" s="1"/>
  <c r="BE259" i="60" s="1"/>
  <c r="BG259" i="60" s="1"/>
  <c r="AW107" i="60"/>
  <c r="AY107" i="60" s="1"/>
  <c r="BA107" i="60" s="1"/>
  <c r="BC107" i="60" s="1"/>
  <c r="BE107" i="60" s="1"/>
  <c r="BG107" i="60" s="1"/>
  <c r="BF170" i="60"/>
  <c r="BF237" i="60"/>
  <c r="AW217" i="60"/>
  <c r="AY217" i="60" s="1"/>
  <c r="BA217" i="60" s="1"/>
  <c r="BC217" i="60" s="1"/>
  <c r="BE217" i="60" s="1"/>
  <c r="BG217" i="60" s="1"/>
  <c r="AW367" i="60"/>
  <c r="AY367" i="60" s="1"/>
  <c r="BA367" i="60" s="1"/>
  <c r="BC367" i="60" s="1"/>
  <c r="BE367" i="60" s="1"/>
  <c r="BG367" i="60" s="1"/>
  <c r="AW333" i="60"/>
  <c r="AY333" i="60" s="1"/>
  <c r="BA333" i="60" s="1"/>
  <c r="BC333" i="60" s="1"/>
  <c r="BE333" i="60" s="1"/>
  <c r="BG333" i="60" s="1"/>
  <c r="AW325" i="60"/>
  <c r="AY325" i="60" s="1"/>
  <c r="BA325" i="60" s="1"/>
  <c r="BC325" i="60" s="1"/>
  <c r="BE325" i="60" s="1"/>
  <c r="BG325" i="60" s="1"/>
  <c r="BF110" i="60"/>
  <c r="AW337" i="60"/>
  <c r="AY337" i="60" s="1"/>
  <c r="BA337" i="60" s="1"/>
  <c r="BC337" i="60" s="1"/>
  <c r="BE337" i="60" s="1"/>
  <c r="BG337" i="60" s="1"/>
  <c r="AW175" i="60"/>
  <c r="AY175" i="60" s="1"/>
  <c r="BA175" i="60" s="1"/>
  <c r="BC175" i="60" s="1"/>
  <c r="BE175" i="60" s="1"/>
  <c r="BG175" i="60" s="1"/>
  <c r="AW311" i="60"/>
  <c r="AY311" i="60" s="1"/>
  <c r="BA311" i="60" s="1"/>
  <c r="BC311" i="60" s="1"/>
  <c r="BE311" i="60" s="1"/>
  <c r="BG311" i="60" s="1"/>
  <c r="BD49" i="60"/>
  <c r="BF49" i="60" s="1"/>
  <c r="BD67" i="60"/>
  <c r="BF67" i="60" s="1"/>
  <c r="BD33" i="60"/>
  <c r="BF33" i="60" s="1"/>
  <c r="BF335" i="60"/>
  <c r="BF247" i="60"/>
  <c r="BF371" i="60"/>
  <c r="BF319" i="60"/>
  <c r="BF107" i="60"/>
  <c r="F15" i="55"/>
  <c r="C14" i="55"/>
  <c r="G14" i="55"/>
  <c r="D15" i="55"/>
  <c r="P20" i="5"/>
  <c r="P19" i="5"/>
  <c r="P15" i="5"/>
  <c r="P16" i="5"/>
  <c r="P22" i="5"/>
  <c r="N14" i="5"/>
  <c r="P18" i="5"/>
  <c r="P14" i="5"/>
  <c r="K16" i="5"/>
  <c r="L16" i="5"/>
  <c r="M16" i="5"/>
  <c r="J16" i="5"/>
  <c r="N16" i="5"/>
  <c r="M20" i="5"/>
  <c r="K22" i="5"/>
  <c r="N20" i="5"/>
  <c r="L22" i="5"/>
  <c r="M22" i="5"/>
  <c r="J22" i="5"/>
  <c r="N22" i="5"/>
  <c r="K14" i="5"/>
  <c r="J18" i="5"/>
  <c r="N18" i="5"/>
  <c r="M15" i="5"/>
  <c r="L19" i="5"/>
  <c r="K20" i="5"/>
  <c r="L14" i="5"/>
  <c r="K18" i="5"/>
  <c r="J15" i="5"/>
  <c r="N15" i="5"/>
  <c r="M19" i="5"/>
  <c r="L20" i="5"/>
  <c r="M14" i="5"/>
  <c r="L18" i="5"/>
  <c r="K15" i="5"/>
  <c r="J19" i="5"/>
  <c r="N19" i="5"/>
  <c r="J14" i="5"/>
  <c r="M18" i="5"/>
  <c r="L15" i="5"/>
  <c r="K19" i="5"/>
  <c r="J20" i="5"/>
  <c r="BF266" i="60" l="1"/>
  <c r="BF131" i="60"/>
  <c r="BF35" i="60"/>
  <c r="BF314" i="60"/>
  <c r="BF79" i="60"/>
  <c r="BF326" i="60"/>
  <c r="BF61" i="60"/>
  <c r="BF109" i="60"/>
  <c r="BF187" i="60"/>
  <c r="BF227" i="60"/>
  <c r="BF359" i="60"/>
  <c r="BF38" i="60"/>
  <c r="BF302" i="60"/>
  <c r="BF62" i="60"/>
  <c r="BF362" i="60"/>
  <c r="BF47" i="60"/>
  <c r="BF241" i="60"/>
  <c r="BF349" i="60"/>
  <c r="BF345" i="60"/>
  <c r="BF122" i="60"/>
  <c r="H14" i="55"/>
  <c r="E18" i="49" s="1"/>
  <c r="BF211" i="60"/>
  <c r="BF191" i="60"/>
  <c r="BF201" i="60"/>
  <c r="BF307" i="60"/>
  <c r="BF223" i="60"/>
  <c r="BF167" i="60"/>
  <c r="BF21" i="60"/>
  <c r="BF225" i="60"/>
  <c r="BF14" i="60"/>
  <c r="BF261" i="60"/>
  <c r="BF313" i="60"/>
  <c r="BF141" i="60"/>
  <c r="BF145" i="60"/>
  <c r="BF259" i="60"/>
  <c r="BF357" i="60"/>
  <c r="BF55" i="60"/>
  <c r="BF373" i="60"/>
  <c r="BF215" i="60"/>
  <c r="BF253" i="60"/>
  <c r="BF151" i="60"/>
  <c r="BF325" i="60"/>
  <c r="BF169" i="60"/>
  <c r="BF206" i="60"/>
  <c r="BF121" i="60"/>
  <c r="BF271" i="60"/>
  <c r="BF189" i="60"/>
  <c r="BF265" i="60"/>
  <c r="BF179" i="60"/>
  <c r="BF287" i="60"/>
  <c r="BF333" i="60"/>
  <c r="BF273" i="60"/>
  <c r="BF285" i="60"/>
  <c r="BF103" i="60"/>
  <c r="BF337" i="60"/>
  <c r="BF73" i="60"/>
  <c r="BF158" i="60"/>
  <c r="BF83" i="60"/>
  <c r="BF115" i="60"/>
  <c r="BF127" i="60"/>
  <c r="BF217" i="60"/>
  <c r="BF165" i="60"/>
  <c r="BF26" i="60"/>
  <c r="BF229" i="60"/>
  <c r="BF278" i="60"/>
  <c r="BF218" i="60"/>
  <c r="BF355" i="60"/>
  <c r="BF367" i="60"/>
  <c r="BF277" i="60"/>
  <c r="BF301" i="60"/>
  <c r="BF254" i="60"/>
  <c r="BF155" i="60"/>
  <c r="BF98" i="60"/>
  <c r="BF299" i="60"/>
  <c r="BF175" i="60"/>
  <c r="BF311" i="60"/>
  <c r="BG11" i="54"/>
  <c r="G15" i="55"/>
  <c r="E15" i="55"/>
  <c r="C15" i="55"/>
  <c r="O20" i="5"/>
  <c r="L21" i="5"/>
  <c r="J21" i="5"/>
  <c r="O18" i="5"/>
  <c r="O19" i="5"/>
  <c r="K21" i="5"/>
  <c r="M21" i="5"/>
  <c r="N21" i="5"/>
  <c r="J17" i="5"/>
  <c r="O22" i="5"/>
  <c r="M17" i="5"/>
  <c r="L17" i="5"/>
  <c r="O15" i="5"/>
  <c r="O16" i="5"/>
  <c r="K17" i="5"/>
  <c r="N17" i="5"/>
  <c r="AK28" i="1"/>
  <c r="AK24" i="1"/>
  <c r="AJ24" i="1"/>
  <c r="AI24" i="1"/>
  <c r="AK23" i="1"/>
  <c r="AJ23" i="1"/>
  <c r="AI23" i="1"/>
  <c r="AK22" i="1"/>
  <c r="AJ22" i="1"/>
  <c r="AI22" i="1"/>
  <c r="AK21" i="1"/>
  <c r="AJ21" i="1"/>
  <c r="AI21" i="1"/>
  <c r="AK20" i="1"/>
  <c r="AJ20" i="1"/>
  <c r="AI20" i="1"/>
  <c r="AK19" i="1"/>
  <c r="AJ19" i="1"/>
  <c r="AI19" i="1"/>
  <c r="AK18" i="1"/>
  <c r="AJ18" i="1"/>
  <c r="AI18" i="1"/>
  <c r="AK17" i="1"/>
  <c r="AJ17" i="1"/>
  <c r="AI17" i="1"/>
  <c r="AK16" i="1"/>
  <c r="AJ16" i="1"/>
  <c r="AI16" i="1"/>
  <c r="AK15" i="1"/>
  <c r="AJ15" i="1"/>
  <c r="AI15" i="1"/>
  <c r="AK14" i="1"/>
  <c r="AJ14" i="1"/>
  <c r="AI14" i="1"/>
  <c r="AK13" i="1"/>
  <c r="AJ13" i="1"/>
  <c r="AI13" i="1"/>
  <c r="AC35" i="1"/>
  <c r="AB35" i="1"/>
  <c r="AC31" i="1"/>
  <c r="AB31" i="1"/>
  <c r="AC29" i="1"/>
  <c r="AB29" i="1"/>
  <c r="AC33" i="1"/>
  <c r="AB33" i="1"/>
  <c r="AC32" i="1"/>
  <c r="AB32" i="1"/>
  <c r="AC34" i="1"/>
  <c r="AB34" i="1"/>
  <c r="AC30" i="1"/>
  <c r="AB30" i="1"/>
  <c r="AC28" i="1"/>
  <c r="AB28" i="1"/>
  <c r="AE24" i="1"/>
  <c r="AE23" i="1"/>
  <c r="AE22" i="1"/>
  <c r="AE21" i="1"/>
  <c r="AE20" i="1"/>
  <c r="AE19" i="1"/>
  <c r="AE18" i="1"/>
  <c r="AE17" i="1"/>
  <c r="AE16" i="1"/>
  <c r="AE15" i="1"/>
  <c r="AE14" i="1"/>
  <c r="AE13" i="1"/>
  <c r="C61" i="5"/>
  <c r="C60" i="5"/>
  <c r="C59" i="5"/>
  <c r="C58" i="5"/>
  <c r="C57" i="5"/>
  <c r="C45" i="5"/>
  <c r="C44" i="5"/>
  <c r="C43" i="5"/>
  <c r="C42" i="5"/>
  <c r="C41" i="5"/>
  <c r="C40" i="5"/>
  <c r="C39" i="5"/>
  <c r="C38" i="5"/>
  <c r="C37" i="5"/>
  <c r="C36" i="5"/>
  <c r="C35" i="5"/>
  <c r="C34" i="5"/>
  <c r="C33" i="5"/>
  <c r="AF13" i="1" l="1"/>
  <c r="AH13" i="1"/>
  <c r="AG13" i="1"/>
  <c r="AF14" i="1"/>
  <c r="AH14" i="1"/>
  <c r="AG14" i="1"/>
  <c r="AG15" i="1"/>
  <c r="AF15" i="1"/>
  <c r="AH15" i="1"/>
  <c r="AG16" i="1"/>
  <c r="AF16" i="1"/>
  <c r="AH16" i="1"/>
  <c r="AH17" i="1"/>
  <c r="AG17" i="1"/>
  <c r="AF17" i="1"/>
  <c r="AH18" i="1"/>
  <c r="AG18" i="1"/>
  <c r="AF18" i="1"/>
  <c r="AF19" i="1"/>
  <c r="AH19" i="1"/>
  <c r="AG19" i="1"/>
  <c r="AF20" i="1"/>
  <c r="AH20" i="1"/>
  <c r="AG20" i="1"/>
  <c r="AF21" i="1"/>
  <c r="AH21" i="1"/>
  <c r="AG21" i="1"/>
  <c r="AF22" i="1"/>
  <c r="AH22" i="1"/>
  <c r="AG22" i="1"/>
  <c r="AH23" i="1"/>
  <c r="AG23" i="1"/>
  <c r="AF23" i="1"/>
  <c r="AF24" i="1"/>
  <c r="AH24" i="1"/>
  <c r="AG24" i="1"/>
  <c r="AE31" i="1"/>
  <c r="AE33" i="1"/>
  <c r="AE34" i="1"/>
  <c r="AE29" i="1"/>
  <c r="AE35" i="1"/>
  <c r="AE28" i="1"/>
  <c r="AE30" i="1"/>
  <c r="AE32" i="1"/>
  <c r="E12" i="49"/>
  <c r="E14" i="49" s="1"/>
  <c r="AB23" i="1"/>
  <c r="S28" i="1"/>
  <c r="S34" i="1"/>
  <c r="S33" i="1"/>
  <c r="S31" i="1"/>
  <c r="S32" i="1"/>
  <c r="S35" i="1"/>
  <c r="S30" i="1"/>
  <c r="S29" i="1"/>
  <c r="O21" i="5"/>
  <c r="D59" i="5"/>
  <c r="D52" i="5"/>
  <c r="E52" i="5" s="1"/>
  <c r="D48" i="5"/>
  <c r="E48" i="5" s="1"/>
  <c r="D60" i="5"/>
  <c r="D56" i="5"/>
  <c r="E56" i="5" s="1"/>
  <c r="D53" i="5"/>
  <c r="E53" i="5" s="1"/>
  <c r="D49" i="5"/>
  <c r="E49" i="5" s="1"/>
  <c r="D58" i="5"/>
  <c r="D55" i="5"/>
  <c r="E55" i="5" s="1"/>
  <c r="D51" i="5"/>
  <c r="E51" i="5" s="1"/>
  <c r="D47" i="5"/>
  <c r="E47" i="5" s="1"/>
  <c r="D61" i="5"/>
  <c r="D57" i="5"/>
  <c r="E57" i="5" s="1"/>
  <c r="D54" i="5"/>
  <c r="E54" i="5" s="1"/>
  <c r="D50" i="5"/>
  <c r="E50" i="5" s="1"/>
  <c r="AJ35" i="1"/>
  <c r="AJ31" i="1"/>
  <c r="AJ29" i="1"/>
  <c r="AJ33" i="1"/>
  <c r="AJ32" i="1"/>
  <c r="AJ30" i="1"/>
  <c r="AK30" i="1"/>
  <c r="AI31" i="1"/>
  <c r="AI33" i="1"/>
  <c r="AK35" i="1"/>
  <c r="AK31" i="1"/>
  <c r="AK29" i="1"/>
  <c r="AK33" i="1"/>
  <c r="AK32" i="1"/>
  <c r="AK34" i="1"/>
  <c r="AI28" i="1"/>
  <c r="AI32" i="1"/>
  <c r="AI35" i="1"/>
  <c r="AI34" i="1"/>
  <c r="AI29" i="1"/>
  <c r="AI30" i="1"/>
  <c r="AJ28" i="1"/>
  <c r="AJ34" i="1"/>
  <c r="C62" i="5"/>
  <c r="AC21" i="1"/>
  <c r="AC13" i="1"/>
  <c r="Z13" i="1"/>
  <c r="Y13" i="1"/>
  <c r="Z14" i="1"/>
  <c r="Y19" i="1"/>
  <c r="Z20" i="1"/>
  <c r="Y35" i="1"/>
  <c r="Y29" i="1"/>
  <c r="Y33" i="1"/>
  <c r="Y32" i="1"/>
  <c r="Y30" i="1"/>
  <c r="Y34" i="1"/>
  <c r="AB16" i="1"/>
  <c r="AA15" i="1"/>
  <c r="Y31" i="1"/>
  <c r="AA32" i="1"/>
  <c r="AA31" i="1"/>
  <c r="AA29" i="1"/>
  <c r="AA33" i="1"/>
  <c r="AA35" i="1"/>
  <c r="AA28" i="1"/>
  <c r="AA30" i="1"/>
  <c r="AA34" i="1"/>
  <c r="Z23" i="1"/>
  <c r="Z24" i="1"/>
  <c r="Z21" i="1"/>
  <c r="Z18" i="1"/>
  <c r="Z17" i="1"/>
  <c r="Z16" i="1"/>
  <c r="Z15" i="1"/>
  <c r="Z22" i="1"/>
  <c r="Z19" i="1"/>
  <c r="AA13" i="1"/>
  <c r="AB14" i="1"/>
  <c r="AB15" i="1"/>
  <c r="AA18" i="1"/>
  <c r="Y24" i="1"/>
  <c r="AB19" i="1"/>
  <c r="AB22" i="1"/>
  <c r="AB20" i="1"/>
  <c r="AB18" i="1"/>
  <c r="AB17" i="1"/>
  <c r="Y28" i="1"/>
  <c r="Z32" i="1"/>
  <c r="Z34" i="1"/>
  <c r="Z35" i="1"/>
  <c r="Z31" i="1"/>
  <c r="Z33" i="1"/>
  <c r="Z28" i="1"/>
  <c r="Z29" i="1"/>
  <c r="Z30" i="1"/>
  <c r="AA24" i="1"/>
  <c r="AA21" i="1"/>
  <c r="AA19" i="1"/>
  <c r="AA23" i="1"/>
  <c r="AA22" i="1"/>
  <c r="AA14" i="1"/>
  <c r="AA20" i="1"/>
  <c r="AC22" i="1"/>
  <c r="AC20" i="1"/>
  <c r="AC18" i="1"/>
  <c r="AC23" i="1"/>
  <c r="AC19" i="1"/>
  <c r="AC24" i="1"/>
  <c r="AC17" i="1"/>
  <c r="AC16" i="1"/>
  <c r="AC15" i="1"/>
  <c r="Y22" i="1"/>
  <c r="Y20" i="1"/>
  <c r="Y18" i="1"/>
  <c r="Y23" i="1"/>
  <c r="Y21" i="1"/>
  <c r="Y17" i="1"/>
  <c r="Y16" i="1"/>
  <c r="Y15" i="1"/>
  <c r="AB13" i="1"/>
  <c r="Y14" i="1"/>
  <c r="AC14" i="1"/>
  <c r="AA16" i="1"/>
  <c r="AA17" i="1"/>
  <c r="AB21" i="1"/>
  <c r="AB24" i="1"/>
  <c r="AL13" i="1"/>
  <c r="AL18" i="1"/>
  <c r="AL20" i="1"/>
  <c r="AL22" i="1"/>
  <c r="AL19" i="1"/>
  <c r="AL14" i="1"/>
  <c r="AL15" i="1"/>
  <c r="AL16" i="1"/>
  <c r="AL17" i="1"/>
  <c r="AL23" i="1"/>
  <c r="AL21" i="1"/>
  <c r="AL24" i="1"/>
  <c r="H15" i="55" l="1"/>
  <c r="AF32" i="1"/>
  <c r="AH32" i="1"/>
  <c r="AG32" i="1"/>
  <c r="AH30" i="1"/>
  <c r="AG30" i="1"/>
  <c r="AF30" i="1"/>
  <c r="AF28" i="1"/>
  <c r="AG28" i="1"/>
  <c r="AH28" i="1"/>
  <c r="AH35" i="1"/>
  <c r="AG35" i="1"/>
  <c r="AF35" i="1"/>
  <c r="AH29" i="1"/>
  <c r="AG29" i="1"/>
  <c r="AF29" i="1"/>
  <c r="AH34" i="1"/>
  <c r="AG34" i="1"/>
  <c r="AF34" i="1"/>
  <c r="AF33" i="1"/>
  <c r="AH33" i="1"/>
  <c r="AG33" i="1"/>
  <c r="AH31" i="1"/>
  <c r="AG31" i="1"/>
  <c r="AF31" i="1"/>
  <c r="V29" i="1"/>
  <c r="U29" i="1"/>
  <c r="T29" i="1"/>
  <c r="U30" i="1"/>
  <c r="T30" i="1"/>
  <c r="V30" i="1"/>
  <c r="V35" i="1"/>
  <c r="T35" i="1"/>
  <c r="U35" i="1"/>
  <c r="V32" i="1"/>
  <c r="U32" i="1"/>
  <c r="T32" i="1"/>
  <c r="U31" i="1"/>
  <c r="T31" i="1"/>
  <c r="V31" i="1"/>
  <c r="V33" i="1"/>
  <c r="U33" i="1"/>
  <c r="T33" i="1"/>
  <c r="V34" i="1"/>
  <c r="T34" i="1"/>
  <c r="U34" i="1"/>
  <c r="V28" i="1"/>
  <c r="U28" i="1"/>
  <c r="T28" i="1"/>
  <c r="D12" i="49"/>
  <c r="D14" i="49" s="1"/>
  <c r="D39" i="5"/>
  <c r="E39" i="5" s="1"/>
  <c r="D40" i="5"/>
  <c r="E40" i="5" s="1"/>
  <c r="AP21" i="1"/>
  <c r="AP13" i="1"/>
  <c r="AM16" i="1"/>
  <c r="AM18" i="1"/>
  <c r="AQ17" i="1"/>
  <c r="AQ24" i="1"/>
  <c r="AQ23" i="1"/>
  <c r="AQ20" i="1"/>
  <c r="AQ22" i="1"/>
  <c r="AO20" i="1"/>
  <c r="AP20" i="1"/>
  <c r="AP22" i="1"/>
  <c r="AO18" i="1"/>
  <c r="AN16" i="1"/>
  <c r="AM19" i="1"/>
  <c r="AQ13" i="1"/>
  <c r="AQ32" i="1"/>
  <c r="BX32" i="1" s="1"/>
  <c r="AM32" i="1"/>
  <c r="AP32" i="1"/>
  <c r="BW32" i="1" s="1"/>
  <c r="AO32" i="1"/>
  <c r="AN32" i="1"/>
  <c r="AN28" i="1"/>
  <c r="AO28" i="1"/>
  <c r="AM28" i="1"/>
  <c r="AQ28" i="1"/>
  <c r="BX28" i="1" s="1"/>
  <c r="AP28" i="1"/>
  <c r="BW28" i="1" s="1"/>
  <c r="AP24" i="1"/>
  <c r="AM23" i="1"/>
  <c r="AM20" i="1"/>
  <c r="AM22" i="1"/>
  <c r="AO22" i="1"/>
  <c r="AO24" i="1"/>
  <c r="AP19" i="1"/>
  <c r="AP15" i="1"/>
  <c r="AO13" i="1"/>
  <c r="AN22" i="1"/>
  <c r="AN17" i="1"/>
  <c r="AN24" i="1"/>
  <c r="AN23" i="1"/>
  <c r="AN14" i="1"/>
  <c r="AQ21" i="1"/>
  <c r="AN30" i="1"/>
  <c r="AQ30" i="1"/>
  <c r="BX30" i="1" s="1"/>
  <c r="AM30" i="1"/>
  <c r="AP30" i="1"/>
  <c r="BW30" i="1" s="1"/>
  <c r="AO30" i="1"/>
  <c r="AP23" i="1"/>
  <c r="AO16" i="1"/>
  <c r="AQ14" i="1"/>
  <c r="AQ15" i="1"/>
  <c r="AQ18" i="1"/>
  <c r="AO23" i="1"/>
  <c r="AO19" i="1"/>
  <c r="AP17" i="1"/>
  <c r="AP18" i="1"/>
  <c r="AM24" i="1"/>
  <c r="AP14" i="1"/>
  <c r="AN19" i="1"/>
  <c r="AN20" i="1"/>
  <c r="AN13" i="1"/>
  <c r="AO31" i="1"/>
  <c r="AN31" i="1"/>
  <c r="AQ31" i="1"/>
  <c r="AM31" i="1"/>
  <c r="AP31" i="1"/>
  <c r="AQ33" i="1"/>
  <c r="BX33" i="1" s="1"/>
  <c r="AM33" i="1"/>
  <c r="AP33" i="1"/>
  <c r="BW33" i="1" s="1"/>
  <c r="AO33" i="1"/>
  <c r="AN33" i="1"/>
  <c r="AO17" i="1"/>
  <c r="AM14" i="1"/>
  <c r="AM15" i="1"/>
  <c r="AM17" i="1"/>
  <c r="AM21" i="1"/>
  <c r="AQ16" i="1"/>
  <c r="AQ19" i="1"/>
  <c r="AO14" i="1"/>
  <c r="AO21" i="1"/>
  <c r="AN15" i="1"/>
  <c r="AN18" i="1"/>
  <c r="AN21" i="1"/>
  <c r="AO15" i="1"/>
  <c r="AP16" i="1"/>
  <c r="AM13" i="1"/>
  <c r="AP29" i="1"/>
  <c r="BW29" i="1" s="1"/>
  <c r="AQ29" i="1"/>
  <c r="BX29" i="1" s="1"/>
  <c r="AO29" i="1"/>
  <c r="AN29" i="1"/>
  <c r="AM29" i="1"/>
  <c r="AO35" i="1"/>
  <c r="AN35" i="1"/>
  <c r="AQ35" i="1"/>
  <c r="BX35" i="1" s="1"/>
  <c r="AM35" i="1"/>
  <c r="AP35" i="1"/>
  <c r="BW35" i="1" s="1"/>
  <c r="AO34" i="1"/>
  <c r="AN34" i="1"/>
  <c r="AM34" i="1"/>
  <c r="AQ34" i="1"/>
  <c r="BX34" i="1" s="1"/>
  <c r="AP34" i="1"/>
  <c r="BW34" i="1" s="1"/>
  <c r="D43" i="5"/>
  <c r="E43" i="5" s="1"/>
  <c r="D44" i="5"/>
  <c r="E44" i="5" s="1"/>
  <c r="D38" i="5"/>
  <c r="E38" i="5" s="1"/>
  <c r="D41" i="5"/>
  <c r="E41" i="5" s="1"/>
  <c r="D42" i="5"/>
  <c r="E42" i="5" s="1"/>
  <c r="D45" i="5"/>
  <c r="E45" i="5" s="1"/>
  <c r="D46" i="5"/>
  <c r="E46" i="5" s="1"/>
  <c r="D34" i="5"/>
  <c r="E34" i="5" s="1"/>
  <c r="D33" i="5"/>
  <c r="E33" i="5" s="1"/>
  <c r="D35" i="5"/>
  <c r="E35" i="5" s="1"/>
  <c r="D32" i="5"/>
  <c r="E32" i="5" s="1"/>
  <c r="D37" i="5"/>
  <c r="E37" i="5" s="1"/>
  <c r="D36" i="5"/>
  <c r="E36" i="5" s="1"/>
  <c r="AL28" i="1"/>
  <c r="AL31" i="1"/>
  <c r="AL32" i="1"/>
  <c r="AL29" i="1"/>
  <c r="AL33" i="1"/>
  <c r="AL34" i="1"/>
  <c r="AL30" i="1"/>
  <c r="AL35" i="1"/>
  <c r="O14" i="5"/>
  <c r="O17" i="5" s="1"/>
  <c r="H149" i="56" l="1"/>
  <c r="H45" i="56"/>
  <c r="H205" i="56"/>
  <c r="H77" i="56"/>
  <c r="H229" i="56"/>
  <c r="H117" i="56"/>
  <c r="H53" i="56"/>
  <c r="H21" i="56"/>
  <c r="H173" i="56"/>
  <c r="H197" i="56"/>
  <c r="H213" i="56"/>
  <c r="H85" i="56"/>
  <c r="H61" i="56"/>
  <c r="H29" i="56"/>
  <c r="H253" i="56"/>
  <c r="H141" i="56"/>
  <c r="H165" i="56"/>
  <c r="H181" i="56"/>
  <c r="H37" i="56"/>
  <c r="H237" i="56"/>
  <c r="H109" i="56"/>
  <c r="H133" i="56"/>
  <c r="H189" i="56"/>
  <c r="H245" i="56"/>
  <c r="H125" i="56"/>
  <c r="H69" i="56"/>
  <c r="H93" i="56"/>
  <c r="H157" i="56"/>
  <c r="H221" i="56"/>
  <c r="H101" i="56"/>
  <c r="T213" i="56"/>
  <c r="T181" i="56"/>
  <c r="T149" i="56"/>
  <c r="T117" i="56"/>
  <c r="T53" i="56"/>
  <c r="T253" i="56"/>
  <c r="T245" i="56"/>
  <c r="T221" i="56"/>
  <c r="T189" i="56"/>
  <c r="T157" i="56"/>
  <c r="T125" i="56"/>
  <c r="T93" i="56"/>
  <c r="T69" i="56"/>
  <c r="T197" i="56"/>
  <c r="T165" i="56"/>
  <c r="T133" i="56"/>
  <c r="T101" i="56"/>
  <c r="T237" i="56"/>
  <c r="T229" i="56"/>
  <c r="T85" i="56"/>
  <c r="T205" i="56"/>
  <c r="T173" i="56"/>
  <c r="T141" i="56"/>
  <c r="T109" i="56"/>
  <c r="T45" i="56"/>
  <c r="T37" i="56"/>
  <c r="T61" i="56"/>
  <c r="T77" i="56"/>
  <c r="T29" i="56"/>
  <c r="T21" i="56"/>
  <c r="AF253" i="56"/>
  <c r="AF213" i="56"/>
  <c r="AF181" i="56"/>
  <c r="AF229" i="56"/>
  <c r="AF189" i="56"/>
  <c r="AF221" i="56"/>
  <c r="AF245" i="56"/>
  <c r="AF197" i="56"/>
  <c r="AF205" i="56"/>
  <c r="AF173" i="56"/>
  <c r="AF237" i="56"/>
  <c r="AF21" i="56"/>
  <c r="AF29" i="56"/>
  <c r="AF141" i="56"/>
  <c r="AF37" i="56"/>
  <c r="AF157" i="56"/>
  <c r="AF165" i="56"/>
  <c r="AF45" i="56"/>
  <c r="AF85" i="56"/>
  <c r="AF101" i="56"/>
  <c r="AF53" i="56"/>
  <c r="AF149" i="56"/>
  <c r="AF125" i="56"/>
  <c r="AF69" i="56"/>
  <c r="AF61" i="56"/>
  <c r="AF109" i="56"/>
  <c r="AF133" i="56"/>
  <c r="AF93" i="56"/>
  <c r="AF77" i="56"/>
  <c r="AF117" i="56"/>
  <c r="T248" i="56"/>
  <c r="T216" i="56"/>
  <c r="T88" i="56"/>
  <c r="T224" i="56"/>
  <c r="T120" i="56"/>
  <c r="T232" i="56"/>
  <c r="T152" i="56"/>
  <c r="T240" i="56"/>
  <c r="T184" i="56"/>
  <c r="T128" i="56"/>
  <c r="T80" i="56"/>
  <c r="T200" i="56"/>
  <c r="T208" i="56"/>
  <c r="T112" i="56"/>
  <c r="T160" i="56"/>
  <c r="T16" i="56"/>
  <c r="T104" i="56"/>
  <c r="T192" i="56"/>
  <c r="T48" i="56"/>
  <c r="T24" i="56"/>
  <c r="T136" i="56"/>
  <c r="T72" i="56"/>
  <c r="T144" i="56"/>
  <c r="T96" i="56"/>
  <c r="T64" i="56"/>
  <c r="T32" i="56"/>
  <c r="T168" i="56"/>
  <c r="T176" i="56"/>
  <c r="T56" i="56"/>
  <c r="T40" i="56"/>
  <c r="H208" i="56"/>
  <c r="H80" i="56"/>
  <c r="H136" i="56"/>
  <c r="H160" i="56"/>
  <c r="H176" i="56"/>
  <c r="H232" i="56"/>
  <c r="H104" i="56"/>
  <c r="H128" i="56"/>
  <c r="H240" i="56"/>
  <c r="H144" i="56"/>
  <c r="H200" i="56"/>
  <c r="H72" i="56"/>
  <c r="H224" i="56"/>
  <c r="H96" i="56"/>
  <c r="H32" i="56"/>
  <c r="H120" i="56"/>
  <c r="H112" i="56"/>
  <c r="H168" i="56"/>
  <c r="H248" i="56"/>
  <c r="H192" i="56"/>
  <c r="H64" i="56"/>
  <c r="H40" i="56"/>
  <c r="H16" i="56"/>
  <c r="H88" i="56"/>
  <c r="H24" i="56"/>
  <c r="H48" i="56"/>
  <c r="H152" i="56"/>
  <c r="H184" i="56"/>
  <c r="H56" i="56"/>
  <c r="H216" i="56"/>
  <c r="AF240" i="56"/>
  <c r="AF216" i="56"/>
  <c r="AF248" i="56"/>
  <c r="AF224" i="56"/>
  <c r="AF232" i="56"/>
  <c r="AF144" i="56"/>
  <c r="AF120" i="56"/>
  <c r="AF88" i="56"/>
  <c r="AF56" i="56"/>
  <c r="AF152" i="56"/>
  <c r="AF128" i="56"/>
  <c r="AF96" i="56"/>
  <c r="AF64" i="56"/>
  <c r="AF208" i="56"/>
  <c r="AF176" i="56"/>
  <c r="AF160" i="56"/>
  <c r="AF104" i="56"/>
  <c r="AF72" i="56"/>
  <c r="AF192" i="56"/>
  <c r="AF136" i="56"/>
  <c r="AF112" i="56"/>
  <c r="AF80" i="56"/>
  <c r="AF48" i="56"/>
  <c r="AF184" i="56"/>
  <c r="AF200" i="56"/>
  <c r="AF168" i="56"/>
  <c r="AF32" i="56"/>
  <c r="AF24" i="56"/>
  <c r="AF40" i="56"/>
  <c r="AF16" i="56"/>
  <c r="H203" i="56"/>
  <c r="H75" i="56"/>
  <c r="H35" i="56"/>
  <c r="H131" i="56"/>
  <c r="H155" i="56"/>
  <c r="H171" i="56"/>
  <c r="H43" i="56"/>
  <c r="H227" i="56"/>
  <c r="H99" i="56"/>
  <c r="H123" i="56"/>
  <c r="H139" i="56"/>
  <c r="H51" i="56"/>
  <c r="H19" i="56"/>
  <c r="H243" i="56"/>
  <c r="H195" i="56"/>
  <c r="H67" i="56"/>
  <c r="H219" i="56"/>
  <c r="H91" i="56"/>
  <c r="H115" i="56"/>
  <c r="H235" i="56"/>
  <c r="H107" i="56"/>
  <c r="H59" i="56"/>
  <c r="H27" i="56"/>
  <c r="H163" i="56"/>
  <c r="H187" i="56"/>
  <c r="H251" i="56"/>
  <c r="H83" i="56"/>
  <c r="H179" i="56"/>
  <c r="H211" i="56"/>
  <c r="H147" i="56"/>
  <c r="T203" i="56"/>
  <c r="T171" i="56"/>
  <c r="T139" i="56"/>
  <c r="T107" i="56"/>
  <c r="T227" i="56"/>
  <c r="T43" i="56"/>
  <c r="T211" i="56"/>
  <c r="T179" i="56"/>
  <c r="T147" i="56"/>
  <c r="T115" i="56"/>
  <c r="T59" i="56"/>
  <c r="T219" i="56"/>
  <c r="T187" i="56"/>
  <c r="T155" i="56"/>
  <c r="T123" i="56"/>
  <c r="T91" i="56"/>
  <c r="T75" i="56"/>
  <c r="T243" i="56"/>
  <c r="T235" i="56"/>
  <c r="T195" i="56"/>
  <c r="T163" i="56"/>
  <c r="T131" i="56"/>
  <c r="T99" i="56"/>
  <c r="T19" i="56"/>
  <c r="T51" i="56"/>
  <c r="T251" i="56"/>
  <c r="T67" i="56"/>
  <c r="T27" i="56"/>
  <c r="T35" i="56"/>
  <c r="T83" i="56"/>
  <c r="AF227" i="56"/>
  <c r="AF203" i="56"/>
  <c r="AF171" i="56"/>
  <c r="AF211" i="56"/>
  <c r="AF179" i="56"/>
  <c r="AF235" i="56"/>
  <c r="AF243" i="56"/>
  <c r="AF187" i="56"/>
  <c r="AF219" i="56"/>
  <c r="AF251" i="56"/>
  <c r="AF195" i="56"/>
  <c r="AF163" i="56"/>
  <c r="AF43" i="56"/>
  <c r="AF155" i="56"/>
  <c r="AF19" i="56"/>
  <c r="AF27" i="56"/>
  <c r="AF147" i="56"/>
  <c r="AF35" i="56"/>
  <c r="AF75" i="56"/>
  <c r="AF107" i="56"/>
  <c r="AF83" i="56"/>
  <c r="AF91" i="56"/>
  <c r="AF59" i="56"/>
  <c r="AF131" i="56"/>
  <c r="AF115" i="56"/>
  <c r="AF67" i="56"/>
  <c r="AF139" i="56"/>
  <c r="AF123" i="56"/>
  <c r="AF51" i="56"/>
  <c r="AF99" i="56"/>
  <c r="AF250" i="56"/>
  <c r="AF218" i="56"/>
  <c r="AF234" i="56"/>
  <c r="AF226" i="56"/>
  <c r="AF202" i="56"/>
  <c r="AF242" i="56"/>
  <c r="AF154" i="56"/>
  <c r="AF130" i="56"/>
  <c r="AF98" i="56"/>
  <c r="AF66" i="56"/>
  <c r="AF210" i="56"/>
  <c r="AF170" i="56"/>
  <c r="AF162" i="56"/>
  <c r="AF106" i="56"/>
  <c r="AF74" i="56"/>
  <c r="AF194" i="56"/>
  <c r="AF186" i="56"/>
  <c r="AF138" i="56"/>
  <c r="AF114" i="56"/>
  <c r="AF82" i="56"/>
  <c r="AF50" i="56"/>
  <c r="AF146" i="56"/>
  <c r="AF122" i="56"/>
  <c r="AF90" i="56"/>
  <c r="AF58" i="56"/>
  <c r="AF42" i="56"/>
  <c r="AF18" i="56"/>
  <c r="AF178" i="56"/>
  <c r="AF34" i="56"/>
  <c r="AF26" i="56"/>
  <c r="H154" i="56"/>
  <c r="H210" i="56"/>
  <c r="H82" i="56"/>
  <c r="H234" i="56"/>
  <c r="H122" i="56"/>
  <c r="H178" i="56"/>
  <c r="H202" i="56"/>
  <c r="H250" i="56"/>
  <c r="H218" i="56"/>
  <c r="H90" i="56"/>
  <c r="H146" i="56"/>
  <c r="H242" i="56"/>
  <c r="H170" i="56"/>
  <c r="H42" i="56"/>
  <c r="H186" i="56"/>
  <c r="H114" i="56"/>
  <c r="H138" i="56"/>
  <c r="H50" i="56"/>
  <c r="H18" i="56"/>
  <c r="H194" i="56"/>
  <c r="H74" i="56"/>
  <c r="H26" i="56"/>
  <c r="H226" i="56"/>
  <c r="H98" i="56"/>
  <c r="H130" i="56"/>
  <c r="H106" i="56"/>
  <c r="H66" i="56"/>
  <c r="H162" i="56"/>
  <c r="H58" i="56"/>
  <c r="H34" i="56"/>
  <c r="T226" i="56"/>
  <c r="T162" i="56"/>
  <c r="T234" i="56"/>
  <c r="T194" i="56"/>
  <c r="T242" i="56"/>
  <c r="T98" i="56"/>
  <c r="T250" i="56"/>
  <c r="T130" i="56"/>
  <c r="T202" i="56"/>
  <c r="T18" i="56"/>
  <c r="T146" i="56"/>
  <c r="T154" i="56"/>
  <c r="T66" i="56"/>
  <c r="T90" i="56"/>
  <c r="T106" i="56"/>
  <c r="T42" i="56"/>
  <c r="T26" i="56"/>
  <c r="T178" i="56"/>
  <c r="T186" i="56"/>
  <c r="T138" i="56"/>
  <c r="T58" i="56"/>
  <c r="T34" i="56"/>
  <c r="T210" i="56"/>
  <c r="T218" i="56"/>
  <c r="T122" i="56"/>
  <c r="T170" i="56"/>
  <c r="T74" i="56"/>
  <c r="T114" i="56"/>
  <c r="T82" i="56"/>
  <c r="T50" i="56"/>
  <c r="H228" i="56"/>
  <c r="H100" i="56"/>
  <c r="H156" i="56"/>
  <c r="H180" i="56"/>
  <c r="H244" i="56"/>
  <c r="H196" i="56"/>
  <c r="H68" i="56"/>
  <c r="H124" i="56"/>
  <c r="H148" i="56"/>
  <c r="H164" i="56"/>
  <c r="H220" i="56"/>
  <c r="H92" i="56"/>
  <c r="H252" i="56"/>
  <c r="H116" i="56"/>
  <c r="H52" i="56"/>
  <c r="H20" i="56"/>
  <c r="H132" i="56"/>
  <c r="H188" i="56"/>
  <c r="H212" i="56"/>
  <c r="H84" i="56"/>
  <c r="H60" i="56"/>
  <c r="H28" i="56"/>
  <c r="H204" i="56"/>
  <c r="H36" i="56"/>
  <c r="H140" i="56"/>
  <c r="H236" i="56"/>
  <c r="H76" i="56"/>
  <c r="H172" i="56"/>
  <c r="H44" i="56"/>
  <c r="H108" i="56"/>
  <c r="T236" i="56"/>
  <c r="T108" i="56"/>
  <c r="T244" i="56"/>
  <c r="T140" i="56"/>
  <c r="T252" i="56"/>
  <c r="T172" i="56"/>
  <c r="T228" i="56"/>
  <c r="T204" i="56"/>
  <c r="T148" i="56"/>
  <c r="T28" i="56"/>
  <c r="T220" i="56"/>
  <c r="T92" i="56"/>
  <c r="T180" i="56"/>
  <c r="T52" i="56"/>
  <c r="T36" i="56"/>
  <c r="T124" i="56"/>
  <c r="T76" i="56"/>
  <c r="T132" i="56"/>
  <c r="T44" i="56"/>
  <c r="T212" i="56"/>
  <c r="T68" i="56"/>
  <c r="T156" i="56"/>
  <c r="T164" i="56"/>
  <c r="T100" i="56"/>
  <c r="T116" i="56"/>
  <c r="T84" i="56"/>
  <c r="T20" i="56"/>
  <c r="T188" i="56"/>
  <c r="T196" i="56"/>
  <c r="T60" i="56"/>
  <c r="AF228" i="56"/>
  <c r="AF236" i="56"/>
  <c r="AF244" i="56"/>
  <c r="AF212" i="56"/>
  <c r="AF252" i="56"/>
  <c r="AF164" i="56"/>
  <c r="AF108" i="56"/>
  <c r="AF76" i="56"/>
  <c r="AF180" i="56"/>
  <c r="AF140" i="56"/>
  <c r="AF116" i="56"/>
  <c r="AF84" i="56"/>
  <c r="AF52" i="56"/>
  <c r="AF196" i="56"/>
  <c r="AF148" i="56"/>
  <c r="AF124" i="56"/>
  <c r="AF92" i="56"/>
  <c r="AF60" i="56"/>
  <c r="AF220" i="56"/>
  <c r="AF172" i="56"/>
  <c r="AF156" i="56"/>
  <c r="AF132" i="56"/>
  <c r="AF100" i="56"/>
  <c r="AF68" i="56"/>
  <c r="AF204" i="56"/>
  <c r="AF28" i="56"/>
  <c r="AF44" i="56"/>
  <c r="AF188" i="56"/>
  <c r="AF20" i="56"/>
  <c r="AF36" i="56"/>
  <c r="T231" i="56"/>
  <c r="T223" i="56"/>
  <c r="T191" i="56"/>
  <c r="T159" i="56"/>
  <c r="T127" i="56"/>
  <c r="T95" i="56"/>
  <c r="T247" i="56"/>
  <c r="T63" i="56"/>
  <c r="T199" i="56"/>
  <c r="T167" i="56"/>
  <c r="T135" i="56"/>
  <c r="T103" i="56"/>
  <c r="T79" i="56"/>
  <c r="T207" i="56"/>
  <c r="T175" i="56"/>
  <c r="T143" i="56"/>
  <c r="T111" i="56"/>
  <c r="T255" i="56"/>
  <c r="T215" i="56"/>
  <c r="T183" i="56"/>
  <c r="T151" i="56"/>
  <c r="T119" i="56"/>
  <c r="T47" i="56"/>
  <c r="T39" i="56"/>
  <c r="T55" i="56"/>
  <c r="T71" i="56"/>
  <c r="T31" i="56"/>
  <c r="T239" i="56"/>
  <c r="T87" i="56"/>
  <c r="T23" i="56"/>
  <c r="H223" i="56"/>
  <c r="H95" i="56"/>
  <c r="H55" i="56"/>
  <c r="H23" i="56"/>
  <c r="H151" i="56"/>
  <c r="H175" i="56"/>
  <c r="H191" i="56"/>
  <c r="H63" i="56"/>
  <c r="H31" i="56"/>
  <c r="H247" i="56"/>
  <c r="H119" i="56"/>
  <c r="H143" i="56"/>
  <c r="H159" i="56"/>
  <c r="H39" i="56"/>
  <c r="H215" i="56"/>
  <c r="H87" i="56"/>
  <c r="H239" i="56"/>
  <c r="H111" i="56"/>
  <c r="H127" i="56"/>
  <c r="H47" i="56"/>
  <c r="H183" i="56"/>
  <c r="H207" i="56"/>
  <c r="H79" i="56"/>
  <c r="H135" i="56"/>
  <c r="H255" i="56"/>
  <c r="H167" i="56"/>
  <c r="H199" i="56"/>
  <c r="H231" i="56"/>
  <c r="H71" i="56"/>
  <c r="H103" i="56"/>
  <c r="AF191" i="56"/>
  <c r="AF223" i="56"/>
  <c r="AF239" i="56"/>
  <c r="AF231" i="56"/>
  <c r="AF199" i="56"/>
  <c r="AF255" i="56"/>
  <c r="AF207" i="56"/>
  <c r="AF175" i="56"/>
  <c r="AF215" i="56"/>
  <c r="AF183" i="56"/>
  <c r="AF143" i="56"/>
  <c r="AF31" i="56"/>
  <c r="AF247" i="56"/>
  <c r="AF39" i="56"/>
  <c r="AF151" i="56"/>
  <c r="AF47" i="56"/>
  <c r="AF167" i="56"/>
  <c r="AF23" i="56"/>
  <c r="AF95" i="56"/>
  <c r="AF63" i="56"/>
  <c r="AF103" i="56"/>
  <c r="AF119" i="56"/>
  <c r="AF127" i="56"/>
  <c r="AF159" i="56"/>
  <c r="AF135" i="56"/>
  <c r="AF87" i="56"/>
  <c r="AF111" i="56"/>
  <c r="AF79" i="56"/>
  <c r="AF71" i="56"/>
  <c r="AF55" i="56"/>
  <c r="AF238" i="56"/>
  <c r="AF246" i="56"/>
  <c r="AF254" i="56"/>
  <c r="AF230" i="56"/>
  <c r="AF222" i="56"/>
  <c r="AF174" i="56"/>
  <c r="AF142" i="56"/>
  <c r="AF118" i="56"/>
  <c r="AF86" i="56"/>
  <c r="AF54" i="56"/>
  <c r="AF182" i="56"/>
  <c r="AF206" i="56"/>
  <c r="AF190" i="56"/>
  <c r="AF150" i="56"/>
  <c r="AF126" i="56"/>
  <c r="AF94" i="56"/>
  <c r="AF62" i="56"/>
  <c r="AF214" i="56"/>
  <c r="AF158" i="56"/>
  <c r="AF134" i="56"/>
  <c r="AF102" i="56"/>
  <c r="AF70" i="56"/>
  <c r="AF166" i="56"/>
  <c r="AF110" i="56"/>
  <c r="AF78" i="56"/>
  <c r="AF38" i="56"/>
  <c r="AF30" i="56"/>
  <c r="AF198" i="56"/>
  <c r="AF46" i="56"/>
  <c r="AF22" i="56"/>
  <c r="H174" i="56"/>
  <c r="H230" i="56"/>
  <c r="H102" i="56"/>
  <c r="H254" i="56"/>
  <c r="H142" i="56"/>
  <c r="H198" i="56"/>
  <c r="H70" i="56"/>
  <c r="H246" i="56"/>
  <c r="H222" i="56"/>
  <c r="H94" i="56"/>
  <c r="H238" i="56"/>
  <c r="H110" i="56"/>
  <c r="H166" i="56"/>
  <c r="H190" i="56"/>
  <c r="H62" i="56"/>
  <c r="H30" i="56"/>
  <c r="H214" i="56"/>
  <c r="H206" i="56"/>
  <c r="H78" i="56"/>
  <c r="H134" i="56"/>
  <c r="H158" i="56"/>
  <c r="H38" i="56"/>
  <c r="H126" i="56"/>
  <c r="H182" i="56"/>
  <c r="H54" i="56"/>
  <c r="H86" i="56"/>
  <c r="H118" i="56"/>
  <c r="H46" i="56"/>
  <c r="H22" i="56"/>
  <c r="H150" i="56"/>
  <c r="T246" i="56"/>
  <c r="T182" i="56"/>
  <c r="T254" i="56"/>
  <c r="T214" i="56"/>
  <c r="T230" i="56"/>
  <c r="T118" i="56"/>
  <c r="T238" i="56"/>
  <c r="T150" i="56"/>
  <c r="T222" i="56"/>
  <c r="T94" i="56"/>
  <c r="T46" i="56"/>
  <c r="T166" i="56"/>
  <c r="T38" i="56"/>
  <c r="T174" i="56"/>
  <c r="T126" i="56"/>
  <c r="T62" i="56"/>
  <c r="T198" i="56"/>
  <c r="T206" i="56"/>
  <c r="T110" i="56"/>
  <c r="T158" i="56"/>
  <c r="T78" i="56"/>
  <c r="T22" i="56"/>
  <c r="T102" i="56"/>
  <c r="T86" i="56"/>
  <c r="T54" i="56"/>
  <c r="T190" i="56"/>
  <c r="T30" i="56"/>
  <c r="T134" i="56"/>
  <c r="T142" i="56"/>
  <c r="T70" i="56"/>
  <c r="H129" i="56"/>
  <c r="H57" i="56"/>
  <c r="H25" i="56"/>
  <c r="H185" i="56"/>
  <c r="H209" i="56"/>
  <c r="H225" i="56"/>
  <c r="H97" i="56"/>
  <c r="H33" i="56"/>
  <c r="H153" i="56"/>
  <c r="H177" i="56"/>
  <c r="H193" i="56"/>
  <c r="H65" i="56"/>
  <c r="H41" i="56"/>
  <c r="H121" i="56"/>
  <c r="H145" i="56"/>
  <c r="H241" i="56"/>
  <c r="H161" i="56"/>
  <c r="H49" i="56"/>
  <c r="H17" i="56"/>
  <c r="H249" i="56"/>
  <c r="H217" i="56"/>
  <c r="H89" i="56"/>
  <c r="H113" i="56"/>
  <c r="H81" i="56"/>
  <c r="H169" i="56"/>
  <c r="H233" i="56"/>
  <c r="H201" i="56"/>
  <c r="H105" i="56"/>
  <c r="H73" i="56"/>
  <c r="H137" i="56"/>
  <c r="T193" i="56"/>
  <c r="T161" i="56"/>
  <c r="T129" i="56"/>
  <c r="T97" i="56"/>
  <c r="T233" i="56"/>
  <c r="T225" i="56"/>
  <c r="T201" i="56"/>
  <c r="T169" i="56"/>
  <c r="T137" i="56"/>
  <c r="T105" i="56"/>
  <c r="T249" i="56"/>
  <c r="T49" i="56"/>
  <c r="T209" i="56"/>
  <c r="T177" i="56"/>
  <c r="T145" i="56"/>
  <c r="T113" i="56"/>
  <c r="T65" i="56"/>
  <c r="T217" i="56"/>
  <c r="T185" i="56"/>
  <c r="T153" i="56"/>
  <c r="T121" i="56"/>
  <c r="T89" i="56"/>
  <c r="T81" i="56"/>
  <c r="T241" i="56"/>
  <c r="T33" i="56"/>
  <c r="T17" i="56"/>
  <c r="T41" i="56"/>
  <c r="T57" i="56"/>
  <c r="T73" i="56"/>
  <c r="T25" i="56"/>
  <c r="AF217" i="56"/>
  <c r="AF233" i="56"/>
  <c r="AF193" i="56"/>
  <c r="AF225" i="56"/>
  <c r="AF201" i="56"/>
  <c r="AF169" i="56"/>
  <c r="AF209" i="56"/>
  <c r="AF177" i="56"/>
  <c r="AF241" i="56"/>
  <c r="AF185" i="56"/>
  <c r="AF153" i="56"/>
  <c r="AF33" i="56"/>
  <c r="AF249" i="56"/>
  <c r="AF41" i="56"/>
  <c r="AF17" i="56"/>
  <c r="AF145" i="56"/>
  <c r="AF25" i="56"/>
  <c r="AF129" i="56"/>
  <c r="AF113" i="56"/>
  <c r="AF121" i="56"/>
  <c r="AF89" i="56"/>
  <c r="AF97" i="56"/>
  <c r="AF49" i="56"/>
  <c r="AF161" i="56"/>
  <c r="AF57" i="56"/>
  <c r="AF65" i="56"/>
  <c r="AF73" i="56"/>
  <c r="AF81" i="56"/>
  <c r="AF105" i="56"/>
  <c r="AF137" i="56"/>
  <c r="I242" i="56"/>
  <c r="I178" i="56"/>
  <c r="I234" i="56"/>
  <c r="I106" i="56"/>
  <c r="I58" i="56"/>
  <c r="I26" i="56"/>
  <c r="I250" i="56"/>
  <c r="I146" i="56"/>
  <c r="I202" i="56"/>
  <c r="I74" i="56"/>
  <c r="I34" i="56"/>
  <c r="I226" i="56"/>
  <c r="I98" i="56"/>
  <c r="I114" i="56"/>
  <c r="I170" i="56"/>
  <c r="I42" i="56"/>
  <c r="I194" i="56"/>
  <c r="I66" i="56"/>
  <c r="I218" i="56"/>
  <c r="I210" i="56"/>
  <c r="I82" i="56"/>
  <c r="I138" i="56"/>
  <c r="I50" i="56"/>
  <c r="I18" i="56"/>
  <c r="I162" i="56"/>
  <c r="I186" i="56"/>
  <c r="I122" i="56"/>
  <c r="I90" i="56"/>
  <c r="I130" i="56"/>
  <c r="I154" i="56"/>
  <c r="U202" i="56"/>
  <c r="U170" i="56"/>
  <c r="U138" i="56"/>
  <c r="U106" i="56"/>
  <c r="U74" i="56"/>
  <c r="U42" i="56"/>
  <c r="U26" i="56"/>
  <c r="U210" i="56"/>
  <c r="U178" i="56"/>
  <c r="U146" i="56"/>
  <c r="U114" i="56"/>
  <c r="U82" i="56"/>
  <c r="U50" i="56"/>
  <c r="U34" i="56"/>
  <c r="U250" i="56"/>
  <c r="U242" i="56"/>
  <c r="U218" i="56"/>
  <c r="U186" i="56"/>
  <c r="U154" i="56"/>
  <c r="U122" i="56"/>
  <c r="U90" i="56"/>
  <c r="U58" i="56"/>
  <c r="U234" i="56"/>
  <c r="U194" i="56"/>
  <c r="U162" i="56"/>
  <c r="U130" i="56"/>
  <c r="U98" i="56"/>
  <c r="U66" i="56"/>
  <c r="U18" i="56"/>
  <c r="U226" i="56"/>
  <c r="AG242" i="56"/>
  <c r="AG218" i="56"/>
  <c r="AG226" i="56"/>
  <c r="AG250" i="56"/>
  <c r="AG234" i="56"/>
  <c r="AG178" i="56"/>
  <c r="AG98" i="56"/>
  <c r="AG194" i="56"/>
  <c r="AG186" i="56"/>
  <c r="AG138" i="56"/>
  <c r="AG114" i="56"/>
  <c r="AG50" i="56"/>
  <c r="AG210" i="56"/>
  <c r="AG154" i="56"/>
  <c r="AG130" i="56"/>
  <c r="AG66" i="56"/>
  <c r="AG82" i="56"/>
  <c r="AG170" i="56"/>
  <c r="AG42" i="56"/>
  <c r="AG18" i="56"/>
  <c r="AG74" i="56"/>
  <c r="AG162" i="56"/>
  <c r="AG26" i="56"/>
  <c r="AG106" i="56"/>
  <c r="AG146" i="56"/>
  <c r="AG58" i="56"/>
  <c r="AG34" i="56"/>
  <c r="AG122" i="56"/>
  <c r="AG202" i="56"/>
  <c r="AG90" i="56"/>
  <c r="U235" i="56"/>
  <c r="U195" i="56"/>
  <c r="U163" i="56"/>
  <c r="U131" i="56"/>
  <c r="U99" i="56"/>
  <c r="U67" i="56"/>
  <c r="U227" i="56"/>
  <c r="U251" i="56"/>
  <c r="U203" i="56"/>
  <c r="U171" i="56"/>
  <c r="U139" i="56"/>
  <c r="U107" i="56"/>
  <c r="U75" i="56"/>
  <c r="U43" i="56"/>
  <c r="U211" i="56"/>
  <c r="U179" i="56"/>
  <c r="U147" i="56"/>
  <c r="U115" i="56"/>
  <c r="U83" i="56"/>
  <c r="U51" i="56"/>
  <c r="U219" i="56"/>
  <c r="U187" i="56"/>
  <c r="U155" i="56"/>
  <c r="U123" i="56"/>
  <c r="U91" i="56"/>
  <c r="U59" i="56"/>
  <c r="U27" i="56"/>
  <c r="U35" i="56"/>
  <c r="U243" i="56"/>
  <c r="U19" i="56"/>
  <c r="AG243" i="56"/>
  <c r="AG195" i="56"/>
  <c r="AG251" i="56"/>
  <c r="AG219" i="56"/>
  <c r="AG203" i="56"/>
  <c r="AG171" i="56"/>
  <c r="AG211" i="56"/>
  <c r="AG179" i="56"/>
  <c r="AG235" i="56"/>
  <c r="AG187" i="56"/>
  <c r="AG139" i="56"/>
  <c r="AG123" i="56"/>
  <c r="AG91" i="56"/>
  <c r="AG59" i="56"/>
  <c r="AG147" i="56"/>
  <c r="AG131" i="56"/>
  <c r="AG99" i="56"/>
  <c r="AG67" i="56"/>
  <c r="AG155" i="56"/>
  <c r="AG107" i="56"/>
  <c r="AG75" i="56"/>
  <c r="AG163" i="56"/>
  <c r="AG115" i="56"/>
  <c r="AG83" i="56"/>
  <c r="AG51" i="56"/>
  <c r="AG35" i="56"/>
  <c r="AG27" i="56"/>
  <c r="AG43" i="56"/>
  <c r="AG19" i="56"/>
  <c r="AG227" i="56"/>
  <c r="I251" i="56"/>
  <c r="I219" i="56"/>
  <c r="I187" i="56"/>
  <c r="I155" i="56"/>
  <c r="I123" i="56"/>
  <c r="I91" i="56"/>
  <c r="I227" i="56"/>
  <c r="I195" i="56"/>
  <c r="I163" i="56"/>
  <c r="I131" i="56"/>
  <c r="I99" i="56"/>
  <c r="I67" i="56"/>
  <c r="I235" i="56"/>
  <c r="I203" i="56"/>
  <c r="I171" i="56"/>
  <c r="I139" i="56"/>
  <c r="I107" i="56"/>
  <c r="I75" i="56"/>
  <c r="I243" i="56"/>
  <c r="I211" i="56"/>
  <c r="I179" i="56"/>
  <c r="I147" i="56"/>
  <c r="I115" i="56"/>
  <c r="I83" i="56"/>
  <c r="I19" i="56"/>
  <c r="I27" i="56"/>
  <c r="I35" i="56"/>
  <c r="I51" i="56"/>
  <c r="I59" i="56"/>
  <c r="I43" i="56"/>
  <c r="I232" i="56"/>
  <c r="I104" i="56"/>
  <c r="I160" i="56"/>
  <c r="I48" i="56"/>
  <c r="I16" i="56"/>
  <c r="I184" i="56"/>
  <c r="I240" i="56"/>
  <c r="I200" i="56"/>
  <c r="I72" i="56"/>
  <c r="I128" i="56"/>
  <c r="I56" i="56"/>
  <c r="I24" i="56"/>
  <c r="I152" i="56"/>
  <c r="I248" i="56"/>
  <c r="I168" i="56"/>
  <c r="I224" i="56"/>
  <c r="I96" i="56"/>
  <c r="I32" i="56"/>
  <c r="I120" i="56"/>
  <c r="I136" i="56"/>
  <c r="I192" i="56"/>
  <c r="I64" i="56"/>
  <c r="I40" i="56"/>
  <c r="I216" i="56"/>
  <c r="I88" i="56"/>
  <c r="I208" i="56"/>
  <c r="I144" i="56"/>
  <c r="I176" i="56"/>
  <c r="I80" i="56"/>
  <c r="I112" i="56"/>
  <c r="U240" i="56"/>
  <c r="U232" i="56"/>
  <c r="U192" i="56"/>
  <c r="U160" i="56"/>
  <c r="U128" i="56"/>
  <c r="U96" i="56"/>
  <c r="U64" i="56"/>
  <c r="U16" i="56"/>
  <c r="U224" i="56"/>
  <c r="U200" i="56"/>
  <c r="U168" i="56"/>
  <c r="U136" i="56"/>
  <c r="U104" i="56"/>
  <c r="U72" i="56"/>
  <c r="U40" i="56"/>
  <c r="U208" i="56"/>
  <c r="U176" i="56"/>
  <c r="U144" i="56"/>
  <c r="U112" i="56"/>
  <c r="U80" i="56"/>
  <c r="U48" i="56"/>
  <c r="U32" i="56"/>
  <c r="U216" i="56"/>
  <c r="U184" i="56"/>
  <c r="U152" i="56"/>
  <c r="U120" i="56"/>
  <c r="U88" i="56"/>
  <c r="U56" i="56"/>
  <c r="U24" i="56"/>
  <c r="U248" i="56"/>
  <c r="AG232" i="56"/>
  <c r="AG240" i="56"/>
  <c r="AG248" i="56"/>
  <c r="AG216" i="56"/>
  <c r="AG224" i="56"/>
  <c r="AG168" i="56"/>
  <c r="AG208" i="56"/>
  <c r="AG88" i="56"/>
  <c r="AG184" i="56"/>
  <c r="AG136" i="56"/>
  <c r="AG104" i="56"/>
  <c r="AG200" i="56"/>
  <c r="AG144" i="56"/>
  <c r="AG120" i="56"/>
  <c r="AG56" i="56"/>
  <c r="AG176" i="56"/>
  <c r="AG160" i="56"/>
  <c r="AG72" i="56"/>
  <c r="AG32" i="56"/>
  <c r="AG128" i="56"/>
  <c r="AG96" i="56"/>
  <c r="AG48" i="56"/>
  <c r="AG40" i="56"/>
  <c r="AG80" i="56"/>
  <c r="AG16" i="56"/>
  <c r="AG152" i="56"/>
  <c r="AG24" i="56"/>
  <c r="AG112" i="56"/>
  <c r="AG192" i="56"/>
  <c r="AG64" i="56"/>
  <c r="I241" i="56"/>
  <c r="I209" i="56"/>
  <c r="I177" i="56"/>
  <c r="I145" i="56"/>
  <c r="I113" i="56"/>
  <c r="I81" i="56"/>
  <c r="I249" i="56"/>
  <c r="I217" i="56"/>
  <c r="I185" i="56"/>
  <c r="I153" i="56"/>
  <c r="I121" i="56"/>
  <c r="I89" i="56"/>
  <c r="I225" i="56"/>
  <c r="I193" i="56"/>
  <c r="I161" i="56"/>
  <c r="I129" i="56"/>
  <c r="I97" i="56"/>
  <c r="I65" i="56"/>
  <c r="I233" i="56"/>
  <c r="I201" i="56"/>
  <c r="I169" i="56"/>
  <c r="I137" i="56"/>
  <c r="I105" i="56"/>
  <c r="I73" i="56"/>
  <c r="I33" i="56"/>
  <c r="I17" i="56"/>
  <c r="I25" i="56"/>
  <c r="I41" i="56"/>
  <c r="I49" i="56"/>
  <c r="I57" i="56"/>
  <c r="U217" i="56"/>
  <c r="U185" i="56"/>
  <c r="U153" i="56"/>
  <c r="U121" i="56"/>
  <c r="U89" i="56"/>
  <c r="U57" i="56"/>
  <c r="U193" i="56"/>
  <c r="U161" i="56"/>
  <c r="U129" i="56"/>
  <c r="U97" i="56"/>
  <c r="U65" i="56"/>
  <c r="U249" i="56"/>
  <c r="U225" i="56"/>
  <c r="U201" i="56"/>
  <c r="U169" i="56"/>
  <c r="U137" i="56"/>
  <c r="U105" i="56"/>
  <c r="U73" i="56"/>
  <c r="U41" i="56"/>
  <c r="U241" i="56"/>
  <c r="U233" i="56"/>
  <c r="U209" i="56"/>
  <c r="U177" i="56"/>
  <c r="U145" i="56"/>
  <c r="U113" i="56"/>
  <c r="U81" i="56"/>
  <c r="U49" i="56"/>
  <c r="U17" i="56"/>
  <c r="U25" i="56"/>
  <c r="U33" i="56"/>
  <c r="AG233" i="56"/>
  <c r="AG185" i="56"/>
  <c r="AG241" i="56"/>
  <c r="AG193" i="56"/>
  <c r="AG249" i="56"/>
  <c r="AG225" i="56"/>
  <c r="AG201" i="56"/>
  <c r="AG169" i="56"/>
  <c r="AG209" i="56"/>
  <c r="AG177" i="56"/>
  <c r="AG161" i="56"/>
  <c r="AG113" i="56"/>
  <c r="AG81" i="56"/>
  <c r="AG49" i="56"/>
  <c r="AG121" i="56"/>
  <c r="AG89" i="56"/>
  <c r="AG57" i="56"/>
  <c r="AG145" i="56"/>
  <c r="AG129" i="56"/>
  <c r="AG97" i="56"/>
  <c r="AG65" i="56"/>
  <c r="AG153" i="56"/>
  <c r="AG137" i="56"/>
  <c r="AG105" i="56"/>
  <c r="AG73" i="56"/>
  <c r="AG217" i="56"/>
  <c r="AG25" i="56"/>
  <c r="AG41" i="56"/>
  <c r="AG33" i="56"/>
  <c r="AG17" i="56"/>
  <c r="I239" i="56"/>
  <c r="I207" i="56"/>
  <c r="I175" i="56"/>
  <c r="I143" i="56"/>
  <c r="I111" i="56"/>
  <c r="I79" i="56"/>
  <c r="I247" i="56"/>
  <c r="I215" i="56"/>
  <c r="I183" i="56"/>
  <c r="I151" i="56"/>
  <c r="I119" i="56"/>
  <c r="I87" i="56"/>
  <c r="I255" i="56"/>
  <c r="I223" i="56"/>
  <c r="I191" i="56"/>
  <c r="I159" i="56"/>
  <c r="I127" i="56"/>
  <c r="I95" i="56"/>
  <c r="I63" i="56"/>
  <c r="I231" i="56"/>
  <c r="I199" i="56"/>
  <c r="I167" i="56"/>
  <c r="I135" i="56"/>
  <c r="I103" i="56"/>
  <c r="I71" i="56"/>
  <c r="I39" i="56"/>
  <c r="I47" i="56"/>
  <c r="I55" i="56"/>
  <c r="I31" i="56"/>
  <c r="I23" i="56"/>
  <c r="U255" i="56"/>
  <c r="U215" i="56"/>
  <c r="U183" i="56"/>
  <c r="U151" i="56"/>
  <c r="U119" i="56"/>
  <c r="U87" i="56"/>
  <c r="U55" i="56"/>
  <c r="U247" i="56"/>
  <c r="U223" i="56"/>
  <c r="U191" i="56"/>
  <c r="U159" i="56"/>
  <c r="U127" i="56"/>
  <c r="U95" i="56"/>
  <c r="U63" i="56"/>
  <c r="U239" i="56"/>
  <c r="U199" i="56"/>
  <c r="U167" i="56"/>
  <c r="U135" i="56"/>
  <c r="U103" i="56"/>
  <c r="U71" i="56"/>
  <c r="U39" i="56"/>
  <c r="U207" i="56"/>
  <c r="U175" i="56"/>
  <c r="U143" i="56"/>
  <c r="U111" i="56"/>
  <c r="U79" i="56"/>
  <c r="U47" i="56"/>
  <c r="U231" i="56"/>
  <c r="U23" i="56"/>
  <c r="U31" i="56"/>
  <c r="AG231" i="56"/>
  <c r="AG223" i="56"/>
  <c r="AG215" i="56"/>
  <c r="AG183" i="56"/>
  <c r="AG239" i="56"/>
  <c r="AG191" i="56"/>
  <c r="AG247" i="56"/>
  <c r="AG199" i="56"/>
  <c r="AG255" i="56"/>
  <c r="AG207" i="56"/>
  <c r="AG175" i="56"/>
  <c r="AG159" i="56"/>
  <c r="AG111" i="56"/>
  <c r="AG79" i="56"/>
  <c r="AG167" i="56"/>
  <c r="AG119" i="56"/>
  <c r="AG87" i="56"/>
  <c r="AG55" i="56"/>
  <c r="AG143" i="56"/>
  <c r="AG127" i="56"/>
  <c r="AG95" i="56"/>
  <c r="AG63" i="56"/>
  <c r="AG151" i="56"/>
  <c r="AG135" i="56"/>
  <c r="AG103" i="56"/>
  <c r="AG71" i="56"/>
  <c r="AG23" i="56"/>
  <c r="AG47" i="56"/>
  <c r="AG39" i="56"/>
  <c r="AG31" i="56"/>
  <c r="AG253" i="56"/>
  <c r="AG205" i="56"/>
  <c r="AG173" i="56"/>
  <c r="AG229" i="56"/>
  <c r="AG213" i="56"/>
  <c r="AG181" i="56"/>
  <c r="AG237" i="56"/>
  <c r="AG189" i="56"/>
  <c r="AG245" i="56"/>
  <c r="AG197" i="56"/>
  <c r="AG149" i="56"/>
  <c r="AG133" i="56"/>
  <c r="AG101" i="56"/>
  <c r="AG69" i="56"/>
  <c r="AG157" i="56"/>
  <c r="AG109" i="56"/>
  <c r="AG77" i="56"/>
  <c r="AG165" i="56"/>
  <c r="AG117" i="56"/>
  <c r="AG85" i="56"/>
  <c r="AG53" i="56"/>
  <c r="AG221" i="56"/>
  <c r="AG141" i="56"/>
  <c r="AG125" i="56"/>
  <c r="AG93" i="56"/>
  <c r="AG61" i="56"/>
  <c r="AG45" i="56"/>
  <c r="AG37" i="56"/>
  <c r="AG21" i="56"/>
  <c r="AG29" i="56"/>
  <c r="U205" i="56"/>
  <c r="U173" i="56"/>
  <c r="U141" i="56"/>
  <c r="U109" i="56"/>
  <c r="U77" i="56"/>
  <c r="U45" i="56"/>
  <c r="U213" i="56"/>
  <c r="U181" i="56"/>
  <c r="U149" i="56"/>
  <c r="U117" i="56"/>
  <c r="U85" i="56"/>
  <c r="U53" i="56"/>
  <c r="U253" i="56"/>
  <c r="U245" i="56"/>
  <c r="U221" i="56"/>
  <c r="U189" i="56"/>
  <c r="U157" i="56"/>
  <c r="U125" i="56"/>
  <c r="U93" i="56"/>
  <c r="U61" i="56"/>
  <c r="U237" i="56"/>
  <c r="U197" i="56"/>
  <c r="U165" i="56"/>
  <c r="U133" i="56"/>
  <c r="U101" i="56"/>
  <c r="U69" i="56"/>
  <c r="U37" i="56"/>
  <c r="U229" i="56"/>
  <c r="U21" i="56"/>
  <c r="U29" i="56"/>
  <c r="I229" i="56"/>
  <c r="I197" i="56"/>
  <c r="I165" i="56"/>
  <c r="I133" i="56"/>
  <c r="I101" i="56"/>
  <c r="I69" i="56"/>
  <c r="I237" i="56"/>
  <c r="I205" i="56"/>
  <c r="I173" i="56"/>
  <c r="I141" i="56"/>
  <c r="I109" i="56"/>
  <c r="I77" i="56"/>
  <c r="I245" i="56"/>
  <c r="I213" i="56"/>
  <c r="I181" i="56"/>
  <c r="I149" i="56"/>
  <c r="I117" i="56"/>
  <c r="I85" i="56"/>
  <c r="I253" i="56"/>
  <c r="I221" i="56"/>
  <c r="I189" i="56"/>
  <c r="I157" i="56"/>
  <c r="I125" i="56"/>
  <c r="I93" i="56"/>
  <c r="I61" i="56"/>
  <c r="I29" i="56"/>
  <c r="I37" i="56"/>
  <c r="I45" i="56"/>
  <c r="I53" i="56"/>
  <c r="I21" i="56"/>
  <c r="I198" i="56"/>
  <c r="I70" i="56"/>
  <c r="I126" i="56"/>
  <c r="I46" i="56"/>
  <c r="I150" i="56"/>
  <c r="I166" i="56"/>
  <c r="I222" i="56"/>
  <c r="I94" i="56"/>
  <c r="I54" i="56"/>
  <c r="I22" i="56"/>
  <c r="I118" i="56"/>
  <c r="I246" i="56"/>
  <c r="I134" i="56"/>
  <c r="I190" i="56"/>
  <c r="I62" i="56"/>
  <c r="I30" i="56"/>
  <c r="I214" i="56"/>
  <c r="I86" i="56"/>
  <c r="I110" i="56"/>
  <c r="I254" i="56"/>
  <c r="I230" i="56"/>
  <c r="I102" i="56"/>
  <c r="I158" i="56"/>
  <c r="I38" i="56"/>
  <c r="I182" i="56"/>
  <c r="I78" i="56"/>
  <c r="I142" i="56"/>
  <c r="I174" i="56"/>
  <c r="I238" i="56"/>
  <c r="I206" i="56"/>
  <c r="U222" i="56"/>
  <c r="U190" i="56"/>
  <c r="U158" i="56"/>
  <c r="U126" i="56"/>
  <c r="U94" i="56"/>
  <c r="U62" i="56"/>
  <c r="U198" i="56"/>
  <c r="U166" i="56"/>
  <c r="U134" i="56"/>
  <c r="U102" i="56"/>
  <c r="U70" i="56"/>
  <c r="U206" i="56"/>
  <c r="U174" i="56"/>
  <c r="U142" i="56"/>
  <c r="U110" i="56"/>
  <c r="U78" i="56"/>
  <c r="U46" i="56"/>
  <c r="U30" i="56"/>
  <c r="U238" i="56"/>
  <c r="U230" i="56"/>
  <c r="U254" i="56"/>
  <c r="U214" i="56"/>
  <c r="U182" i="56"/>
  <c r="U150" i="56"/>
  <c r="U118" i="56"/>
  <c r="U86" i="56"/>
  <c r="U54" i="56"/>
  <c r="U38" i="56"/>
  <c r="U22" i="56"/>
  <c r="U246" i="56"/>
  <c r="AG246" i="56"/>
  <c r="AG254" i="56"/>
  <c r="AG238" i="56"/>
  <c r="AG230" i="56"/>
  <c r="AG222" i="56"/>
  <c r="AG198" i="56"/>
  <c r="AG174" i="56"/>
  <c r="AG142" i="56"/>
  <c r="AG118" i="56"/>
  <c r="AG54" i="56"/>
  <c r="AG214" i="56"/>
  <c r="AG206" i="56"/>
  <c r="AG158" i="56"/>
  <c r="AG134" i="56"/>
  <c r="AG70" i="56"/>
  <c r="AG86" i="56"/>
  <c r="AG182" i="56"/>
  <c r="AG102" i="56"/>
  <c r="AG150" i="56"/>
  <c r="AG30" i="56"/>
  <c r="AG62" i="56"/>
  <c r="AG38" i="56"/>
  <c r="AG94" i="56"/>
  <c r="AG190" i="56"/>
  <c r="AG46" i="56"/>
  <c r="AG126" i="56"/>
  <c r="AG78" i="56"/>
  <c r="AG22" i="56"/>
  <c r="AG166" i="56"/>
  <c r="AG110" i="56"/>
  <c r="U252" i="56"/>
  <c r="U212" i="56"/>
  <c r="U180" i="56"/>
  <c r="U148" i="56"/>
  <c r="U116" i="56"/>
  <c r="U84" i="56"/>
  <c r="U52" i="56"/>
  <c r="U36" i="56"/>
  <c r="U228" i="56"/>
  <c r="U244" i="56"/>
  <c r="U220" i="56"/>
  <c r="U188" i="56"/>
  <c r="U156" i="56"/>
  <c r="U124" i="56"/>
  <c r="U92" i="56"/>
  <c r="U60" i="56"/>
  <c r="U196" i="56"/>
  <c r="U164" i="56"/>
  <c r="U132" i="56"/>
  <c r="U100" i="56"/>
  <c r="U68" i="56"/>
  <c r="U20" i="56"/>
  <c r="U204" i="56"/>
  <c r="U172" i="56"/>
  <c r="U140" i="56"/>
  <c r="U108" i="56"/>
  <c r="U76" i="56"/>
  <c r="U44" i="56"/>
  <c r="U28" i="56"/>
  <c r="U236" i="56"/>
  <c r="AG236" i="56"/>
  <c r="AG220" i="56"/>
  <c r="AG228" i="56"/>
  <c r="AG244" i="56"/>
  <c r="AG252" i="56"/>
  <c r="AG188" i="56"/>
  <c r="AG108" i="56"/>
  <c r="AG204" i="56"/>
  <c r="AG148" i="56"/>
  <c r="AG124" i="56"/>
  <c r="AG60" i="56"/>
  <c r="AG164" i="56"/>
  <c r="AG76" i="56"/>
  <c r="AG172" i="56"/>
  <c r="AG196" i="56"/>
  <c r="AG92" i="56"/>
  <c r="AG180" i="56"/>
  <c r="AG20" i="56"/>
  <c r="AG68" i="56"/>
  <c r="AG28" i="56"/>
  <c r="AG100" i="56"/>
  <c r="AG36" i="56"/>
  <c r="AG116" i="56"/>
  <c r="AG52" i="56"/>
  <c r="AG156" i="56"/>
  <c r="AG140" i="56"/>
  <c r="AG44" i="56"/>
  <c r="AG132" i="56"/>
  <c r="AG84" i="56"/>
  <c r="AG212" i="56"/>
  <c r="I252" i="56"/>
  <c r="I124" i="56"/>
  <c r="I180" i="56"/>
  <c r="I36" i="56"/>
  <c r="I204" i="56"/>
  <c r="I220" i="56"/>
  <c r="I92" i="56"/>
  <c r="I148" i="56"/>
  <c r="I44" i="56"/>
  <c r="I172" i="56"/>
  <c r="I188" i="56"/>
  <c r="I116" i="56"/>
  <c r="I52" i="56"/>
  <c r="I20" i="56"/>
  <c r="I140" i="56"/>
  <c r="I244" i="56"/>
  <c r="I156" i="56"/>
  <c r="I212" i="56"/>
  <c r="I84" i="56"/>
  <c r="I60" i="56"/>
  <c r="I28" i="56"/>
  <c r="I236" i="56"/>
  <c r="I108" i="56"/>
  <c r="I228" i="56"/>
  <c r="I100" i="56"/>
  <c r="I132" i="56"/>
  <c r="I68" i="56"/>
  <c r="I76" i="56"/>
  <c r="I164" i="56"/>
  <c r="I196" i="56"/>
  <c r="BT35" i="1"/>
  <c r="BT29" i="1"/>
  <c r="BU29" i="1"/>
  <c r="BV29" i="1"/>
  <c r="BW31" i="1"/>
  <c r="BX31" i="1"/>
  <c r="BV14" i="1"/>
  <c r="BU20" i="1"/>
  <c r="BU19" i="1"/>
  <c r="BV19" i="1"/>
  <c r="BV23" i="1"/>
  <c r="BX15" i="1"/>
  <c r="BU14" i="1"/>
  <c r="BU24" i="1"/>
  <c r="BW15" i="1"/>
  <c r="BW24" i="1"/>
  <c r="BU16" i="1"/>
  <c r="BX22" i="1"/>
  <c r="BX20" i="1"/>
  <c r="BX24" i="1"/>
  <c r="BW13" i="1"/>
  <c r="BV15" i="1"/>
  <c r="BU15" i="1"/>
  <c r="BV16" i="1"/>
  <c r="BW23" i="1"/>
  <c r="BV22" i="1"/>
  <c r="BX19" i="1"/>
  <c r="BX16" i="1"/>
  <c r="BU13" i="1"/>
  <c r="BW14" i="1"/>
  <c r="BW18" i="1"/>
  <c r="BW17" i="1"/>
  <c r="BX18" i="1"/>
  <c r="BU23" i="1"/>
  <c r="BU17" i="1"/>
  <c r="BU22" i="1"/>
  <c r="BV13" i="1"/>
  <c r="BW19" i="1"/>
  <c r="BV18" i="1"/>
  <c r="BW22" i="1"/>
  <c r="BW20" i="1"/>
  <c r="BV20" i="1"/>
  <c r="BX23" i="1"/>
  <c r="BX17" i="1"/>
  <c r="BW16" i="1"/>
  <c r="BU18" i="1"/>
  <c r="BV17" i="1"/>
  <c r="BX14" i="1"/>
  <c r="BV24" i="1"/>
  <c r="BX13" i="1"/>
  <c r="BX21" i="1"/>
  <c r="BV21" i="1"/>
  <c r="BT21" i="1"/>
  <c r="BW21" i="1"/>
  <c r="BU21" i="1"/>
  <c r="BV33" i="1"/>
  <c r="BT30" i="1"/>
  <c r="BT23" i="1"/>
  <c r="BT28" i="1"/>
  <c r="BV34" i="1"/>
  <c r="BU33" i="1"/>
  <c r="BT31" i="1"/>
  <c r="BV32" i="1"/>
  <c r="BT16" i="1"/>
  <c r="BT34" i="1"/>
  <c r="BU35" i="1"/>
  <c r="BT13" i="1"/>
  <c r="BT14" i="1"/>
  <c r="BU31" i="1"/>
  <c r="BV28" i="1"/>
  <c r="BT32" i="1"/>
  <c r="BT19" i="1"/>
  <c r="BT18" i="1"/>
  <c r="BU34" i="1"/>
  <c r="BV35" i="1"/>
  <c r="BT17" i="1"/>
  <c r="BT15" i="1"/>
  <c r="BT33" i="1"/>
  <c r="BV31" i="1"/>
  <c r="BT24" i="1"/>
  <c r="BV30" i="1"/>
  <c r="BU30" i="1"/>
  <c r="BT22" i="1"/>
  <c r="BT20" i="1"/>
  <c r="BU28" i="1"/>
  <c r="BU32" i="1"/>
  <c r="C12" i="49"/>
  <c r="C14" i="49" s="1"/>
  <c r="AR13" i="1"/>
  <c r="AR32" i="1"/>
  <c r="AR35" i="1"/>
  <c r="AR14" i="1"/>
  <c r="AR34" i="1"/>
  <c r="AR31" i="1"/>
  <c r="AR24" i="1"/>
  <c r="AR21" i="1"/>
  <c r="AR22" i="1"/>
  <c r="AR20" i="1"/>
  <c r="AR29" i="1"/>
  <c r="AR17" i="1"/>
  <c r="AR15" i="1"/>
  <c r="AR33" i="1"/>
  <c r="AR30" i="1"/>
  <c r="AR19" i="1"/>
  <c r="AR16" i="1"/>
  <c r="AR23" i="1"/>
  <c r="AR28" i="1"/>
  <c r="AR18" i="1"/>
  <c r="BQ31" i="1"/>
  <c r="BR31" i="1"/>
  <c r="BQ30" i="1"/>
  <c r="CH30" i="1" s="1"/>
  <c r="BQ34" i="1"/>
  <c r="CH34" i="1" s="1"/>
  <c r="BR33" i="1"/>
  <c r="CI33" i="1" s="1"/>
  <c r="BQ29" i="1"/>
  <c r="CH29" i="1" s="1"/>
  <c r="BR30" i="1"/>
  <c r="CI30" i="1" s="1"/>
  <c r="BR29" i="1"/>
  <c r="CI29" i="1" s="1"/>
  <c r="BN37" i="1"/>
  <c r="CE37" i="1" s="1"/>
  <c r="BO38" i="1"/>
  <c r="CF38" i="1" s="1"/>
  <c r="BR32" i="1"/>
  <c r="CI32" i="1" s="1"/>
  <c r="BQ28" i="1"/>
  <c r="CH28" i="1" s="1"/>
  <c r="BQ32" i="1"/>
  <c r="CH32" i="1" s="1"/>
  <c r="BQ33" i="1"/>
  <c r="CH33" i="1" s="1"/>
  <c r="BN36" i="1"/>
  <c r="CE36" i="1" s="1"/>
  <c r="BO37" i="1"/>
  <c r="CF37" i="1" s="1"/>
  <c r="BP38" i="1"/>
  <c r="CG38" i="1" s="1"/>
  <c r="BN38" i="1"/>
  <c r="CE38" i="1" s="1"/>
  <c r="BQ35" i="1"/>
  <c r="CH35" i="1" s="1"/>
  <c r="BQ36" i="1"/>
  <c r="CH36" i="1" s="1"/>
  <c r="BR37" i="1"/>
  <c r="CI37" i="1" s="1"/>
  <c r="BR34" i="1"/>
  <c r="CI34" i="1" s="1"/>
  <c r="BR28" i="1"/>
  <c r="CI28" i="1" s="1"/>
  <c r="BR35" i="1"/>
  <c r="CI35" i="1" s="1"/>
  <c r="BR36" i="1"/>
  <c r="CI36" i="1" s="1"/>
  <c r="BO36" i="1"/>
  <c r="CF36" i="1" s="1"/>
  <c r="BP37" i="1"/>
  <c r="CG37" i="1" s="1"/>
  <c r="BQ38" i="1"/>
  <c r="CH38" i="1" s="1"/>
  <c r="BP36" i="1"/>
  <c r="CG36" i="1" s="1"/>
  <c r="BQ37" i="1"/>
  <c r="CH37" i="1" s="1"/>
  <c r="BR38" i="1"/>
  <c r="CI38" i="1" s="1"/>
  <c r="BN24" i="1"/>
  <c r="BN14" i="1"/>
  <c r="BP13" i="1"/>
  <c r="BN20" i="1"/>
  <c r="BN21" i="1"/>
  <c r="BN19" i="1"/>
  <c r="BP14" i="1"/>
  <c r="BP22" i="1"/>
  <c r="BN16" i="1"/>
  <c r="BN23" i="1"/>
  <c r="BO14" i="1"/>
  <c r="BP17" i="1"/>
  <c r="BP18" i="1"/>
  <c r="BO15" i="1"/>
  <c r="BP20" i="1"/>
  <c r="BO18" i="1"/>
  <c r="BO22" i="1"/>
  <c r="BO19" i="1"/>
  <c r="BO13" i="1"/>
  <c r="BO20" i="1"/>
  <c r="BP16" i="1"/>
  <c r="BO17" i="1"/>
  <c r="BN15" i="1"/>
  <c r="BP19" i="1"/>
  <c r="BP15" i="1"/>
  <c r="BP24" i="1"/>
  <c r="BN22" i="1"/>
  <c r="BO24" i="1"/>
  <c r="BP23" i="1"/>
  <c r="BN13" i="1"/>
  <c r="BN18" i="1"/>
  <c r="BO16" i="1"/>
  <c r="BP21" i="1"/>
  <c r="BO21" i="1"/>
  <c r="BO23" i="1"/>
  <c r="BN17" i="1"/>
  <c r="D29" i="5"/>
  <c r="E29" i="5" s="1"/>
  <c r="D25" i="5"/>
  <c r="E25" i="5" s="1"/>
  <c r="D21" i="5"/>
  <c r="E21" i="5" s="1"/>
  <c r="D15" i="5"/>
  <c r="E15" i="5" s="1"/>
  <c r="D28" i="5"/>
  <c r="E28" i="5" s="1"/>
  <c r="D24" i="5"/>
  <c r="E24" i="5" s="1"/>
  <c r="D20" i="5"/>
  <c r="E20" i="5" s="1"/>
  <c r="D17" i="5"/>
  <c r="E17" i="5" s="1"/>
  <c r="D31" i="5"/>
  <c r="E31" i="5" s="1"/>
  <c r="D27" i="5"/>
  <c r="E27" i="5" s="1"/>
  <c r="D23" i="5"/>
  <c r="E23" i="5" s="1"/>
  <c r="D19" i="5"/>
  <c r="E19" i="5" s="1"/>
  <c r="D16" i="5"/>
  <c r="E16" i="5" s="1"/>
  <c r="D30" i="5"/>
  <c r="E30" i="5" s="1"/>
  <c r="D26" i="5"/>
  <c r="E26" i="5" s="1"/>
  <c r="D22" i="5"/>
  <c r="E22" i="5" s="1"/>
  <c r="D18" i="5"/>
  <c r="E18" i="5" s="1"/>
  <c r="D14" i="5"/>
  <c r="E61" i="5"/>
  <c r="E60" i="5"/>
  <c r="E58" i="5"/>
  <c r="E59" i="5"/>
  <c r="AD32" i="1"/>
  <c r="AD30" i="1"/>
  <c r="AD23" i="1"/>
  <c r="AD17" i="1"/>
  <c r="AD16" i="1"/>
  <c r="AD15" i="1"/>
  <c r="AD35" i="1"/>
  <c r="AD22" i="1"/>
  <c r="AD20" i="1"/>
  <c r="AD19" i="1"/>
  <c r="AD18" i="1"/>
  <c r="AD13" i="1"/>
  <c r="AD31" i="1"/>
  <c r="AD29" i="1"/>
  <c r="AD33" i="1"/>
  <c r="AD34" i="1"/>
  <c r="AD28" i="1"/>
  <c r="AD24" i="1"/>
  <c r="AD21" i="1"/>
  <c r="AD14" i="1"/>
  <c r="AP137" i="56" l="1"/>
  <c r="AQ137" i="56"/>
  <c r="AP105" i="56"/>
  <c r="AQ105" i="56"/>
  <c r="AP81" i="56"/>
  <c r="AQ81" i="56"/>
  <c r="AP73" i="56"/>
  <c r="AQ73" i="56"/>
  <c r="AP65" i="56"/>
  <c r="AQ65" i="56"/>
  <c r="AP57" i="56"/>
  <c r="AQ57" i="56"/>
  <c r="AP161" i="56"/>
  <c r="AQ161" i="56"/>
  <c r="AP49" i="56"/>
  <c r="AQ49" i="56"/>
  <c r="AP97" i="56"/>
  <c r="AQ97" i="56"/>
  <c r="AP89" i="56"/>
  <c r="AQ89" i="56"/>
  <c r="AP121" i="56"/>
  <c r="AQ121" i="56"/>
  <c r="AP113" i="56"/>
  <c r="AQ113" i="56"/>
  <c r="AP129" i="56"/>
  <c r="AQ129" i="56"/>
  <c r="AP25" i="56"/>
  <c r="AQ25" i="56"/>
  <c r="AP145" i="56"/>
  <c r="AQ145" i="56"/>
  <c r="AP17" i="56"/>
  <c r="AQ17" i="56"/>
  <c r="AP41" i="56"/>
  <c r="AQ41" i="56"/>
  <c r="AP249" i="56"/>
  <c r="AQ249" i="56"/>
  <c r="AP33" i="56"/>
  <c r="AQ33" i="56"/>
  <c r="AP153" i="56"/>
  <c r="AQ153" i="56"/>
  <c r="AP185" i="56"/>
  <c r="AQ185" i="56"/>
  <c r="AP241" i="56"/>
  <c r="AQ241" i="56"/>
  <c r="AP177" i="56"/>
  <c r="AQ177" i="56"/>
  <c r="AP209" i="56"/>
  <c r="AQ209" i="56"/>
  <c r="AP169" i="56"/>
  <c r="AQ169" i="56"/>
  <c r="AP201" i="56"/>
  <c r="AQ201" i="56"/>
  <c r="AP225" i="56"/>
  <c r="AQ225" i="56"/>
  <c r="AP193" i="56"/>
  <c r="AQ193" i="56"/>
  <c r="AP233" i="56"/>
  <c r="AQ233" i="56"/>
  <c r="AP217" i="56"/>
  <c r="AQ217" i="56"/>
  <c r="AP22" i="56"/>
  <c r="AQ22" i="56"/>
  <c r="AP46" i="56"/>
  <c r="AQ46" i="56"/>
  <c r="AP198" i="56"/>
  <c r="AQ198" i="56"/>
  <c r="AP30" i="56"/>
  <c r="AQ30" i="56"/>
  <c r="AP38" i="56"/>
  <c r="AQ38" i="56"/>
  <c r="AP78" i="56"/>
  <c r="AQ78" i="56"/>
  <c r="AP110" i="56"/>
  <c r="AQ110" i="56"/>
  <c r="AP166" i="56"/>
  <c r="AQ166" i="56"/>
  <c r="AP70" i="56"/>
  <c r="AQ70" i="56"/>
  <c r="AP102" i="56"/>
  <c r="AQ102" i="56"/>
  <c r="AP134" i="56"/>
  <c r="AQ134" i="56"/>
  <c r="AP158" i="56"/>
  <c r="AQ158" i="56"/>
  <c r="AP214" i="56"/>
  <c r="AQ214" i="56"/>
  <c r="AP62" i="56"/>
  <c r="AQ62" i="56"/>
  <c r="AP94" i="56"/>
  <c r="AQ94" i="56"/>
  <c r="AP126" i="56"/>
  <c r="AQ126" i="56"/>
  <c r="AP150" i="56"/>
  <c r="AQ150" i="56"/>
  <c r="AP190" i="56"/>
  <c r="AQ190" i="56"/>
  <c r="AP206" i="56"/>
  <c r="AQ206" i="56"/>
  <c r="AP182" i="56"/>
  <c r="AQ182" i="56"/>
  <c r="AP54" i="56"/>
  <c r="AQ54" i="56"/>
  <c r="AP86" i="56"/>
  <c r="AQ86" i="56"/>
  <c r="AP118" i="56"/>
  <c r="AQ118" i="56"/>
  <c r="AP142" i="56"/>
  <c r="AQ142" i="56"/>
  <c r="AP174" i="56"/>
  <c r="AQ174" i="56"/>
  <c r="AP222" i="56"/>
  <c r="AQ222" i="56"/>
  <c r="AP230" i="56"/>
  <c r="AQ230" i="56"/>
  <c r="AP254" i="56"/>
  <c r="AQ254" i="56"/>
  <c r="AP246" i="56"/>
  <c r="AQ246" i="56"/>
  <c r="AP238" i="56"/>
  <c r="AQ238" i="56"/>
  <c r="AP55" i="56"/>
  <c r="AQ55" i="56"/>
  <c r="AP71" i="56"/>
  <c r="AQ71" i="56"/>
  <c r="AP79" i="56"/>
  <c r="AQ79" i="56"/>
  <c r="AP111" i="56"/>
  <c r="AQ111" i="56"/>
  <c r="AP87" i="56"/>
  <c r="AQ87" i="56"/>
  <c r="AP135" i="56"/>
  <c r="AQ135" i="56"/>
  <c r="AP159" i="56"/>
  <c r="AQ159" i="56"/>
  <c r="AP127" i="56"/>
  <c r="AQ127" i="56"/>
  <c r="AP119" i="56"/>
  <c r="AQ119" i="56"/>
  <c r="AP103" i="56"/>
  <c r="AQ103" i="56"/>
  <c r="AP63" i="56"/>
  <c r="AQ63" i="56"/>
  <c r="AP95" i="56"/>
  <c r="AQ95" i="56"/>
  <c r="AP23" i="56"/>
  <c r="AQ23" i="56"/>
  <c r="AP167" i="56"/>
  <c r="AQ167" i="56"/>
  <c r="AP47" i="56"/>
  <c r="AQ47" i="56"/>
  <c r="AP151" i="56"/>
  <c r="AQ151" i="56"/>
  <c r="AP39" i="56"/>
  <c r="AQ39" i="56"/>
  <c r="AP247" i="56"/>
  <c r="AQ247" i="56"/>
  <c r="AP31" i="56"/>
  <c r="AQ31" i="56"/>
  <c r="AP143" i="56"/>
  <c r="AQ143" i="56"/>
  <c r="AP183" i="56"/>
  <c r="AQ183" i="56"/>
  <c r="AP215" i="56"/>
  <c r="AQ215" i="56"/>
  <c r="AP175" i="56"/>
  <c r="AQ175" i="56"/>
  <c r="AP207" i="56"/>
  <c r="AQ207" i="56"/>
  <c r="AP255" i="56"/>
  <c r="AQ255" i="56"/>
  <c r="AP199" i="56"/>
  <c r="AQ199" i="56"/>
  <c r="AP231" i="56"/>
  <c r="AQ231" i="56"/>
  <c r="AP239" i="56"/>
  <c r="AQ239" i="56"/>
  <c r="AP223" i="56"/>
  <c r="AQ223" i="56"/>
  <c r="AP191" i="56"/>
  <c r="AQ191" i="56"/>
  <c r="AP36" i="56"/>
  <c r="AQ36" i="56"/>
  <c r="AP20" i="56"/>
  <c r="AQ20" i="56"/>
  <c r="AP188" i="56"/>
  <c r="AQ188" i="56"/>
  <c r="AP44" i="56"/>
  <c r="AQ44" i="56"/>
  <c r="AP28" i="56"/>
  <c r="AQ28" i="56"/>
  <c r="AP204" i="56"/>
  <c r="AQ204" i="56"/>
  <c r="AP68" i="56"/>
  <c r="AQ68" i="56"/>
  <c r="AP100" i="56"/>
  <c r="AQ100" i="56"/>
  <c r="AP132" i="56"/>
  <c r="AQ132" i="56"/>
  <c r="AP156" i="56"/>
  <c r="AQ156" i="56"/>
  <c r="AP172" i="56"/>
  <c r="AQ172" i="56"/>
  <c r="AP220" i="56"/>
  <c r="AQ220" i="56"/>
  <c r="AP60" i="56"/>
  <c r="AQ60" i="56"/>
  <c r="AP92" i="56"/>
  <c r="AQ92" i="56"/>
  <c r="AP124" i="56"/>
  <c r="AQ124" i="56"/>
  <c r="AP148" i="56"/>
  <c r="AQ148" i="56"/>
  <c r="AP196" i="56"/>
  <c r="AQ196" i="56"/>
  <c r="AP52" i="56"/>
  <c r="AQ52" i="56"/>
  <c r="AP84" i="56"/>
  <c r="AQ84" i="56"/>
  <c r="AP116" i="56"/>
  <c r="AQ116" i="56"/>
  <c r="AP140" i="56"/>
  <c r="AQ140" i="56"/>
  <c r="AP180" i="56"/>
  <c r="AQ180" i="56"/>
  <c r="AP76" i="56"/>
  <c r="AQ76" i="56"/>
  <c r="AP108" i="56"/>
  <c r="AQ108" i="56"/>
  <c r="AP164" i="56"/>
  <c r="AQ164" i="56"/>
  <c r="AP252" i="56"/>
  <c r="AQ252" i="56"/>
  <c r="AP212" i="56"/>
  <c r="AQ212" i="56"/>
  <c r="AP244" i="56"/>
  <c r="AQ244" i="56"/>
  <c r="AP236" i="56"/>
  <c r="AQ236" i="56"/>
  <c r="AP228" i="56"/>
  <c r="AQ228" i="56"/>
  <c r="AP26" i="56"/>
  <c r="AQ26" i="56"/>
  <c r="AP34" i="56"/>
  <c r="AQ34" i="56"/>
  <c r="AP178" i="56"/>
  <c r="AQ178" i="56"/>
  <c r="AP18" i="56"/>
  <c r="AQ18" i="56"/>
  <c r="AP42" i="56"/>
  <c r="AQ42" i="56"/>
  <c r="AP58" i="56"/>
  <c r="AQ58" i="56"/>
  <c r="AP90" i="56"/>
  <c r="AQ90" i="56"/>
  <c r="AP122" i="56"/>
  <c r="AQ122" i="56"/>
  <c r="AP146" i="56"/>
  <c r="AQ146" i="56"/>
  <c r="AP50" i="56"/>
  <c r="AQ50" i="56"/>
  <c r="AP82" i="56"/>
  <c r="AQ82" i="56"/>
  <c r="AP114" i="56"/>
  <c r="AQ114" i="56"/>
  <c r="AP138" i="56"/>
  <c r="AQ138" i="56"/>
  <c r="AP186" i="56"/>
  <c r="AQ186" i="56"/>
  <c r="AP194" i="56"/>
  <c r="AQ194" i="56"/>
  <c r="AP74" i="56"/>
  <c r="AQ74" i="56"/>
  <c r="AP106" i="56"/>
  <c r="AQ106" i="56"/>
  <c r="AP162" i="56"/>
  <c r="AQ162" i="56"/>
  <c r="AP170" i="56"/>
  <c r="AQ170" i="56"/>
  <c r="AP210" i="56"/>
  <c r="AQ210" i="56"/>
  <c r="AP66" i="56"/>
  <c r="AQ66" i="56"/>
  <c r="AP98" i="56"/>
  <c r="AQ98" i="56"/>
  <c r="AP130" i="56"/>
  <c r="AQ130" i="56"/>
  <c r="AP154" i="56"/>
  <c r="AQ154" i="56"/>
  <c r="AP242" i="56"/>
  <c r="AQ242" i="56"/>
  <c r="AP202" i="56"/>
  <c r="AQ202" i="56"/>
  <c r="AP226" i="56"/>
  <c r="AQ226" i="56"/>
  <c r="AP234" i="56"/>
  <c r="AQ234" i="56"/>
  <c r="AP218" i="56"/>
  <c r="AQ218" i="56"/>
  <c r="AP250" i="56"/>
  <c r="AQ250" i="56"/>
  <c r="AP99" i="56"/>
  <c r="AQ99" i="56"/>
  <c r="AP51" i="56"/>
  <c r="AQ51" i="56"/>
  <c r="AP123" i="56"/>
  <c r="AQ123" i="56"/>
  <c r="AP139" i="56"/>
  <c r="AQ139" i="56"/>
  <c r="AP67" i="56"/>
  <c r="AQ67" i="56"/>
  <c r="AP115" i="56"/>
  <c r="AQ115" i="56"/>
  <c r="AP131" i="56"/>
  <c r="AQ131" i="56"/>
  <c r="AP59" i="56"/>
  <c r="AQ59" i="56"/>
  <c r="AP91" i="56"/>
  <c r="AQ91" i="56"/>
  <c r="AP83" i="56"/>
  <c r="AQ83" i="56"/>
  <c r="AP107" i="56"/>
  <c r="AQ107" i="56"/>
  <c r="AP75" i="56"/>
  <c r="AQ75" i="56"/>
  <c r="AP35" i="56"/>
  <c r="AQ35" i="56"/>
  <c r="AP147" i="56"/>
  <c r="AQ147" i="56"/>
  <c r="AP27" i="56"/>
  <c r="AQ27" i="56"/>
  <c r="AP19" i="56"/>
  <c r="AQ19" i="56"/>
  <c r="AP155" i="56"/>
  <c r="AQ155" i="56"/>
  <c r="AP43" i="56"/>
  <c r="AQ43" i="56"/>
  <c r="AP163" i="56"/>
  <c r="AQ163" i="56"/>
  <c r="AP195" i="56"/>
  <c r="AQ195" i="56"/>
  <c r="AP251" i="56"/>
  <c r="AQ251" i="56"/>
  <c r="AP219" i="56"/>
  <c r="AQ219" i="56"/>
  <c r="AP187" i="56"/>
  <c r="AQ187" i="56"/>
  <c r="AP243" i="56"/>
  <c r="AQ243" i="56"/>
  <c r="AP235" i="56"/>
  <c r="AQ235" i="56"/>
  <c r="AP179" i="56"/>
  <c r="AQ179" i="56"/>
  <c r="AP211" i="56"/>
  <c r="AQ211" i="56"/>
  <c r="AP171" i="56"/>
  <c r="AQ171" i="56"/>
  <c r="AP203" i="56"/>
  <c r="AQ203" i="56"/>
  <c r="AP227" i="56"/>
  <c r="AQ227" i="56"/>
  <c r="AP16" i="56"/>
  <c r="AQ16" i="56"/>
  <c r="AP40" i="56"/>
  <c r="AQ40" i="56"/>
  <c r="AP24" i="56"/>
  <c r="AQ24" i="56"/>
  <c r="AP32" i="56"/>
  <c r="AQ32" i="56"/>
  <c r="AP168" i="56"/>
  <c r="AQ168" i="56"/>
  <c r="AP200" i="56"/>
  <c r="AQ200" i="56"/>
  <c r="AP184" i="56"/>
  <c r="AQ184" i="56"/>
  <c r="AP48" i="56"/>
  <c r="AQ48" i="56"/>
  <c r="AP80" i="56"/>
  <c r="AQ80" i="56"/>
  <c r="AP112" i="56"/>
  <c r="AQ112" i="56"/>
  <c r="AP136" i="56"/>
  <c r="AQ136" i="56"/>
  <c r="AP192" i="56"/>
  <c r="AQ192" i="56"/>
  <c r="AP72" i="56"/>
  <c r="AQ72" i="56"/>
  <c r="AP104" i="56"/>
  <c r="AQ104" i="56"/>
  <c r="AP160" i="56"/>
  <c r="AQ160" i="56"/>
  <c r="AP176" i="56"/>
  <c r="AQ176" i="56"/>
  <c r="AP208" i="56"/>
  <c r="AQ208" i="56"/>
  <c r="AP64" i="56"/>
  <c r="AQ64" i="56"/>
  <c r="AP96" i="56"/>
  <c r="AQ96" i="56"/>
  <c r="AP128" i="56"/>
  <c r="AQ128" i="56"/>
  <c r="AP152" i="56"/>
  <c r="AQ152" i="56"/>
  <c r="AP56" i="56"/>
  <c r="AQ56" i="56"/>
  <c r="AP88" i="56"/>
  <c r="AQ88" i="56"/>
  <c r="AP120" i="56"/>
  <c r="AQ120" i="56"/>
  <c r="AP144" i="56"/>
  <c r="AQ144" i="56"/>
  <c r="AP232" i="56"/>
  <c r="AQ232" i="56"/>
  <c r="AP224" i="56"/>
  <c r="AQ224" i="56"/>
  <c r="AP248" i="56"/>
  <c r="AQ248" i="56"/>
  <c r="AP216" i="56"/>
  <c r="AQ216" i="56"/>
  <c r="AP240" i="56"/>
  <c r="AQ240" i="56"/>
  <c r="AP117" i="56"/>
  <c r="AQ117" i="56"/>
  <c r="AP77" i="56"/>
  <c r="AQ77" i="56"/>
  <c r="AP93" i="56"/>
  <c r="AQ93" i="56"/>
  <c r="AP133" i="56"/>
  <c r="AQ133" i="56"/>
  <c r="AP109" i="56"/>
  <c r="AQ109" i="56"/>
  <c r="AP61" i="56"/>
  <c r="AQ61" i="56"/>
  <c r="AP69" i="56"/>
  <c r="AQ69" i="56"/>
  <c r="AP125" i="56"/>
  <c r="AQ125" i="56"/>
  <c r="AP149" i="56"/>
  <c r="AQ149" i="56"/>
  <c r="AP53" i="56"/>
  <c r="AQ53" i="56"/>
  <c r="AP101" i="56"/>
  <c r="AQ101" i="56"/>
  <c r="AP85" i="56"/>
  <c r="AQ85" i="56"/>
  <c r="AP45" i="56"/>
  <c r="AQ45" i="56"/>
  <c r="AP165" i="56"/>
  <c r="AQ165" i="56"/>
  <c r="AP157" i="56"/>
  <c r="AQ157" i="56"/>
  <c r="AP37" i="56"/>
  <c r="AQ37" i="56"/>
  <c r="AP141" i="56"/>
  <c r="AQ141" i="56"/>
  <c r="AP29" i="56"/>
  <c r="AQ29" i="56"/>
  <c r="AP21" i="56"/>
  <c r="AQ21" i="56"/>
  <c r="AP237" i="56"/>
  <c r="AQ237" i="56"/>
  <c r="AP173" i="56"/>
  <c r="AQ173" i="56"/>
  <c r="AP205" i="56"/>
  <c r="AQ205" i="56"/>
  <c r="AP197" i="56"/>
  <c r="AQ197" i="56"/>
  <c r="AP245" i="56"/>
  <c r="AQ245" i="56"/>
  <c r="AP221" i="56"/>
  <c r="AQ221" i="56"/>
  <c r="AP189" i="56"/>
  <c r="AQ189" i="56"/>
  <c r="AP229" i="56"/>
  <c r="AQ229" i="56"/>
  <c r="AP181" i="56"/>
  <c r="AQ181" i="56"/>
  <c r="AP213" i="56"/>
  <c r="AQ213" i="56"/>
  <c r="AP253" i="56"/>
  <c r="AQ253" i="56"/>
  <c r="AD25" i="56"/>
  <c r="AE25" i="56"/>
  <c r="AD73" i="56"/>
  <c r="AE73" i="56"/>
  <c r="AD57" i="56"/>
  <c r="AE57" i="56"/>
  <c r="AD41" i="56"/>
  <c r="AE41" i="56"/>
  <c r="AD17" i="56"/>
  <c r="AE17" i="56"/>
  <c r="AD33" i="56"/>
  <c r="AE33" i="56"/>
  <c r="AD241" i="56"/>
  <c r="AE241" i="56"/>
  <c r="AD81" i="56"/>
  <c r="AE81" i="56"/>
  <c r="AD89" i="56"/>
  <c r="AE89" i="56"/>
  <c r="AD121" i="56"/>
  <c r="AE121" i="56"/>
  <c r="AD153" i="56"/>
  <c r="AE153" i="56"/>
  <c r="AD185" i="56"/>
  <c r="AE185" i="56"/>
  <c r="AD217" i="56"/>
  <c r="AE217" i="56"/>
  <c r="AD65" i="56"/>
  <c r="AE65" i="56"/>
  <c r="AD113" i="56"/>
  <c r="AE113" i="56"/>
  <c r="AD145" i="56"/>
  <c r="AE145" i="56"/>
  <c r="AD177" i="56"/>
  <c r="AE177" i="56"/>
  <c r="AD209" i="56"/>
  <c r="AE209" i="56"/>
  <c r="AD49" i="56"/>
  <c r="AE49" i="56"/>
  <c r="AD249" i="56"/>
  <c r="AE249" i="56"/>
  <c r="AD105" i="56"/>
  <c r="AE105" i="56"/>
  <c r="AD137" i="56"/>
  <c r="AE137" i="56"/>
  <c r="AD169" i="56"/>
  <c r="AE169" i="56"/>
  <c r="AD225" i="56"/>
  <c r="AE225" i="56"/>
  <c r="AD233" i="56"/>
  <c r="AE233" i="56"/>
  <c r="AD97" i="56"/>
  <c r="AE97" i="56"/>
  <c r="AD129" i="56"/>
  <c r="AE129" i="56"/>
  <c r="AD161" i="56"/>
  <c r="AE161" i="56"/>
  <c r="AD193" i="56"/>
  <c r="AE193" i="56"/>
  <c r="AD70" i="56"/>
  <c r="AE70" i="56"/>
  <c r="AD142" i="56"/>
  <c r="AE142" i="56"/>
  <c r="AD134" i="56"/>
  <c r="AE134" i="56"/>
  <c r="AD30" i="56"/>
  <c r="AE30" i="56"/>
  <c r="AD190" i="56"/>
  <c r="AE190" i="56"/>
  <c r="AD54" i="56"/>
  <c r="AE54" i="56"/>
  <c r="AD86" i="56"/>
  <c r="AE86" i="56"/>
  <c r="AD102" i="56"/>
  <c r="AE102" i="56"/>
  <c r="AD22" i="56"/>
  <c r="AE22" i="56"/>
  <c r="AD78" i="56"/>
  <c r="AE78" i="56"/>
  <c r="AD158" i="56"/>
  <c r="AE158" i="56"/>
  <c r="AD110" i="56"/>
  <c r="AE110" i="56"/>
  <c r="AD206" i="56"/>
  <c r="AE206" i="56"/>
  <c r="AD198" i="56"/>
  <c r="AE198" i="56"/>
  <c r="AD62" i="56"/>
  <c r="AE62" i="56"/>
  <c r="AD126" i="56"/>
  <c r="AE126" i="56"/>
  <c r="AD174" i="56"/>
  <c r="AE174" i="56"/>
  <c r="AD38" i="56"/>
  <c r="AE38" i="56"/>
  <c r="AD166" i="56"/>
  <c r="AE166" i="56"/>
  <c r="AD46" i="56"/>
  <c r="AE46" i="56"/>
  <c r="AD94" i="56"/>
  <c r="AE94" i="56"/>
  <c r="AD222" i="56"/>
  <c r="AE222" i="56"/>
  <c r="AD150" i="56"/>
  <c r="AE150" i="56"/>
  <c r="AD238" i="56"/>
  <c r="AE238" i="56"/>
  <c r="AD118" i="56"/>
  <c r="AE118" i="56"/>
  <c r="AD230" i="56"/>
  <c r="AE230" i="56"/>
  <c r="AD214" i="56"/>
  <c r="AE214" i="56"/>
  <c r="AD254" i="56"/>
  <c r="AE254" i="56"/>
  <c r="AD182" i="56"/>
  <c r="AE182" i="56"/>
  <c r="AD246" i="56"/>
  <c r="AE246" i="56"/>
  <c r="AD23" i="56"/>
  <c r="AE23" i="56"/>
  <c r="AD87" i="56"/>
  <c r="AE87" i="56"/>
  <c r="AD239" i="56"/>
  <c r="AE239" i="56"/>
  <c r="AD31" i="56"/>
  <c r="AE31" i="56"/>
  <c r="AD71" i="56"/>
  <c r="AE71" i="56"/>
  <c r="AD55" i="56"/>
  <c r="AE55" i="56"/>
  <c r="AD39" i="56"/>
  <c r="AE39" i="56"/>
  <c r="AD47" i="56"/>
  <c r="AE47" i="56"/>
  <c r="AD119" i="56"/>
  <c r="AE119" i="56"/>
  <c r="AD151" i="56"/>
  <c r="AE151" i="56"/>
  <c r="AD183" i="56"/>
  <c r="AE183" i="56"/>
  <c r="AD215" i="56"/>
  <c r="AE215" i="56"/>
  <c r="AD255" i="56"/>
  <c r="AE255" i="56"/>
  <c r="AD111" i="56"/>
  <c r="AE111" i="56"/>
  <c r="AD143" i="56"/>
  <c r="AE143" i="56"/>
  <c r="AD175" i="56"/>
  <c r="AE175" i="56"/>
  <c r="AD207" i="56"/>
  <c r="AE207" i="56"/>
  <c r="AD79" i="56"/>
  <c r="AE79" i="56"/>
  <c r="AD103" i="56"/>
  <c r="AE103" i="56"/>
  <c r="AD135" i="56"/>
  <c r="AE135" i="56"/>
  <c r="AD167" i="56"/>
  <c r="AE167" i="56"/>
  <c r="AD199" i="56"/>
  <c r="AE199" i="56"/>
  <c r="AD63" i="56"/>
  <c r="AE63" i="56"/>
  <c r="AD247" i="56"/>
  <c r="AE247" i="56"/>
  <c r="AD95" i="56"/>
  <c r="AE95" i="56"/>
  <c r="AD127" i="56"/>
  <c r="AE127" i="56"/>
  <c r="AD159" i="56"/>
  <c r="AE159" i="56"/>
  <c r="AD191" i="56"/>
  <c r="AE191" i="56"/>
  <c r="AD223" i="56"/>
  <c r="AE223" i="56"/>
  <c r="AD231" i="56"/>
  <c r="AE231" i="56"/>
  <c r="AD60" i="56"/>
  <c r="AE60" i="56"/>
  <c r="AD196" i="56"/>
  <c r="AE196" i="56"/>
  <c r="AD188" i="56"/>
  <c r="AE188" i="56"/>
  <c r="AD20" i="56"/>
  <c r="AE20" i="56"/>
  <c r="AD84" i="56"/>
  <c r="AE84" i="56"/>
  <c r="AD116" i="56"/>
  <c r="AE116" i="56"/>
  <c r="AD100" i="56"/>
  <c r="AE100" i="56"/>
  <c r="AD164" i="56"/>
  <c r="AE164" i="56"/>
  <c r="AD156" i="56"/>
  <c r="AE156" i="56"/>
  <c r="AD68" i="56"/>
  <c r="AE68" i="56"/>
  <c r="AD212" i="56"/>
  <c r="AE212" i="56"/>
  <c r="AD44" i="56"/>
  <c r="AE44" i="56"/>
  <c r="AD132" i="56"/>
  <c r="AE132" i="56"/>
  <c r="AD76" i="56"/>
  <c r="AE76" i="56"/>
  <c r="AD124" i="56"/>
  <c r="AE124" i="56"/>
  <c r="AD36" i="56"/>
  <c r="AE36" i="56"/>
  <c r="AD52" i="56"/>
  <c r="AE52" i="56"/>
  <c r="AD180" i="56"/>
  <c r="AE180" i="56"/>
  <c r="AD92" i="56"/>
  <c r="AE92" i="56"/>
  <c r="AD28" i="56"/>
  <c r="AE28" i="56"/>
  <c r="AD148" i="56"/>
  <c r="AE148" i="56"/>
  <c r="AD204" i="56"/>
  <c r="AE204" i="56"/>
  <c r="AD228" i="56"/>
  <c r="AE228" i="56"/>
  <c r="AD172" i="56"/>
  <c r="AE172" i="56"/>
  <c r="AD252" i="56"/>
  <c r="AE252" i="56"/>
  <c r="AD140" i="56"/>
  <c r="AE140" i="56"/>
  <c r="AD244" i="56"/>
  <c r="AE244" i="56"/>
  <c r="AD108" i="56"/>
  <c r="AE108" i="56"/>
  <c r="AD236" i="56"/>
  <c r="AE236" i="56"/>
  <c r="AD50" i="56"/>
  <c r="AE50" i="56"/>
  <c r="AD82" i="56"/>
  <c r="AE82" i="56"/>
  <c r="AD114" i="56"/>
  <c r="AE114" i="56"/>
  <c r="AD74" i="56"/>
  <c r="AE74" i="56"/>
  <c r="AD170" i="56"/>
  <c r="AE170" i="56"/>
  <c r="AD122" i="56"/>
  <c r="AE122" i="56"/>
  <c r="AD218" i="56"/>
  <c r="AE218" i="56"/>
  <c r="AD210" i="56"/>
  <c r="AE210" i="56"/>
  <c r="AD34" i="56"/>
  <c r="AE34" i="56"/>
  <c r="AD58" i="56"/>
  <c r="AE58" i="56"/>
  <c r="AD138" i="56"/>
  <c r="AE138" i="56"/>
  <c r="AD186" i="56"/>
  <c r="AE186" i="56"/>
  <c r="AD178" i="56"/>
  <c r="AE178" i="56"/>
  <c r="AD26" i="56"/>
  <c r="AE26" i="56"/>
  <c r="AD42" i="56"/>
  <c r="AE42" i="56"/>
  <c r="AD106" i="56"/>
  <c r="AE106" i="56"/>
  <c r="AD90" i="56"/>
  <c r="AE90" i="56"/>
  <c r="AD66" i="56"/>
  <c r="AE66" i="56"/>
  <c r="AD154" i="56"/>
  <c r="AE154" i="56"/>
  <c r="AD146" i="56"/>
  <c r="AE146" i="56"/>
  <c r="AD18" i="56"/>
  <c r="AE18" i="56"/>
  <c r="AD202" i="56"/>
  <c r="AE202" i="56"/>
  <c r="AD130" i="56"/>
  <c r="AE130" i="56"/>
  <c r="AD250" i="56"/>
  <c r="AE250" i="56"/>
  <c r="AD98" i="56"/>
  <c r="AE98" i="56"/>
  <c r="AD242" i="56"/>
  <c r="AE242" i="56"/>
  <c r="AD194" i="56"/>
  <c r="AE194" i="56"/>
  <c r="AD234" i="56"/>
  <c r="AE234" i="56"/>
  <c r="AD162" i="56"/>
  <c r="AE162" i="56"/>
  <c r="AD226" i="56"/>
  <c r="AE226" i="56"/>
  <c r="AD83" i="56"/>
  <c r="AE83" i="56"/>
  <c r="AD35" i="56"/>
  <c r="AE35" i="56"/>
  <c r="AD27" i="56"/>
  <c r="AE27" i="56"/>
  <c r="AD67" i="56"/>
  <c r="AE67" i="56"/>
  <c r="AD251" i="56"/>
  <c r="AE251" i="56"/>
  <c r="AD51" i="56"/>
  <c r="AE51" i="56"/>
  <c r="AD19" i="56"/>
  <c r="AE19" i="56"/>
  <c r="AD99" i="56"/>
  <c r="AE99" i="56"/>
  <c r="AD131" i="56"/>
  <c r="AE131" i="56"/>
  <c r="AD163" i="56"/>
  <c r="AE163" i="56"/>
  <c r="AD195" i="56"/>
  <c r="AE195" i="56"/>
  <c r="AD235" i="56"/>
  <c r="AE235" i="56"/>
  <c r="AD243" i="56"/>
  <c r="AE243" i="56"/>
  <c r="AD75" i="56"/>
  <c r="AE75" i="56"/>
  <c r="AD91" i="56"/>
  <c r="AE91" i="56"/>
  <c r="AD123" i="56"/>
  <c r="AE123" i="56"/>
  <c r="AD155" i="56"/>
  <c r="AE155" i="56"/>
  <c r="AD187" i="56"/>
  <c r="AE187" i="56"/>
  <c r="AD219" i="56"/>
  <c r="AE219" i="56"/>
  <c r="AD59" i="56"/>
  <c r="AE59" i="56"/>
  <c r="AD115" i="56"/>
  <c r="AE115" i="56"/>
  <c r="AD147" i="56"/>
  <c r="AE147" i="56"/>
  <c r="AD179" i="56"/>
  <c r="AE179" i="56"/>
  <c r="AD211" i="56"/>
  <c r="AE211" i="56"/>
  <c r="AD43" i="56"/>
  <c r="AE43" i="56"/>
  <c r="AD227" i="56"/>
  <c r="AE227" i="56"/>
  <c r="AD107" i="56"/>
  <c r="AE107" i="56"/>
  <c r="AD139" i="56"/>
  <c r="AE139" i="56"/>
  <c r="AD171" i="56"/>
  <c r="AE171" i="56"/>
  <c r="AD203" i="56"/>
  <c r="AE203" i="56"/>
  <c r="AD40" i="56"/>
  <c r="AE40" i="56"/>
  <c r="AD56" i="56"/>
  <c r="AE56" i="56"/>
  <c r="AD176" i="56"/>
  <c r="AE176" i="56"/>
  <c r="AD168" i="56"/>
  <c r="AE168" i="56"/>
  <c r="AD32" i="56"/>
  <c r="AE32" i="56"/>
  <c r="AD64" i="56"/>
  <c r="AE64" i="56"/>
  <c r="AD96" i="56"/>
  <c r="AE96" i="56"/>
  <c r="AD144" i="56"/>
  <c r="AE144" i="56"/>
  <c r="AD72" i="56"/>
  <c r="AE72" i="56"/>
  <c r="AD136" i="56"/>
  <c r="AE136" i="56"/>
  <c r="AD24" i="56"/>
  <c r="AE24" i="56"/>
  <c r="AD48" i="56"/>
  <c r="AE48" i="56"/>
  <c r="AD192" i="56"/>
  <c r="AE192" i="56"/>
  <c r="AD104" i="56"/>
  <c r="AE104" i="56"/>
  <c r="AD16" i="56"/>
  <c r="AE16" i="56"/>
  <c r="AD160" i="56"/>
  <c r="AE160" i="56"/>
  <c r="AD112" i="56"/>
  <c r="AE112" i="56"/>
  <c r="AD208" i="56"/>
  <c r="AE208" i="56"/>
  <c r="AD200" i="56"/>
  <c r="AE200" i="56"/>
  <c r="AD80" i="56"/>
  <c r="AE80" i="56"/>
  <c r="AD128" i="56"/>
  <c r="AE128" i="56"/>
  <c r="AD184" i="56"/>
  <c r="AE184" i="56"/>
  <c r="AD240" i="56"/>
  <c r="AE240" i="56"/>
  <c r="AD152" i="56"/>
  <c r="AE152" i="56"/>
  <c r="AD232" i="56"/>
  <c r="AE232" i="56"/>
  <c r="AD120" i="56"/>
  <c r="AE120" i="56"/>
  <c r="AD224" i="56"/>
  <c r="AE224" i="56"/>
  <c r="AD88" i="56"/>
  <c r="AE88" i="56"/>
  <c r="AD216" i="56"/>
  <c r="AE216" i="56"/>
  <c r="AD248" i="56"/>
  <c r="AE248" i="56"/>
  <c r="AD21" i="56"/>
  <c r="AE21" i="56"/>
  <c r="AD29" i="56"/>
  <c r="AE29" i="56"/>
  <c r="AD77" i="56"/>
  <c r="AE77" i="56"/>
  <c r="AD61" i="56"/>
  <c r="AE61" i="56"/>
  <c r="AD37" i="56"/>
  <c r="AE37" i="56"/>
  <c r="AD45" i="56"/>
  <c r="AE45" i="56"/>
  <c r="AD109" i="56"/>
  <c r="AE109" i="56"/>
  <c r="AD141" i="56"/>
  <c r="AE141" i="56"/>
  <c r="AD173" i="56"/>
  <c r="AE173" i="56"/>
  <c r="AD205" i="56"/>
  <c r="AE205" i="56"/>
  <c r="AD85" i="56"/>
  <c r="AE85" i="56"/>
  <c r="AD229" i="56"/>
  <c r="AE229" i="56"/>
  <c r="AD237" i="56"/>
  <c r="AE237" i="56"/>
  <c r="AD101" i="56"/>
  <c r="AE101" i="56"/>
  <c r="AD133" i="56"/>
  <c r="AE133" i="56"/>
  <c r="AD165" i="56"/>
  <c r="AE165" i="56"/>
  <c r="AD197" i="56"/>
  <c r="AE197" i="56"/>
  <c r="AD69" i="56"/>
  <c r="AE69" i="56"/>
  <c r="AD93" i="56"/>
  <c r="AE93" i="56"/>
  <c r="AD125" i="56"/>
  <c r="AE125" i="56"/>
  <c r="AD157" i="56"/>
  <c r="AE157" i="56"/>
  <c r="AD189" i="56"/>
  <c r="AE189" i="56"/>
  <c r="AD221" i="56"/>
  <c r="AE221" i="56"/>
  <c r="AD245" i="56"/>
  <c r="AE245" i="56"/>
  <c r="AD253" i="56"/>
  <c r="AE253" i="56"/>
  <c r="AD53" i="56"/>
  <c r="AE53" i="56"/>
  <c r="AD117" i="56"/>
  <c r="AE117" i="56"/>
  <c r="AD149" i="56"/>
  <c r="AE149" i="56"/>
  <c r="AD181" i="56"/>
  <c r="AE181" i="56"/>
  <c r="AD213" i="56"/>
  <c r="AE213" i="56"/>
  <c r="AE201" i="56"/>
  <c r="AD201" i="56"/>
  <c r="AE220" i="56"/>
  <c r="AD220" i="56"/>
  <c r="S137" i="56"/>
  <c r="R137" i="56"/>
  <c r="R73" i="56"/>
  <c r="AR73" i="56" s="1"/>
  <c r="S73" i="56"/>
  <c r="R105" i="56"/>
  <c r="AR105" i="56" s="1"/>
  <c r="S105" i="56"/>
  <c r="S201" i="56"/>
  <c r="R201" i="56"/>
  <c r="S233" i="56"/>
  <c r="R233" i="56"/>
  <c r="S169" i="56"/>
  <c r="R169" i="56"/>
  <c r="R81" i="56"/>
  <c r="AR81" i="56" s="1"/>
  <c r="S81" i="56"/>
  <c r="R113" i="56"/>
  <c r="AR113" i="56" s="1"/>
  <c r="S113" i="56"/>
  <c r="R89" i="56"/>
  <c r="AR89" i="56" s="1"/>
  <c r="S89" i="56"/>
  <c r="S217" i="56"/>
  <c r="R217" i="56"/>
  <c r="S249" i="56"/>
  <c r="R249" i="56"/>
  <c r="R17" i="56"/>
  <c r="AR17" i="56" s="1"/>
  <c r="S17" i="56"/>
  <c r="R49" i="56"/>
  <c r="AR49" i="56" s="1"/>
  <c r="S49" i="56"/>
  <c r="S161" i="56"/>
  <c r="R161" i="56"/>
  <c r="S241" i="56"/>
  <c r="R241" i="56"/>
  <c r="S145" i="56"/>
  <c r="R145" i="56"/>
  <c r="R121" i="56"/>
  <c r="AR121" i="56" s="1"/>
  <c r="S121" i="56"/>
  <c r="R41" i="56"/>
  <c r="AR41" i="56" s="1"/>
  <c r="S41" i="56"/>
  <c r="R65" i="56"/>
  <c r="AR65" i="56" s="1"/>
  <c r="S65" i="56"/>
  <c r="S193" i="56"/>
  <c r="R193" i="56"/>
  <c r="S177" i="56"/>
  <c r="R177" i="56"/>
  <c r="S153" i="56"/>
  <c r="R153" i="56"/>
  <c r="R33" i="56"/>
  <c r="AR33" i="56" s="1"/>
  <c r="S33" i="56"/>
  <c r="R97" i="56"/>
  <c r="AR97" i="56" s="1"/>
  <c r="S97" i="56"/>
  <c r="S225" i="56"/>
  <c r="R225" i="56"/>
  <c r="S209" i="56"/>
  <c r="R209" i="56"/>
  <c r="S185" i="56"/>
  <c r="R185" i="56"/>
  <c r="R25" i="56"/>
  <c r="AR25" i="56" s="1"/>
  <c r="S25" i="56"/>
  <c r="R57" i="56"/>
  <c r="AR57" i="56" s="1"/>
  <c r="S57" i="56"/>
  <c r="R129" i="56"/>
  <c r="AR129" i="56" s="1"/>
  <c r="S129" i="56"/>
  <c r="R150" i="56"/>
  <c r="S150" i="56"/>
  <c r="S22" i="56"/>
  <c r="R22" i="56"/>
  <c r="S46" i="56"/>
  <c r="R46" i="56"/>
  <c r="R118" i="56"/>
  <c r="AR118" i="56" s="1"/>
  <c r="S118" i="56"/>
  <c r="S86" i="56"/>
  <c r="R86" i="56"/>
  <c r="S54" i="56"/>
  <c r="R54" i="56"/>
  <c r="R182" i="56"/>
  <c r="S182" i="56"/>
  <c r="R126" i="56"/>
  <c r="AR126" i="56" s="1"/>
  <c r="S126" i="56"/>
  <c r="S38" i="56"/>
  <c r="R38" i="56"/>
  <c r="R158" i="56"/>
  <c r="AR158" i="56" s="1"/>
  <c r="S158" i="56"/>
  <c r="R134" i="56"/>
  <c r="S134" i="56"/>
  <c r="S78" i="56"/>
  <c r="R78" i="56"/>
  <c r="R206" i="56"/>
  <c r="S206" i="56"/>
  <c r="R214" i="56"/>
  <c r="AR214" i="56" s="1"/>
  <c r="S214" i="56"/>
  <c r="S30" i="56"/>
  <c r="R30" i="56"/>
  <c r="S62" i="56"/>
  <c r="R62" i="56"/>
  <c r="R190" i="56"/>
  <c r="S190" i="56"/>
  <c r="R166" i="56"/>
  <c r="AR166" i="56" s="1"/>
  <c r="S166" i="56"/>
  <c r="R110" i="56"/>
  <c r="AR110" i="56" s="1"/>
  <c r="S110" i="56"/>
  <c r="R238" i="56"/>
  <c r="AR238" i="56" s="1"/>
  <c r="S238" i="56"/>
  <c r="S94" i="56"/>
  <c r="R94" i="56"/>
  <c r="R222" i="56"/>
  <c r="AR222" i="56" s="1"/>
  <c r="S222" i="56"/>
  <c r="R246" i="56"/>
  <c r="AR246" i="56" s="1"/>
  <c r="S246" i="56"/>
  <c r="S70" i="56"/>
  <c r="R70" i="56"/>
  <c r="R198" i="56"/>
  <c r="AR198" i="56" s="1"/>
  <c r="S198" i="56"/>
  <c r="R142" i="56"/>
  <c r="AR142" i="56" s="1"/>
  <c r="S142" i="56"/>
  <c r="R254" i="56"/>
  <c r="AR254" i="56" s="1"/>
  <c r="S254" i="56"/>
  <c r="S102" i="56"/>
  <c r="R102" i="56"/>
  <c r="R230" i="56"/>
  <c r="AR230" i="56" s="1"/>
  <c r="S230" i="56"/>
  <c r="R174" i="56"/>
  <c r="AR174" i="56" s="1"/>
  <c r="S174" i="56"/>
  <c r="R103" i="56"/>
  <c r="S103" i="56"/>
  <c r="R71" i="56"/>
  <c r="AR71" i="56" s="1"/>
  <c r="S71" i="56"/>
  <c r="S231" i="56"/>
  <c r="R231" i="56"/>
  <c r="S199" i="56"/>
  <c r="R199" i="56"/>
  <c r="S167" i="56"/>
  <c r="R167" i="56"/>
  <c r="S255" i="56"/>
  <c r="R255" i="56"/>
  <c r="R135" i="56"/>
  <c r="AR135" i="56" s="1"/>
  <c r="S135" i="56"/>
  <c r="R79" i="56"/>
  <c r="AR79" i="56" s="1"/>
  <c r="S79" i="56"/>
  <c r="S207" i="56"/>
  <c r="R207" i="56"/>
  <c r="S183" i="56"/>
  <c r="R183" i="56"/>
  <c r="R47" i="56"/>
  <c r="AR47" i="56" s="1"/>
  <c r="S47" i="56"/>
  <c r="R127" i="56"/>
  <c r="AR127" i="56" s="1"/>
  <c r="S127" i="56"/>
  <c r="R111" i="56"/>
  <c r="AR111" i="56" s="1"/>
  <c r="S111" i="56"/>
  <c r="S239" i="56"/>
  <c r="R239" i="56"/>
  <c r="R87" i="56"/>
  <c r="AR87" i="56" s="1"/>
  <c r="S87" i="56"/>
  <c r="S215" i="56"/>
  <c r="R215" i="56"/>
  <c r="R39" i="56"/>
  <c r="S39" i="56"/>
  <c r="S159" i="56"/>
  <c r="R159" i="56"/>
  <c r="S143" i="56"/>
  <c r="R143" i="56"/>
  <c r="R119" i="56"/>
  <c r="AR119" i="56" s="1"/>
  <c r="S119" i="56"/>
  <c r="S247" i="56"/>
  <c r="R247" i="56"/>
  <c r="R31" i="56"/>
  <c r="AR31" i="56" s="1"/>
  <c r="S31" i="56"/>
  <c r="R63" i="56"/>
  <c r="S63" i="56"/>
  <c r="S191" i="56"/>
  <c r="R191" i="56"/>
  <c r="S175" i="56"/>
  <c r="R175" i="56"/>
  <c r="S151" i="56"/>
  <c r="R151" i="56"/>
  <c r="R23" i="56"/>
  <c r="S23" i="56"/>
  <c r="R55" i="56"/>
  <c r="AR55" i="56" s="1"/>
  <c r="S55" i="56"/>
  <c r="R95" i="56"/>
  <c r="S95" i="56"/>
  <c r="S223" i="56"/>
  <c r="R223" i="56"/>
  <c r="R108" i="56"/>
  <c r="AR108" i="56" s="1"/>
  <c r="S108" i="56"/>
  <c r="S44" i="56"/>
  <c r="R44" i="56"/>
  <c r="R172" i="56"/>
  <c r="AR172" i="56" s="1"/>
  <c r="S172" i="56"/>
  <c r="S76" i="56"/>
  <c r="R76" i="56"/>
  <c r="R236" i="56"/>
  <c r="S236" i="56"/>
  <c r="R140" i="56"/>
  <c r="AR140" i="56" s="1"/>
  <c r="S140" i="56"/>
  <c r="S36" i="56"/>
  <c r="R36" i="56"/>
  <c r="R204" i="56"/>
  <c r="AR204" i="56" s="1"/>
  <c r="S204" i="56"/>
  <c r="S28" i="56"/>
  <c r="R28" i="56"/>
  <c r="S60" i="56"/>
  <c r="R60" i="56"/>
  <c r="S84" i="56"/>
  <c r="R84" i="56"/>
  <c r="R212" i="56"/>
  <c r="AR212" i="56" s="1"/>
  <c r="S212" i="56"/>
  <c r="R188" i="56"/>
  <c r="S188" i="56"/>
  <c r="R132" i="56"/>
  <c r="AR132" i="56" s="1"/>
  <c r="S132" i="56"/>
  <c r="S20" i="56"/>
  <c r="R20" i="56"/>
  <c r="S52" i="56"/>
  <c r="R52" i="56"/>
  <c r="R116" i="56"/>
  <c r="AR116" i="56" s="1"/>
  <c r="S116" i="56"/>
  <c r="R252" i="56"/>
  <c r="AR252" i="56" s="1"/>
  <c r="S252" i="56"/>
  <c r="S92" i="56"/>
  <c r="R92" i="56"/>
  <c r="R220" i="56"/>
  <c r="S220" i="56"/>
  <c r="R164" i="56"/>
  <c r="AR164" i="56" s="1"/>
  <c r="S164" i="56"/>
  <c r="R148" i="56"/>
  <c r="AR148" i="56" s="1"/>
  <c r="S148" i="56"/>
  <c r="R124" i="56"/>
  <c r="S124" i="56"/>
  <c r="S68" i="56"/>
  <c r="R68" i="56"/>
  <c r="R196" i="56"/>
  <c r="AR196" i="56" s="1"/>
  <c r="S196" i="56"/>
  <c r="R244" i="56"/>
  <c r="AR244" i="56" s="1"/>
  <c r="S244" i="56"/>
  <c r="R180" i="56"/>
  <c r="AR180" i="56" s="1"/>
  <c r="S180" i="56"/>
  <c r="R156" i="56"/>
  <c r="AR156" i="56" s="1"/>
  <c r="S156" i="56"/>
  <c r="S100" i="56"/>
  <c r="R100" i="56"/>
  <c r="R228" i="56"/>
  <c r="AR228" i="56" s="1"/>
  <c r="S228" i="56"/>
  <c r="S34" i="56"/>
  <c r="R34" i="56"/>
  <c r="S58" i="56"/>
  <c r="R58" i="56"/>
  <c r="R162" i="56"/>
  <c r="AR162" i="56" s="1"/>
  <c r="S162" i="56"/>
  <c r="S66" i="56"/>
  <c r="R66" i="56"/>
  <c r="R106" i="56"/>
  <c r="S106" i="56"/>
  <c r="R130" i="56"/>
  <c r="AR130" i="56" s="1"/>
  <c r="S130" i="56"/>
  <c r="S98" i="56"/>
  <c r="R98" i="56"/>
  <c r="R226" i="56"/>
  <c r="AR226" i="56" s="1"/>
  <c r="S226" i="56"/>
  <c r="S26" i="56"/>
  <c r="R26" i="56"/>
  <c r="S74" i="56"/>
  <c r="R74" i="56"/>
  <c r="R194" i="56"/>
  <c r="AR194" i="56" s="1"/>
  <c r="S194" i="56"/>
  <c r="S18" i="56"/>
  <c r="R18" i="56"/>
  <c r="S50" i="56"/>
  <c r="R50" i="56"/>
  <c r="R138" i="56"/>
  <c r="AR138" i="56" s="1"/>
  <c r="S138" i="56"/>
  <c r="R114" i="56"/>
  <c r="AR114" i="56" s="1"/>
  <c r="S114" i="56"/>
  <c r="R186" i="56"/>
  <c r="AR186" i="56" s="1"/>
  <c r="S186" i="56"/>
  <c r="S42" i="56"/>
  <c r="R42" i="56"/>
  <c r="R170" i="56"/>
  <c r="AR170" i="56" s="1"/>
  <c r="S170" i="56"/>
  <c r="R242" i="56"/>
  <c r="S242" i="56"/>
  <c r="R146" i="56"/>
  <c r="AR146" i="56" s="1"/>
  <c r="S146" i="56"/>
  <c r="S90" i="56"/>
  <c r="R90" i="56"/>
  <c r="R218" i="56"/>
  <c r="AR218" i="56" s="1"/>
  <c r="S218" i="56"/>
  <c r="R250" i="56"/>
  <c r="S250" i="56"/>
  <c r="R202" i="56"/>
  <c r="AR202" i="56" s="1"/>
  <c r="S202" i="56"/>
  <c r="R178" i="56"/>
  <c r="AR178" i="56" s="1"/>
  <c r="S178" i="56"/>
  <c r="R122" i="56"/>
  <c r="AR122" i="56" s="1"/>
  <c r="S122" i="56"/>
  <c r="R234" i="56"/>
  <c r="S234" i="56"/>
  <c r="S82" i="56"/>
  <c r="R82" i="56"/>
  <c r="R210" i="56"/>
  <c r="S210" i="56"/>
  <c r="R154" i="56"/>
  <c r="AR154" i="56" s="1"/>
  <c r="S154" i="56"/>
  <c r="S147" i="56"/>
  <c r="R147" i="56"/>
  <c r="S211" i="56"/>
  <c r="R211" i="56"/>
  <c r="S179" i="56"/>
  <c r="R179" i="56"/>
  <c r="R83" i="56"/>
  <c r="AR83" i="56" s="1"/>
  <c r="S83" i="56"/>
  <c r="S251" i="56"/>
  <c r="R251" i="56"/>
  <c r="S187" i="56"/>
  <c r="R187" i="56"/>
  <c r="S163" i="56"/>
  <c r="R163" i="56"/>
  <c r="R27" i="56"/>
  <c r="AR27" i="56" s="1"/>
  <c r="S27" i="56"/>
  <c r="R59" i="56"/>
  <c r="S59" i="56"/>
  <c r="R107" i="56"/>
  <c r="AR107" i="56" s="1"/>
  <c r="S107" i="56"/>
  <c r="S235" i="56"/>
  <c r="R235" i="56"/>
  <c r="R115" i="56"/>
  <c r="AR115" i="56" s="1"/>
  <c r="S115" i="56"/>
  <c r="R91" i="56"/>
  <c r="AR91" i="56" s="1"/>
  <c r="S91" i="56"/>
  <c r="S219" i="56"/>
  <c r="R219" i="56"/>
  <c r="R67" i="56"/>
  <c r="S67" i="56"/>
  <c r="S195" i="56"/>
  <c r="R195" i="56"/>
  <c r="S243" i="56"/>
  <c r="R243" i="56"/>
  <c r="R19" i="56"/>
  <c r="AR19" i="56" s="1"/>
  <c r="S19" i="56"/>
  <c r="R51" i="56"/>
  <c r="S51" i="56"/>
  <c r="S139" i="56"/>
  <c r="R139" i="56"/>
  <c r="R123" i="56"/>
  <c r="S123" i="56"/>
  <c r="R99" i="56"/>
  <c r="AR99" i="56" s="1"/>
  <c r="S99" i="56"/>
  <c r="S227" i="56"/>
  <c r="R227" i="56"/>
  <c r="R43" i="56"/>
  <c r="AR43" i="56" s="1"/>
  <c r="S43" i="56"/>
  <c r="S171" i="56"/>
  <c r="R171" i="56"/>
  <c r="S155" i="56"/>
  <c r="R155" i="56"/>
  <c r="R131" i="56"/>
  <c r="AR131" i="56" s="1"/>
  <c r="S131" i="56"/>
  <c r="R35" i="56"/>
  <c r="AR35" i="56" s="1"/>
  <c r="S35" i="56"/>
  <c r="R75" i="56"/>
  <c r="S75" i="56"/>
  <c r="S203" i="56"/>
  <c r="R203" i="56"/>
  <c r="R216" i="56"/>
  <c r="AR216" i="56" s="1"/>
  <c r="S216" i="56"/>
  <c r="S56" i="56"/>
  <c r="R56" i="56"/>
  <c r="R184" i="56"/>
  <c r="S184" i="56"/>
  <c r="R152" i="56"/>
  <c r="AR152" i="56" s="1"/>
  <c r="S152" i="56"/>
  <c r="S48" i="56"/>
  <c r="R48" i="56"/>
  <c r="S24" i="56"/>
  <c r="R24" i="56"/>
  <c r="S88" i="56"/>
  <c r="R88" i="56"/>
  <c r="S16" i="56"/>
  <c r="R16" i="56"/>
  <c r="S40" i="56"/>
  <c r="R40" i="56"/>
  <c r="S64" i="56"/>
  <c r="R64" i="56"/>
  <c r="R192" i="56"/>
  <c r="AR192" i="56" s="1"/>
  <c r="S192" i="56"/>
  <c r="R248" i="56"/>
  <c r="AR248" i="56" s="1"/>
  <c r="S248" i="56"/>
  <c r="R168" i="56"/>
  <c r="S168" i="56"/>
  <c r="R112" i="56"/>
  <c r="AR112" i="56" s="1"/>
  <c r="S112" i="56"/>
  <c r="R120" i="56"/>
  <c r="S120" i="56"/>
  <c r="S32" i="56"/>
  <c r="R32" i="56"/>
  <c r="S96" i="56"/>
  <c r="R96" i="56"/>
  <c r="R224" i="56"/>
  <c r="AR224" i="56" s="1"/>
  <c r="S224" i="56"/>
  <c r="S72" i="56"/>
  <c r="R72" i="56"/>
  <c r="R200" i="56"/>
  <c r="AR200" i="56" s="1"/>
  <c r="S200" i="56"/>
  <c r="R144" i="56"/>
  <c r="S144" i="56"/>
  <c r="R240" i="56"/>
  <c r="AR240" i="56" s="1"/>
  <c r="S240" i="56"/>
  <c r="R128" i="56"/>
  <c r="AR128" i="56" s="1"/>
  <c r="S128" i="56"/>
  <c r="R104" i="56"/>
  <c r="AR104" i="56" s="1"/>
  <c r="S104" i="56"/>
  <c r="R232" i="56"/>
  <c r="AR232" i="56" s="1"/>
  <c r="S232" i="56"/>
  <c r="R176" i="56"/>
  <c r="AR176" i="56" s="1"/>
  <c r="S176" i="56"/>
  <c r="R160" i="56"/>
  <c r="S160" i="56"/>
  <c r="R136" i="56"/>
  <c r="AR136" i="56" s="1"/>
  <c r="S136" i="56"/>
  <c r="S80" i="56"/>
  <c r="R80" i="56"/>
  <c r="R208" i="56"/>
  <c r="AR208" i="56" s="1"/>
  <c r="S208" i="56"/>
  <c r="R101" i="56"/>
  <c r="S101" i="56"/>
  <c r="S221" i="56"/>
  <c r="R221" i="56"/>
  <c r="S157" i="56"/>
  <c r="R157" i="56"/>
  <c r="R93" i="56"/>
  <c r="AR93" i="56" s="1"/>
  <c r="S93" i="56"/>
  <c r="R69" i="56"/>
  <c r="S69" i="56"/>
  <c r="R125" i="56"/>
  <c r="AR125" i="56" s="1"/>
  <c r="S125" i="56"/>
  <c r="S245" i="56"/>
  <c r="R245" i="56"/>
  <c r="S189" i="56"/>
  <c r="R189" i="56"/>
  <c r="R133" i="56"/>
  <c r="AR133" i="56" s="1"/>
  <c r="S133" i="56"/>
  <c r="R109" i="56"/>
  <c r="AR109" i="56" s="1"/>
  <c r="S109" i="56"/>
  <c r="S237" i="56"/>
  <c r="R237" i="56"/>
  <c r="R37" i="56"/>
  <c r="AR37" i="56" s="1"/>
  <c r="S37" i="56"/>
  <c r="S181" i="56"/>
  <c r="R181" i="56"/>
  <c r="S165" i="56"/>
  <c r="R165" i="56"/>
  <c r="S141" i="56"/>
  <c r="R141" i="56"/>
  <c r="S253" i="56"/>
  <c r="R253" i="56"/>
  <c r="R29" i="56"/>
  <c r="S29" i="56"/>
  <c r="R61" i="56"/>
  <c r="AR61" i="56" s="1"/>
  <c r="S61" i="56"/>
  <c r="R85" i="56"/>
  <c r="AR85" i="56" s="1"/>
  <c r="S85" i="56"/>
  <c r="S213" i="56"/>
  <c r="R213" i="56"/>
  <c r="S197" i="56"/>
  <c r="R197" i="56"/>
  <c r="S173" i="56"/>
  <c r="R173" i="56"/>
  <c r="R21" i="56"/>
  <c r="AR21" i="56" s="1"/>
  <c r="S21" i="56"/>
  <c r="R53" i="56"/>
  <c r="AR53" i="56" s="1"/>
  <c r="S53" i="56"/>
  <c r="R117" i="56"/>
  <c r="AR117" i="56" s="1"/>
  <c r="S117" i="56"/>
  <c r="S229" i="56"/>
  <c r="R229" i="56"/>
  <c r="R77" i="56"/>
  <c r="AR77" i="56" s="1"/>
  <c r="S77" i="56"/>
  <c r="S205" i="56"/>
  <c r="R205" i="56"/>
  <c r="R45" i="56"/>
  <c r="S45" i="56"/>
  <c r="S149" i="56"/>
  <c r="R149" i="56"/>
  <c r="AK137" i="56"/>
  <c r="AK65" i="56"/>
  <c r="AK97" i="56"/>
  <c r="AK129" i="56"/>
  <c r="AK41" i="56"/>
  <c r="AK185" i="56"/>
  <c r="AK169" i="56"/>
  <c r="AK233" i="56"/>
  <c r="Y57" i="56"/>
  <c r="Y241" i="56"/>
  <c r="Y153" i="56"/>
  <c r="Y113" i="56"/>
  <c r="Y49" i="56"/>
  <c r="Y169" i="56"/>
  <c r="Y97" i="56"/>
  <c r="M137" i="56"/>
  <c r="M233" i="56"/>
  <c r="M89" i="56"/>
  <c r="M49" i="56"/>
  <c r="M121" i="56"/>
  <c r="M177" i="56"/>
  <c r="M225" i="56"/>
  <c r="M57" i="56"/>
  <c r="Y70" i="56"/>
  <c r="Y190" i="56"/>
  <c r="Y22" i="56"/>
  <c r="Y206" i="56"/>
  <c r="Y174" i="56"/>
  <c r="Y94" i="56"/>
  <c r="Y118" i="56"/>
  <c r="Y182" i="56"/>
  <c r="M46" i="56"/>
  <c r="M182" i="56"/>
  <c r="M134" i="56"/>
  <c r="M30" i="56"/>
  <c r="M110" i="56"/>
  <c r="M246" i="56"/>
  <c r="M254" i="56"/>
  <c r="AK22" i="56"/>
  <c r="AK38" i="56"/>
  <c r="AK70" i="56"/>
  <c r="AK214" i="56"/>
  <c r="AK150" i="56"/>
  <c r="AK54" i="56"/>
  <c r="AK174" i="56"/>
  <c r="AK246" i="56"/>
  <c r="AK79" i="56"/>
  <c r="AK159" i="56"/>
  <c r="AK63" i="56"/>
  <c r="AK47" i="56"/>
  <c r="AK31" i="56"/>
  <c r="AK175" i="56"/>
  <c r="AK231" i="56"/>
  <c r="M103" i="56"/>
  <c r="M167" i="56"/>
  <c r="M207" i="56"/>
  <c r="M111" i="56"/>
  <c r="M39" i="56"/>
  <c r="M247" i="56"/>
  <c r="M175" i="56"/>
  <c r="M95" i="56"/>
  <c r="Y239" i="56"/>
  <c r="Y39" i="56"/>
  <c r="Y183" i="56"/>
  <c r="Y143" i="56"/>
  <c r="Y103" i="56"/>
  <c r="Y63" i="56"/>
  <c r="Y159" i="56"/>
  <c r="AK188" i="56"/>
  <c r="AK68" i="56"/>
  <c r="AK172" i="56"/>
  <c r="AK124" i="56"/>
  <c r="AK84" i="56"/>
  <c r="AK76" i="56"/>
  <c r="AK212" i="56"/>
  <c r="Y60" i="56"/>
  <c r="Y84" i="56"/>
  <c r="Y156" i="56"/>
  <c r="Y132" i="56"/>
  <c r="Y52" i="56"/>
  <c r="Y28" i="56"/>
  <c r="Y172" i="56"/>
  <c r="Y108" i="56"/>
  <c r="M172" i="56"/>
  <c r="M36" i="56"/>
  <c r="M84" i="56"/>
  <c r="M20" i="56"/>
  <c r="M92" i="56"/>
  <c r="M124" i="56"/>
  <c r="M180" i="56"/>
  <c r="Y114" i="56"/>
  <c r="Y218" i="56"/>
  <c r="Y138" i="56"/>
  <c r="Y42" i="56"/>
  <c r="Y154" i="56"/>
  <c r="Y130" i="56"/>
  <c r="Y194" i="56"/>
  <c r="M34" i="56"/>
  <c r="M106" i="56"/>
  <c r="M26" i="56"/>
  <c r="M50" i="56"/>
  <c r="M42" i="56"/>
  <c r="M90" i="56"/>
  <c r="M178" i="56"/>
  <c r="M210" i="56"/>
  <c r="AK178" i="56"/>
  <c r="AK90" i="56"/>
  <c r="AK82" i="56"/>
  <c r="AK194" i="56"/>
  <c r="AK170" i="56"/>
  <c r="AK130" i="56"/>
  <c r="AK226" i="56"/>
  <c r="AK123" i="56"/>
  <c r="AK131" i="56"/>
  <c r="AK107" i="56"/>
  <c r="AK27" i="56"/>
  <c r="AK163" i="56"/>
  <c r="AK187" i="56"/>
  <c r="AK211" i="56"/>
  <c r="Y83" i="56"/>
  <c r="Y251" i="56"/>
  <c r="Y131" i="56"/>
  <c r="Y243" i="56"/>
  <c r="Y155" i="56"/>
  <c r="Y115" i="56"/>
  <c r="Y43" i="56"/>
  <c r="Y171" i="56"/>
  <c r="M179" i="56"/>
  <c r="M163" i="56"/>
  <c r="M235" i="56"/>
  <c r="M67" i="56"/>
  <c r="M51" i="56"/>
  <c r="M227" i="56"/>
  <c r="M131" i="56"/>
  <c r="AK24" i="56"/>
  <c r="AK184" i="56"/>
  <c r="AK136" i="56"/>
  <c r="AK160" i="56"/>
  <c r="AK96" i="56"/>
  <c r="AK88" i="56"/>
  <c r="AK224" i="56"/>
  <c r="M216" i="56"/>
  <c r="M48" i="56"/>
  <c r="M40" i="56"/>
  <c r="M168" i="56"/>
  <c r="M96" i="56"/>
  <c r="M144" i="56"/>
  <c r="M232" i="56"/>
  <c r="M80" i="56"/>
  <c r="Y176" i="56"/>
  <c r="Y96" i="56"/>
  <c r="Y24" i="56"/>
  <c r="Y16" i="56"/>
  <c r="Y200" i="56"/>
  <c r="Y240" i="56"/>
  <c r="Y224" i="56"/>
  <c r="AK117" i="56"/>
  <c r="AK109" i="56"/>
  <c r="AK149" i="56"/>
  <c r="AK45" i="56"/>
  <c r="AK141" i="56"/>
  <c r="AK173" i="56"/>
  <c r="AK221" i="56"/>
  <c r="AK213" i="56"/>
  <c r="Y77" i="56"/>
  <c r="Y109" i="56"/>
  <c r="Y85" i="56"/>
  <c r="Y133" i="56"/>
  <c r="Y93" i="56"/>
  <c r="Y221" i="56"/>
  <c r="Y117" i="56"/>
  <c r="M101" i="56"/>
  <c r="M69" i="56"/>
  <c r="M133" i="56"/>
  <c r="M181" i="56"/>
  <c r="M29" i="56"/>
  <c r="M197" i="56"/>
  <c r="M117" i="56"/>
  <c r="M45" i="56"/>
  <c r="AK105" i="56"/>
  <c r="AK57" i="56"/>
  <c r="AK89" i="56"/>
  <c r="AK25" i="56"/>
  <c r="AK249" i="56"/>
  <c r="AK241" i="56"/>
  <c r="AK201" i="56"/>
  <c r="AK217" i="56"/>
  <c r="Y41" i="56"/>
  <c r="Y81" i="56"/>
  <c r="Y185" i="56"/>
  <c r="Y145" i="56"/>
  <c r="Y249" i="56"/>
  <c r="Y201" i="56"/>
  <c r="Y129" i="56"/>
  <c r="M73" i="56"/>
  <c r="M169" i="56"/>
  <c r="M217" i="56"/>
  <c r="M161" i="56"/>
  <c r="M41" i="56"/>
  <c r="M153" i="56"/>
  <c r="M209" i="56"/>
  <c r="M129" i="56"/>
  <c r="Y142" i="56"/>
  <c r="Y54" i="56"/>
  <c r="Y78" i="56"/>
  <c r="Y198" i="56"/>
  <c r="Y38" i="56"/>
  <c r="Y222" i="56"/>
  <c r="Y230" i="56"/>
  <c r="Y246" i="56"/>
  <c r="M118" i="56"/>
  <c r="M126" i="56"/>
  <c r="M78" i="56"/>
  <c r="M62" i="56"/>
  <c r="M238" i="56"/>
  <c r="M70" i="56"/>
  <c r="M102" i="56"/>
  <c r="AK46" i="56"/>
  <c r="AK78" i="56"/>
  <c r="AK102" i="56"/>
  <c r="AK62" i="56"/>
  <c r="AK190" i="56"/>
  <c r="AK86" i="56"/>
  <c r="AK222" i="56"/>
  <c r="AK238" i="56"/>
  <c r="AK111" i="56"/>
  <c r="AK127" i="56"/>
  <c r="AK95" i="56"/>
  <c r="AK151" i="56"/>
  <c r="AK143" i="56"/>
  <c r="AK207" i="56"/>
  <c r="AK239" i="56"/>
  <c r="M71" i="56"/>
  <c r="M255" i="56"/>
  <c r="M183" i="56"/>
  <c r="M239" i="56"/>
  <c r="M159" i="56"/>
  <c r="M31" i="56"/>
  <c r="M151" i="56"/>
  <c r="M223" i="56"/>
  <c r="Y31" i="56"/>
  <c r="Y47" i="56"/>
  <c r="Y215" i="56"/>
  <c r="Y175" i="56"/>
  <c r="Y135" i="56"/>
  <c r="Y247" i="56"/>
  <c r="Y191" i="56"/>
  <c r="AK44" i="56"/>
  <c r="AK100" i="56"/>
  <c r="AK220" i="56"/>
  <c r="AK148" i="56"/>
  <c r="AK116" i="56"/>
  <c r="AK108" i="56"/>
  <c r="AK244" i="56"/>
  <c r="Y196" i="56"/>
  <c r="Y116" i="56"/>
  <c r="Y68" i="56"/>
  <c r="Y76" i="56"/>
  <c r="Y180" i="56"/>
  <c r="Y148" i="56"/>
  <c r="Y252" i="56"/>
  <c r="Y236" i="56"/>
  <c r="M76" i="56"/>
  <c r="M204" i="56"/>
  <c r="M212" i="56"/>
  <c r="M52" i="56"/>
  <c r="M220" i="56"/>
  <c r="M68" i="56"/>
  <c r="M156" i="56"/>
  <c r="Y74" i="56"/>
  <c r="Y210" i="56"/>
  <c r="Y186" i="56"/>
  <c r="Y106" i="56"/>
  <c r="Y146" i="56"/>
  <c r="Y250" i="56"/>
  <c r="Y234" i="56"/>
  <c r="M58" i="56"/>
  <c r="M130" i="56"/>
  <c r="M74" i="56"/>
  <c r="M138" i="56"/>
  <c r="M170" i="56"/>
  <c r="M218" i="56"/>
  <c r="M122" i="56"/>
  <c r="M154" i="56"/>
  <c r="AK18" i="56"/>
  <c r="AK122" i="56"/>
  <c r="AK114" i="56"/>
  <c r="AK74" i="56"/>
  <c r="AK210" i="56"/>
  <c r="AK154" i="56"/>
  <c r="AK234" i="56"/>
  <c r="AK139" i="56"/>
  <c r="AK59" i="56"/>
  <c r="AK75" i="56"/>
  <c r="AK19" i="56"/>
  <c r="AK195" i="56"/>
  <c r="AK243" i="56"/>
  <c r="AK171" i="56"/>
  <c r="Y35" i="56"/>
  <c r="Y51" i="56"/>
  <c r="Y163" i="56"/>
  <c r="Y75" i="56"/>
  <c r="Y187" i="56"/>
  <c r="Y147" i="56"/>
  <c r="Y227" i="56"/>
  <c r="Y203" i="56"/>
  <c r="M83" i="56"/>
  <c r="M27" i="56"/>
  <c r="M115" i="56"/>
  <c r="M195" i="56"/>
  <c r="M139" i="56"/>
  <c r="M43" i="56"/>
  <c r="M35" i="56"/>
  <c r="AK32" i="56"/>
  <c r="AK48" i="56"/>
  <c r="AK192" i="56"/>
  <c r="AK176" i="56"/>
  <c r="AK128" i="56"/>
  <c r="AK120" i="56"/>
  <c r="AK248" i="56"/>
  <c r="M56" i="56"/>
  <c r="M24" i="56"/>
  <c r="M64" i="56"/>
  <c r="M112" i="56"/>
  <c r="M224" i="56"/>
  <c r="M240" i="56"/>
  <c r="M176" i="56"/>
  <c r="M208" i="56"/>
  <c r="Y168" i="56"/>
  <c r="Y144" i="56"/>
  <c r="Y48" i="56"/>
  <c r="Y160" i="56"/>
  <c r="Y80" i="56"/>
  <c r="Y152" i="56"/>
  <c r="Y88" i="56"/>
  <c r="AK77" i="56"/>
  <c r="AK61" i="56"/>
  <c r="AK53" i="56"/>
  <c r="AK165" i="56"/>
  <c r="AK29" i="56"/>
  <c r="AK205" i="56"/>
  <c r="AK189" i="56"/>
  <c r="AK253" i="56"/>
  <c r="Y61" i="56"/>
  <c r="Y141" i="56"/>
  <c r="Y229" i="56"/>
  <c r="Y165" i="56"/>
  <c r="Y125" i="56"/>
  <c r="Y245" i="56"/>
  <c r="Y149" i="56"/>
  <c r="M221" i="56"/>
  <c r="M125" i="56"/>
  <c r="M109" i="56"/>
  <c r="M165" i="56"/>
  <c r="M61" i="56"/>
  <c r="M173" i="56"/>
  <c r="M229" i="56"/>
  <c r="M149" i="56"/>
  <c r="AK81" i="56"/>
  <c r="AK161" i="56"/>
  <c r="AK121" i="56"/>
  <c r="AK145" i="56"/>
  <c r="AK33" i="56"/>
  <c r="AK177" i="56"/>
  <c r="AK225" i="56"/>
  <c r="Y25" i="56"/>
  <c r="Y17" i="56"/>
  <c r="Y89" i="56"/>
  <c r="Y217" i="56"/>
  <c r="Y177" i="56"/>
  <c r="Y105" i="56"/>
  <c r="Y225" i="56"/>
  <c r="Y161" i="56"/>
  <c r="M105" i="56"/>
  <c r="M81" i="56"/>
  <c r="M249" i="56"/>
  <c r="M241" i="56"/>
  <c r="M65" i="56"/>
  <c r="M33" i="56"/>
  <c r="M185" i="56"/>
  <c r="Y134" i="56"/>
  <c r="Y86" i="56"/>
  <c r="Y158" i="56"/>
  <c r="Y62" i="56"/>
  <c r="Y166" i="56"/>
  <c r="Y150" i="56"/>
  <c r="Y214" i="56"/>
  <c r="M150" i="56"/>
  <c r="M86" i="56"/>
  <c r="M38" i="56"/>
  <c r="M206" i="56"/>
  <c r="M190" i="56"/>
  <c r="M94" i="56"/>
  <c r="M198" i="56"/>
  <c r="M230" i="56"/>
  <c r="AK198" i="56"/>
  <c r="AK110" i="56"/>
  <c r="AK134" i="56"/>
  <c r="AK94" i="56"/>
  <c r="AK206" i="56"/>
  <c r="AK118" i="56"/>
  <c r="AK230" i="56"/>
  <c r="AK55" i="56"/>
  <c r="AK87" i="56"/>
  <c r="AK119" i="56"/>
  <c r="AK23" i="56"/>
  <c r="AK39" i="56"/>
  <c r="AK183" i="56"/>
  <c r="AK255" i="56"/>
  <c r="AK223" i="56"/>
  <c r="M231" i="56"/>
  <c r="M135" i="56"/>
  <c r="M47" i="56"/>
  <c r="M87" i="56"/>
  <c r="M143" i="56"/>
  <c r="M63" i="56"/>
  <c r="M23" i="56"/>
  <c r="Y23" i="56"/>
  <c r="Y71" i="56"/>
  <c r="Y119" i="56"/>
  <c r="Y255" i="56"/>
  <c r="Y207" i="56"/>
  <c r="Y167" i="56"/>
  <c r="Y95" i="56"/>
  <c r="Y223" i="56"/>
  <c r="AK36" i="56"/>
  <c r="AK28" i="56"/>
  <c r="AK132" i="56"/>
  <c r="AK60" i="56"/>
  <c r="AK196" i="56"/>
  <c r="AK140" i="56"/>
  <c r="AK164" i="56"/>
  <c r="AK236" i="56"/>
  <c r="Y188" i="56"/>
  <c r="Y100" i="56"/>
  <c r="Y212" i="56"/>
  <c r="Y124" i="56"/>
  <c r="Y92" i="56"/>
  <c r="Y204" i="56"/>
  <c r="Y140" i="56"/>
  <c r="M108" i="56"/>
  <c r="M236" i="56"/>
  <c r="M28" i="56"/>
  <c r="M188" i="56"/>
  <c r="M116" i="56"/>
  <c r="M164" i="56"/>
  <c r="M196" i="56"/>
  <c r="M100" i="56"/>
  <c r="Y50" i="56"/>
  <c r="Y170" i="56"/>
  <c r="Y34" i="56"/>
  <c r="Y178" i="56"/>
  <c r="Y90" i="56"/>
  <c r="Y18" i="56"/>
  <c r="Y98" i="56"/>
  <c r="Y162" i="56"/>
  <c r="M162" i="56"/>
  <c r="M98" i="56"/>
  <c r="M194" i="56"/>
  <c r="M114" i="56"/>
  <c r="M242" i="56"/>
  <c r="M250" i="56"/>
  <c r="M234" i="56"/>
  <c r="AK26" i="56"/>
  <c r="AK42" i="56"/>
  <c r="AK146" i="56"/>
  <c r="AK138" i="56"/>
  <c r="AK106" i="56"/>
  <c r="AK66" i="56"/>
  <c r="AK242" i="56"/>
  <c r="AK218" i="56"/>
  <c r="AK99" i="56"/>
  <c r="AK67" i="56"/>
  <c r="AK91" i="56"/>
  <c r="AK35" i="56"/>
  <c r="AK155" i="56"/>
  <c r="AK251" i="56"/>
  <c r="AK235" i="56"/>
  <c r="AK203" i="56"/>
  <c r="Y27" i="56"/>
  <c r="Y19" i="56"/>
  <c r="Y195" i="56"/>
  <c r="Y91" i="56"/>
  <c r="Y219" i="56"/>
  <c r="Y179" i="56"/>
  <c r="Y107" i="56"/>
  <c r="M147" i="56"/>
  <c r="M251" i="56"/>
  <c r="M59" i="56"/>
  <c r="M91" i="56"/>
  <c r="M243" i="56"/>
  <c r="M123" i="56"/>
  <c r="M171" i="56"/>
  <c r="M75" i="56"/>
  <c r="AK16" i="56"/>
  <c r="AK168" i="56"/>
  <c r="AK80" i="56"/>
  <c r="AK72" i="56"/>
  <c r="AK208" i="56"/>
  <c r="AK152" i="56"/>
  <c r="AK144" i="56"/>
  <c r="AK216" i="56"/>
  <c r="M184" i="56"/>
  <c r="M88" i="56"/>
  <c r="M192" i="56"/>
  <c r="M120" i="56"/>
  <c r="M72" i="56"/>
  <c r="M128" i="56"/>
  <c r="M160" i="56"/>
  <c r="Y40" i="56"/>
  <c r="Y32" i="56"/>
  <c r="Y72" i="56"/>
  <c r="Y192" i="56"/>
  <c r="Y112" i="56"/>
  <c r="Y128" i="56"/>
  <c r="Y232" i="56"/>
  <c r="Y216" i="56"/>
  <c r="AK93" i="56"/>
  <c r="AK69" i="56"/>
  <c r="AK101" i="56"/>
  <c r="AK157" i="56"/>
  <c r="AK21" i="56"/>
  <c r="AK197" i="56"/>
  <c r="AK229" i="56"/>
  <c r="Y21" i="56"/>
  <c r="Y37" i="56"/>
  <c r="Y173" i="56"/>
  <c r="Y237" i="56"/>
  <c r="Y197" i="56"/>
  <c r="Y157" i="56"/>
  <c r="Y253" i="56"/>
  <c r="Y181" i="56"/>
  <c r="M157" i="56"/>
  <c r="M245" i="56"/>
  <c r="M237" i="56"/>
  <c r="M141" i="56"/>
  <c r="M85" i="56"/>
  <c r="M21" i="56"/>
  <c r="M77" i="56"/>
  <c r="AK73" i="56"/>
  <c r="AK49" i="56"/>
  <c r="AK113" i="56"/>
  <c r="AK17" i="56"/>
  <c r="AK153" i="56"/>
  <c r="AK209" i="56"/>
  <c r="AK193" i="56"/>
  <c r="Y73" i="56"/>
  <c r="Y33" i="56"/>
  <c r="Y121" i="56"/>
  <c r="Y65" i="56"/>
  <c r="Y209" i="56"/>
  <c r="Y137" i="56"/>
  <c r="Y233" i="56"/>
  <c r="Y193" i="56"/>
  <c r="M201" i="56"/>
  <c r="M113" i="56"/>
  <c r="M17" i="56"/>
  <c r="M145" i="56"/>
  <c r="M193" i="56"/>
  <c r="M97" i="56"/>
  <c r="M25" i="56"/>
  <c r="Y30" i="56"/>
  <c r="Y102" i="56"/>
  <c r="Y110" i="56"/>
  <c r="Y126" i="56"/>
  <c r="Y46" i="56"/>
  <c r="Y238" i="56"/>
  <c r="Y254" i="56"/>
  <c r="M22" i="56"/>
  <c r="M54" i="56"/>
  <c r="M158" i="56"/>
  <c r="M214" i="56"/>
  <c r="M166" i="56"/>
  <c r="M222" i="56"/>
  <c r="M142" i="56"/>
  <c r="M174" i="56"/>
  <c r="AK30" i="56"/>
  <c r="AK166" i="56"/>
  <c r="AK158" i="56"/>
  <c r="AK126" i="56"/>
  <c r="AK182" i="56"/>
  <c r="AK142" i="56"/>
  <c r="AK254" i="56"/>
  <c r="AK71" i="56"/>
  <c r="AK135" i="56"/>
  <c r="AK103" i="56"/>
  <c r="AK167" i="56"/>
  <c r="AK247" i="56"/>
  <c r="AK215" i="56"/>
  <c r="AK199" i="56"/>
  <c r="AK191" i="56"/>
  <c r="M199" i="56"/>
  <c r="M79" i="56"/>
  <c r="M127" i="56"/>
  <c r="M215" i="56"/>
  <c r="M119" i="56"/>
  <c r="M191" i="56"/>
  <c r="M55" i="56"/>
  <c r="Y87" i="56"/>
  <c r="Y55" i="56"/>
  <c r="Y151" i="56"/>
  <c r="Y111" i="56"/>
  <c r="Y79" i="56"/>
  <c r="Y199" i="56"/>
  <c r="Y127" i="56"/>
  <c r="Y231" i="56"/>
  <c r="AK20" i="56"/>
  <c r="AK204" i="56"/>
  <c r="AK156" i="56"/>
  <c r="AK92" i="56"/>
  <c r="AK52" i="56"/>
  <c r="AK180" i="56"/>
  <c r="AK252" i="56"/>
  <c r="AK228" i="56"/>
  <c r="Y20" i="56"/>
  <c r="Y164" i="56"/>
  <c r="Y44" i="56"/>
  <c r="Y36" i="56"/>
  <c r="Y220" i="56"/>
  <c r="Y228" i="56"/>
  <c r="Y244" i="56"/>
  <c r="M44" i="56"/>
  <c r="M140" i="56"/>
  <c r="M60" i="56"/>
  <c r="M132" i="56"/>
  <c r="M252" i="56"/>
  <c r="M148" i="56"/>
  <c r="M244" i="56"/>
  <c r="M228" i="56"/>
  <c r="Y82" i="56"/>
  <c r="Y122" i="56"/>
  <c r="Y58" i="56"/>
  <c r="Y26" i="56"/>
  <c r="Y66" i="56"/>
  <c r="Y202" i="56"/>
  <c r="Y242" i="56"/>
  <c r="Y226" i="56"/>
  <c r="M66" i="56"/>
  <c r="M226" i="56"/>
  <c r="M18" i="56"/>
  <c r="M186" i="56"/>
  <c r="M146" i="56"/>
  <c r="M202" i="56"/>
  <c r="M82" i="56"/>
  <c r="AK34" i="56"/>
  <c r="AK58" i="56"/>
  <c r="AK50" i="56"/>
  <c r="AK186" i="56"/>
  <c r="AK162" i="56"/>
  <c r="AK98" i="56"/>
  <c r="AK202" i="56"/>
  <c r="AK250" i="56"/>
  <c r="AK51" i="56"/>
  <c r="AK115" i="56"/>
  <c r="AK83" i="56"/>
  <c r="AK147" i="56"/>
  <c r="AK43" i="56"/>
  <c r="AK219" i="56"/>
  <c r="AK179" i="56"/>
  <c r="AK227" i="56"/>
  <c r="Y67" i="56"/>
  <c r="Y99" i="56"/>
  <c r="Y235" i="56"/>
  <c r="Y123" i="56"/>
  <c r="Y59" i="56"/>
  <c r="Y211" i="56"/>
  <c r="Y139" i="56"/>
  <c r="M211" i="56"/>
  <c r="M187" i="56"/>
  <c r="M107" i="56"/>
  <c r="M219" i="56"/>
  <c r="M19" i="56"/>
  <c r="M99" i="56"/>
  <c r="M155" i="56"/>
  <c r="M203" i="56"/>
  <c r="AK40" i="56"/>
  <c r="AK200" i="56"/>
  <c r="AK112" i="56"/>
  <c r="AK104" i="56"/>
  <c r="AK64" i="56"/>
  <c r="AK56" i="56"/>
  <c r="AK232" i="56"/>
  <c r="AK240" i="56"/>
  <c r="M152" i="56"/>
  <c r="M16" i="56"/>
  <c r="M248" i="56"/>
  <c r="M32" i="56"/>
  <c r="M200" i="56"/>
  <c r="M104" i="56"/>
  <c r="M136" i="56"/>
  <c r="Y56" i="56"/>
  <c r="Y64" i="56"/>
  <c r="Y136" i="56"/>
  <c r="Y104" i="56"/>
  <c r="Y208" i="56"/>
  <c r="Y184" i="56"/>
  <c r="Y120" i="56"/>
  <c r="Y248" i="56"/>
  <c r="AK133" i="56"/>
  <c r="AK125" i="56"/>
  <c r="AK85" i="56"/>
  <c r="AK37" i="56"/>
  <c r="AK237" i="56"/>
  <c r="AK245" i="56"/>
  <c r="AK181" i="56"/>
  <c r="Y29" i="56"/>
  <c r="Y45" i="56"/>
  <c r="Y205" i="56"/>
  <c r="Y101" i="56"/>
  <c r="Y69" i="56"/>
  <c r="Y189" i="56"/>
  <c r="Y53" i="56"/>
  <c r="Y213" i="56"/>
  <c r="M93" i="56"/>
  <c r="M189" i="56"/>
  <c r="M37" i="56"/>
  <c r="M253" i="56"/>
  <c r="M213" i="56"/>
  <c r="M53" i="56"/>
  <c r="M205" i="56"/>
  <c r="BY29" i="1"/>
  <c r="CI31" i="1"/>
  <c r="CH31" i="1"/>
  <c r="CE14" i="1"/>
  <c r="CE13" i="1"/>
  <c r="CG18" i="1"/>
  <c r="CF16" i="1"/>
  <c r="CE20" i="1"/>
  <c r="CE15" i="1"/>
  <c r="CE19" i="1"/>
  <c r="CF21" i="1"/>
  <c r="CE21" i="1"/>
  <c r="CG13" i="1"/>
  <c r="CF22" i="1"/>
  <c r="CF23" i="1"/>
  <c r="CG16" i="1"/>
  <c r="CF15" i="1"/>
  <c r="CG15" i="1"/>
  <c r="CF24" i="1"/>
  <c r="CF14" i="1"/>
  <c r="CG19" i="1"/>
  <c r="CF19" i="1"/>
  <c r="CF20" i="1"/>
  <c r="CE16" i="1"/>
  <c r="CG24" i="1"/>
  <c r="CG17" i="1"/>
  <c r="CF18" i="1"/>
  <c r="CE22" i="1"/>
  <c r="CE24" i="1"/>
  <c r="CE17" i="1"/>
  <c r="CE18" i="1"/>
  <c r="CE23" i="1"/>
  <c r="CG21" i="1"/>
  <c r="CG20" i="1"/>
  <c r="CF17" i="1"/>
  <c r="CF13" i="1"/>
  <c r="CG22" i="1"/>
  <c r="CG23" i="1"/>
  <c r="CG14" i="1"/>
  <c r="BY21" i="1"/>
  <c r="BY33" i="1"/>
  <c r="BY30" i="1"/>
  <c r="BY35" i="1"/>
  <c r="BY34" i="1"/>
  <c r="BY22" i="1"/>
  <c r="BY17" i="1"/>
  <c r="BY19" i="1"/>
  <c r="BY32" i="1"/>
  <c r="BY31" i="1"/>
  <c r="BY16" i="1"/>
  <c r="BY20" i="1"/>
  <c r="BY24" i="1"/>
  <c r="BY15" i="1"/>
  <c r="BY18" i="1"/>
  <c r="BY14" i="1"/>
  <c r="BY28" i="1"/>
  <c r="BY23" i="1"/>
  <c r="BY13" i="1"/>
  <c r="BS37" i="1"/>
  <c r="BS38" i="1"/>
  <c r="BS36" i="1"/>
  <c r="E14" i="5"/>
  <c r="E62" i="5" s="1"/>
  <c r="AR201" i="56" l="1"/>
  <c r="AR220" i="56"/>
  <c r="AR45" i="56"/>
  <c r="AR29" i="56"/>
  <c r="AR69" i="56"/>
  <c r="AR101" i="56"/>
  <c r="AR160" i="56"/>
  <c r="AR144" i="56"/>
  <c r="AR120" i="56"/>
  <c r="AR168" i="56"/>
  <c r="AR184" i="56"/>
  <c r="AR75" i="56"/>
  <c r="AR123" i="56"/>
  <c r="AR51" i="56"/>
  <c r="AR67" i="56"/>
  <c r="AR59" i="56"/>
  <c r="AR210" i="56"/>
  <c r="AR234" i="56"/>
  <c r="AR250" i="56"/>
  <c r="AR242" i="56"/>
  <c r="AR106" i="56"/>
  <c r="AR124" i="56"/>
  <c r="AR188" i="56"/>
  <c r="AR236" i="56"/>
  <c r="AR95" i="56"/>
  <c r="AR23" i="56"/>
  <c r="AR63" i="56"/>
  <c r="AR39" i="56"/>
  <c r="AR103" i="56"/>
  <c r="AR190" i="56"/>
  <c r="AR206" i="56"/>
  <c r="AR134" i="56"/>
  <c r="AR182" i="56"/>
  <c r="AR150" i="56"/>
  <c r="AR149" i="56"/>
  <c r="AR205" i="56"/>
  <c r="AR229" i="56"/>
  <c r="AR173" i="56"/>
  <c r="AR213" i="56"/>
  <c r="AR253" i="56"/>
  <c r="AR165" i="56"/>
  <c r="AR189" i="56"/>
  <c r="AR221" i="56"/>
  <c r="AR32" i="56"/>
  <c r="AR64" i="56"/>
  <c r="AR16" i="56"/>
  <c r="AR24" i="56"/>
  <c r="AR56" i="56"/>
  <c r="AR203" i="56"/>
  <c r="AR155" i="56"/>
  <c r="AR139" i="56"/>
  <c r="AR195" i="56"/>
  <c r="AR219" i="56"/>
  <c r="AR187" i="56"/>
  <c r="AR211" i="56"/>
  <c r="AR82" i="56"/>
  <c r="AR18" i="56"/>
  <c r="AR74" i="56"/>
  <c r="AR66" i="56"/>
  <c r="AR58" i="56"/>
  <c r="AR68" i="56"/>
  <c r="AR52" i="56"/>
  <c r="AR60" i="56"/>
  <c r="AR76" i="56"/>
  <c r="AR44" i="56"/>
  <c r="H308" i="60"/>
  <c r="I308" i="60" s="1"/>
  <c r="H128" i="60"/>
  <c r="I128" i="60" s="1"/>
  <c r="O92" i="60"/>
  <c r="P92" i="60" s="1"/>
  <c r="O32" i="60"/>
  <c r="P32" i="60" s="1"/>
  <c r="V44" i="60"/>
  <c r="O363" i="60"/>
  <c r="P363" i="60" s="1"/>
  <c r="O147" i="60"/>
  <c r="P147" i="60" s="1"/>
  <c r="H195" i="60"/>
  <c r="I195" i="60" s="1"/>
  <c r="H363" i="60"/>
  <c r="I363" i="60" s="1"/>
  <c r="V339" i="60"/>
  <c r="V159" i="60"/>
  <c r="H17" i="60"/>
  <c r="I17" i="60" s="1"/>
  <c r="H305" i="60"/>
  <c r="I305" i="60" s="1"/>
  <c r="O173" i="60"/>
  <c r="P173" i="60" s="1"/>
  <c r="V329" i="60"/>
  <c r="V209" i="60"/>
  <c r="V384" i="60"/>
  <c r="V379" i="60"/>
  <c r="H390" i="60"/>
  <c r="I390" i="60" s="1"/>
  <c r="H380" i="60"/>
  <c r="I380" i="60" s="1"/>
  <c r="O380" i="60"/>
  <c r="P380" i="60" s="1"/>
  <c r="O382" i="60"/>
  <c r="P382" i="60" s="1"/>
  <c r="H354" i="60"/>
  <c r="I354" i="60" s="1"/>
  <c r="H78" i="60"/>
  <c r="I78" i="60" s="1"/>
  <c r="O330" i="60"/>
  <c r="P330" i="60" s="1"/>
  <c r="O234" i="60"/>
  <c r="P234" i="60" s="1"/>
  <c r="V258" i="60"/>
  <c r="V294" i="60"/>
  <c r="O336" i="60"/>
  <c r="P336" i="60" s="1"/>
  <c r="O156" i="60"/>
  <c r="P156" i="60" s="1"/>
  <c r="H72" i="60"/>
  <c r="I72" i="60" s="1"/>
  <c r="H180" i="60"/>
  <c r="I180" i="60" s="1"/>
  <c r="V288" i="60"/>
  <c r="V144" i="60"/>
  <c r="V202" i="60"/>
  <c r="V238" i="60"/>
  <c r="H322" i="60"/>
  <c r="I322" i="60" s="1"/>
  <c r="H70" i="60"/>
  <c r="I70" i="60" s="1"/>
  <c r="O58" i="60"/>
  <c r="P58" i="60" s="1"/>
  <c r="O34" i="60"/>
  <c r="P34" i="60" s="1"/>
  <c r="H28" i="60"/>
  <c r="I28" i="60" s="1"/>
  <c r="H16" i="60"/>
  <c r="I16" i="60" s="1"/>
  <c r="O340" i="60"/>
  <c r="P340" i="60" s="1"/>
  <c r="O172" i="60"/>
  <c r="P172" i="60" s="1"/>
  <c r="V304" i="60"/>
  <c r="V64" i="60"/>
  <c r="H200" i="60"/>
  <c r="I200" i="60" s="1"/>
  <c r="O260" i="60"/>
  <c r="P260" i="60" s="1"/>
  <c r="O344" i="60"/>
  <c r="P344" i="60" s="1"/>
  <c r="V332" i="60"/>
  <c r="V140" i="60"/>
  <c r="O339" i="60"/>
  <c r="P339" i="60" s="1"/>
  <c r="O99" i="60"/>
  <c r="P99" i="60" s="1"/>
  <c r="H183" i="60"/>
  <c r="I183" i="60" s="1"/>
  <c r="H123" i="60"/>
  <c r="I123" i="60" s="1"/>
  <c r="V219" i="60"/>
  <c r="V243" i="60"/>
  <c r="H101" i="60"/>
  <c r="I101" i="60" s="1"/>
  <c r="H125" i="60"/>
  <c r="I125" i="60" s="1"/>
  <c r="O149" i="60"/>
  <c r="P149" i="60" s="1"/>
  <c r="O281" i="60"/>
  <c r="P281" i="60" s="1"/>
  <c r="V341" i="60"/>
  <c r="V125" i="60"/>
  <c r="V385" i="60"/>
  <c r="V375" i="60"/>
  <c r="H386" i="60"/>
  <c r="I386" i="60" s="1"/>
  <c r="O392" i="60"/>
  <c r="P392" i="60" s="1"/>
  <c r="O394" i="60"/>
  <c r="P394" i="60" s="1"/>
  <c r="H234" i="60"/>
  <c r="I234" i="60" s="1"/>
  <c r="H342" i="60"/>
  <c r="I342" i="60" s="1"/>
  <c r="O126" i="60"/>
  <c r="P126" i="60" s="1"/>
  <c r="O270" i="60"/>
  <c r="P270" i="60" s="1"/>
  <c r="V282" i="60"/>
  <c r="V42" i="60"/>
  <c r="O240" i="60"/>
  <c r="P240" i="60" s="1"/>
  <c r="O96" i="60"/>
  <c r="P96" i="60" s="1"/>
  <c r="H204" i="60"/>
  <c r="I204" i="60" s="1"/>
  <c r="H336" i="60"/>
  <c r="I336" i="60" s="1"/>
  <c r="V48" i="60"/>
  <c r="V72" i="60"/>
  <c r="V130" i="60"/>
  <c r="H334" i="60"/>
  <c r="I334" i="60" s="1"/>
  <c r="H298" i="60"/>
  <c r="I298" i="60" s="1"/>
  <c r="O310" i="60"/>
  <c r="P310" i="60" s="1"/>
  <c r="O226" i="60"/>
  <c r="P226" i="60" s="1"/>
  <c r="H268" i="60"/>
  <c r="I268" i="60" s="1"/>
  <c r="H364" i="60"/>
  <c r="I364" i="60" s="1"/>
  <c r="O328" i="60"/>
  <c r="P328" i="60" s="1"/>
  <c r="O124" i="60"/>
  <c r="P124" i="60" s="1"/>
  <c r="V256" i="60"/>
  <c r="V232" i="60"/>
  <c r="H248" i="60"/>
  <c r="I248" i="60" s="1"/>
  <c r="H176" i="60"/>
  <c r="I176" i="60" s="1"/>
  <c r="O176" i="60"/>
  <c r="P176" i="60" s="1"/>
  <c r="O80" i="60"/>
  <c r="P80" i="60" s="1"/>
  <c r="V32" i="60"/>
  <c r="V104" i="60"/>
  <c r="O231" i="60"/>
  <c r="P231" i="60" s="1"/>
  <c r="H303" i="60"/>
  <c r="I303" i="60" s="1"/>
  <c r="H159" i="60"/>
  <c r="I159" i="60" s="1"/>
  <c r="V363" i="60"/>
  <c r="V279" i="60"/>
  <c r="H197" i="60"/>
  <c r="I197" i="60" s="1"/>
  <c r="H113" i="60"/>
  <c r="I113" i="60" s="1"/>
  <c r="O269" i="60"/>
  <c r="P269" i="60" s="1"/>
  <c r="O41" i="60"/>
  <c r="P41" i="60" s="1"/>
  <c r="V17" i="60"/>
  <c r="V391" i="60"/>
  <c r="V387" i="60"/>
  <c r="H399" i="60"/>
  <c r="I399" i="60" s="1"/>
  <c r="H388" i="60"/>
  <c r="I388" i="60" s="1"/>
  <c r="O390" i="60"/>
  <c r="P390" i="60" s="1"/>
  <c r="O381" i="60"/>
  <c r="P381" i="60" s="1"/>
  <c r="H222" i="60"/>
  <c r="I222" i="60" s="1"/>
  <c r="H306" i="60"/>
  <c r="I306" i="60" s="1"/>
  <c r="O366" i="60"/>
  <c r="P366" i="60" s="1"/>
  <c r="O90" i="60"/>
  <c r="P90" i="60" s="1"/>
  <c r="V150" i="60"/>
  <c r="V138" i="60"/>
  <c r="O252" i="60"/>
  <c r="P252" i="60" s="1"/>
  <c r="H324" i="60"/>
  <c r="I324" i="60" s="1"/>
  <c r="H348" i="60"/>
  <c r="I348" i="60" s="1"/>
  <c r="V348" i="60"/>
  <c r="V132" i="60"/>
  <c r="V322" i="60"/>
  <c r="V142" i="60"/>
  <c r="H94" i="60"/>
  <c r="I94" i="60" s="1"/>
  <c r="H178" i="60"/>
  <c r="I178" i="60" s="1"/>
  <c r="O322" i="60"/>
  <c r="P322" i="60" s="1"/>
  <c r="O70" i="60"/>
  <c r="P70" i="60" s="1"/>
  <c r="H220" i="60"/>
  <c r="I220" i="60" s="1"/>
  <c r="H244" i="60"/>
  <c r="I244" i="60" s="1"/>
  <c r="O364" i="60"/>
  <c r="P364" i="60" s="1"/>
  <c r="O52" i="60"/>
  <c r="P52" i="60" s="1"/>
  <c r="V364" i="60"/>
  <c r="V148" i="60"/>
  <c r="H164" i="60"/>
  <c r="I164" i="60" s="1"/>
  <c r="H188" i="60"/>
  <c r="I188" i="60" s="1"/>
  <c r="O320" i="60"/>
  <c r="P320" i="60" s="1"/>
  <c r="O152" i="60"/>
  <c r="P152" i="60" s="1"/>
  <c r="V248" i="60"/>
  <c r="V152" i="60"/>
  <c r="O291" i="60"/>
  <c r="P291" i="60" s="1"/>
  <c r="O255" i="60"/>
  <c r="P255" i="60" s="1"/>
  <c r="H135" i="60"/>
  <c r="I135" i="60" s="1"/>
  <c r="H315" i="60"/>
  <c r="I315" i="60" s="1"/>
  <c r="V231" i="60"/>
  <c r="H329" i="60"/>
  <c r="I329" i="60" s="1"/>
  <c r="H233" i="60"/>
  <c r="I233" i="60" s="1"/>
  <c r="O161" i="60"/>
  <c r="P161" i="60" s="1"/>
  <c r="O365" i="60"/>
  <c r="P365" i="60" s="1"/>
  <c r="V233" i="60"/>
  <c r="V173" i="60"/>
  <c r="V400" i="60"/>
  <c r="V382" i="60"/>
  <c r="H394" i="60"/>
  <c r="I394" i="60" s="1"/>
  <c r="H375" i="60"/>
  <c r="I375" i="60" s="1"/>
  <c r="O388" i="60"/>
  <c r="P388" i="60" s="1"/>
  <c r="O399" i="60"/>
  <c r="P399" i="60" s="1"/>
  <c r="H18" i="60"/>
  <c r="I18" i="60" s="1"/>
  <c r="O150" i="60"/>
  <c r="P150" i="60" s="1"/>
  <c r="O186" i="60"/>
  <c r="P186" i="60" s="1"/>
  <c r="V306" i="60"/>
  <c r="V246" i="60"/>
  <c r="O84" i="60"/>
  <c r="P84" i="60" s="1"/>
  <c r="O48" i="60"/>
  <c r="P48" i="60" s="1"/>
  <c r="H360" i="60"/>
  <c r="I360" i="60" s="1"/>
  <c r="H240" i="60"/>
  <c r="I240" i="60" s="1"/>
  <c r="V36" i="60"/>
  <c r="V108" i="60"/>
  <c r="V214" i="60"/>
  <c r="V22" i="60"/>
  <c r="H34" i="60"/>
  <c r="I34" i="60" s="1"/>
  <c r="O262" i="60"/>
  <c r="P262" i="60" s="1"/>
  <c r="O298" i="60"/>
  <c r="P298" i="60" s="1"/>
  <c r="H256" i="60"/>
  <c r="I256" i="60" s="1"/>
  <c r="H340" i="60"/>
  <c r="I340" i="60" s="1"/>
  <c r="O64" i="60"/>
  <c r="P64" i="60" s="1"/>
  <c r="O76" i="60"/>
  <c r="P76" i="60" s="1"/>
  <c r="V52" i="60"/>
  <c r="V196" i="60"/>
  <c r="K68" i="60"/>
  <c r="L68" i="60" s="1"/>
  <c r="K80" i="60"/>
  <c r="L80" i="60" s="1"/>
  <c r="K44" i="60"/>
  <c r="L44" i="60" s="1"/>
  <c r="K152" i="60"/>
  <c r="L152" i="60" s="1"/>
  <c r="K176" i="60"/>
  <c r="L176" i="60" s="1"/>
  <c r="K128" i="60"/>
  <c r="L128" i="60" s="1"/>
  <c r="K303" i="60"/>
  <c r="L303" i="60" s="1"/>
  <c r="K195" i="60"/>
  <c r="L195" i="60" s="1"/>
  <c r="K255" i="60"/>
  <c r="L255" i="60" s="1"/>
  <c r="K147" i="60"/>
  <c r="L147" i="60" s="1"/>
  <c r="K351" i="60"/>
  <c r="L351" i="60" s="1"/>
  <c r="K291" i="60"/>
  <c r="L291" i="60" s="1"/>
  <c r="K327" i="60"/>
  <c r="L327" i="60" s="1"/>
  <c r="K159" i="60"/>
  <c r="L159" i="60" s="1"/>
  <c r="K363" i="60"/>
  <c r="L363" i="60" s="1"/>
  <c r="K219" i="60"/>
  <c r="L219" i="60" s="1"/>
  <c r="K41" i="60"/>
  <c r="L41" i="60" s="1"/>
  <c r="K53" i="60"/>
  <c r="L53" i="60" s="1"/>
  <c r="K137" i="60"/>
  <c r="L137" i="60" s="1"/>
  <c r="K17" i="60"/>
  <c r="L17" i="60" s="1"/>
  <c r="K161" i="60"/>
  <c r="L161" i="60" s="1"/>
  <c r="K149" i="60"/>
  <c r="L149" i="60" s="1"/>
  <c r="K29" i="60"/>
  <c r="L29" i="60" s="1"/>
  <c r="K113" i="60"/>
  <c r="L113" i="60" s="1"/>
  <c r="K391" i="60"/>
  <c r="L391" i="60" s="1"/>
  <c r="K387" i="60"/>
  <c r="L387" i="60" s="1"/>
  <c r="K397" i="60"/>
  <c r="L397" i="60" s="1"/>
  <c r="K399" i="60"/>
  <c r="L399" i="60" s="1"/>
  <c r="K390" i="60"/>
  <c r="L390" i="60" s="1"/>
  <c r="K393" i="60"/>
  <c r="L393" i="60" s="1"/>
  <c r="K395" i="60"/>
  <c r="L395" i="60" s="1"/>
  <c r="K389" i="60"/>
  <c r="L389" i="60" s="1"/>
  <c r="K400" i="60"/>
  <c r="L400" i="60" s="1"/>
  <c r="K388" i="60"/>
  <c r="L388" i="60" s="1"/>
  <c r="K330" i="60"/>
  <c r="L330" i="60" s="1"/>
  <c r="K222" i="60"/>
  <c r="L222" i="60" s="1"/>
  <c r="K354" i="60"/>
  <c r="L354" i="60" s="1"/>
  <c r="K210" i="60"/>
  <c r="L210" i="60" s="1"/>
  <c r="K318" i="60"/>
  <c r="L318" i="60" s="1"/>
  <c r="K366" i="60"/>
  <c r="L366" i="60" s="1"/>
  <c r="K186" i="60"/>
  <c r="L186" i="60" s="1"/>
  <c r="K306" i="60"/>
  <c r="L306" i="60" s="1"/>
  <c r="K294" i="60"/>
  <c r="L294" i="60" s="1"/>
  <c r="K198" i="60"/>
  <c r="L198" i="60" s="1"/>
  <c r="K72" i="60"/>
  <c r="L72" i="60" s="1"/>
  <c r="K36" i="60"/>
  <c r="L36" i="60" s="1"/>
  <c r="K168" i="60"/>
  <c r="L168" i="60" s="1"/>
  <c r="K180" i="60"/>
  <c r="L180" i="60" s="1"/>
  <c r="K108" i="60"/>
  <c r="L108" i="60" s="1"/>
  <c r="K96" i="60"/>
  <c r="L96" i="60" s="1"/>
  <c r="K250" i="60"/>
  <c r="L250" i="60" s="1"/>
  <c r="K202" i="60"/>
  <c r="L202" i="60" s="1"/>
  <c r="K322" i="60"/>
  <c r="L322" i="60" s="1"/>
  <c r="K346" i="60"/>
  <c r="L346" i="60" s="1"/>
  <c r="K238" i="60"/>
  <c r="L238" i="60" s="1"/>
  <c r="K310" i="60"/>
  <c r="L310" i="60" s="1"/>
  <c r="K226" i="60"/>
  <c r="L226" i="60" s="1"/>
  <c r="K178" i="60"/>
  <c r="L178" i="60" s="1"/>
  <c r="K166" i="60"/>
  <c r="L166" i="60" s="1"/>
  <c r="K184" i="60"/>
  <c r="L184" i="60" s="1"/>
  <c r="K28" i="60"/>
  <c r="L28" i="60" s="1"/>
  <c r="K136" i="60"/>
  <c r="L136" i="60" s="1"/>
  <c r="K52" i="60"/>
  <c r="L52" i="60" s="1"/>
  <c r="K16" i="60"/>
  <c r="L16" i="60" s="1"/>
  <c r="K160" i="60"/>
  <c r="L160" i="60" s="1"/>
  <c r="K100" i="60"/>
  <c r="L100" i="60" s="1"/>
  <c r="R308" i="60"/>
  <c r="S308" i="60" s="1"/>
  <c r="R212" i="60"/>
  <c r="S212" i="60" s="1"/>
  <c r="R68" i="60"/>
  <c r="S68" i="60" s="1"/>
  <c r="R356" i="60"/>
  <c r="S356" i="60" s="1"/>
  <c r="R272" i="60"/>
  <c r="S272" i="60" s="1"/>
  <c r="R176" i="60"/>
  <c r="S176" i="60" s="1"/>
  <c r="R92" i="60"/>
  <c r="S92" i="60" s="1"/>
  <c r="R236" i="60"/>
  <c r="S236" i="60" s="1"/>
  <c r="R140" i="60"/>
  <c r="S140" i="60" s="1"/>
  <c r="R332" i="60"/>
  <c r="S332" i="60" s="1"/>
  <c r="R296" i="60"/>
  <c r="S296" i="60" s="1"/>
  <c r="R200" i="60"/>
  <c r="S200" i="60" s="1"/>
  <c r="R56" i="60"/>
  <c r="S56" i="60" s="1"/>
  <c r="R80" i="60"/>
  <c r="S80" i="60" s="1"/>
  <c r="R32" i="60"/>
  <c r="S32" i="60" s="1"/>
  <c r="R363" i="60"/>
  <c r="S363" i="60" s="1"/>
  <c r="R123" i="60"/>
  <c r="S123" i="60" s="1"/>
  <c r="R171" i="60"/>
  <c r="S171" i="60" s="1"/>
  <c r="R219" i="60"/>
  <c r="S219" i="60" s="1"/>
  <c r="R267" i="60"/>
  <c r="S267" i="60" s="1"/>
  <c r="R111" i="60"/>
  <c r="S111" i="60" s="1"/>
  <c r="R303" i="60"/>
  <c r="S303" i="60" s="1"/>
  <c r="R231" i="60"/>
  <c r="S231" i="60" s="1"/>
  <c r="R147" i="60"/>
  <c r="S147" i="60" s="1"/>
  <c r="R63" i="60"/>
  <c r="S63" i="60" s="1"/>
  <c r="R195" i="60"/>
  <c r="S195" i="60" s="1"/>
  <c r="R207" i="60"/>
  <c r="S207" i="60" s="1"/>
  <c r="R87" i="60"/>
  <c r="S87" i="60" s="1"/>
  <c r="R243" i="60"/>
  <c r="S243" i="60" s="1"/>
  <c r="R75" i="60"/>
  <c r="S75" i="60" s="1"/>
  <c r="R293" i="60"/>
  <c r="S293" i="60" s="1"/>
  <c r="R197" i="60"/>
  <c r="S197" i="60" s="1"/>
  <c r="R329" i="60"/>
  <c r="S329" i="60" s="1"/>
  <c r="R305" i="60"/>
  <c r="S305" i="60" s="1"/>
  <c r="R209" i="60"/>
  <c r="S209" i="60" s="1"/>
  <c r="R77" i="60"/>
  <c r="S77" i="60" s="1"/>
  <c r="R269" i="60"/>
  <c r="S269" i="60" s="1"/>
  <c r="R173" i="60"/>
  <c r="S173" i="60" s="1"/>
  <c r="R101" i="60"/>
  <c r="S101" i="60" s="1"/>
  <c r="R341" i="60"/>
  <c r="S341" i="60" s="1"/>
  <c r="R233" i="60"/>
  <c r="S233" i="60" s="1"/>
  <c r="R137" i="60"/>
  <c r="S137" i="60" s="1"/>
  <c r="R65" i="60"/>
  <c r="S65" i="60" s="1"/>
  <c r="R89" i="60"/>
  <c r="S89" i="60" s="1"/>
  <c r="R41" i="60"/>
  <c r="S41" i="60" s="1"/>
  <c r="R400" i="60"/>
  <c r="S400" i="60" s="1"/>
  <c r="R401" i="60"/>
  <c r="S401" i="60" s="1"/>
  <c r="R402" i="60"/>
  <c r="S402" i="60" s="1"/>
  <c r="R403" i="60"/>
  <c r="S403" i="60" s="1"/>
  <c r="R397" i="60"/>
  <c r="S397" i="60" s="1"/>
  <c r="R390" i="60"/>
  <c r="S390" i="60" s="1"/>
  <c r="R380" i="60"/>
  <c r="S380" i="60" s="1"/>
  <c r="R385" i="60"/>
  <c r="S385" i="60" s="1"/>
  <c r="R375" i="60"/>
  <c r="S375" i="60" s="1"/>
  <c r="R395" i="60"/>
  <c r="S395" i="60" s="1"/>
  <c r="R379" i="60"/>
  <c r="S379" i="60" s="1"/>
  <c r="R398" i="60"/>
  <c r="S398" i="60" s="1"/>
  <c r="R387" i="60"/>
  <c r="S387" i="60" s="1"/>
  <c r="R381" i="60"/>
  <c r="S381" i="60" s="1"/>
  <c r="R382" i="60"/>
  <c r="S382" i="60" s="1"/>
  <c r="R342" i="60"/>
  <c r="S342" i="60" s="1"/>
  <c r="R354" i="60"/>
  <c r="S354" i="60" s="1"/>
  <c r="R366" i="60"/>
  <c r="S366" i="60" s="1"/>
  <c r="R330" i="60"/>
  <c r="S330" i="60" s="1"/>
  <c r="R210" i="60"/>
  <c r="S210" i="60" s="1"/>
  <c r="R126" i="60"/>
  <c r="S126" i="60" s="1"/>
  <c r="R66" i="60"/>
  <c r="S66" i="60" s="1"/>
  <c r="R174" i="60"/>
  <c r="S174" i="60" s="1"/>
  <c r="R186" i="60"/>
  <c r="S186" i="60" s="1"/>
  <c r="R306" i="60"/>
  <c r="S306" i="60" s="1"/>
  <c r="R222" i="60"/>
  <c r="S222" i="60" s="1"/>
  <c r="R138" i="60"/>
  <c r="S138" i="60" s="1"/>
  <c r="R114" i="60"/>
  <c r="S114" i="60" s="1"/>
  <c r="R270" i="60"/>
  <c r="S270" i="60" s="1"/>
  <c r="R78" i="60"/>
  <c r="S78" i="60" s="1"/>
  <c r="R324" i="60"/>
  <c r="S324" i="60" s="1"/>
  <c r="R228" i="60"/>
  <c r="S228" i="60" s="1"/>
  <c r="R132" i="60"/>
  <c r="S132" i="60" s="1"/>
  <c r="R84" i="60"/>
  <c r="S84" i="60" s="1"/>
  <c r="R240" i="60"/>
  <c r="S240" i="60" s="1"/>
  <c r="R144" i="60"/>
  <c r="S144" i="60" s="1"/>
  <c r="R300" i="60"/>
  <c r="S300" i="60" s="1"/>
  <c r="R204" i="60"/>
  <c r="S204" i="60" s="1"/>
  <c r="R372" i="60"/>
  <c r="S372" i="60" s="1"/>
  <c r="R264" i="60"/>
  <c r="S264" i="60" s="1"/>
  <c r="R168" i="60"/>
  <c r="S168" i="60" s="1"/>
  <c r="R48" i="60"/>
  <c r="S48" i="60" s="1"/>
  <c r="R96" i="60"/>
  <c r="S96" i="60" s="1"/>
  <c r="R348" i="60"/>
  <c r="S348" i="60" s="1"/>
  <c r="R24" i="60"/>
  <c r="S24" i="60" s="1"/>
  <c r="R262" i="60"/>
  <c r="S262" i="60" s="1"/>
  <c r="R310" i="60"/>
  <c r="S310" i="60" s="1"/>
  <c r="R166" i="60"/>
  <c r="S166" i="60" s="1"/>
  <c r="R214" i="60"/>
  <c r="S214" i="60" s="1"/>
  <c r="R130" i="60"/>
  <c r="S130" i="60" s="1"/>
  <c r="R238" i="60"/>
  <c r="S238" i="60" s="1"/>
  <c r="R250" i="60"/>
  <c r="S250" i="60" s="1"/>
  <c r="R82" i="60"/>
  <c r="S82" i="60" s="1"/>
  <c r="R298" i="60"/>
  <c r="S298" i="60" s="1"/>
  <c r="R226" i="60"/>
  <c r="S226" i="60" s="1"/>
  <c r="R22" i="60"/>
  <c r="S22" i="60" s="1"/>
  <c r="R118" i="60"/>
  <c r="S118" i="60" s="1"/>
  <c r="R274" i="60"/>
  <c r="S274" i="60" s="1"/>
  <c r="R190" i="60"/>
  <c r="S190" i="60" s="1"/>
  <c r="R94" i="60"/>
  <c r="S94" i="60" s="1"/>
  <c r="R232" i="60"/>
  <c r="S232" i="60" s="1"/>
  <c r="R136" i="60"/>
  <c r="S136" i="60" s="1"/>
  <c r="R328" i="60"/>
  <c r="S328" i="60" s="1"/>
  <c r="R196" i="60"/>
  <c r="S196" i="60" s="1"/>
  <c r="R364" i="60"/>
  <c r="S364" i="60" s="1"/>
  <c r="R304" i="60"/>
  <c r="S304" i="60" s="1"/>
  <c r="R208" i="60"/>
  <c r="S208" i="60" s="1"/>
  <c r="R88" i="60"/>
  <c r="S88" i="60" s="1"/>
  <c r="R268" i="60"/>
  <c r="S268" i="60" s="1"/>
  <c r="R172" i="60"/>
  <c r="S172" i="60" s="1"/>
  <c r="R112" i="60"/>
  <c r="S112" i="60" s="1"/>
  <c r="R40" i="60"/>
  <c r="S40" i="60" s="1"/>
  <c r="R52" i="60"/>
  <c r="S52" i="60" s="1"/>
  <c r="R100" i="60"/>
  <c r="S100" i="60" s="1"/>
  <c r="Y368" i="60"/>
  <c r="Z368" i="60" s="1"/>
  <c r="Y260" i="60"/>
  <c r="Z260" i="60" s="1"/>
  <c r="Y272" i="60"/>
  <c r="Z272" i="60" s="1"/>
  <c r="Y356" i="60"/>
  <c r="Z356" i="60" s="1"/>
  <c r="Y296" i="60"/>
  <c r="Z296" i="60" s="1"/>
  <c r="Y344" i="60"/>
  <c r="Z344" i="60" s="1"/>
  <c r="Y32" i="60"/>
  <c r="Z32" i="60" s="1"/>
  <c r="Y44" i="60"/>
  <c r="Z44" i="60" s="1"/>
  <c r="Y236" i="60"/>
  <c r="Z236" i="60" s="1"/>
  <c r="Y116" i="60"/>
  <c r="Z116" i="60" s="1"/>
  <c r="Y68" i="60"/>
  <c r="Z68" i="60" s="1"/>
  <c r="AP68" i="60" s="1"/>
  <c r="AR68" i="60" s="1"/>
  <c r="Y176" i="60"/>
  <c r="Z176" i="60" s="1"/>
  <c r="AP176" i="60" s="1"/>
  <c r="AR176" i="60" s="1"/>
  <c r="Y80" i="60"/>
  <c r="Z80" i="60" s="1"/>
  <c r="AP80" i="60" s="1"/>
  <c r="AR80" i="60" s="1"/>
  <c r="Y188" i="60"/>
  <c r="Z188" i="60" s="1"/>
  <c r="Y104" i="60"/>
  <c r="Z104" i="60" s="1"/>
  <c r="Y351" i="60"/>
  <c r="Z351" i="60" s="1"/>
  <c r="Y363" i="60"/>
  <c r="Z363" i="60" s="1"/>
  <c r="AP363" i="60" s="1"/>
  <c r="AR363" i="60" s="1"/>
  <c r="Y339" i="60"/>
  <c r="Z339" i="60" s="1"/>
  <c r="Y171" i="60"/>
  <c r="Z171" i="60" s="1"/>
  <c r="Y75" i="60"/>
  <c r="Z75" i="60" s="1"/>
  <c r="Y183" i="60"/>
  <c r="Z183" i="60" s="1"/>
  <c r="Y87" i="60"/>
  <c r="Z87" i="60" s="1"/>
  <c r="Y255" i="60"/>
  <c r="Z255" i="60" s="1"/>
  <c r="Y147" i="60"/>
  <c r="Z147" i="60" s="1"/>
  <c r="AP147" i="60" s="1"/>
  <c r="AR147" i="60" s="1"/>
  <c r="Y279" i="60"/>
  <c r="Z279" i="60" s="1"/>
  <c r="Y159" i="60"/>
  <c r="Z159" i="60" s="1"/>
  <c r="Y63" i="60"/>
  <c r="Z63" i="60" s="1"/>
  <c r="Y291" i="60"/>
  <c r="Z291" i="60" s="1"/>
  <c r="Y39" i="60"/>
  <c r="Z39" i="60" s="1"/>
  <c r="Y51" i="60"/>
  <c r="Z51" i="60" s="1"/>
  <c r="Y329" i="60"/>
  <c r="Z329" i="60" s="1"/>
  <c r="Y245" i="60"/>
  <c r="Z245" i="60" s="1"/>
  <c r="Y257" i="60"/>
  <c r="Z257" i="60" s="1"/>
  <c r="Y353" i="60"/>
  <c r="Z353" i="60" s="1"/>
  <c r="Y317" i="60"/>
  <c r="Z317" i="60" s="1"/>
  <c r="Y281" i="60"/>
  <c r="Z281" i="60" s="1"/>
  <c r="Y53" i="60"/>
  <c r="Z53" i="60" s="1"/>
  <c r="Y17" i="60"/>
  <c r="Z17" i="60" s="1"/>
  <c r="Y209" i="60"/>
  <c r="Z209" i="60" s="1"/>
  <c r="Y101" i="60"/>
  <c r="Z101" i="60" s="1"/>
  <c r="Y113" i="60"/>
  <c r="Z113" i="60" s="1"/>
  <c r="Y77" i="60"/>
  <c r="Z77" i="60" s="1"/>
  <c r="Y161" i="60"/>
  <c r="Z161" i="60" s="1"/>
  <c r="Y197" i="60"/>
  <c r="Z197" i="60" s="1"/>
  <c r="Y65" i="60"/>
  <c r="Z65" i="60" s="1"/>
  <c r="Y403" i="60"/>
  <c r="Z403" i="60" s="1"/>
  <c r="Y401" i="60"/>
  <c r="Z401" i="60" s="1"/>
  <c r="Y397" i="60"/>
  <c r="Z397" i="60" s="1"/>
  <c r="AP397" i="60" s="1"/>
  <c r="AR397" i="60" s="1"/>
  <c r="Y391" i="60"/>
  <c r="Z391" i="60" s="1"/>
  <c r="Y384" i="60"/>
  <c r="Z384" i="60" s="1"/>
  <c r="Y398" i="60"/>
  <c r="Z398" i="60" s="1"/>
  <c r="Y392" i="60"/>
  <c r="Z392" i="60" s="1"/>
  <c r="Y381" i="60"/>
  <c r="Z381" i="60" s="1"/>
  <c r="Y395" i="60"/>
  <c r="Z395" i="60" s="1"/>
  <c r="AP395" i="60" s="1"/>
  <c r="AR395" i="60" s="1"/>
  <c r="Y386" i="60"/>
  <c r="Z386" i="60" s="1"/>
  <c r="Y378" i="60"/>
  <c r="Z378" i="60" s="1"/>
  <c r="Y387" i="60"/>
  <c r="Z387" i="60" s="1"/>
  <c r="AP387" i="60" s="1"/>
  <c r="AR387" i="60" s="1"/>
  <c r="Y379" i="60"/>
  <c r="Z379" i="60" s="1"/>
  <c r="Y374" i="60"/>
  <c r="Z374" i="60" s="1"/>
  <c r="Y376" i="60"/>
  <c r="Z376" i="60" s="1"/>
  <c r="Y330" i="60"/>
  <c r="Z330" i="60" s="1"/>
  <c r="AP330" i="60" s="1"/>
  <c r="AR330" i="60" s="1"/>
  <c r="Y354" i="60"/>
  <c r="Z354" i="60" s="1"/>
  <c r="AP354" i="60" s="1"/>
  <c r="AR354" i="60" s="1"/>
  <c r="Y366" i="60"/>
  <c r="Z366" i="60" s="1"/>
  <c r="AP366" i="60" s="1"/>
  <c r="AR366" i="60" s="1"/>
  <c r="Y150" i="60"/>
  <c r="Z150" i="60" s="1"/>
  <c r="Y258" i="60"/>
  <c r="Z258" i="60" s="1"/>
  <c r="Y162" i="60"/>
  <c r="Z162" i="60" s="1"/>
  <c r="Y66" i="60"/>
  <c r="Z66" i="60" s="1"/>
  <c r="Y210" i="60"/>
  <c r="Z210" i="60" s="1"/>
  <c r="AP210" i="60" s="1"/>
  <c r="AR210" i="60" s="1"/>
  <c r="Y126" i="60"/>
  <c r="Z126" i="60" s="1"/>
  <c r="Y318" i="60"/>
  <c r="Z318" i="60" s="1"/>
  <c r="Y222" i="60"/>
  <c r="Z222" i="60" s="1"/>
  <c r="AP222" i="60" s="1"/>
  <c r="AR222" i="60" s="1"/>
  <c r="Y138" i="60"/>
  <c r="Z138" i="60" s="1"/>
  <c r="Y294" i="60"/>
  <c r="Z294" i="60" s="1"/>
  <c r="Y54" i="60"/>
  <c r="Z54" i="60" s="1"/>
  <c r="Y18" i="60"/>
  <c r="Z18" i="60" s="1"/>
  <c r="Y276" i="60"/>
  <c r="Z276" i="60" s="1"/>
  <c r="Y348" i="60"/>
  <c r="Z348" i="60" s="1"/>
  <c r="Y288" i="60"/>
  <c r="Z288" i="60" s="1"/>
  <c r="Y300" i="60"/>
  <c r="Z300" i="60" s="1"/>
  <c r="Y312" i="60"/>
  <c r="Z312" i="60" s="1"/>
  <c r="Y204" i="60"/>
  <c r="Z204" i="60" s="1"/>
  <c r="Y360" i="60"/>
  <c r="Z360" i="60" s="1"/>
  <c r="Y216" i="60"/>
  <c r="Z216" i="60" s="1"/>
  <c r="Y240" i="60"/>
  <c r="Z240" i="60" s="1"/>
  <c r="Y132" i="60"/>
  <c r="Z132" i="60" s="1"/>
  <c r="Y144" i="60"/>
  <c r="Z144" i="60" s="1"/>
  <c r="Y180" i="60"/>
  <c r="Z180" i="60" s="1"/>
  <c r="Y192" i="60"/>
  <c r="Z192" i="60" s="1"/>
  <c r="Y156" i="60"/>
  <c r="Z156" i="60" s="1"/>
  <c r="Y96" i="60"/>
  <c r="Z96" i="60" s="1"/>
  <c r="AP96" i="60" s="1"/>
  <c r="AR96" i="60" s="1"/>
  <c r="Y346" i="60"/>
  <c r="Z346" i="60" s="1"/>
  <c r="Y370" i="60"/>
  <c r="Z370" i="60" s="1"/>
  <c r="Y322" i="60"/>
  <c r="Z322" i="60" s="1"/>
  <c r="Y202" i="60"/>
  <c r="Z202" i="60" s="1"/>
  <c r="Y118" i="60"/>
  <c r="Z118" i="60" s="1"/>
  <c r="Y262" i="60"/>
  <c r="Z262" i="60" s="1"/>
  <c r="Y274" i="60"/>
  <c r="Z274" i="60" s="1"/>
  <c r="Y178" i="60"/>
  <c r="Z178" i="60" s="1"/>
  <c r="Y82" i="60"/>
  <c r="Z82" i="60" s="1"/>
  <c r="Y226" i="60"/>
  <c r="Z226" i="60" s="1"/>
  <c r="AP226" i="60" s="1"/>
  <c r="AR226" i="60" s="1"/>
  <c r="Y142" i="60"/>
  <c r="Z142" i="60" s="1"/>
  <c r="Y238" i="60"/>
  <c r="Z238" i="60" s="1"/>
  <c r="AP238" i="60" s="1"/>
  <c r="AR238" i="60" s="1"/>
  <c r="Y106" i="60"/>
  <c r="Z106" i="60" s="1"/>
  <c r="Y34" i="60"/>
  <c r="Z34" i="60" s="1"/>
  <c r="Y58" i="60"/>
  <c r="Z58" i="60" s="1"/>
  <c r="Y316" i="60"/>
  <c r="Z316" i="60" s="1"/>
  <c r="Y280" i="60"/>
  <c r="Z280" i="60" s="1"/>
  <c r="Y292" i="60"/>
  <c r="Z292" i="60" s="1"/>
  <c r="Y304" i="60"/>
  <c r="Z304" i="60" s="1"/>
  <c r="Y352" i="60"/>
  <c r="Z352" i="60" s="1"/>
  <c r="Y220" i="60"/>
  <c r="Z220" i="60" s="1"/>
  <c r="Y364" i="60"/>
  <c r="Z364" i="60" s="1"/>
  <c r="Y16" i="60"/>
  <c r="Z16" i="60" s="1"/>
  <c r="Y28" i="60"/>
  <c r="Z28" i="60" s="1"/>
  <c r="Y160" i="60"/>
  <c r="Z160" i="60" s="1"/>
  <c r="Y124" i="60"/>
  <c r="Z124" i="60" s="1"/>
  <c r="Y64" i="60"/>
  <c r="Z64" i="60" s="1"/>
  <c r="Y76" i="60"/>
  <c r="Z76" i="60" s="1"/>
  <c r="Y100" i="60"/>
  <c r="Z100" i="60" s="1"/>
  <c r="AP100" i="60" s="1"/>
  <c r="AR100" i="60" s="1"/>
  <c r="Y148" i="60"/>
  <c r="Z148" i="60" s="1"/>
  <c r="H368" i="60"/>
  <c r="I368" i="60" s="1"/>
  <c r="O308" i="60"/>
  <c r="P308" i="60" s="1"/>
  <c r="O140" i="60"/>
  <c r="P140" i="60" s="1"/>
  <c r="V260" i="60"/>
  <c r="V116" i="60"/>
  <c r="O171" i="60"/>
  <c r="P171" i="60" s="1"/>
  <c r="O195" i="60"/>
  <c r="P195" i="60" s="1"/>
  <c r="H147" i="60"/>
  <c r="I147" i="60" s="1"/>
  <c r="H15" i="60"/>
  <c r="I15" i="60" s="1"/>
  <c r="V75" i="60"/>
  <c r="V291" i="60"/>
  <c r="H293" i="60"/>
  <c r="I293" i="60" s="1"/>
  <c r="H317" i="60"/>
  <c r="I317" i="60" s="1"/>
  <c r="O197" i="60"/>
  <c r="P197" i="60" s="1"/>
  <c r="O341" i="60"/>
  <c r="P341" i="60" s="1"/>
  <c r="V257" i="60"/>
  <c r="V113" i="60"/>
  <c r="V392" i="60"/>
  <c r="V376" i="60"/>
  <c r="H395" i="60"/>
  <c r="I395" i="60" s="1"/>
  <c r="O400" i="60"/>
  <c r="P400" i="60" s="1"/>
  <c r="O375" i="60"/>
  <c r="P375" i="60" s="1"/>
  <c r="H210" i="60"/>
  <c r="I210" i="60" s="1"/>
  <c r="H198" i="60"/>
  <c r="I198" i="60" s="1"/>
  <c r="O318" i="60"/>
  <c r="P318" i="60" s="1"/>
  <c r="O18" i="60"/>
  <c r="P18" i="60" s="1"/>
  <c r="V66" i="60"/>
  <c r="V18" i="60"/>
  <c r="O180" i="60"/>
  <c r="P180" i="60" s="1"/>
  <c r="O216" i="60"/>
  <c r="P216" i="60" s="1"/>
  <c r="H276" i="60"/>
  <c r="I276" i="60" s="1"/>
  <c r="H108" i="60"/>
  <c r="I108" i="60" s="1"/>
  <c r="V312" i="60"/>
  <c r="V192" i="60"/>
  <c r="V262" i="60"/>
  <c r="V34" i="60"/>
  <c r="H238" i="60"/>
  <c r="I238" i="60" s="1"/>
  <c r="H22" i="60"/>
  <c r="I22" i="60" s="1"/>
  <c r="O178" i="60"/>
  <c r="P178" i="60" s="1"/>
  <c r="H136" i="60"/>
  <c r="I136" i="60" s="1"/>
  <c r="H160" i="60"/>
  <c r="I160" i="60" s="1"/>
  <c r="O196" i="60"/>
  <c r="P196" i="60" s="1"/>
  <c r="O40" i="60"/>
  <c r="P40" i="60" s="1"/>
  <c r="V220" i="60"/>
  <c r="V100" i="60"/>
  <c r="H104" i="60"/>
  <c r="I104" i="60" s="1"/>
  <c r="H344" i="60"/>
  <c r="I344" i="60" s="1"/>
  <c r="O368" i="60"/>
  <c r="P368" i="60" s="1"/>
  <c r="O248" i="60"/>
  <c r="P248" i="60" s="1"/>
  <c r="V284" i="60"/>
  <c r="V92" i="60"/>
  <c r="O183" i="60"/>
  <c r="P183" i="60" s="1"/>
  <c r="O39" i="60"/>
  <c r="P39" i="60" s="1"/>
  <c r="H99" i="60"/>
  <c r="I99" i="60" s="1"/>
  <c r="H267" i="60"/>
  <c r="I267" i="60" s="1"/>
  <c r="V303" i="60"/>
  <c r="V15" i="60"/>
  <c r="H245" i="60"/>
  <c r="I245" i="60" s="1"/>
  <c r="H77" i="60"/>
  <c r="I77" i="60" s="1"/>
  <c r="O257" i="60"/>
  <c r="P257" i="60" s="1"/>
  <c r="O17" i="60"/>
  <c r="P17" i="60" s="1"/>
  <c r="V365" i="60"/>
  <c r="V89" i="60"/>
  <c r="V399" i="60"/>
  <c r="V389" i="60"/>
  <c r="H401" i="60"/>
  <c r="I401" i="60" s="1"/>
  <c r="H396" i="60"/>
  <c r="I396" i="60" s="1"/>
  <c r="O384" i="60"/>
  <c r="P384" i="60" s="1"/>
  <c r="O376" i="60"/>
  <c r="P376" i="60" s="1"/>
  <c r="H162" i="60"/>
  <c r="I162" i="60" s="1"/>
  <c r="H150" i="60"/>
  <c r="I150" i="60" s="1"/>
  <c r="O174" i="60"/>
  <c r="P174" i="60" s="1"/>
  <c r="V342" i="60"/>
  <c r="V78" i="60"/>
  <c r="O300" i="60"/>
  <c r="P300" i="60" s="1"/>
  <c r="O24" i="60"/>
  <c r="P24" i="60" s="1"/>
  <c r="H120" i="60"/>
  <c r="I120" i="60" s="1"/>
  <c r="V324" i="60"/>
  <c r="V24" i="60"/>
  <c r="V334" i="60"/>
  <c r="V190" i="60"/>
  <c r="H286" i="60"/>
  <c r="I286" i="60" s="1"/>
  <c r="H46" i="60"/>
  <c r="I46" i="60" s="1"/>
  <c r="O214" i="60"/>
  <c r="P214" i="60" s="1"/>
  <c r="O118" i="60"/>
  <c r="P118" i="60" s="1"/>
  <c r="H40" i="60"/>
  <c r="I40" i="60" s="1"/>
  <c r="H112" i="60"/>
  <c r="I112" i="60" s="1"/>
  <c r="O148" i="60"/>
  <c r="P148" i="60" s="1"/>
  <c r="O16" i="60"/>
  <c r="P16" i="60" s="1"/>
  <c r="V40" i="60"/>
  <c r="V112" i="60"/>
  <c r="H80" i="60"/>
  <c r="I80" i="60" s="1"/>
  <c r="H320" i="60"/>
  <c r="I320" i="60" s="1"/>
  <c r="O236" i="60"/>
  <c r="P236" i="60" s="1"/>
  <c r="V368" i="60"/>
  <c r="V236" i="60"/>
  <c r="O123" i="60"/>
  <c r="P123" i="60" s="1"/>
  <c r="O63" i="60"/>
  <c r="P63" i="60" s="1"/>
  <c r="H255" i="60"/>
  <c r="I255" i="60" s="1"/>
  <c r="H87" i="60"/>
  <c r="I87" i="60" s="1"/>
  <c r="V171" i="60"/>
  <c r="V63" i="60"/>
  <c r="H281" i="60"/>
  <c r="I281" i="60" s="1"/>
  <c r="O293" i="60"/>
  <c r="P293" i="60" s="1"/>
  <c r="O101" i="60"/>
  <c r="P101" i="60" s="1"/>
  <c r="V245" i="60"/>
  <c r="V101" i="60"/>
  <c r="V398" i="60"/>
  <c r="V374" i="60"/>
  <c r="H393" i="60"/>
  <c r="I393" i="60" s="1"/>
  <c r="H379" i="60"/>
  <c r="I379" i="60" s="1"/>
  <c r="O385" i="60"/>
  <c r="P385" i="60" s="1"/>
  <c r="H90" i="60"/>
  <c r="I90" i="60" s="1"/>
  <c r="H294" i="60"/>
  <c r="I294" i="60" s="1"/>
  <c r="O210" i="60"/>
  <c r="P210" i="60" s="1"/>
  <c r="O162" i="60"/>
  <c r="P162" i="60" s="1"/>
  <c r="V162" i="60"/>
  <c r="V54" i="60"/>
  <c r="O276" i="60"/>
  <c r="P276" i="60" s="1"/>
  <c r="O312" i="60"/>
  <c r="P312" i="60" s="1"/>
  <c r="H216" i="60"/>
  <c r="I216" i="60" s="1"/>
  <c r="H264" i="60"/>
  <c r="I264" i="60" s="1"/>
  <c r="V300" i="60"/>
  <c r="V180" i="60"/>
  <c r="V118" i="60"/>
  <c r="V106" i="60"/>
  <c r="H346" i="60"/>
  <c r="I346" i="60" s="1"/>
  <c r="H166" i="60"/>
  <c r="I166" i="60" s="1"/>
  <c r="O46" i="60"/>
  <c r="P46" i="60" s="1"/>
  <c r="O202" i="60"/>
  <c r="P202" i="60" s="1"/>
  <c r="H52" i="60"/>
  <c r="I52" i="60" s="1"/>
  <c r="H100" i="60"/>
  <c r="I100" i="60" s="1"/>
  <c r="O208" i="60"/>
  <c r="P208" i="60" s="1"/>
  <c r="V316" i="60"/>
  <c r="V28" i="60"/>
  <c r="H284" i="60"/>
  <c r="I284" i="60" s="1"/>
  <c r="H92" i="60"/>
  <c r="I92" i="60" s="1"/>
  <c r="O128" i="60"/>
  <c r="P128" i="60" s="1"/>
  <c r="O104" i="60"/>
  <c r="P104" i="60" s="1"/>
  <c r="V200" i="60"/>
  <c r="V164" i="60"/>
  <c r="O15" i="60"/>
  <c r="P15" i="60" s="1"/>
  <c r="H111" i="60"/>
  <c r="I111" i="60" s="1"/>
  <c r="H243" i="60"/>
  <c r="I243" i="60" s="1"/>
  <c r="V327" i="60"/>
  <c r="V195" i="60"/>
  <c r="H65" i="60"/>
  <c r="I65" i="60" s="1"/>
  <c r="H257" i="60"/>
  <c r="I257" i="60" s="1"/>
  <c r="O221" i="60"/>
  <c r="P221" i="60" s="1"/>
  <c r="O113" i="60"/>
  <c r="P113" i="60" s="1"/>
  <c r="V29" i="60"/>
  <c r="V388" i="60"/>
  <c r="V383" i="60"/>
  <c r="H383" i="60"/>
  <c r="I383" i="60" s="1"/>
  <c r="H385" i="60"/>
  <c r="I385" i="60" s="1"/>
  <c r="O391" i="60"/>
  <c r="P391" i="60" s="1"/>
  <c r="O386" i="60"/>
  <c r="P386" i="60" s="1"/>
  <c r="H258" i="60"/>
  <c r="I258" i="60" s="1"/>
  <c r="H114" i="60"/>
  <c r="I114" i="60" s="1"/>
  <c r="O246" i="60"/>
  <c r="P246" i="60" s="1"/>
  <c r="O222" i="60"/>
  <c r="P222" i="60" s="1"/>
  <c r="V102" i="60"/>
  <c r="V90" i="60"/>
  <c r="O144" i="60"/>
  <c r="P144" i="60" s="1"/>
  <c r="O348" i="60"/>
  <c r="P348" i="60" s="1"/>
  <c r="H48" i="60"/>
  <c r="I48" i="60" s="1"/>
  <c r="H144" i="60"/>
  <c r="I144" i="60" s="1"/>
  <c r="V60" i="60"/>
  <c r="V358" i="60"/>
  <c r="V310" i="60"/>
  <c r="H370" i="60"/>
  <c r="I370" i="60" s="1"/>
  <c r="H190" i="60"/>
  <c r="I190" i="60" s="1"/>
  <c r="O166" i="60"/>
  <c r="P166" i="60" s="1"/>
  <c r="O22" i="60"/>
  <c r="P22" i="60" s="1"/>
  <c r="H172" i="60"/>
  <c r="I172" i="60" s="1"/>
  <c r="H196" i="60"/>
  <c r="I196" i="60" s="1"/>
  <c r="O160" i="60"/>
  <c r="P160" i="60" s="1"/>
  <c r="V340" i="60"/>
  <c r="V184" i="60"/>
  <c r="K212" i="60"/>
  <c r="L212" i="60" s="1"/>
  <c r="K296" i="60"/>
  <c r="L296" i="60" s="1"/>
  <c r="K332" i="60"/>
  <c r="L332" i="60" s="1"/>
  <c r="K248" i="60"/>
  <c r="L248" i="60" s="1"/>
  <c r="K308" i="60"/>
  <c r="L308" i="60" s="1"/>
  <c r="K368" i="60"/>
  <c r="L368" i="60" s="1"/>
  <c r="K236" i="60"/>
  <c r="L236" i="60" s="1"/>
  <c r="K272" i="60"/>
  <c r="L272" i="60" s="1"/>
  <c r="K320" i="60"/>
  <c r="L320" i="60" s="1"/>
  <c r="K39" i="60"/>
  <c r="L39" i="60" s="1"/>
  <c r="K87" i="60"/>
  <c r="L87" i="60" s="1"/>
  <c r="K15" i="60"/>
  <c r="L15" i="60" s="1"/>
  <c r="K27" i="60"/>
  <c r="L27" i="60" s="1"/>
  <c r="K75" i="60"/>
  <c r="L75" i="60" s="1"/>
  <c r="K293" i="60"/>
  <c r="L293" i="60" s="1"/>
  <c r="K221" i="60"/>
  <c r="L221" i="60" s="1"/>
  <c r="K197" i="60"/>
  <c r="L197" i="60" s="1"/>
  <c r="K281" i="60"/>
  <c r="L281" i="60" s="1"/>
  <c r="K317" i="60"/>
  <c r="L317" i="60" s="1"/>
  <c r="K269" i="60"/>
  <c r="L269" i="60" s="1"/>
  <c r="K305" i="60"/>
  <c r="L305" i="60" s="1"/>
  <c r="K382" i="60"/>
  <c r="L382" i="60" s="1"/>
  <c r="K374" i="60"/>
  <c r="L374" i="60" s="1"/>
  <c r="K381" i="60"/>
  <c r="L381" i="60" s="1"/>
  <c r="K380" i="60"/>
  <c r="L380" i="60" s="1"/>
  <c r="K379" i="60"/>
  <c r="L379" i="60" s="1"/>
  <c r="K90" i="60"/>
  <c r="L90" i="60" s="1"/>
  <c r="K66" i="60"/>
  <c r="L66" i="60" s="1"/>
  <c r="K78" i="60"/>
  <c r="L78" i="60" s="1"/>
  <c r="K102" i="60"/>
  <c r="L102" i="60" s="1"/>
  <c r="K54" i="60"/>
  <c r="L54" i="60" s="1"/>
  <c r="K324" i="60"/>
  <c r="L324" i="60" s="1"/>
  <c r="K216" i="60"/>
  <c r="L216" i="60" s="1"/>
  <c r="K276" i="60"/>
  <c r="L276" i="60" s="1"/>
  <c r="K228" i="60"/>
  <c r="L228" i="60" s="1"/>
  <c r="K312" i="60"/>
  <c r="L312" i="60" s="1"/>
  <c r="K348" i="60"/>
  <c r="L348" i="60" s="1"/>
  <c r="K264" i="60"/>
  <c r="L264" i="60" s="1"/>
  <c r="K372" i="60"/>
  <c r="L372" i="60" s="1"/>
  <c r="K288" i="60"/>
  <c r="L288" i="60" s="1"/>
  <c r="K142" i="60"/>
  <c r="L142" i="60" s="1"/>
  <c r="K94" i="60"/>
  <c r="L94" i="60" s="1"/>
  <c r="K82" i="60"/>
  <c r="L82" i="60" s="1"/>
  <c r="K106" i="60"/>
  <c r="L106" i="60" s="1"/>
  <c r="K70" i="60"/>
  <c r="L70" i="60" s="1"/>
  <c r="K22" i="60"/>
  <c r="L22" i="60" s="1"/>
  <c r="K304" i="60"/>
  <c r="L304" i="60" s="1"/>
  <c r="K220" i="60"/>
  <c r="L220" i="60" s="1"/>
  <c r="K280" i="60"/>
  <c r="L280" i="60" s="1"/>
  <c r="K208" i="60"/>
  <c r="L208" i="60" s="1"/>
  <c r="K232" i="60"/>
  <c r="L232" i="60" s="1"/>
  <c r="K316" i="60"/>
  <c r="L316" i="60" s="1"/>
  <c r="K244" i="60"/>
  <c r="L244" i="60" s="1"/>
  <c r="K292" i="60"/>
  <c r="L292" i="60" s="1"/>
  <c r="R292" i="60"/>
  <c r="S292" i="60" s="1"/>
  <c r="H296" i="60"/>
  <c r="I296" i="60" s="1"/>
  <c r="H44" i="60"/>
  <c r="I44" i="60" s="1"/>
  <c r="O68" i="60"/>
  <c r="P68" i="60" s="1"/>
  <c r="O296" i="60"/>
  <c r="P296" i="60" s="1"/>
  <c r="V356" i="60"/>
  <c r="V176" i="60"/>
  <c r="O267" i="60"/>
  <c r="P267" i="60" s="1"/>
  <c r="O87" i="60"/>
  <c r="P87" i="60" s="1"/>
  <c r="H291" i="60"/>
  <c r="I291" i="60" s="1"/>
  <c r="H219" i="60"/>
  <c r="I219" i="60" s="1"/>
  <c r="V87" i="60"/>
  <c r="V51" i="60"/>
  <c r="H221" i="60"/>
  <c r="I221" i="60" s="1"/>
  <c r="H149" i="60"/>
  <c r="I149" i="60" s="1"/>
  <c r="O305" i="60"/>
  <c r="P305" i="60" s="1"/>
  <c r="O137" i="60"/>
  <c r="P137" i="60" s="1"/>
  <c r="V317" i="60"/>
  <c r="V161" i="60"/>
  <c r="V403" i="60"/>
  <c r="V395" i="60"/>
  <c r="H382" i="60"/>
  <c r="I382" i="60" s="1"/>
  <c r="H374" i="60"/>
  <c r="I374" i="60" s="1"/>
  <c r="O402" i="60"/>
  <c r="P402" i="60" s="1"/>
  <c r="O379" i="60"/>
  <c r="P379" i="60" s="1"/>
  <c r="H366" i="60"/>
  <c r="I366" i="60" s="1"/>
  <c r="H54" i="60"/>
  <c r="I54" i="60" s="1"/>
  <c r="O42" i="60"/>
  <c r="P42" i="60" s="1"/>
  <c r="V330" i="60"/>
  <c r="V126" i="60"/>
  <c r="O288" i="60"/>
  <c r="P288" i="60" s="1"/>
  <c r="O72" i="60"/>
  <c r="P72" i="60" s="1"/>
  <c r="H168" i="60"/>
  <c r="I168" i="60" s="1"/>
  <c r="H288" i="60"/>
  <c r="I288" i="60" s="1"/>
  <c r="V360" i="60"/>
  <c r="V96" i="60"/>
  <c r="V178" i="60"/>
  <c r="H250" i="60"/>
  <c r="I250" i="60" s="1"/>
  <c r="H310" i="60"/>
  <c r="I310" i="60" s="1"/>
  <c r="O370" i="60"/>
  <c r="P370" i="60" s="1"/>
  <c r="O154" i="60"/>
  <c r="P154" i="60" s="1"/>
  <c r="H280" i="60"/>
  <c r="I280" i="60" s="1"/>
  <c r="H292" i="60"/>
  <c r="I292" i="60" s="1"/>
  <c r="O304" i="60"/>
  <c r="P304" i="60" s="1"/>
  <c r="O100" i="60"/>
  <c r="P100" i="60" s="1"/>
  <c r="V16" i="60"/>
  <c r="H20" i="60"/>
  <c r="I20" i="60" s="1"/>
  <c r="H356" i="60"/>
  <c r="I356" i="60" s="1"/>
  <c r="O224" i="60"/>
  <c r="P224" i="60" s="1"/>
  <c r="O44" i="60"/>
  <c r="P44" i="60" s="1"/>
  <c r="V20" i="60"/>
  <c r="V128" i="60"/>
  <c r="O159" i="60"/>
  <c r="P159" i="60" s="1"/>
  <c r="O51" i="60"/>
  <c r="P51" i="60" s="1"/>
  <c r="H171" i="60"/>
  <c r="I171" i="60" s="1"/>
  <c r="V315" i="60"/>
  <c r="V99" i="60"/>
  <c r="H173" i="60"/>
  <c r="I173" i="60" s="1"/>
  <c r="H365" i="60"/>
  <c r="I365" i="60" s="1"/>
  <c r="O317" i="60"/>
  <c r="P317" i="60" s="1"/>
  <c r="O29" i="60"/>
  <c r="P29" i="60" s="1"/>
  <c r="V221" i="60"/>
  <c r="V137" i="60"/>
  <c r="V402" i="60"/>
  <c r="V390" i="60"/>
  <c r="H403" i="60"/>
  <c r="I403" i="60" s="1"/>
  <c r="H384" i="60"/>
  <c r="I384" i="60" s="1"/>
  <c r="O374" i="60"/>
  <c r="P374" i="60" s="1"/>
  <c r="O393" i="60"/>
  <c r="P393" i="60" s="1"/>
  <c r="H138" i="60"/>
  <c r="I138" i="60" s="1"/>
  <c r="H270" i="60"/>
  <c r="I270" i="60" s="1"/>
  <c r="O198" i="60"/>
  <c r="P198" i="60" s="1"/>
  <c r="O306" i="60"/>
  <c r="P306" i="60" s="1"/>
  <c r="V234" i="60"/>
  <c r="V186" i="60"/>
  <c r="O324" i="60"/>
  <c r="P324" i="60" s="1"/>
  <c r="O372" i="60"/>
  <c r="P372" i="60" s="1"/>
  <c r="H24" i="60"/>
  <c r="I24" i="60" s="1"/>
  <c r="H60" i="60"/>
  <c r="I60" i="60" s="1"/>
  <c r="V372" i="60"/>
  <c r="V168" i="60"/>
  <c r="V166" i="60"/>
  <c r="V154" i="60"/>
  <c r="H130" i="60"/>
  <c r="I130" i="60" s="1"/>
  <c r="H118" i="60"/>
  <c r="I118" i="60" s="1"/>
  <c r="O238" i="60"/>
  <c r="P238" i="60" s="1"/>
  <c r="O190" i="60"/>
  <c r="P190" i="60" s="1"/>
  <c r="H88" i="60"/>
  <c r="I88" i="60" s="1"/>
  <c r="H148" i="60"/>
  <c r="I148" i="60" s="1"/>
  <c r="O256" i="60"/>
  <c r="P256" i="60" s="1"/>
  <c r="O28" i="60"/>
  <c r="P28" i="60" s="1"/>
  <c r="V208" i="60"/>
  <c r="H212" i="60"/>
  <c r="I212" i="60" s="1"/>
  <c r="H236" i="60"/>
  <c r="I236" i="60" s="1"/>
  <c r="O212" i="60"/>
  <c r="P212" i="60" s="1"/>
  <c r="O332" i="60"/>
  <c r="P332" i="60" s="1"/>
  <c r="V272" i="60"/>
  <c r="V68" i="60"/>
  <c r="O219" i="60"/>
  <c r="P219" i="60" s="1"/>
  <c r="O207" i="60"/>
  <c r="P207" i="60" s="1"/>
  <c r="H351" i="60"/>
  <c r="I351" i="60" s="1"/>
  <c r="H27" i="60"/>
  <c r="I27" i="60" s="1"/>
  <c r="V183" i="60"/>
  <c r="V39" i="60"/>
  <c r="H41" i="60"/>
  <c r="I41" i="60" s="1"/>
  <c r="H161" i="60"/>
  <c r="I161" i="60" s="1"/>
  <c r="O329" i="60"/>
  <c r="P329" i="60" s="1"/>
  <c r="O233" i="60"/>
  <c r="P233" i="60" s="1"/>
  <c r="V353" i="60"/>
  <c r="V77" i="60"/>
  <c r="V381" i="60"/>
  <c r="H391" i="60"/>
  <c r="I391" i="60" s="1"/>
  <c r="H389" i="60"/>
  <c r="I389" i="60" s="1"/>
  <c r="O401" i="60"/>
  <c r="P401" i="60" s="1"/>
  <c r="O395" i="60"/>
  <c r="P395" i="60" s="1"/>
  <c r="H318" i="60"/>
  <c r="I318" i="60" s="1"/>
  <c r="H102" i="60"/>
  <c r="I102" i="60" s="1"/>
  <c r="O258" i="60"/>
  <c r="P258" i="60" s="1"/>
  <c r="O282" i="60"/>
  <c r="P282" i="60" s="1"/>
  <c r="V210" i="60"/>
  <c r="O360" i="60"/>
  <c r="P360" i="60" s="1"/>
  <c r="O60" i="60"/>
  <c r="P60" i="60" s="1"/>
  <c r="H36" i="60"/>
  <c r="I36" i="60" s="1"/>
  <c r="H372" i="60"/>
  <c r="I372" i="60" s="1"/>
  <c r="V204" i="60"/>
  <c r="V156" i="60"/>
  <c r="V274" i="60"/>
  <c r="V58" i="60"/>
  <c r="H82" i="60"/>
  <c r="I82" i="60" s="1"/>
  <c r="O358" i="60"/>
  <c r="P358" i="60" s="1"/>
  <c r="O286" i="60"/>
  <c r="P286" i="60" s="1"/>
  <c r="H184" i="60"/>
  <c r="I184" i="60" s="1"/>
  <c r="H232" i="60"/>
  <c r="I232" i="60" s="1"/>
  <c r="O184" i="60"/>
  <c r="P184" i="60" s="1"/>
  <c r="O268" i="60"/>
  <c r="P268" i="60" s="1"/>
  <c r="V292" i="60"/>
  <c r="V124" i="60"/>
  <c r="H32" i="60"/>
  <c r="I32" i="60" s="1"/>
  <c r="H140" i="60"/>
  <c r="I140" i="60" s="1"/>
  <c r="O188" i="60"/>
  <c r="P188" i="60" s="1"/>
  <c r="V308" i="60"/>
  <c r="V56" i="60"/>
  <c r="O327" i="60"/>
  <c r="P327" i="60" s="1"/>
  <c r="O27" i="60"/>
  <c r="P27" i="60" s="1"/>
  <c r="H339" i="60"/>
  <c r="I339" i="60" s="1"/>
  <c r="H51" i="60"/>
  <c r="I51" i="60" s="1"/>
  <c r="V123" i="60"/>
  <c r="V267" i="60"/>
  <c r="H89" i="60"/>
  <c r="I89" i="60" s="1"/>
  <c r="O245" i="60"/>
  <c r="P245" i="60" s="1"/>
  <c r="O353" i="60"/>
  <c r="P353" i="60" s="1"/>
  <c r="V305" i="60"/>
  <c r="V149" i="60"/>
  <c r="V393" i="60"/>
  <c r="V394" i="60"/>
  <c r="H377" i="60"/>
  <c r="I377" i="60" s="1"/>
  <c r="H376" i="60"/>
  <c r="I376" i="60" s="1"/>
  <c r="O377" i="60"/>
  <c r="P377" i="60" s="1"/>
  <c r="H174" i="60"/>
  <c r="I174" i="60" s="1"/>
  <c r="H42" i="60"/>
  <c r="I42" i="60" s="1"/>
  <c r="O30" i="60"/>
  <c r="P30" i="60" s="1"/>
  <c r="O114" i="60"/>
  <c r="P114" i="60" s="1"/>
  <c r="V114" i="60"/>
  <c r="V270" i="60"/>
  <c r="O204" i="60"/>
  <c r="P204" i="60" s="1"/>
  <c r="H132" i="60"/>
  <c r="I132" i="60" s="1"/>
  <c r="H156" i="60"/>
  <c r="I156" i="60" s="1"/>
  <c r="V336" i="60"/>
  <c r="V84" i="60"/>
  <c r="V250" i="60"/>
  <c r="V94" i="60"/>
  <c r="H358" i="60"/>
  <c r="I358" i="60" s="1"/>
  <c r="H262" i="60"/>
  <c r="I262" i="60" s="1"/>
  <c r="O130" i="60"/>
  <c r="P130" i="60" s="1"/>
  <c r="O274" i="60"/>
  <c r="P274" i="60" s="1"/>
  <c r="H76" i="60"/>
  <c r="I76" i="60" s="1"/>
  <c r="H64" i="60"/>
  <c r="I64" i="60" s="1"/>
  <c r="O136" i="60"/>
  <c r="P136" i="60" s="1"/>
  <c r="O220" i="60"/>
  <c r="P220" i="60" s="1"/>
  <c r="V244" i="60"/>
  <c r="V136" i="60"/>
  <c r="K56" i="60"/>
  <c r="L56" i="60" s="1"/>
  <c r="K104" i="60"/>
  <c r="L104" i="60" s="1"/>
  <c r="K164" i="60"/>
  <c r="L164" i="60" s="1"/>
  <c r="K20" i="60"/>
  <c r="L20" i="60" s="1"/>
  <c r="K116" i="60"/>
  <c r="L116" i="60" s="1"/>
  <c r="K32" i="60"/>
  <c r="L32" i="60" s="1"/>
  <c r="K188" i="60"/>
  <c r="L188" i="60" s="1"/>
  <c r="K92" i="60"/>
  <c r="L92" i="60" s="1"/>
  <c r="K140" i="60"/>
  <c r="L140" i="60" s="1"/>
  <c r="K231" i="60"/>
  <c r="L231" i="60" s="1"/>
  <c r="K339" i="60"/>
  <c r="L339" i="60" s="1"/>
  <c r="K183" i="60"/>
  <c r="L183" i="60" s="1"/>
  <c r="K207" i="60"/>
  <c r="L207" i="60" s="1"/>
  <c r="K171" i="60"/>
  <c r="L171" i="60" s="1"/>
  <c r="K243" i="60"/>
  <c r="L243" i="60" s="1"/>
  <c r="K279" i="60"/>
  <c r="L279" i="60" s="1"/>
  <c r="K267" i="60"/>
  <c r="L267" i="60" s="1"/>
  <c r="K315" i="60"/>
  <c r="L315" i="60" s="1"/>
  <c r="K101" i="60"/>
  <c r="L101" i="60" s="1"/>
  <c r="K185" i="60"/>
  <c r="L185" i="60" s="1"/>
  <c r="K173" i="60"/>
  <c r="L173" i="60" s="1"/>
  <c r="K65" i="60"/>
  <c r="L65" i="60" s="1"/>
  <c r="K89" i="60"/>
  <c r="L89" i="60" s="1"/>
  <c r="K125" i="60"/>
  <c r="L125" i="60" s="1"/>
  <c r="K77" i="60"/>
  <c r="L77" i="60" s="1"/>
  <c r="K398" i="60"/>
  <c r="L398" i="60" s="1"/>
  <c r="K401" i="60"/>
  <c r="L401" i="60" s="1"/>
  <c r="K394" i="60"/>
  <c r="L394" i="60" s="1"/>
  <c r="K403" i="60"/>
  <c r="L403" i="60" s="1"/>
  <c r="K402" i="60"/>
  <c r="L402" i="60" s="1"/>
  <c r="K386" i="60"/>
  <c r="L386" i="60" s="1"/>
  <c r="K396" i="60"/>
  <c r="L396" i="60" s="1"/>
  <c r="K385" i="60"/>
  <c r="L385" i="60" s="1"/>
  <c r="K392" i="60"/>
  <c r="L392" i="60" s="1"/>
  <c r="K258" i="60"/>
  <c r="L258" i="60" s="1"/>
  <c r="K282" i="60"/>
  <c r="L282" i="60" s="1"/>
  <c r="K174" i="60"/>
  <c r="L174" i="60" s="1"/>
  <c r="K234" i="60"/>
  <c r="L234" i="60" s="1"/>
  <c r="K162" i="60"/>
  <c r="L162" i="60" s="1"/>
  <c r="K270" i="60"/>
  <c r="L270" i="60" s="1"/>
  <c r="K342" i="60"/>
  <c r="L342" i="60" s="1"/>
  <c r="K246" i="60"/>
  <c r="L246" i="60" s="1"/>
  <c r="K150" i="60"/>
  <c r="L150" i="60" s="1"/>
  <c r="K132" i="60"/>
  <c r="L132" i="60" s="1"/>
  <c r="K24" i="60"/>
  <c r="L24" i="60" s="1"/>
  <c r="K84" i="60"/>
  <c r="L84" i="60" s="1"/>
  <c r="K48" i="60"/>
  <c r="L48" i="60" s="1"/>
  <c r="K120" i="60"/>
  <c r="L120" i="60" s="1"/>
  <c r="K156" i="60"/>
  <c r="L156" i="60" s="1"/>
  <c r="K60" i="60"/>
  <c r="L60" i="60" s="1"/>
  <c r="K192" i="60"/>
  <c r="L192" i="60" s="1"/>
  <c r="K144" i="60"/>
  <c r="L144" i="60" s="1"/>
  <c r="K334" i="60"/>
  <c r="L334" i="60" s="1"/>
  <c r="K370" i="60"/>
  <c r="L370" i="60" s="1"/>
  <c r="K286" i="60"/>
  <c r="L286" i="60" s="1"/>
  <c r="K358" i="60"/>
  <c r="L358" i="60" s="1"/>
  <c r="K154" i="60"/>
  <c r="L154" i="60" s="1"/>
  <c r="K274" i="60"/>
  <c r="L274" i="60" s="1"/>
  <c r="K298" i="60"/>
  <c r="L298" i="60" s="1"/>
  <c r="K190" i="60"/>
  <c r="L190" i="60" s="1"/>
  <c r="K262" i="60"/>
  <c r="L262" i="60" s="1"/>
  <c r="K214" i="60"/>
  <c r="L214" i="60" s="1"/>
  <c r="K76" i="60"/>
  <c r="L76" i="60" s="1"/>
  <c r="K40" i="60"/>
  <c r="L40" i="60" s="1"/>
  <c r="K88" i="60"/>
  <c r="L88" i="60" s="1"/>
  <c r="K172" i="60"/>
  <c r="L172" i="60" s="1"/>
  <c r="K64" i="60"/>
  <c r="L64" i="60" s="1"/>
  <c r="K124" i="60"/>
  <c r="L124" i="60" s="1"/>
  <c r="K112" i="60"/>
  <c r="L112" i="60" s="1"/>
  <c r="K148" i="60"/>
  <c r="L148" i="60" s="1"/>
  <c r="R260" i="60"/>
  <c r="S260" i="60" s="1"/>
  <c r="R164" i="60"/>
  <c r="S164" i="60" s="1"/>
  <c r="R368" i="60"/>
  <c r="S368" i="60" s="1"/>
  <c r="R320" i="60"/>
  <c r="S320" i="60" s="1"/>
  <c r="R224" i="60"/>
  <c r="S224" i="60" s="1"/>
  <c r="R128" i="60"/>
  <c r="S128" i="60" s="1"/>
  <c r="R284" i="60"/>
  <c r="S284" i="60" s="1"/>
  <c r="R188" i="60"/>
  <c r="S188" i="60" s="1"/>
  <c r="R344" i="60"/>
  <c r="S344" i="60" s="1"/>
  <c r="R116" i="60"/>
  <c r="S116" i="60" s="1"/>
  <c r="R248" i="60"/>
  <c r="S248" i="60" s="1"/>
  <c r="R152" i="60"/>
  <c r="S152" i="60" s="1"/>
  <c r="R44" i="60"/>
  <c r="S44" i="60" s="1"/>
  <c r="R104" i="60"/>
  <c r="S104" i="60" s="1"/>
  <c r="R20" i="60"/>
  <c r="S20" i="60" s="1"/>
  <c r="R315" i="60"/>
  <c r="S315" i="60" s="1"/>
  <c r="R327" i="60"/>
  <c r="S327" i="60" s="1"/>
  <c r="R339" i="60"/>
  <c r="S339" i="60" s="1"/>
  <c r="R351" i="60"/>
  <c r="S351" i="60" s="1"/>
  <c r="R183" i="60"/>
  <c r="S183" i="60" s="1"/>
  <c r="R291" i="60"/>
  <c r="S291" i="60" s="1"/>
  <c r="R159" i="60"/>
  <c r="S159" i="60" s="1"/>
  <c r="R15" i="60"/>
  <c r="S15" i="60" s="1"/>
  <c r="R279" i="60"/>
  <c r="S279" i="60" s="1"/>
  <c r="R27" i="60"/>
  <c r="S27" i="60" s="1"/>
  <c r="R99" i="60"/>
  <c r="S99" i="60" s="1"/>
  <c r="R135" i="60"/>
  <c r="S135" i="60" s="1"/>
  <c r="R39" i="60"/>
  <c r="S39" i="60" s="1"/>
  <c r="R255" i="60"/>
  <c r="S255" i="60" s="1"/>
  <c r="R51" i="60"/>
  <c r="S51" i="60" s="1"/>
  <c r="R245" i="60"/>
  <c r="S245" i="60" s="1"/>
  <c r="R149" i="60"/>
  <c r="S149" i="60" s="1"/>
  <c r="R53" i="60"/>
  <c r="S53" i="60" s="1"/>
  <c r="R257" i="60"/>
  <c r="S257" i="60" s="1"/>
  <c r="R161" i="60"/>
  <c r="S161" i="60" s="1"/>
  <c r="R317" i="60"/>
  <c r="S317" i="60" s="1"/>
  <c r="R221" i="60"/>
  <c r="S221" i="60" s="1"/>
  <c r="R125" i="60"/>
  <c r="S125" i="60" s="1"/>
  <c r="R353" i="60"/>
  <c r="S353" i="60" s="1"/>
  <c r="R281" i="60"/>
  <c r="S281" i="60" s="1"/>
  <c r="R185" i="60"/>
  <c r="S185" i="60" s="1"/>
  <c r="R17" i="60"/>
  <c r="S17" i="60" s="1"/>
  <c r="R365" i="60"/>
  <c r="S365" i="60" s="1"/>
  <c r="R29" i="60"/>
  <c r="S29" i="60" s="1"/>
  <c r="R113" i="60"/>
  <c r="S113" i="60" s="1"/>
  <c r="R392" i="60"/>
  <c r="S392" i="60" s="1"/>
  <c r="R396" i="60"/>
  <c r="S396" i="60" s="1"/>
  <c r="R384" i="60"/>
  <c r="S384" i="60" s="1"/>
  <c r="R388" i="60"/>
  <c r="S388" i="60" s="1"/>
  <c r="R374" i="60"/>
  <c r="S374" i="60" s="1"/>
  <c r="R391" i="60"/>
  <c r="S391" i="60" s="1"/>
  <c r="R383" i="60"/>
  <c r="S383" i="60" s="1"/>
  <c r="R377" i="60"/>
  <c r="S377" i="60" s="1"/>
  <c r="R394" i="60"/>
  <c r="S394" i="60" s="1"/>
  <c r="R389" i="60"/>
  <c r="S389" i="60" s="1"/>
  <c r="R376" i="60"/>
  <c r="S376" i="60" s="1"/>
  <c r="R399" i="60"/>
  <c r="S399" i="60" s="1"/>
  <c r="R393" i="60"/>
  <c r="S393" i="60" s="1"/>
  <c r="R386" i="60"/>
  <c r="S386" i="60" s="1"/>
  <c r="R378" i="60"/>
  <c r="S378" i="60" s="1"/>
  <c r="R150" i="60"/>
  <c r="S150" i="60" s="1"/>
  <c r="R198" i="60"/>
  <c r="S198" i="60" s="1"/>
  <c r="R246" i="60"/>
  <c r="S246" i="60" s="1"/>
  <c r="R294" i="60"/>
  <c r="S294" i="60" s="1"/>
  <c r="R30" i="60"/>
  <c r="S30" i="60" s="1"/>
  <c r="R258" i="60"/>
  <c r="S258" i="60" s="1"/>
  <c r="R42" i="60"/>
  <c r="S42" i="60" s="1"/>
  <c r="R102" i="60"/>
  <c r="S102" i="60" s="1"/>
  <c r="R54" i="60"/>
  <c r="S54" i="60" s="1"/>
  <c r="R90" i="60"/>
  <c r="S90" i="60" s="1"/>
  <c r="R234" i="60"/>
  <c r="S234" i="60" s="1"/>
  <c r="R162" i="60"/>
  <c r="S162" i="60" s="1"/>
  <c r="R18" i="60"/>
  <c r="S18" i="60" s="1"/>
  <c r="R282" i="60"/>
  <c r="S282" i="60" s="1"/>
  <c r="R336" i="60"/>
  <c r="S336" i="60" s="1"/>
  <c r="R276" i="60"/>
  <c r="S276" i="60" s="1"/>
  <c r="R180" i="60"/>
  <c r="S180" i="60" s="1"/>
  <c r="R360" i="60"/>
  <c r="S360" i="60" s="1"/>
  <c r="R288" i="60"/>
  <c r="S288" i="60" s="1"/>
  <c r="R192" i="60"/>
  <c r="S192" i="60" s="1"/>
  <c r="R108" i="60"/>
  <c r="S108" i="60" s="1"/>
  <c r="R252" i="60"/>
  <c r="S252" i="60" s="1"/>
  <c r="R156" i="60"/>
  <c r="S156" i="60" s="1"/>
  <c r="R312" i="60"/>
  <c r="S312" i="60" s="1"/>
  <c r="R216" i="60"/>
  <c r="S216" i="60" s="1"/>
  <c r="R60" i="60"/>
  <c r="S60" i="60" s="1"/>
  <c r="R72" i="60"/>
  <c r="S72" i="60" s="1"/>
  <c r="R36" i="60"/>
  <c r="S36" i="60" s="1"/>
  <c r="R120" i="60"/>
  <c r="S120" i="60" s="1"/>
  <c r="R358" i="60"/>
  <c r="S358" i="60" s="1"/>
  <c r="R370" i="60"/>
  <c r="S370" i="60" s="1"/>
  <c r="R334" i="60"/>
  <c r="S334" i="60" s="1"/>
  <c r="R346" i="60"/>
  <c r="S346" i="60" s="1"/>
  <c r="R322" i="60"/>
  <c r="S322" i="60" s="1"/>
  <c r="R58" i="60"/>
  <c r="S58" i="60" s="1"/>
  <c r="R46" i="60"/>
  <c r="S46" i="60" s="1"/>
  <c r="R178" i="60"/>
  <c r="S178" i="60" s="1"/>
  <c r="R286" i="60"/>
  <c r="S286" i="60" s="1"/>
  <c r="R154" i="60"/>
  <c r="S154" i="60" s="1"/>
  <c r="R106" i="60"/>
  <c r="S106" i="60" s="1"/>
  <c r="R142" i="60"/>
  <c r="S142" i="60" s="1"/>
  <c r="R70" i="60"/>
  <c r="S70" i="60" s="1"/>
  <c r="R34" i="60"/>
  <c r="S34" i="60" s="1"/>
  <c r="R202" i="60"/>
  <c r="S202" i="60" s="1"/>
  <c r="R280" i="60"/>
  <c r="S280" i="60" s="1"/>
  <c r="R184" i="60"/>
  <c r="S184" i="60" s="1"/>
  <c r="R340" i="60"/>
  <c r="S340" i="60" s="1"/>
  <c r="R244" i="60"/>
  <c r="S244" i="60" s="1"/>
  <c r="R148" i="60"/>
  <c r="S148" i="60" s="1"/>
  <c r="R64" i="60"/>
  <c r="S64" i="60" s="1"/>
  <c r="R256" i="60"/>
  <c r="S256" i="60" s="1"/>
  <c r="R160" i="60"/>
  <c r="S160" i="60" s="1"/>
  <c r="R316" i="60"/>
  <c r="S316" i="60" s="1"/>
  <c r="R220" i="60"/>
  <c r="S220" i="60" s="1"/>
  <c r="R124" i="60"/>
  <c r="S124" i="60" s="1"/>
  <c r="R352" i="60"/>
  <c r="S352" i="60" s="1"/>
  <c r="R16" i="60"/>
  <c r="S16" i="60" s="1"/>
  <c r="R76" i="60"/>
  <c r="S76" i="60" s="1"/>
  <c r="R28" i="60"/>
  <c r="S28" i="60" s="1"/>
  <c r="Y308" i="60"/>
  <c r="Z308" i="60" s="1"/>
  <c r="AP308" i="60" s="1"/>
  <c r="AR308" i="60" s="1"/>
  <c r="Y332" i="60"/>
  <c r="Z332" i="60" s="1"/>
  <c r="AP332" i="60" s="1"/>
  <c r="AR332" i="60" s="1"/>
  <c r="Y320" i="60"/>
  <c r="Z320" i="60" s="1"/>
  <c r="AP320" i="60" s="1"/>
  <c r="AR320" i="60" s="1"/>
  <c r="Y284" i="60"/>
  <c r="Z284" i="60" s="1"/>
  <c r="Y248" i="60"/>
  <c r="Z248" i="60" s="1"/>
  <c r="Y20" i="60"/>
  <c r="Z20" i="60" s="1"/>
  <c r="Y200" i="60"/>
  <c r="Z200" i="60" s="1"/>
  <c r="Y224" i="60"/>
  <c r="Z224" i="60" s="1"/>
  <c r="Y56" i="60"/>
  <c r="Z56" i="60" s="1"/>
  <c r="AP56" i="60" s="1"/>
  <c r="AR56" i="60" s="1"/>
  <c r="Y140" i="60"/>
  <c r="Z140" i="60" s="1"/>
  <c r="AP140" i="60" s="1"/>
  <c r="AR140" i="60" s="1"/>
  <c r="Y212" i="60"/>
  <c r="Z212" i="60" s="1"/>
  <c r="AP212" i="60" s="1"/>
  <c r="AR212" i="60" s="1"/>
  <c r="Y92" i="60"/>
  <c r="Z92" i="60" s="1"/>
  <c r="AP92" i="60" s="1"/>
  <c r="AR92" i="60" s="1"/>
  <c r="Y152" i="60"/>
  <c r="Z152" i="60" s="1"/>
  <c r="AP152" i="60" s="1"/>
  <c r="AR152" i="60" s="1"/>
  <c r="Y128" i="60"/>
  <c r="Z128" i="60" s="1"/>
  <c r="AP128" i="60" s="1"/>
  <c r="AR128" i="60" s="1"/>
  <c r="Y164" i="60"/>
  <c r="Z164" i="60" s="1"/>
  <c r="AP164" i="60" s="1"/>
  <c r="AR164" i="60" s="1"/>
  <c r="Y315" i="60"/>
  <c r="Z315" i="60" s="1"/>
  <c r="AP315" i="60" s="1"/>
  <c r="AR315" i="60" s="1"/>
  <c r="Y327" i="60"/>
  <c r="Z327" i="60" s="1"/>
  <c r="AP327" i="60" s="1"/>
  <c r="AR327" i="60" s="1"/>
  <c r="Y207" i="60"/>
  <c r="Z207" i="60" s="1"/>
  <c r="AP207" i="60" s="1"/>
  <c r="AR207" i="60" s="1"/>
  <c r="Y123" i="60"/>
  <c r="Z123" i="60" s="1"/>
  <c r="Y219" i="60"/>
  <c r="Z219" i="60" s="1"/>
  <c r="AP219" i="60" s="1"/>
  <c r="AR219" i="60" s="1"/>
  <c r="Y135" i="60"/>
  <c r="Z135" i="60" s="1"/>
  <c r="Y303" i="60"/>
  <c r="Z303" i="60" s="1"/>
  <c r="AP303" i="60" s="1"/>
  <c r="AR303" i="60" s="1"/>
  <c r="Y231" i="60"/>
  <c r="Z231" i="60" s="1"/>
  <c r="AP231" i="60" s="1"/>
  <c r="AR231" i="60" s="1"/>
  <c r="Y99" i="60"/>
  <c r="Z99" i="60" s="1"/>
  <c r="Y195" i="60"/>
  <c r="Z195" i="60" s="1"/>
  <c r="AP195" i="60" s="1"/>
  <c r="AR195" i="60" s="1"/>
  <c r="Y111" i="60"/>
  <c r="Z111" i="60" s="1"/>
  <c r="Y267" i="60"/>
  <c r="Z267" i="60" s="1"/>
  <c r="AP267" i="60" s="1"/>
  <c r="AR267" i="60" s="1"/>
  <c r="Y243" i="60"/>
  <c r="Z243" i="60" s="1"/>
  <c r="AP243" i="60" s="1"/>
  <c r="AR243" i="60" s="1"/>
  <c r="Y27" i="60"/>
  <c r="Z27" i="60" s="1"/>
  <c r="AP27" i="60" s="1"/>
  <c r="AR27" i="60" s="1"/>
  <c r="Y15" i="60"/>
  <c r="Z15" i="60" s="1"/>
  <c r="AP15" i="60" s="1"/>
  <c r="AR15" i="60" s="1"/>
  <c r="Y293" i="60"/>
  <c r="Z293" i="60" s="1"/>
  <c r="AP293" i="60" s="1"/>
  <c r="AR293" i="60" s="1"/>
  <c r="Y305" i="60"/>
  <c r="Z305" i="60" s="1"/>
  <c r="AP305" i="60" s="1"/>
  <c r="AR305" i="60" s="1"/>
  <c r="Y341" i="60"/>
  <c r="Z341" i="60" s="1"/>
  <c r="Y269" i="60"/>
  <c r="Z269" i="60" s="1"/>
  <c r="AP269" i="60" s="1"/>
  <c r="AR269" i="60" s="1"/>
  <c r="Y365" i="60"/>
  <c r="Z365" i="60" s="1"/>
  <c r="Y233" i="60"/>
  <c r="Z233" i="60" s="1"/>
  <c r="Y221" i="60"/>
  <c r="Z221" i="60" s="1"/>
  <c r="AP221" i="60" s="1"/>
  <c r="AR221" i="60" s="1"/>
  <c r="Y29" i="60"/>
  <c r="Z29" i="60" s="1"/>
  <c r="AP29" i="60" s="1"/>
  <c r="AR29" i="60" s="1"/>
  <c r="Y41" i="60"/>
  <c r="Z41" i="60" s="1"/>
  <c r="AP41" i="60" s="1"/>
  <c r="AR41" i="60" s="1"/>
  <c r="Y149" i="60"/>
  <c r="Z149" i="60" s="1"/>
  <c r="AP149" i="60" s="1"/>
  <c r="AR149" i="60" s="1"/>
  <c r="Y125" i="60"/>
  <c r="Z125" i="60" s="1"/>
  <c r="AP125" i="60" s="1"/>
  <c r="AR125" i="60" s="1"/>
  <c r="Y185" i="60"/>
  <c r="Z185" i="60" s="1"/>
  <c r="AP185" i="60" s="1"/>
  <c r="AR185" i="60" s="1"/>
  <c r="Y89" i="60"/>
  <c r="Z89" i="60" s="1"/>
  <c r="AP89" i="60" s="1"/>
  <c r="AR89" i="60" s="1"/>
  <c r="Y173" i="60"/>
  <c r="Z173" i="60" s="1"/>
  <c r="AP173" i="60" s="1"/>
  <c r="AR173" i="60" s="1"/>
  <c r="Y137" i="60"/>
  <c r="Z137" i="60" s="1"/>
  <c r="AP137" i="60" s="1"/>
  <c r="AR137" i="60" s="1"/>
  <c r="Y399" i="60"/>
  <c r="Z399" i="60" s="1"/>
  <c r="AP399" i="60" s="1"/>
  <c r="AR399" i="60" s="1"/>
  <c r="Y400" i="60"/>
  <c r="Z400" i="60" s="1"/>
  <c r="AP400" i="60" s="1"/>
  <c r="AR400" i="60" s="1"/>
  <c r="Y402" i="60"/>
  <c r="Z402" i="60" s="1"/>
  <c r="AP402" i="60" s="1"/>
  <c r="AR402" i="60" s="1"/>
  <c r="Y388" i="60"/>
  <c r="Z388" i="60" s="1"/>
  <c r="AP388" i="60" s="1"/>
  <c r="AR388" i="60" s="1"/>
  <c r="Y380" i="60"/>
  <c r="Z380" i="60" s="1"/>
  <c r="AP380" i="60" s="1"/>
  <c r="AR380" i="60" s="1"/>
  <c r="Y393" i="60"/>
  <c r="Z393" i="60" s="1"/>
  <c r="AP393" i="60" s="1"/>
  <c r="AR393" i="60" s="1"/>
  <c r="Y385" i="60"/>
  <c r="Z385" i="60" s="1"/>
  <c r="AP385" i="60" s="1"/>
  <c r="AR385" i="60" s="1"/>
  <c r="Y396" i="60"/>
  <c r="Z396" i="60" s="1"/>
  <c r="AP396" i="60" s="1"/>
  <c r="AR396" i="60" s="1"/>
  <c r="Y389" i="60"/>
  <c r="Z389" i="60" s="1"/>
  <c r="Y382" i="60"/>
  <c r="Z382" i="60" s="1"/>
  <c r="AP382" i="60" s="1"/>
  <c r="AR382" i="60" s="1"/>
  <c r="Y390" i="60"/>
  <c r="Z390" i="60" s="1"/>
  <c r="AP390" i="60" s="1"/>
  <c r="AR390" i="60" s="1"/>
  <c r="Y383" i="60"/>
  <c r="Z383" i="60" s="1"/>
  <c r="Y377" i="60"/>
  <c r="Z377" i="60" s="1"/>
  <c r="Y394" i="60"/>
  <c r="Z394" i="60" s="1"/>
  <c r="AP394" i="60" s="1"/>
  <c r="AR394" i="60" s="1"/>
  <c r="Y375" i="60"/>
  <c r="Z375" i="60" s="1"/>
  <c r="Y342" i="60"/>
  <c r="Z342" i="60" s="1"/>
  <c r="AP342" i="60" s="1"/>
  <c r="AR342" i="60" s="1"/>
  <c r="Y306" i="60"/>
  <c r="Z306" i="60" s="1"/>
  <c r="AP306" i="60" s="1"/>
  <c r="AR306" i="60" s="1"/>
  <c r="Y234" i="60"/>
  <c r="Z234" i="60" s="1"/>
  <c r="AP234" i="60" s="1"/>
  <c r="AR234" i="60" s="1"/>
  <c r="Y102" i="60"/>
  <c r="Z102" i="60" s="1"/>
  <c r="AP102" i="60" s="1"/>
  <c r="AR102" i="60" s="1"/>
  <c r="Y198" i="60"/>
  <c r="Z198" i="60" s="1"/>
  <c r="AP198" i="60" s="1"/>
  <c r="AR198" i="60" s="1"/>
  <c r="Y114" i="60"/>
  <c r="Z114" i="60" s="1"/>
  <c r="Y282" i="60"/>
  <c r="Z282" i="60" s="1"/>
  <c r="AP282" i="60" s="1"/>
  <c r="AR282" i="60" s="1"/>
  <c r="Y174" i="60"/>
  <c r="Z174" i="60" s="1"/>
  <c r="AP174" i="60" s="1"/>
  <c r="AR174" i="60" s="1"/>
  <c r="Y78" i="60"/>
  <c r="Z78" i="60" s="1"/>
  <c r="AP78" i="60" s="1"/>
  <c r="AR78" i="60" s="1"/>
  <c r="Y246" i="60"/>
  <c r="Z246" i="60" s="1"/>
  <c r="AP246" i="60" s="1"/>
  <c r="AR246" i="60" s="1"/>
  <c r="Y186" i="60"/>
  <c r="Z186" i="60" s="1"/>
  <c r="AP186" i="60" s="1"/>
  <c r="AR186" i="60" s="1"/>
  <c r="Y90" i="60"/>
  <c r="Z90" i="60" s="1"/>
  <c r="AP90" i="60" s="1"/>
  <c r="AR90" i="60" s="1"/>
  <c r="Y30" i="60"/>
  <c r="Z30" i="60" s="1"/>
  <c r="Y270" i="60"/>
  <c r="Z270" i="60" s="1"/>
  <c r="AP270" i="60" s="1"/>
  <c r="AR270" i="60" s="1"/>
  <c r="Y42" i="60"/>
  <c r="Z42" i="60" s="1"/>
  <c r="Y324" i="60"/>
  <c r="Z324" i="60" s="1"/>
  <c r="AP324" i="60" s="1"/>
  <c r="AR324" i="60" s="1"/>
  <c r="Y336" i="60"/>
  <c r="Z336" i="60" s="1"/>
  <c r="Y372" i="60"/>
  <c r="Z372" i="60" s="1"/>
  <c r="AP372" i="60" s="1"/>
  <c r="AR372" i="60" s="1"/>
  <c r="Y252" i="60"/>
  <c r="Z252" i="60" s="1"/>
  <c r="Y264" i="60"/>
  <c r="Z264" i="60" s="1"/>
  <c r="AP264" i="60" s="1"/>
  <c r="AR264" i="60" s="1"/>
  <c r="Y36" i="60"/>
  <c r="Z36" i="60" s="1"/>
  <c r="AP36" i="60" s="1"/>
  <c r="AR36" i="60" s="1"/>
  <c r="Y48" i="60"/>
  <c r="Z48" i="60" s="1"/>
  <c r="AP48" i="60" s="1"/>
  <c r="AR48" i="60" s="1"/>
  <c r="Y60" i="60"/>
  <c r="Z60" i="60" s="1"/>
  <c r="AP60" i="60" s="1"/>
  <c r="AR60" i="60" s="1"/>
  <c r="Y24" i="60"/>
  <c r="Z24" i="60" s="1"/>
  <c r="AP24" i="60" s="1"/>
  <c r="AR24" i="60" s="1"/>
  <c r="Y84" i="60"/>
  <c r="Z84" i="60" s="1"/>
  <c r="AP84" i="60" s="1"/>
  <c r="AR84" i="60" s="1"/>
  <c r="Y168" i="60"/>
  <c r="Z168" i="60" s="1"/>
  <c r="AP168" i="60" s="1"/>
  <c r="AR168" i="60" s="1"/>
  <c r="Y228" i="60"/>
  <c r="Z228" i="60" s="1"/>
  <c r="AP228" i="60" s="1"/>
  <c r="AR228" i="60" s="1"/>
  <c r="Y120" i="60"/>
  <c r="Z120" i="60" s="1"/>
  <c r="Y108" i="60"/>
  <c r="Z108" i="60" s="1"/>
  <c r="Y72" i="60"/>
  <c r="Z72" i="60" s="1"/>
  <c r="Y358" i="60"/>
  <c r="Z358" i="60" s="1"/>
  <c r="AP358" i="60" s="1"/>
  <c r="AR358" i="60" s="1"/>
  <c r="Y334" i="60"/>
  <c r="Z334" i="60" s="1"/>
  <c r="AP334" i="60" s="1"/>
  <c r="AR334" i="60" s="1"/>
  <c r="Y250" i="60"/>
  <c r="Z250" i="60" s="1"/>
  <c r="AP250" i="60" s="1"/>
  <c r="AR250" i="60" s="1"/>
  <c r="Y166" i="60"/>
  <c r="Z166" i="60" s="1"/>
  <c r="AP166" i="60" s="1"/>
  <c r="AR166" i="60" s="1"/>
  <c r="Y70" i="60"/>
  <c r="Z70" i="60" s="1"/>
  <c r="AP70" i="60" s="1"/>
  <c r="AR70" i="60" s="1"/>
  <c r="Y298" i="60"/>
  <c r="Z298" i="60" s="1"/>
  <c r="AP298" i="60" s="1"/>
  <c r="AR298" i="60" s="1"/>
  <c r="Y214" i="60"/>
  <c r="Z214" i="60" s="1"/>
  <c r="AP214" i="60" s="1"/>
  <c r="AR214" i="60" s="1"/>
  <c r="Y130" i="60"/>
  <c r="Z130" i="60" s="1"/>
  <c r="Y310" i="60"/>
  <c r="Z310" i="60" s="1"/>
  <c r="AP310" i="60" s="1"/>
  <c r="AR310" i="60" s="1"/>
  <c r="Y190" i="60"/>
  <c r="Z190" i="60" s="1"/>
  <c r="AP190" i="60" s="1"/>
  <c r="AR190" i="60" s="1"/>
  <c r="Y94" i="60"/>
  <c r="Z94" i="60" s="1"/>
  <c r="AP94" i="60" s="1"/>
  <c r="AR94" i="60" s="1"/>
  <c r="Y154" i="60"/>
  <c r="Z154" i="60" s="1"/>
  <c r="Y46" i="60"/>
  <c r="Z46" i="60" s="1"/>
  <c r="Y286" i="60"/>
  <c r="Z286" i="60" s="1"/>
  <c r="AP286" i="60" s="1"/>
  <c r="AR286" i="60" s="1"/>
  <c r="Y22" i="60"/>
  <c r="Z22" i="60" s="1"/>
  <c r="AP22" i="60" s="1"/>
  <c r="AR22" i="60" s="1"/>
  <c r="Y340" i="60"/>
  <c r="Z340" i="60" s="1"/>
  <c r="Y328" i="60"/>
  <c r="Z328" i="60" s="1"/>
  <c r="Y244" i="60"/>
  <c r="Z244" i="60" s="1"/>
  <c r="AP244" i="60" s="1"/>
  <c r="AR244" i="60" s="1"/>
  <c r="Y256" i="60"/>
  <c r="Z256" i="60" s="1"/>
  <c r="Y268" i="60"/>
  <c r="Z268" i="60" s="1"/>
  <c r="Y40" i="60"/>
  <c r="Z40" i="60" s="1"/>
  <c r="AP40" i="60" s="1"/>
  <c r="AR40" i="60" s="1"/>
  <c r="Y52" i="60"/>
  <c r="Z52" i="60" s="1"/>
  <c r="AP52" i="60" s="1"/>
  <c r="AR52" i="60" s="1"/>
  <c r="Y208" i="60"/>
  <c r="Z208" i="60" s="1"/>
  <c r="AP208" i="60" s="1"/>
  <c r="AR208" i="60" s="1"/>
  <c r="Y184" i="60"/>
  <c r="Z184" i="60" s="1"/>
  <c r="AP184" i="60" s="1"/>
  <c r="AR184" i="60" s="1"/>
  <c r="Y172" i="60"/>
  <c r="Z172" i="60" s="1"/>
  <c r="AP172" i="60" s="1"/>
  <c r="AR172" i="60" s="1"/>
  <c r="Y136" i="60"/>
  <c r="Z136" i="60" s="1"/>
  <c r="AP136" i="60" s="1"/>
  <c r="AR136" i="60" s="1"/>
  <c r="Y232" i="60"/>
  <c r="Z232" i="60" s="1"/>
  <c r="AP232" i="60" s="1"/>
  <c r="AR232" i="60" s="1"/>
  <c r="Y88" i="60"/>
  <c r="Z88" i="60" s="1"/>
  <c r="AP88" i="60" s="1"/>
  <c r="AR88" i="60" s="1"/>
  <c r="Y112" i="60"/>
  <c r="Z112" i="60" s="1"/>
  <c r="AP112" i="60" s="1"/>
  <c r="AR112" i="60" s="1"/>
  <c r="Y196" i="60"/>
  <c r="Z196" i="60" s="1"/>
  <c r="H68" i="60"/>
  <c r="I68" i="60" s="1"/>
  <c r="H272" i="60"/>
  <c r="I272" i="60" s="1"/>
  <c r="O272" i="60"/>
  <c r="P272" i="60" s="1"/>
  <c r="O56" i="60"/>
  <c r="P56" i="60" s="1"/>
  <c r="V344" i="60"/>
  <c r="V188" i="60"/>
  <c r="O303" i="60"/>
  <c r="P303" i="60" s="1"/>
  <c r="O75" i="60"/>
  <c r="P75" i="60" s="1"/>
  <c r="H39" i="60"/>
  <c r="I39" i="60" s="1"/>
  <c r="V351" i="60"/>
  <c r="V147" i="60"/>
  <c r="H137" i="60"/>
  <c r="I137" i="60" s="1"/>
  <c r="H269" i="60"/>
  <c r="I269" i="60" s="1"/>
  <c r="O77" i="60"/>
  <c r="P77" i="60" s="1"/>
  <c r="O89" i="60"/>
  <c r="P89" i="60" s="1"/>
  <c r="V53" i="60"/>
  <c r="V65" i="60"/>
  <c r="V397" i="60"/>
  <c r="V378" i="60"/>
  <c r="H397" i="60"/>
  <c r="I397" i="60" s="1"/>
  <c r="H400" i="60"/>
  <c r="I400" i="60" s="1"/>
  <c r="O397" i="60"/>
  <c r="P397" i="60" s="1"/>
  <c r="O387" i="60"/>
  <c r="P387" i="60" s="1"/>
  <c r="H330" i="60"/>
  <c r="I330" i="60" s="1"/>
  <c r="H186" i="60"/>
  <c r="I186" i="60" s="1"/>
  <c r="O354" i="60"/>
  <c r="P354" i="60" s="1"/>
  <c r="O54" i="60"/>
  <c r="P54" i="60" s="1"/>
  <c r="V366" i="60"/>
  <c r="V222" i="60"/>
  <c r="O108" i="60"/>
  <c r="P108" i="60" s="1"/>
  <c r="O120" i="60"/>
  <c r="P120" i="60" s="1"/>
  <c r="H312" i="60"/>
  <c r="I312" i="60" s="1"/>
  <c r="V276" i="60"/>
  <c r="V240" i="60"/>
  <c r="V370" i="60"/>
  <c r="V226" i="60"/>
  <c r="H202" i="60"/>
  <c r="I202" i="60" s="1"/>
  <c r="H226" i="60"/>
  <c r="I226" i="60" s="1"/>
  <c r="O346" i="60"/>
  <c r="P346" i="60" s="1"/>
  <c r="O142" i="60"/>
  <c r="P142" i="60" s="1"/>
  <c r="H208" i="60"/>
  <c r="I208" i="60" s="1"/>
  <c r="O280" i="60"/>
  <c r="P280" i="60" s="1"/>
  <c r="O88" i="60"/>
  <c r="P88" i="60" s="1"/>
  <c r="V280" i="60"/>
  <c r="V160" i="60"/>
  <c r="H116" i="60"/>
  <c r="I116" i="60" s="1"/>
  <c r="H224" i="60"/>
  <c r="I224" i="60" s="1"/>
  <c r="O284" i="60"/>
  <c r="P284" i="60" s="1"/>
  <c r="O20" i="60"/>
  <c r="P20" i="60" s="1"/>
  <c r="V224" i="60"/>
  <c r="O315" i="60"/>
  <c r="P315" i="60" s="1"/>
  <c r="O279" i="60"/>
  <c r="P279" i="60" s="1"/>
  <c r="H231" i="60"/>
  <c r="I231" i="60" s="1"/>
  <c r="H279" i="60"/>
  <c r="I279" i="60" s="1"/>
  <c r="V207" i="60"/>
  <c r="V111" i="60"/>
  <c r="H353" i="60"/>
  <c r="I353" i="60" s="1"/>
  <c r="H209" i="60"/>
  <c r="I209" i="60" s="1"/>
  <c r="O125" i="60"/>
  <c r="P125" i="60" s="1"/>
  <c r="V293" i="60"/>
  <c r="V41" i="60"/>
  <c r="V380" i="60"/>
  <c r="V377" i="60"/>
  <c r="H402" i="60"/>
  <c r="I402" i="60" s="1"/>
  <c r="H392" i="60"/>
  <c r="I392" i="60" s="1"/>
  <c r="O383" i="60"/>
  <c r="P383" i="60" s="1"/>
  <c r="O378" i="60"/>
  <c r="P378" i="60" s="1"/>
  <c r="H282" i="60"/>
  <c r="I282" i="60" s="1"/>
  <c r="H30" i="60"/>
  <c r="I30" i="60" s="1"/>
  <c r="O294" i="60"/>
  <c r="P294" i="60" s="1"/>
  <c r="O138" i="60"/>
  <c r="P138" i="60" s="1"/>
  <c r="V198" i="60"/>
  <c r="V30" i="60"/>
  <c r="O132" i="60"/>
  <c r="P132" i="60" s="1"/>
  <c r="O168" i="60"/>
  <c r="P168" i="60" s="1"/>
  <c r="H84" i="60"/>
  <c r="I84" i="60" s="1"/>
  <c r="H192" i="60"/>
  <c r="I192" i="60" s="1"/>
  <c r="V264" i="60"/>
  <c r="V120" i="60"/>
  <c r="V298" i="60"/>
  <c r="V286" i="60"/>
  <c r="H274" i="60"/>
  <c r="I274" i="60" s="1"/>
  <c r="H214" i="60"/>
  <c r="I214" i="60" s="1"/>
  <c r="O82" i="60"/>
  <c r="P82" i="60" s="1"/>
  <c r="H352" i="60"/>
  <c r="I352" i="60" s="1"/>
  <c r="O232" i="60"/>
  <c r="P232" i="60" s="1"/>
  <c r="O316" i="60"/>
  <c r="P316" i="60" s="1"/>
  <c r="V328" i="60"/>
  <c r="V172" i="60"/>
  <c r="H332" i="60"/>
  <c r="I332" i="60" s="1"/>
  <c r="H152" i="60"/>
  <c r="I152" i="60" s="1"/>
  <c r="O356" i="60"/>
  <c r="P356" i="60" s="1"/>
  <c r="O200" i="60"/>
  <c r="P200" i="60" s="1"/>
  <c r="V296" i="60"/>
  <c r="V80" i="60"/>
  <c r="O111" i="60"/>
  <c r="P111" i="60" s="1"/>
  <c r="O243" i="60"/>
  <c r="P243" i="60" s="1"/>
  <c r="H327" i="60"/>
  <c r="I327" i="60" s="1"/>
  <c r="H75" i="60"/>
  <c r="I75" i="60" s="1"/>
  <c r="V255" i="60"/>
  <c r="H53" i="60"/>
  <c r="I53" i="60" s="1"/>
  <c r="H29" i="60"/>
  <c r="I29" i="60" s="1"/>
  <c r="O209" i="60"/>
  <c r="P209" i="60" s="1"/>
  <c r="O65" i="60"/>
  <c r="P65" i="60" s="1"/>
  <c r="V281" i="60"/>
  <c r="V197" i="60"/>
  <c r="V401" i="60"/>
  <c r="V386" i="60"/>
  <c r="H387" i="60"/>
  <c r="I387" i="60" s="1"/>
  <c r="H381" i="60"/>
  <c r="I381" i="60" s="1"/>
  <c r="O403" i="60"/>
  <c r="P403" i="60" s="1"/>
  <c r="O398" i="60"/>
  <c r="P398" i="60" s="1"/>
  <c r="H66" i="60"/>
  <c r="I66" i="60" s="1"/>
  <c r="O342" i="60"/>
  <c r="P342" i="60" s="1"/>
  <c r="O102" i="60"/>
  <c r="P102" i="60" s="1"/>
  <c r="V354" i="60"/>
  <c r="V318" i="60"/>
  <c r="O192" i="60"/>
  <c r="P192" i="60" s="1"/>
  <c r="O36" i="60"/>
  <c r="P36" i="60" s="1"/>
  <c r="H228" i="60"/>
  <c r="I228" i="60" s="1"/>
  <c r="H96" i="60"/>
  <c r="I96" i="60" s="1"/>
  <c r="V216" i="60"/>
  <c r="V346" i="60"/>
  <c r="V82" i="60"/>
  <c r="H142" i="60"/>
  <c r="I142" i="60" s="1"/>
  <c r="H106" i="60"/>
  <c r="I106" i="60" s="1"/>
  <c r="O334" i="60"/>
  <c r="P334" i="60" s="1"/>
  <c r="O106" i="60"/>
  <c r="P106" i="60" s="1"/>
  <c r="H304" i="60"/>
  <c r="I304" i="60" s="1"/>
  <c r="H316" i="60"/>
  <c r="I316" i="60" s="1"/>
  <c r="O292" i="60"/>
  <c r="P292" i="60" s="1"/>
  <c r="O112" i="60"/>
  <c r="P112" i="60" s="1"/>
  <c r="V352" i="60"/>
  <c r="V76" i="60"/>
  <c r="H56" i="60"/>
  <c r="I56" i="60" s="1"/>
  <c r="H260" i="60"/>
  <c r="I260" i="60" s="1"/>
  <c r="O164" i="60"/>
  <c r="P164" i="60" s="1"/>
  <c r="O116" i="60"/>
  <c r="P116" i="60" s="1"/>
  <c r="V320" i="60"/>
  <c r="V212" i="60"/>
  <c r="O351" i="60"/>
  <c r="P351" i="60" s="1"/>
  <c r="O135" i="60"/>
  <c r="P135" i="60" s="1"/>
  <c r="H207" i="60"/>
  <c r="I207" i="60" s="1"/>
  <c r="H63" i="60"/>
  <c r="I63" i="60" s="1"/>
  <c r="V135" i="60"/>
  <c r="V27" i="60"/>
  <c r="H185" i="60"/>
  <c r="I185" i="60" s="1"/>
  <c r="H341" i="60"/>
  <c r="I341" i="60" s="1"/>
  <c r="O53" i="60"/>
  <c r="P53" i="60" s="1"/>
  <c r="O185" i="60"/>
  <c r="P185" i="60" s="1"/>
  <c r="V269" i="60"/>
  <c r="V185" i="60"/>
  <c r="V396" i="60"/>
  <c r="H398" i="60"/>
  <c r="I398" i="60" s="1"/>
  <c r="H378" i="60"/>
  <c r="I378" i="60" s="1"/>
  <c r="O396" i="60"/>
  <c r="P396" i="60" s="1"/>
  <c r="O389" i="60"/>
  <c r="P389" i="60" s="1"/>
  <c r="H126" i="60"/>
  <c r="I126" i="60" s="1"/>
  <c r="H246" i="60"/>
  <c r="I246" i="60" s="1"/>
  <c r="O66" i="60"/>
  <c r="P66" i="60" s="1"/>
  <c r="O78" i="60"/>
  <c r="P78" i="60" s="1"/>
  <c r="V174" i="60"/>
  <c r="O228" i="60"/>
  <c r="P228" i="60" s="1"/>
  <c r="O264" i="60"/>
  <c r="P264" i="60" s="1"/>
  <c r="H252" i="60"/>
  <c r="I252" i="60" s="1"/>
  <c r="H300" i="60"/>
  <c r="I300" i="60" s="1"/>
  <c r="V252" i="60"/>
  <c r="V228" i="60"/>
  <c r="V70" i="60"/>
  <c r="V46" i="60"/>
  <c r="H154" i="60"/>
  <c r="I154" i="60" s="1"/>
  <c r="H58" i="60"/>
  <c r="I58" i="60" s="1"/>
  <c r="O250" i="60"/>
  <c r="P250" i="60" s="1"/>
  <c r="O94" i="60"/>
  <c r="P94" i="60" s="1"/>
  <c r="H328" i="60"/>
  <c r="I328" i="60" s="1"/>
  <c r="H124" i="60"/>
  <c r="I124" i="60" s="1"/>
  <c r="O244" i="60"/>
  <c r="P244" i="60" s="1"/>
  <c r="O352" i="60"/>
  <c r="P352" i="60" s="1"/>
  <c r="V268" i="60"/>
  <c r="V88" i="60"/>
  <c r="K284" i="60"/>
  <c r="L284" i="60" s="1"/>
  <c r="K200" i="60"/>
  <c r="L200" i="60" s="1"/>
  <c r="K260" i="60"/>
  <c r="L260" i="60" s="1"/>
  <c r="K344" i="60"/>
  <c r="L344" i="60" s="1"/>
  <c r="K356" i="60"/>
  <c r="L356" i="60" s="1"/>
  <c r="K224" i="60"/>
  <c r="L224" i="60" s="1"/>
  <c r="K111" i="60"/>
  <c r="L111" i="60" s="1"/>
  <c r="K99" i="60"/>
  <c r="L99" i="60" s="1"/>
  <c r="K135" i="60"/>
  <c r="L135" i="60" s="1"/>
  <c r="K51" i="60"/>
  <c r="L51" i="60" s="1"/>
  <c r="K123" i="60"/>
  <c r="L123" i="60" s="1"/>
  <c r="K63" i="60"/>
  <c r="L63" i="60" s="1"/>
  <c r="K245" i="60"/>
  <c r="L245" i="60" s="1"/>
  <c r="K329" i="60"/>
  <c r="L329" i="60" s="1"/>
  <c r="K353" i="60"/>
  <c r="L353" i="60" s="1"/>
  <c r="K341" i="60"/>
  <c r="L341" i="60" s="1"/>
  <c r="K233" i="60"/>
  <c r="L233" i="60" s="1"/>
  <c r="K365" i="60"/>
  <c r="L365" i="60" s="1"/>
  <c r="K257" i="60"/>
  <c r="L257" i="60" s="1"/>
  <c r="K209" i="60"/>
  <c r="L209" i="60" s="1"/>
  <c r="K383" i="60"/>
  <c r="L383" i="60" s="1"/>
  <c r="K377" i="60"/>
  <c r="L377" i="60" s="1"/>
  <c r="K378" i="60"/>
  <c r="L378" i="60" s="1"/>
  <c r="K375" i="60"/>
  <c r="L375" i="60" s="1"/>
  <c r="K384" i="60"/>
  <c r="L384" i="60" s="1"/>
  <c r="K376" i="60"/>
  <c r="L376" i="60" s="1"/>
  <c r="K138" i="60"/>
  <c r="L138" i="60" s="1"/>
  <c r="K126" i="60"/>
  <c r="L126" i="60" s="1"/>
  <c r="K18" i="60"/>
  <c r="L18" i="60" s="1"/>
  <c r="K114" i="60"/>
  <c r="L114" i="60" s="1"/>
  <c r="K30" i="60"/>
  <c r="L30" i="60" s="1"/>
  <c r="K42" i="60"/>
  <c r="L42" i="60" s="1"/>
  <c r="K252" i="60"/>
  <c r="L252" i="60" s="1"/>
  <c r="K360" i="60"/>
  <c r="L360" i="60" s="1"/>
  <c r="K204" i="60"/>
  <c r="L204" i="60" s="1"/>
  <c r="K300" i="60"/>
  <c r="L300" i="60" s="1"/>
  <c r="K240" i="60"/>
  <c r="L240" i="60" s="1"/>
  <c r="K336" i="60"/>
  <c r="L336" i="60" s="1"/>
  <c r="K130" i="60"/>
  <c r="L130" i="60" s="1"/>
  <c r="K34" i="60"/>
  <c r="L34" i="60" s="1"/>
  <c r="K46" i="60"/>
  <c r="L46" i="60" s="1"/>
  <c r="K118" i="60"/>
  <c r="L118" i="60" s="1"/>
  <c r="K58" i="60"/>
  <c r="L58" i="60" s="1"/>
  <c r="K268" i="60"/>
  <c r="L268" i="60" s="1"/>
  <c r="K328" i="60"/>
  <c r="L328" i="60" s="1"/>
  <c r="K256" i="60"/>
  <c r="L256" i="60" s="1"/>
  <c r="K352" i="60"/>
  <c r="L352" i="60" s="1"/>
  <c r="K364" i="60"/>
  <c r="L364" i="60" s="1"/>
  <c r="K340" i="60"/>
  <c r="L340" i="60" s="1"/>
  <c r="K196" i="60"/>
  <c r="L196" i="60" s="1"/>
  <c r="R318" i="60"/>
  <c r="S318" i="60" s="1"/>
  <c r="AR197" i="56"/>
  <c r="AR141" i="56"/>
  <c r="AR181" i="56"/>
  <c r="AR237" i="56"/>
  <c r="AR245" i="56"/>
  <c r="AR157" i="56"/>
  <c r="AR80" i="56"/>
  <c r="AR72" i="56"/>
  <c r="AR96" i="56"/>
  <c r="AR40" i="56"/>
  <c r="AR88" i="56"/>
  <c r="AR48" i="56"/>
  <c r="AR171" i="56"/>
  <c r="AR227" i="56"/>
  <c r="AR243" i="56"/>
  <c r="AR235" i="56"/>
  <c r="AR163" i="56"/>
  <c r="AR251" i="56"/>
  <c r="AR179" i="56"/>
  <c r="AR147" i="56"/>
  <c r="AR90" i="56"/>
  <c r="AR42" i="56"/>
  <c r="AR50" i="56"/>
  <c r="AR26" i="56"/>
  <c r="AR98" i="56"/>
  <c r="AR34" i="56"/>
  <c r="AR100" i="56"/>
  <c r="AR92" i="56"/>
  <c r="AR20" i="56"/>
  <c r="AR84" i="56"/>
  <c r="AR28" i="56"/>
  <c r="AR36" i="56"/>
  <c r="AR223" i="56"/>
  <c r="AR151" i="56"/>
  <c r="AR191" i="56"/>
  <c r="AR159" i="56"/>
  <c r="AR215" i="56"/>
  <c r="AR239" i="56"/>
  <c r="AR183" i="56"/>
  <c r="AR255" i="56"/>
  <c r="AR199" i="56"/>
  <c r="AR102" i="56"/>
  <c r="AR70" i="56"/>
  <c r="AR62" i="56"/>
  <c r="AR78" i="56"/>
  <c r="AR54" i="56"/>
  <c r="AR22" i="56"/>
  <c r="AR209" i="56"/>
  <c r="AR153" i="56"/>
  <c r="AR193" i="56"/>
  <c r="AR145" i="56"/>
  <c r="AR161" i="56"/>
  <c r="AR217" i="56"/>
  <c r="AR169" i="56"/>
  <c r="AR175" i="56"/>
  <c r="AR247" i="56"/>
  <c r="AR143" i="56"/>
  <c r="AR207" i="56"/>
  <c r="AR167" i="56"/>
  <c r="AR231" i="56"/>
  <c r="AR94" i="56"/>
  <c r="AR30" i="56"/>
  <c r="AR38" i="56"/>
  <c r="AR86" i="56"/>
  <c r="AR46" i="56"/>
  <c r="AR185" i="56"/>
  <c r="AR225" i="56"/>
  <c r="AR177" i="56"/>
  <c r="AR241" i="56"/>
  <c r="AR249" i="56"/>
  <c r="AR233" i="56"/>
  <c r="AR137" i="56"/>
  <c r="AP11" i="56"/>
  <c r="R11" i="56"/>
  <c r="AD11" i="56"/>
  <c r="AA11" i="56"/>
  <c r="O11" i="56"/>
  <c r="M11" i="56"/>
  <c r="AM11" i="56"/>
  <c r="AK11" i="56"/>
  <c r="Y11" i="56"/>
  <c r="AS143" i="56"/>
  <c r="AS65" i="56"/>
  <c r="AS165" i="56"/>
  <c r="AS82" i="56"/>
  <c r="AS193" i="56"/>
  <c r="AS58" i="56"/>
  <c r="AS158" i="56"/>
  <c r="AS147" i="56"/>
  <c r="AS139" i="56"/>
  <c r="AS136" i="56"/>
  <c r="AS43" i="56"/>
  <c r="D320" i="4"/>
  <c r="D319" i="4"/>
  <c r="D318" i="4"/>
  <c r="D317" i="4"/>
  <c r="D316" i="4"/>
  <c r="D315" i="4"/>
  <c r="D314" i="4"/>
  <c r="D313" i="4"/>
  <c r="D312" i="4"/>
  <c r="D311" i="4"/>
  <c r="D310" i="4"/>
  <c r="D309" i="4"/>
  <c r="D308" i="4"/>
  <c r="D307" i="4"/>
  <c r="D306" i="4"/>
  <c r="D305" i="4"/>
  <c r="D304" i="4"/>
  <c r="D303" i="4"/>
  <c r="D302" i="4"/>
  <c r="D301" i="4"/>
  <c r="D300" i="4"/>
  <c r="D299" i="4"/>
  <c r="D298" i="4"/>
  <c r="D297" i="4"/>
  <c r="D296" i="4"/>
  <c r="D295" i="4"/>
  <c r="D294" i="4"/>
  <c r="D293" i="4"/>
  <c r="D292" i="4"/>
  <c r="D291" i="4"/>
  <c r="D290" i="4"/>
  <c r="D289" i="4"/>
  <c r="D288" i="4"/>
  <c r="D287" i="4"/>
  <c r="D286" i="4"/>
  <c r="D285" i="4"/>
  <c r="D284" i="4"/>
  <c r="D283" i="4"/>
  <c r="D282" i="4"/>
  <c r="D281" i="4"/>
  <c r="D280" i="4"/>
  <c r="D279" i="4"/>
  <c r="D278" i="4"/>
  <c r="D277" i="4"/>
  <c r="D276" i="4"/>
  <c r="D275" i="4"/>
  <c r="D274" i="4"/>
  <c r="D273" i="4"/>
  <c r="D272" i="4"/>
  <c r="D271" i="4"/>
  <c r="D270" i="4"/>
  <c r="D269" i="4"/>
  <c r="D268" i="4"/>
  <c r="D267" i="4"/>
  <c r="D266" i="4"/>
  <c r="D265" i="4"/>
  <c r="D264" i="4"/>
  <c r="D263" i="4"/>
  <c r="D262" i="4"/>
  <c r="D261" i="4"/>
  <c r="D260" i="4"/>
  <c r="D259" i="4"/>
  <c r="D258" i="4"/>
  <c r="D257" i="4"/>
  <c r="D256" i="4"/>
  <c r="D255" i="4"/>
  <c r="D254" i="4"/>
  <c r="D253" i="4"/>
  <c r="D252" i="4"/>
  <c r="D251" i="4"/>
  <c r="D250" i="4"/>
  <c r="D249" i="4"/>
  <c r="D248" i="4"/>
  <c r="D247" i="4"/>
  <c r="D246" i="4"/>
  <c r="D245" i="4"/>
  <c r="D244" i="4"/>
  <c r="D243" i="4"/>
  <c r="D242" i="4"/>
  <c r="D241" i="4"/>
  <c r="D240" i="4"/>
  <c r="D239" i="4"/>
  <c r="D238" i="4"/>
  <c r="D237" i="4"/>
  <c r="D236" i="4"/>
  <c r="D235" i="4"/>
  <c r="D234" i="4"/>
  <c r="D233" i="4"/>
  <c r="D232" i="4"/>
  <c r="D231" i="4"/>
  <c r="D230" i="4"/>
  <c r="D229" i="4"/>
  <c r="D228" i="4"/>
  <c r="D227" i="4"/>
  <c r="D226" i="4"/>
  <c r="D225" i="4"/>
  <c r="D224" i="4"/>
  <c r="D223" i="4"/>
  <c r="D222" i="4"/>
  <c r="D221" i="4"/>
  <c r="D220" i="4"/>
  <c r="D219" i="4"/>
  <c r="D218" i="4"/>
  <c r="D217" i="4"/>
  <c r="D216" i="4"/>
  <c r="D215" i="4"/>
  <c r="D214" i="4"/>
  <c r="D213" i="4"/>
  <c r="D212" i="4"/>
  <c r="D211" i="4"/>
  <c r="D210" i="4"/>
  <c r="D209" i="4"/>
  <c r="D208" i="4"/>
  <c r="D207" i="4"/>
  <c r="D206" i="4"/>
  <c r="D205" i="4"/>
  <c r="D204" i="4"/>
  <c r="D203" i="4"/>
  <c r="D202" i="4"/>
  <c r="D201" i="4"/>
  <c r="D200" i="4"/>
  <c r="D199" i="4"/>
  <c r="D198" i="4"/>
  <c r="D197" i="4"/>
  <c r="D196" i="4"/>
  <c r="D195" i="4"/>
  <c r="D194" i="4"/>
  <c r="D193" i="4"/>
  <c r="D192" i="4"/>
  <c r="D191" i="4"/>
  <c r="D190" i="4"/>
  <c r="D189" i="4"/>
  <c r="D188" i="4"/>
  <c r="D187" i="4"/>
  <c r="D186" i="4"/>
  <c r="D185" i="4"/>
  <c r="D184" i="4"/>
  <c r="D183" i="4"/>
  <c r="D182" i="4"/>
  <c r="D181" i="4"/>
  <c r="D180" i="4"/>
  <c r="D179" i="4"/>
  <c r="D178" i="4"/>
  <c r="D177" i="4"/>
  <c r="D176" i="4"/>
  <c r="D175" i="4"/>
  <c r="D174" i="4"/>
  <c r="D173" i="4"/>
  <c r="D172" i="4"/>
  <c r="D171" i="4"/>
  <c r="D170" i="4"/>
  <c r="D169" i="4"/>
  <c r="D168" i="4"/>
  <c r="D167" i="4"/>
  <c r="D166" i="4"/>
  <c r="D165" i="4"/>
  <c r="D164" i="4"/>
  <c r="D163" i="4"/>
  <c r="D162" i="4"/>
  <c r="D161" i="4"/>
  <c r="D160" i="4"/>
  <c r="D159" i="4"/>
  <c r="D158" i="4"/>
  <c r="D157" i="4"/>
  <c r="D156" i="4"/>
  <c r="D155" i="4"/>
  <c r="D154" i="4"/>
  <c r="D153" i="4"/>
  <c r="D152" i="4"/>
  <c r="D151" i="4"/>
  <c r="D150" i="4"/>
  <c r="D149" i="4"/>
  <c r="D148" i="4"/>
  <c r="D147" i="4"/>
  <c r="D146" i="4"/>
  <c r="D145" i="4"/>
  <c r="D144" i="4"/>
  <c r="D143" i="4"/>
  <c r="D142" i="4"/>
  <c r="D141" i="4"/>
  <c r="D140" i="4"/>
  <c r="D139" i="4"/>
  <c r="D138" i="4"/>
  <c r="D137" i="4"/>
  <c r="D136" i="4"/>
  <c r="D135" i="4"/>
  <c r="D134" i="4"/>
  <c r="D133" i="4"/>
  <c r="D132" i="4"/>
  <c r="D131" i="4"/>
  <c r="D130" i="4"/>
  <c r="D129" i="4"/>
  <c r="D128" i="4"/>
  <c r="D127" i="4"/>
  <c r="D126" i="4"/>
  <c r="D125" i="4"/>
  <c r="D124" i="4"/>
  <c r="D123" i="4"/>
  <c r="D122" i="4"/>
  <c r="D121" i="4"/>
  <c r="D120" i="4"/>
  <c r="D119" i="4"/>
  <c r="D118" i="4"/>
  <c r="D117" i="4"/>
  <c r="D116" i="4"/>
  <c r="D115" i="4"/>
  <c r="D114" i="4"/>
  <c r="D113" i="4"/>
  <c r="D112" i="4"/>
  <c r="D111" i="4"/>
  <c r="D110" i="4"/>
  <c r="D109" i="4"/>
  <c r="D108" i="4"/>
  <c r="D107" i="4"/>
  <c r="D106" i="4"/>
  <c r="D105" i="4"/>
  <c r="D104" i="4"/>
  <c r="D103" i="4"/>
  <c r="D102" i="4"/>
  <c r="D101" i="4"/>
  <c r="D100" i="4"/>
  <c r="D99" i="4"/>
  <c r="D98" i="4"/>
  <c r="D97" i="4"/>
  <c r="D96" i="4"/>
  <c r="D95" i="4"/>
  <c r="D94" i="4"/>
  <c r="D93" i="4"/>
  <c r="D92" i="4"/>
  <c r="D91" i="4"/>
  <c r="D90" i="4"/>
  <c r="D89" i="4"/>
  <c r="D88" i="4"/>
  <c r="D87" i="4"/>
  <c r="D86" i="4"/>
  <c r="D85" i="4"/>
  <c r="D84" i="4"/>
  <c r="D83" i="4"/>
  <c r="D82" i="4"/>
  <c r="D81" i="4"/>
  <c r="D80" i="4"/>
  <c r="D79" i="4"/>
  <c r="D78" i="4"/>
  <c r="D77" i="4"/>
  <c r="D76" i="4"/>
  <c r="D75" i="4"/>
  <c r="D74" i="4"/>
  <c r="D73" i="4"/>
  <c r="D72" i="4"/>
  <c r="D71" i="4"/>
  <c r="D70" i="4"/>
  <c r="D69" i="4"/>
  <c r="D68" i="4"/>
  <c r="D67" i="4"/>
  <c r="D66" i="4"/>
  <c r="D65" i="4"/>
  <c r="D64" i="4"/>
  <c r="D63" i="4"/>
  <c r="D62" i="4"/>
  <c r="D61" i="4"/>
  <c r="D60" i="4"/>
  <c r="D59" i="4"/>
  <c r="D58" i="4"/>
  <c r="D57" i="4"/>
  <c r="D56" i="4"/>
  <c r="D55" i="4"/>
  <c r="D54" i="4"/>
  <c r="D53" i="4"/>
  <c r="D52" i="4"/>
  <c r="D51" i="4"/>
  <c r="D50" i="4"/>
  <c r="D49" i="4"/>
  <c r="D48" i="4"/>
  <c r="D47" i="4"/>
  <c r="D46" i="4"/>
  <c r="D45" i="4"/>
  <c r="D44" i="4"/>
  <c r="D43" i="4"/>
  <c r="D42" i="4"/>
  <c r="D41" i="4"/>
  <c r="D40" i="4"/>
  <c r="D39" i="4"/>
  <c r="D38" i="4"/>
  <c r="D37" i="4"/>
  <c r="D36" i="4"/>
  <c r="D35" i="4"/>
  <c r="D34" i="4"/>
  <c r="D33" i="4"/>
  <c r="D32" i="4"/>
  <c r="D31" i="4"/>
  <c r="D30" i="4"/>
  <c r="D29" i="4"/>
  <c r="D28" i="4"/>
  <c r="D27" i="4"/>
  <c r="D26" i="4"/>
  <c r="D25" i="4"/>
  <c r="D24" i="4"/>
  <c r="D23" i="4"/>
  <c r="D22" i="4"/>
  <c r="D21" i="4"/>
  <c r="D20" i="4"/>
  <c r="D19" i="4"/>
  <c r="AP154" i="60" l="1"/>
  <c r="AR154" i="60" s="1"/>
  <c r="AP72" i="60"/>
  <c r="AR72" i="60" s="1"/>
  <c r="AP389" i="60"/>
  <c r="AR389" i="60" s="1"/>
  <c r="AP20" i="60"/>
  <c r="AR20" i="60" s="1"/>
  <c r="AP248" i="60"/>
  <c r="AR248" i="60" s="1"/>
  <c r="AP108" i="60"/>
  <c r="AR108" i="60" s="1"/>
  <c r="AP120" i="60"/>
  <c r="AR120" i="60" s="1"/>
  <c r="AP46" i="60"/>
  <c r="AR46" i="60" s="1"/>
  <c r="AS29" i="60"/>
  <c r="AU29" i="60" s="1"/>
  <c r="AW29" i="60" s="1"/>
  <c r="AY29" i="60" s="1"/>
  <c r="W29" i="60"/>
  <c r="AP28" i="60"/>
  <c r="AR28" i="60" s="1"/>
  <c r="AP17" i="60"/>
  <c r="AR17" i="60" s="1"/>
  <c r="AP32" i="60"/>
  <c r="AR32" i="60" s="1"/>
  <c r="AS268" i="60"/>
  <c r="AU268" i="60" s="1"/>
  <c r="AW268" i="60" s="1"/>
  <c r="W268" i="60"/>
  <c r="AO268" i="60" s="1"/>
  <c r="AS46" i="60"/>
  <c r="AU46" i="60" s="1"/>
  <c r="AW46" i="60" s="1"/>
  <c r="W46" i="60"/>
  <c r="AO46" i="60" s="1"/>
  <c r="AS228" i="60"/>
  <c r="AU228" i="60" s="1"/>
  <c r="AW228" i="60" s="1"/>
  <c r="AY228" i="60" s="1"/>
  <c r="W228" i="60"/>
  <c r="W396" i="60"/>
  <c r="AS396" i="60"/>
  <c r="AU396" i="60" s="1"/>
  <c r="AW396" i="60" s="1"/>
  <c r="AY396" i="60" s="1"/>
  <c r="AS269" i="60"/>
  <c r="AU269" i="60" s="1"/>
  <c r="AW269" i="60" s="1"/>
  <c r="AY269" i="60" s="1"/>
  <c r="W269" i="60"/>
  <c r="AO269" i="60" s="1"/>
  <c r="AS27" i="60"/>
  <c r="AU27" i="60" s="1"/>
  <c r="AW27" i="60" s="1"/>
  <c r="AY27" i="60" s="1"/>
  <c r="W27" i="60"/>
  <c r="AO27" i="60" s="1"/>
  <c r="AS212" i="60"/>
  <c r="AU212" i="60" s="1"/>
  <c r="AW212" i="60" s="1"/>
  <c r="AY212" i="60" s="1"/>
  <c r="W212" i="60"/>
  <c r="AS352" i="60"/>
  <c r="AU352" i="60" s="1"/>
  <c r="AW352" i="60" s="1"/>
  <c r="W352" i="60"/>
  <c r="AO352" i="60" s="1"/>
  <c r="AS346" i="60"/>
  <c r="AU346" i="60" s="1"/>
  <c r="AW346" i="60" s="1"/>
  <c r="W346" i="60"/>
  <c r="AO346" i="60" s="1"/>
  <c r="AS354" i="60"/>
  <c r="AU354" i="60" s="1"/>
  <c r="AW354" i="60" s="1"/>
  <c r="AY354" i="60" s="1"/>
  <c r="BA354" i="60" s="1"/>
  <c r="W354" i="60"/>
  <c r="AO354" i="60" s="1"/>
  <c r="W386" i="60"/>
  <c r="AO386" i="60" s="1"/>
  <c r="AS386" i="60"/>
  <c r="AU386" i="60" s="1"/>
  <c r="AW386" i="60" s="1"/>
  <c r="AS281" i="60"/>
  <c r="AU281" i="60" s="1"/>
  <c r="AW281" i="60" s="1"/>
  <c r="W281" i="60"/>
  <c r="AO281" i="60" s="1"/>
  <c r="AS80" i="60"/>
  <c r="AU80" i="60" s="1"/>
  <c r="AW80" i="60" s="1"/>
  <c r="AY80" i="60" s="1"/>
  <c r="W80" i="60"/>
  <c r="AO80" i="60" s="1"/>
  <c r="AS328" i="60"/>
  <c r="AU328" i="60" s="1"/>
  <c r="AW328" i="60" s="1"/>
  <c r="W328" i="60"/>
  <c r="AO328" i="60" s="1"/>
  <c r="AS286" i="60"/>
  <c r="AU286" i="60" s="1"/>
  <c r="AW286" i="60" s="1"/>
  <c r="AY286" i="60" s="1"/>
  <c r="W286" i="60"/>
  <c r="AO286" i="60" s="1"/>
  <c r="AS120" i="60"/>
  <c r="AU120" i="60" s="1"/>
  <c r="AW120" i="60" s="1"/>
  <c r="AY120" i="60" s="1"/>
  <c r="W120" i="60"/>
  <c r="AS198" i="60"/>
  <c r="AU198" i="60" s="1"/>
  <c r="AW198" i="60" s="1"/>
  <c r="AY198" i="60" s="1"/>
  <c r="W198" i="60"/>
  <c r="W377" i="60"/>
  <c r="AO377" i="60" s="1"/>
  <c r="AS377" i="60"/>
  <c r="AU377" i="60" s="1"/>
  <c r="AW377" i="60" s="1"/>
  <c r="AS41" i="60"/>
  <c r="AU41" i="60" s="1"/>
  <c r="AW41" i="60" s="1"/>
  <c r="AY41" i="60" s="1"/>
  <c r="W41" i="60"/>
  <c r="AO41" i="60" s="1"/>
  <c r="AS207" i="60"/>
  <c r="AU207" i="60" s="1"/>
  <c r="AW207" i="60" s="1"/>
  <c r="AY207" i="60" s="1"/>
  <c r="W207" i="60"/>
  <c r="AO207" i="60" s="1"/>
  <c r="AS280" i="60"/>
  <c r="AU280" i="60" s="1"/>
  <c r="AW280" i="60" s="1"/>
  <c r="W280" i="60"/>
  <c r="AO280" i="60" s="1"/>
  <c r="AS226" i="60"/>
  <c r="AU226" i="60" s="1"/>
  <c r="AW226" i="60" s="1"/>
  <c r="AY226" i="60" s="1"/>
  <c r="W226" i="60"/>
  <c r="AO226" i="60" s="1"/>
  <c r="AS240" i="60"/>
  <c r="AU240" i="60" s="1"/>
  <c r="AW240" i="60" s="1"/>
  <c r="W240" i="60"/>
  <c r="AO240" i="60" s="1"/>
  <c r="AS222" i="60"/>
  <c r="AU222" i="60" s="1"/>
  <c r="AW222" i="60" s="1"/>
  <c r="AY222" i="60" s="1"/>
  <c r="W222" i="60"/>
  <c r="W397" i="60"/>
  <c r="AS397" i="60"/>
  <c r="AU397" i="60" s="1"/>
  <c r="AW397" i="60" s="1"/>
  <c r="AY397" i="60" s="1"/>
  <c r="AS65" i="60"/>
  <c r="AU65" i="60" s="1"/>
  <c r="AW65" i="60" s="1"/>
  <c r="W65" i="60"/>
  <c r="AO65" i="60" s="1"/>
  <c r="AS147" i="60"/>
  <c r="AU147" i="60" s="1"/>
  <c r="AW147" i="60" s="1"/>
  <c r="AY147" i="60" s="1"/>
  <c r="W147" i="60"/>
  <c r="AS344" i="60"/>
  <c r="AU344" i="60" s="1"/>
  <c r="AW344" i="60" s="1"/>
  <c r="W344" i="60"/>
  <c r="AO344" i="60" s="1"/>
  <c r="AP196" i="60"/>
  <c r="AR196" i="60" s="1"/>
  <c r="AP268" i="60"/>
  <c r="AR268" i="60" s="1"/>
  <c r="AT268" i="60" s="1"/>
  <c r="AV268" i="60" s="1"/>
  <c r="AX268" i="60" s="1"/>
  <c r="AZ268" i="60" s="1"/>
  <c r="AP340" i="60"/>
  <c r="AR340" i="60" s="1"/>
  <c r="AP252" i="60"/>
  <c r="AR252" i="60" s="1"/>
  <c r="AP336" i="60"/>
  <c r="AR336" i="60" s="1"/>
  <c r="AP114" i="60"/>
  <c r="AR114" i="60" s="1"/>
  <c r="AP383" i="60"/>
  <c r="AR383" i="60" s="1"/>
  <c r="AP233" i="60"/>
  <c r="AR233" i="60" s="1"/>
  <c r="AT27" i="60"/>
  <c r="AV27" i="60" s="1"/>
  <c r="AX27" i="60" s="1"/>
  <c r="AZ27" i="60" s="1"/>
  <c r="AP135" i="60"/>
  <c r="AR135" i="60" s="1"/>
  <c r="AP123" i="60"/>
  <c r="AR123" i="60" s="1"/>
  <c r="AP200" i="60"/>
  <c r="AR200" i="60" s="1"/>
  <c r="AS136" i="60"/>
  <c r="AU136" i="60" s="1"/>
  <c r="AW136" i="60" s="1"/>
  <c r="AY136" i="60" s="1"/>
  <c r="W136" i="60"/>
  <c r="AS250" i="60"/>
  <c r="AU250" i="60" s="1"/>
  <c r="AW250" i="60" s="1"/>
  <c r="AY250" i="60" s="1"/>
  <c r="W250" i="60"/>
  <c r="AS336" i="60"/>
  <c r="AU336" i="60" s="1"/>
  <c r="AW336" i="60" s="1"/>
  <c r="W336" i="60"/>
  <c r="AO336" i="60" s="1"/>
  <c r="AS114" i="60"/>
  <c r="AU114" i="60" s="1"/>
  <c r="AW114" i="60" s="1"/>
  <c r="W114" i="60"/>
  <c r="AO114" i="60" s="1"/>
  <c r="W394" i="60"/>
  <c r="AS394" i="60"/>
  <c r="AU394" i="60" s="1"/>
  <c r="AW394" i="60" s="1"/>
  <c r="AY394" i="60" s="1"/>
  <c r="AS149" i="60"/>
  <c r="AU149" i="60" s="1"/>
  <c r="AW149" i="60" s="1"/>
  <c r="AY149" i="60" s="1"/>
  <c r="W149" i="60"/>
  <c r="AS123" i="60"/>
  <c r="AU123" i="60" s="1"/>
  <c r="AW123" i="60" s="1"/>
  <c r="W123" i="60"/>
  <c r="AO123" i="60" s="1"/>
  <c r="AS308" i="60"/>
  <c r="AU308" i="60" s="1"/>
  <c r="AW308" i="60" s="1"/>
  <c r="AY308" i="60" s="1"/>
  <c r="W308" i="60"/>
  <c r="AS124" i="60"/>
  <c r="AU124" i="60" s="1"/>
  <c r="AW124" i="60" s="1"/>
  <c r="W124" i="60"/>
  <c r="AO124" i="60" s="1"/>
  <c r="AS274" i="60"/>
  <c r="AU274" i="60" s="1"/>
  <c r="AW274" i="60" s="1"/>
  <c r="W274" i="60"/>
  <c r="AO274" i="60" s="1"/>
  <c r="AS204" i="60"/>
  <c r="AU204" i="60" s="1"/>
  <c r="AW204" i="60" s="1"/>
  <c r="W204" i="60"/>
  <c r="AO204" i="60" s="1"/>
  <c r="AS210" i="60"/>
  <c r="AU210" i="60" s="1"/>
  <c r="AW210" i="60" s="1"/>
  <c r="AY210" i="60" s="1"/>
  <c r="W210" i="60"/>
  <c r="AO210" i="60" s="1"/>
  <c r="AS77" i="60"/>
  <c r="AU77" i="60" s="1"/>
  <c r="AW77" i="60" s="1"/>
  <c r="W77" i="60"/>
  <c r="AO77" i="60" s="1"/>
  <c r="AS183" i="60"/>
  <c r="AU183" i="60" s="1"/>
  <c r="AW183" i="60" s="1"/>
  <c r="W183" i="60"/>
  <c r="AO183" i="60" s="1"/>
  <c r="AS272" i="60"/>
  <c r="AU272" i="60" s="1"/>
  <c r="AW272" i="60" s="1"/>
  <c r="W272" i="60"/>
  <c r="AO272" i="60" s="1"/>
  <c r="AS208" i="60"/>
  <c r="AU208" i="60" s="1"/>
  <c r="AW208" i="60" s="1"/>
  <c r="AY208" i="60" s="1"/>
  <c r="W208" i="60"/>
  <c r="AO208" i="60" s="1"/>
  <c r="AS166" i="60"/>
  <c r="AU166" i="60" s="1"/>
  <c r="AW166" i="60" s="1"/>
  <c r="AY166" i="60" s="1"/>
  <c r="W166" i="60"/>
  <c r="AO166" i="60" s="1"/>
  <c r="AS372" i="60"/>
  <c r="AU372" i="60" s="1"/>
  <c r="AW372" i="60" s="1"/>
  <c r="AY372" i="60" s="1"/>
  <c r="W372" i="60"/>
  <c r="AS186" i="60"/>
  <c r="AU186" i="60" s="1"/>
  <c r="AW186" i="60" s="1"/>
  <c r="AY186" i="60" s="1"/>
  <c r="W186" i="60"/>
  <c r="AO186" i="60" s="1"/>
  <c r="W402" i="60"/>
  <c r="AO402" i="60" s="1"/>
  <c r="AS402" i="60"/>
  <c r="AU402" i="60" s="1"/>
  <c r="AW402" i="60" s="1"/>
  <c r="AY402" i="60" s="1"/>
  <c r="AS137" i="60"/>
  <c r="AU137" i="60" s="1"/>
  <c r="AW137" i="60" s="1"/>
  <c r="AY137" i="60" s="1"/>
  <c r="W137" i="60"/>
  <c r="AO137" i="60" s="1"/>
  <c r="AS99" i="60"/>
  <c r="AU99" i="60" s="1"/>
  <c r="AW99" i="60" s="1"/>
  <c r="W99" i="60"/>
  <c r="AO99" i="60" s="1"/>
  <c r="AS20" i="60"/>
  <c r="AU20" i="60" s="1"/>
  <c r="AW20" i="60" s="1"/>
  <c r="AY20" i="60" s="1"/>
  <c r="W20" i="60"/>
  <c r="AS16" i="60"/>
  <c r="AU16" i="60" s="1"/>
  <c r="AW16" i="60" s="1"/>
  <c r="W16" i="60"/>
  <c r="AO16" i="60" s="1"/>
  <c r="AS96" i="60"/>
  <c r="AU96" i="60" s="1"/>
  <c r="AW96" i="60" s="1"/>
  <c r="AY96" i="60" s="1"/>
  <c r="W96" i="60"/>
  <c r="AO96" i="60" s="1"/>
  <c r="AS330" i="60"/>
  <c r="AU330" i="60" s="1"/>
  <c r="AW330" i="60" s="1"/>
  <c r="AY330" i="60" s="1"/>
  <c r="W330" i="60"/>
  <c r="AO330" i="60" s="1"/>
  <c r="W395" i="60"/>
  <c r="AO395" i="60" s="1"/>
  <c r="AS395" i="60"/>
  <c r="AU395" i="60" s="1"/>
  <c r="AW395" i="60" s="1"/>
  <c r="AY395" i="60" s="1"/>
  <c r="AS317" i="60"/>
  <c r="AU317" i="60" s="1"/>
  <c r="AW317" i="60" s="1"/>
  <c r="W317" i="60"/>
  <c r="AO317" i="60" s="1"/>
  <c r="AS51" i="60"/>
  <c r="AU51" i="60" s="1"/>
  <c r="AW51" i="60" s="1"/>
  <c r="W51" i="60"/>
  <c r="AO51" i="60" s="1"/>
  <c r="AS176" i="60"/>
  <c r="AU176" i="60" s="1"/>
  <c r="AW176" i="60" s="1"/>
  <c r="AY176" i="60" s="1"/>
  <c r="W176" i="60"/>
  <c r="AO176" i="60" s="1"/>
  <c r="AS184" i="60"/>
  <c r="AU184" i="60" s="1"/>
  <c r="AW184" i="60" s="1"/>
  <c r="AY184" i="60" s="1"/>
  <c r="BA184" i="60" s="1"/>
  <c r="W184" i="60"/>
  <c r="AS358" i="60"/>
  <c r="AU358" i="60" s="1"/>
  <c r="AW358" i="60" s="1"/>
  <c r="AY358" i="60" s="1"/>
  <c r="BA358" i="60" s="1"/>
  <c r="W358" i="60"/>
  <c r="AS102" i="60"/>
  <c r="AU102" i="60" s="1"/>
  <c r="AW102" i="60" s="1"/>
  <c r="AY102" i="60" s="1"/>
  <c r="W102" i="60"/>
  <c r="W383" i="60"/>
  <c r="AO383" i="60" s="1"/>
  <c r="AS383" i="60"/>
  <c r="AU383" i="60" s="1"/>
  <c r="AW383" i="60" s="1"/>
  <c r="AS327" i="60"/>
  <c r="AU327" i="60" s="1"/>
  <c r="AW327" i="60" s="1"/>
  <c r="AY327" i="60" s="1"/>
  <c r="W327" i="60"/>
  <c r="AS164" i="60"/>
  <c r="AU164" i="60" s="1"/>
  <c r="AW164" i="60" s="1"/>
  <c r="AY164" i="60" s="1"/>
  <c r="W164" i="60"/>
  <c r="AS28" i="60"/>
  <c r="AU28" i="60" s="1"/>
  <c r="AW28" i="60" s="1"/>
  <c r="W28" i="60"/>
  <c r="AO28" i="60" s="1"/>
  <c r="AS118" i="60"/>
  <c r="AU118" i="60" s="1"/>
  <c r="AW118" i="60" s="1"/>
  <c r="W118" i="60"/>
  <c r="AO118" i="60" s="1"/>
  <c r="AS300" i="60"/>
  <c r="AU300" i="60" s="1"/>
  <c r="AW300" i="60" s="1"/>
  <c r="W300" i="60"/>
  <c r="AO300" i="60" s="1"/>
  <c r="AS162" i="60"/>
  <c r="AU162" i="60" s="1"/>
  <c r="AW162" i="60" s="1"/>
  <c r="W162" i="60"/>
  <c r="AO162" i="60" s="1"/>
  <c r="W374" i="60"/>
  <c r="AO374" i="60" s="1"/>
  <c r="AS374" i="60"/>
  <c r="AU374" i="60" s="1"/>
  <c r="AW374" i="60" s="1"/>
  <c r="AS101" i="60"/>
  <c r="AU101" i="60" s="1"/>
  <c r="AW101" i="60" s="1"/>
  <c r="W101" i="60"/>
  <c r="AO101" i="60" s="1"/>
  <c r="AS171" i="60"/>
  <c r="AU171" i="60" s="1"/>
  <c r="AW171" i="60" s="1"/>
  <c r="W171" i="60"/>
  <c r="AO171" i="60" s="1"/>
  <c r="AS368" i="60"/>
  <c r="AU368" i="60" s="1"/>
  <c r="AW368" i="60" s="1"/>
  <c r="W368" i="60"/>
  <c r="AO368" i="60" s="1"/>
  <c r="AS40" i="60"/>
  <c r="AU40" i="60" s="1"/>
  <c r="AW40" i="60" s="1"/>
  <c r="AY40" i="60" s="1"/>
  <c r="W40" i="60"/>
  <c r="AO40" i="60" s="1"/>
  <c r="AS334" i="60"/>
  <c r="AU334" i="60" s="1"/>
  <c r="AW334" i="60" s="1"/>
  <c r="AY334" i="60" s="1"/>
  <c r="W334" i="60"/>
  <c r="AO334" i="60" s="1"/>
  <c r="AS324" i="60"/>
  <c r="AU324" i="60" s="1"/>
  <c r="AW324" i="60" s="1"/>
  <c r="AY324" i="60" s="1"/>
  <c r="W324" i="60"/>
  <c r="AO324" i="60" s="1"/>
  <c r="AS78" i="60"/>
  <c r="AU78" i="60" s="1"/>
  <c r="AW78" i="60" s="1"/>
  <c r="AY78" i="60" s="1"/>
  <c r="W78" i="60"/>
  <c r="W399" i="60"/>
  <c r="AO399" i="60" s="1"/>
  <c r="AS399" i="60"/>
  <c r="AU399" i="60" s="1"/>
  <c r="AW399" i="60" s="1"/>
  <c r="AY399" i="60" s="1"/>
  <c r="AS89" i="60"/>
  <c r="AU89" i="60" s="1"/>
  <c r="AW89" i="60" s="1"/>
  <c r="AY89" i="60" s="1"/>
  <c r="W89" i="60"/>
  <c r="AO89" i="60" s="1"/>
  <c r="AS303" i="60"/>
  <c r="AU303" i="60" s="1"/>
  <c r="AW303" i="60" s="1"/>
  <c r="AY303" i="60" s="1"/>
  <c r="W303" i="60"/>
  <c r="AO303" i="60" s="1"/>
  <c r="AS284" i="60"/>
  <c r="AU284" i="60" s="1"/>
  <c r="AW284" i="60" s="1"/>
  <c r="W284" i="60"/>
  <c r="AO284" i="60" s="1"/>
  <c r="AS220" i="60"/>
  <c r="AU220" i="60" s="1"/>
  <c r="AW220" i="60" s="1"/>
  <c r="W220" i="60"/>
  <c r="AO220" i="60" s="1"/>
  <c r="AS34" i="60"/>
  <c r="AU34" i="60" s="1"/>
  <c r="AW34" i="60" s="1"/>
  <c r="W34" i="60"/>
  <c r="AO34" i="60" s="1"/>
  <c r="AS192" i="60"/>
  <c r="AU192" i="60" s="1"/>
  <c r="AW192" i="60" s="1"/>
  <c r="W192" i="60"/>
  <c r="AO192" i="60" s="1"/>
  <c r="AS18" i="60"/>
  <c r="AU18" i="60" s="1"/>
  <c r="AW18" i="60" s="1"/>
  <c r="W18" i="60"/>
  <c r="AO18" i="60" s="1"/>
  <c r="W392" i="60"/>
  <c r="AO392" i="60" s="1"/>
  <c r="AS392" i="60"/>
  <c r="AU392" i="60" s="1"/>
  <c r="AW392" i="60" s="1"/>
  <c r="AS257" i="60"/>
  <c r="AU257" i="60" s="1"/>
  <c r="AW257" i="60" s="1"/>
  <c r="W257" i="60"/>
  <c r="AO257" i="60" s="1"/>
  <c r="AS291" i="60"/>
  <c r="AU291" i="60" s="1"/>
  <c r="AW291" i="60" s="1"/>
  <c r="W291" i="60"/>
  <c r="AO291" i="60" s="1"/>
  <c r="AS116" i="60"/>
  <c r="AU116" i="60" s="1"/>
  <c r="AW116" i="60" s="1"/>
  <c r="W116" i="60"/>
  <c r="AO116" i="60" s="1"/>
  <c r="AP148" i="60"/>
  <c r="AR148" i="60" s="1"/>
  <c r="AP76" i="60"/>
  <c r="AR76" i="60" s="1"/>
  <c r="AP124" i="60"/>
  <c r="AR124" i="60" s="1"/>
  <c r="AT124" i="60" s="1"/>
  <c r="AV124" i="60" s="1"/>
  <c r="AX124" i="60" s="1"/>
  <c r="AZ124" i="60" s="1"/>
  <c r="AP364" i="60"/>
  <c r="AR364" i="60" s="1"/>
  <c r="AP352" i="60"/>
  <c r="AR352" i="60" s="1"/>
  <c r="AT352" i="60" s="1"/>
  <c r="AV352" i="60" s="1"/>
  <c r="AX352" i="60" s="1"/>
  <c r="AZ352" i="60" s="1"/>
  <c r="AP292" i="60"/>
  <c r="AR292" i="60" s="1"/>
  <c r="AP316" i="60"/>
  <c r="AR316" i="60" s="1"/>
  <c r="AP58" i="60"/>
  <c r="AR58" i="60" s="1"/>
  <c r="AP106" i="60"/>
  <c r="AR106" i="60" s="1"/>
  <c r="AP142" i="60"/>
  <c r="AR142" i="60" s="1"/>
  <c r="AP82" i="60"/>
  <c r="AR82" i="60" s="1"/>
  <c r="AP274" i="60"/>
  <c r="AR274" i="60" s="1"/>
  <c r="AT274" i="60" s="1"/>
  <c r="AV274" i="60" s="1"/>
  <c r="AX274" i="60" s="1"/>
  <c r="AZ274" i="60" s="1"/>
  <c r="AP118" i="60"/>
  <c r="AR118" i="60" s="1"/>
  <c r="AP322" i="60"/>
  <c r="AR322" i="60" s="1"/>
  <c r="AP346" i="60"/>
  <c r="AR346" i="60" s="1"/>
  <c r="AP156" i="60"/>
  <c r="AR156" i="60" s="1"/>
  <c r="AP180" i="60"/>
  <c r="AR180" i="60" s="1"/>
  <c r="AP132" i="60"/>
  <c r="AR132" i="60" s="1"/>
  <c r="AP216" i="60"/>
  <c r="AR216" i="60" s="1"/>
  <c r="AP204" i="60"/>
  <c r="AR204" i="60" s="1"/>
  <c r="AT204" i="60" s="1"/>
  <c r="AV204" i="60" s="1"/>
  <c r="AX204" i="60" s="1"/>
  <c r="AZ204" i="60" s="1"/>
  <c r="AP300" i="60"/>
  <c r="AR300" i="60" s="1"/>
  <c r="AT300" i="60" s="1"/>
  <c r="AV300" i="60" s="1"/>
  <c r="AX300" i="60" s="1"/>
  <c r="AZ300" i="60" s="1"/>
  <c r="AP348" i="60"/>
  <c r="AR348" i="60" s="1"/>
  <c r="AP54" i="60"/>
  <c r="AR54" i="60" s="1"/>
  <c r="AP138" i="60"/>
  <c r="AR138" i="60" s="1"/>
  <c r="AP318" i="60"/>
  <c r="AR318" i="60" s="1"/>
  <c r="AT210" i="60"/>
  <c r="AV210" i="60" s="1"/>
  <c r="AX210" i="60" s="1"/>
  <c r="AZ210" i="60" s="1"/>
  <c r="BB210" i="60" s="1"/>
  <c r="AP162" i="60"/>
  <c r="AR162" i="60" s="1"/>
  <c r="AT162" i="60" s="1"/>
  <c r="AV162" i="60" s="1"/>
  <c r="AX162" i="60" s="1"/>
  <c r="AZ162" i="60" s="1"/>
  <c r="AP150" i="60"/>
  <c r="AR150" i="60" s="1"/>
  <c r="AT354" i="60"/>
  <c r="AV354" i="60" s="1"/>
  <c r="AX354" i="60" s="1"/>
  <c r="AZ354" i="60" s="1"/>
  <c r="AP374" i="60"/>
  <c r="AR374" i="60" s="1"/>
  <c r="AP386" i="60"/>
  <c r="AR386" i="60" s="1"/>
  <c r="AP381" i="60"/>
  <c r="AR381" i="60" s="1"/>
  <c r="AP398" i="60"/>
  <c r="AR398" i="60" s="1"/>
  <c r="AP391" i="60"/>
  <c r="AR391" i="60" s="1"/>
  <c r="AP401" i="60"/>
  <c r="AR401" i="60" s="1"/>
  <c r="AP197" i="60"/>
  <c r="AR197" i="60" s="1"/>
  <c r="AP77" i="60"/>
  <c r="AR77" i="60" s="1"/>
  <c r="AT77" i="60" s="1"/>
  <c r="AV77" i="60" s="1"/>
  <c r="AX77" i="60" s="1"/>
  <c r="AZ77" i="60" s="1"/>
  <c r="AP101" i="60"/>
  <c r="AR101" i="60" s="1"/>
  <c r="AT101" i="60" s="1"/>
  <c r="AV101" i="60" s="1"/>
  <c r="AX101" i="60" s="1"/>
  <c r="AZ101" i="60" s="1"/>
  <c r="AP281" i="60"/>
  <c r="AR281" i="60" s="1"/>
  <c r="AT281" i="60" s="1"/>
  <c r="AV281" i="60" s="1"/>
  <c r="AX281" i="60" s="1"/>
  <c r="AZ281" i="60" s="1"/>
  <c r="AP353" i="60"/>
  <c r="AR353" i="60" s="1"/>
  <c r="AP245" i="60"/>
  <c r="AR245" i="60" s="1"/>
  <c r="AP39" i="60"/>
  <c r="AR39" i="60" s="1"/>
  <c r="AP63" i="60"/>
  <c r="AR63" i="60" s="1"/>
  <c r="AP279" i="60"/>
  <c r="AR279" i="60" s="1"/>
  <c r="AP255" i="60"/>
  <c r="AR255" i="60" s="1"/>
  <c r="AP183" i="60"/>
  <c r="AR183" i="60" s="1"/>
  <c r="AT183" i="60" s="1"/>
  <c r="AV183" i="60" s="1"/>
  <c r="AX183" i="60" s="1"/>
  <c r="AZ183" i="60" s="1"/>
  <c r="AP171" i="60"/>
  <c r="AR171" i="60" s="1"/>
  <c r="AT171" i="60" s="1"/>
  <c r="AV171" i="60" s="1"/>
  <c r="AX171" i="60" s="1"/>
  <c r="AZ171" i="60" s="1"/>
  <c r="AP104" i="60"/>
  <c r="AR104" i="60" s="1"/>
  <c r="AT80" i="60"/>
  <c r="AV80" i="60" s="1"/>
  <c r="AX80" i="60" s="1"/>
  <c r="AZ80" i="60" s="1"/>
  <c r="AP236" i="60"/>
  <c r="AR236" i="60" s="1"/>
  <c r="AP296" i="60"/>
  <c r="AR296" i="60" s="1"/>
  <c r="AP272" i="60"/>
  <c r="AR272" i="60" s="1"/>
  <c r="AT272" i="60" s="1"/>
  <c r="AV272" i="60" s="1"/>
  <c r="AX272" i="60" s="1"/>
  <c r="AZ272" i="60" s="1"/>
  <c r="AP368" i="60"/>
  <c r="AR368" i="60" s="1"/>
  <c r="AS52" i="60"/>
  <c r="AU52" i="60" s="1"/>
  <c r="AW52" i="60" s="1"/>
  <c r="AY52" i="60" s="1"/>
  <c r="W52" i="60"/>
  <c r="AS22" i="60"/>
  <c r="AU22" i="60" s="1"/>
  <c r="AW22" i="60" s="1"/>
  <c r="AY22" i="60" s="1"/>
  <c r="W22" i="60"/>
  <c r="AS108" i="60"/>
  <c r="AU108" i="60" s="1"/>
  <c r="AW108" i="60" s="1"/>
  <c r="AY108" i="60" s="1"/>
  <c r="W108" i="60"/>
  <c r="AS306" i="60"/>
  <c r="AU306" i="60" s="1"/>
  <c r="AW306" i="60" s="1"/>
  <c r="AY306" i="60" s="1"/>
  <c r="W306" i="60"/>
  <c r="W382" i="60"/>
  <c r="AS382" i="60"/>
  <c r="AU382" i="60" s="1"/>
  <c r="AW382" i="60" s="1"/>
  <c r="AY382" i="60" s="1"/>
  <c r="AS233" i="60"/>
  <c r="AU233" i="60" s="1"/>
  <c r="AW233" i="60" s="1"/>
  <c r="AY233" i="60" s="1"/>
  <c r="W233" i="60"/>
  <c r="AO233" i="60" s="1"/>
  <c r="AS152" i="60"/>
  <c r="AU152" i="60" s="1"/>
  <c r="AW152" i="60" s="1"/>
  <c r="AY152" i="60" s="1"/>
  <c r="W152" i="60"/>
  <c r="AS364" i="60"/>
  <c r="AU364" i="60" s="1"/>
  <c r="AW364" i="60" s="1"/>
  <c r="W364" i="60"/>
  <c r="AO364" i="60" s="1"/>
  <c r="AS322" i="60"/>
  <c r="AU322" i="60" s="1"/>
  <c r="AW322" i="60" s="1"/>
  <c r="AY322" i="60" s="1"/>
  <c r="W322" i="60"/>
  <c r="AO322" i="60" s="1"/>
  <c r="AS348" i="60"/>
  <c r="AU348" i="60" s="1"/>
  <c r="AW348" i="60" s="1"/>
  <c r="W348" i="60"/>
  <c r="AO348" i="60" s="1"/>
  <c r="AS150" i="60"/>
  <c r="AU150" i="60" s="1"/>
  <c r="AW150" i="60" s="1"/>
  <c r="W150" i="60"/>
  <c r="AO150" i="60" s="1"/>
  <c r="W387" i="60"/>
  <c r="AS387" i="60"/>
  <c r="AU387" i="60" s="1"/>
  <c r="AW387" i="60" s="1"/>
  <c r="AY387" i="60" s="1"/>
  <c r="AS17" i="60"/>
  <c r="AU17" i="60" s="1"/>
  <c r="AW17" i="60" s="1"/>
  <c r="W17" i="60"/>
  <c r="AO17" i="60" s="1"/>
  <c r="AS363" i="60"/>
  <c r="AU363" i="60" s="1"/>
  <c r="AW363" i="60" s="1"/>
  <c r="AY363" i="60" s="1"/>
  <c r="W363" i="60"/>
  <c r="AS104" i="60"/>
  <c r="AU104" i="60" s="1"/>
  <c r="AW104" i="60" s="1"/>
  <c r="W104" i="60"/>
  <c r="AO104" i="60" s="1"/>
  <c r="AS256" i="60"/>
  <c r="AU256" i="60" s="1"/>
  <c r="AW256" i="60" s="1"/>
  <c r="W256" i="60"/>
  <c r="AO256" i="60" s="1"/>
  <c r="AS72" i="60"/>
  <c r="AU72" i="60" s="1"/>
  <c r="AW72" i="60" s="1"/>
  <c r="AY72" i="60" s="1"/>
  <c r="W72" i="60"/>
  <c r="AS282" i="60"/>
  <c r="AU282" i="60" s="1"/>
  <c r="AW282" i="60" s="1"/>
  <c r="AY282" i="60" s="1"/>
  <c r="W282" i="60"/>
  <c r="AO282" i="60" s="1"/>
  <c r="W375" i="60"/>
  <c r="AO375" i="60" s="1"/>
  <c r="AS375" i="60"/>
  <c r="AU375" i="60" s="1"/>
  <c r="AW375" i="60" s="1"/>
  <c r="AS125" i="60"/>
  <c r="AU125" i="60" s="1"/>
  <c r="AW125" i="60" s="1"/>
  <c r="AY125" i="60" s="1"/>
  <c r="W125" i="60"/>
  <c r="AO125" i="60" s="1"/>
  <c r="AS219" i="60"/>
  <c r="AU219" i="60" s="1"/>
  <c r="AW219" i="60" s="1"/>
  <c r="AY219" i="60" s="1"/>
  <c r="W219" i="60"/>
  <c r="AO219" i="60" s="1"/>
  <c r="AS332" i="60"/>
  <c r="AU332" i="60" s="1"/>
  <c r="AW332" i="60" s="1"/>
  <c r="AY332" i="60" s="1"/>
  <c r="W332" i="60"/>
  <c r="AS304" i="60"/>
  <c r="AU304" i="60" s="1"/>
  <c r="AW304" i="60" s="1"/>
  <c r="W304" i="60"/>
  <c r="AO304" i="60" s="1"/>
  <c r="AS238" i="60"/>
  <c r="AU238" i="60" s="1"/>
  <c r="AW238" i="60" s="1"/>
  <c r="AY238" i="60" s="1"/>
  <c r="W238" i="60"/>
  <c r="AO238" i="60" s="1"/>
  <c r="AS144" i="60"/>
  <c r="AU144" i="60" s="1"/>
  <c r="AW144" i="60" s="1"/>
  <c r="W144" i="60"/>
  <c r="AO144" i="60" s="1"/>
  <c r="AS294" i="60"/>
  <c r="AU294" i="60" s="1"/>
  <c r="AW294" i="60" s="1"/>
  <c r="W294" i="60"/>
  <c r="AO294" i="60" s="1"/>
  <c r="W384" i="60"/>
  <c r="AO384" i="60" s="1"/>
  <c r="AS384" i="60"/>
  <c r="AU384" i="60" s="1"/>
  <c r="AW384" i="60" s="1"/>
  <c r="AS329" i="60"/>
  <c r="AU329" i="60" s="1"/>
  <c r="AW329" i="60" s="1"/>
  <c r="W329" i="60"/>
  <c r="AO329" i="60" s="1"/>
  <c r="AS159" i="60"/>
  <c r="AU159" i="60" s="1"/>
  <c r="AW159" i="60" s="1"/>
  <c r="W159" i="60"/>
  <c r="AO159" i="60" s="1"/>
  <c r="AS44" i="60"/>
  <c r="AU44" i="60" s="1"/>
  <c r="AW44" i="60" s="1"/>
  <c r="W44" i="60"/>
  <c r="AO44" i="60" s="1"/>
  <c r="AP42" i="60"/>
  <c r="AR42" i="60" s="1"/>
  <c r="AP30" i="60"/>
  <c r="AR30" i="60" s="1"/>
  <c r="AP16" i="60"/>
  <c r="AR16" i="60" s="1"/>
  <c r="AT16" i="60" s="1"/>
  <c r="AV16" i="60" s="1"/>
  <c r="AX16" i="60" s="1"/>
  <c r="AZ16" i="60" s="1"/>
  <c r="AP34" i="60"/>
  <c r="AR34" i="60" s="1"/>
  <c r="AT34" i="60" s="1"/>
  <c r="AV34" i="60" s="1"/>
  <c r="AX34" i="60" s="1"/>
  <c r="AZ34" i="60" s="1"/>
  <c r="BB34" i="60" s="1"/>
  <c r="AP44" i="60"/>
  <c r="AR44" i="60" s="1"/>
  <c r="AS88" i="60"/>
  <c r="AU88" i="60" s="1"/>
  <c r="AW88" i="60" s="1"/>
  <c r="AY88" i="60" s="1"/>
  <c r="W88" i="60"/>
  <c r="AS70" i="60"/>
  <c r="AU70" i="60" s="1"/>
  <c r="AW70" i="60" s="1"/>
  <c r="AY70" i="60" s="1"/>
  <c r="W70" i="60"/>
  <c r="AS252" i="60"/>
  <c r="AU252" i="60" s="1"/>
  <c r="AW252" i="60" s="1"/>
  <c r="AY252" i="60" s="1"/>
  <c r="W252" i="60"/>
  <c r="AO252" i="60" s="1"/>
  <c r="AS174" i="60"/>
  <c r="AU174" i="60" s="1"/>
  <c r="AW174" i="60" s="1"/>
  <c r="AY174" i="60" s="1"/>
  <c r="W174" i="60"/>
  <c r="AS185" i="60"/>
  <c r="AU185" i="60" s="1"/>
  <c r="AW185" i="60" s="1"/>
  <c r="AY185" i="60" s="1"/>
  <c r="W185" i="60"/>
  <c r="AS135" i="60"/>
  <c r="AU135" i="60" s="1"/>
  <c r="AW135" i="60" s="1"/>
  <c r="W135" i="60"/>
  <c r="AO135" i="60" s="1"/>
  <c r="AS320" i="60"/>
  <c r="AU320" i="60" s="1"/>
  <c r="AW320" i="60" s="1"/>
  <c r="AY320" i="60" s="1"/>
  <c r="W320" i="60"/>
  <c r="AS76" i="60"/>
  <c r="AU76" i="60" s="1"/>
  <c r="AW76" i="60" s="1"/>
  <c r="AY76" i="60" s="1"/>
  <c r="W76" i="60"/>
  <c r="AO76" i="60" s="1"/>
  <c r="AS82" i="60"/>
  <c r="AU82" i="60" s="1"/>
  <c r="AW82" i="60" s="1"/>
  <c r="W82" i="60"/>
  <c r="AO82" i="60" s="1"/>
  <c r="AS216" i="60"/>
  <c r="AU216" i="60" s="1"/>
  <c r="AW216" i="60" s="1"/>
  <c r="W216" i="60"/>
  <c r="AO216" i="60" s="1"/>
  <c r="AS318" i="60"/>
  <c r="AU318" i="60" s="1"/>
  <c r="AW318" i="60" s="1"/>
  <c r="W318" i="60"/>
  <c r="AO318" i="60" s="1"/>
  <c r="AS401" i="60"/>
  <c r="AU401" i="60" s="1"/>
  <c r="AW401" i="60" s="1"/>
  <c r="W401" i="60"/>
  <c r="AO401" i="60" s="1"/>
  <c r="AS197" i="60"/>
  <c r="AU197" i="60" s="1"/>
  <c r="AW197" i="60" s="1"/>
  <c r="AY197" i="60" s="1"/>
  <c r="W197" i="60"/>
  <c r="AO197" i="60" s="1"/>
  <c r="AS255" i="60"/>
  <c r="AU255" i="60" s="1"/>
  <c r="AW255" i="60" s="1"/>
  <c r="W255" i="60"/>
  <c r="AO255" i="60" s="1"/>
  <c r="AS296" i="60"/>
  <c r="AU296" i="60" s="1"/>
  <c r="AW296" i="60" s="1"/>
  <c r="AY296" i="60" s="1"/>
  <c r="W296" i="60"/>
  <c r="AO296" i="60" s="1"/>
  <c r="AS172" i="60"/>
  <c r="AU172" i="60" s="1"/>
  <c r="AW172" i="60" s="1"/>
  <c r="AY172" i="60" s="1"/>
  <c r="W172" i="60"/>
  <c r="AS298" i="60"/>
  <c r="AU298" i="60" s="1"/>
  <c r="AW298" i="60" s="1"/>
  <c r="AY298" i="60" s="1"/>
  <c r="W298" i="60"/>
  <c r="AS264" i="60"/>
  <c r="AU264" i="60" s="1"/>
  <c r="AW264" i="60" s="1"/>
  <c r="AY264" i="60" s="1"/>
  <c r="W264" i="60"/>
  <c r="AO264" i="60" s="1"/>
  <c r="AS30" i="60"/>
  <c r="AU30" i="60" s="1"/>
  <c r="AW30" i="60" s="1"/>
  <c r="W30" i="60"/>
  <c r="AO30" i="60" s="1"/>
  <c r="W380" i="60"/>
  <c r="AS380" i="60"/>
  <c r="AU380" i="60" s="1"/>
  <c r="AW380" i="60" s="1"/>
  <c r="AY380" i="60" s="1"/>
  <c r="AS293" i="60"/>
  <c r="AU293" i="60" s="1"/>
  <c r="AW293" i="60" s="1"/>
  <c r="AY293" i="60" s="1"/>
  <c r="W293" i="60"/>
  <c r="AO293" i="60" s="1"/>
  <c r="AS111" i="60"/>
  <c r="AU111" i="60" s="1"/>
  <c r="AW111" i="60" s="1"/>
  <c r="W111" i="60"/>
  <c r="AO111" i="60" s="1"/>
  <c r="AS224" i="60"/>
  <c r="AU224" i="60" s="1"/>
  <c r="AW224" i="60" s="1"/>
  <c r="W224" i="60"/>
  <c r="AO224" i="60" s="1"/>
  <c r="AS160" i="60"/>
  <c r="AU160" i="60" s="1"/>
  <c r="AW160" i="60" s="1"/>
  <c r="W160" i="60"/>
  <c r="AO160" i="60" s="1"/>
  <c r="AS370" i="60"/>
  <c r="AU370" i="60" s="1"/>
  <c r="AW370" i="60" s="1"/>
  <c r="W370" i="60"/>
  <c r="AO370" i="60" s="1"/>
  <c r="AS276" i="60"/>
  <c r="AU276" i="60" s="1"/>
  <c r="AW276" i="60" s="1"/>
  <c r="W276" i="60"/>
  <c r="AO276" i="60" s="1"/>
  <c r="AS366" i="60"/>
  <c r="AU366" i="60" s="1"/>
  <c r="AW366" i="60" s="1"/>
  <c r="AY366" i="60" s="1"/>
  <c r="W366" i="60"/>
  <c r="AO366" i="60" s="1"/>
  <c r="W378" i="60"/>
  <c r="AO378" i="60" s="1"/>
  <c r="AS378" i="60"/>
  <c r="AU378" i="60" s="1"/>
  <c r="AW378" i="60" s="1"/>
  <c r="AS53" i="60"/>
  <c r="AU53" i="60" s="1"/>
  <c r="AW53" i="60" s="1"/>
  <c r="W53" i="60"/>
  <c r="AO53" i="60" s="1"/>
  <c r="AS351" i="60"/>
  <c r="AU351" i="60" s="1"/>
  <c r="AW351" i="60" s="1"/>
  <c r="W351" i="60"/>
  <c r="AO351" i="60" s="1"/>
  <c r="AS188" i="60"/>
  <c r="AU188" i="60" s="1"/>
  <c r="AW188" i="60" s="1"/>
  <c r="W188" i="60"/>
  <c r="AO188" i="60" s="1"/>
  <c r="AT208" i="60"/>
  <c r="AV208" i="60" s="1"/>
  <c r="AX208" i="60" s="1"/>
  <c r="AZ208" i="60" s="1"/>
  <c r="AT40" i="60"/>
  <c r="AV40" i="60" s="1"/>
  <c r="AX40" i="60" s="1"/>
  <c r="AZ40" i="60" s="1"/>
  <c r="AP256" i="60"/>
  <c r="AR256" i="60" s="1"/>
  <c r="AP328" i="60"/>
  <c r="AR328" i="60" s="1"/>
  <c r="AT328" i="60" s="1"/>
  <c r="AV328" i="60" s="1"/>
  <c r="AX328" i="60" s="1"/>
  <c r="AZ328" i="60" s="1"/>
  <c r="BB328" i="60" s="1"/>
  <c r="AT286" i="60"/>
  <c r="AV286" i="60" s="1"/>
  <c r="AX286" i="60" s="1"/>
  <c r="AZ286" i="60" s="1"/>
  <c r="BB286" i="60" s="1"/>
  <c r="BD286" i="60" s="1"/>
  <c r="BF286" i="60" s="1"/>
  <c r="AP130" i="60"/>
  <c r="AR130" i="60" s="1"/>
  <c r="AT166" i="60"/>
  <c r="AV166" i="60" s="1"/>
  <c r="AX166" i="60" s="1"/>
  <c r="AZ166" i="60" s="1"/>
  <c r="AT334" i="60"/>
  <c r="AV334" i="60" s="1"/>
  <c r="AX334" i="60" s="1"/>
  <c r="AZ334" i="60" s="1"/>
  <c r="AT264" i="60"/>
  <c r="AV264" i="60" s="1"/>
  <c r="AX264" i="60" s="1"/>
  <c r="AZ264" i="60" s="1"/>
  <c r="AT324" i="60"/>
  <c r="AV324" i="60" s="1"/>
  <c r="AX324" i="60" s="1"/>
  <c r="AZ324" i="60" s="1"/>
  <c r="AT186" i="60"/>
  <c r="AV186" i="60" s="1"/>
  <c r="AX186" i="60" s="1"/>
  <c r="AZ186" i="60" s="1"/>
  <c r="AP375" i="60"/>
  <c r="AR375" i="60" s="1"/>
  <c r="AP377" i="60"/>
  <c r="AR377" i="60" s="1"/>
  <c r="AT137" i="60"/>
  <c r="AV137" i="60" s="1"/>
  <c r="AX137" i="60" s="1"/>
  <c r="AZ137" i="60" s="1"/>
  <c r="AT89" i="60"/>
  <c r="AV89" i="60" s="1"/>
  <c r="AX89" i="60" s="1"/>
  <c r="AZ89" i="60" s="1"/>
  <c r="AP365" i="60"/>
  <c r="AR365" i="60" s="1"/>
  <c r="AP341" i="60"/>
  <c r="AR341" i="60" s="1"/>
  <c r="AT293" i="60"/>
  <c r="AV293" i="60" s="1"/>
  <c r="AX293" i="60" s="1"/>
  <c r="AZ293" i="60" s="1"/>
  <c r="AP111" i="60"/>
  <c r="AR111" i="60" s="1"/>
  <c r="AP99" i="60"/>
  <c r="AR99" i="60" s="1"/>
  <c r="AT99" i="60" s="1"/>
  <c r="AV99" i="60" s="1"/>
  <c r="AX99" i="60" s="1"/>
  <c r="AZ99" i="60" s="1"/>
  <c r="AT303" i="60"/>
  <c r="AV303" i="60" s="1"/>
  <c r="AX303" i="60" s="1"/>
  <c r="AZ303" i="60" s="1"/>
  <c r="AT219" i="60"/>
  <c r="AV219" i="60" s="1"/>
  <c r="AX219" i="60" s="1"/>
  <c r="AZ219" i="60" s="1"/>
  <c r="AT207" i="60"/>
  <c r="AV207" i="60" s="1"/>
  <c r="AX207" i="60" s="1"/>
  <c r="AZ207" i="60" s="1"/>
  <c r="BB207" i="60" s="1"/>
  <c r="AP224" i="60"/>
  <c r="AR224" i="60" s="1"/>
  <c r="AP284" i="60"/>
  <c r="AR284" i="60" s="1"/>
  <c r="AT284" i="60" s="1"/>
  <c r="AV284" i="60" s="1"/>
  <c r="AX284" i="60" s="1"/>
  <c r="AZ284" i="60" s="1"/>
  <c r="BB284" i="60" s="1"/>
  <c r="AS244" i="60"/>
  <c r="AU244" i="60" s="1"/>
  <c r="AW244" i="60" s="1"/>
  <c r="AY244" i="60" s="1"/>
  <c r="W244" i="60"/>
  <c r="AS94" i="60"/>
  <c r="AU94" i="60" s="1"/>
  <c r="AW94" i="60" s="1"/>
  <c r="AY94" i="60" s="1"/>
  <c r="W94" i="60"/>
  <c r="AS84" i="60"/>
  <c r="AU84" i="60" s="1"/>
  <c r="AW84" i="60" s="1"/>
  <c r="AY84" i="60" s="1"/>
  <c r="W84" i="60"/>
  <c r="AS270" i="60"/>
  <c r="AU270" i="60" s="1"/>
  <c r="AW270" i="60" s="1"/>
  <c r="AY270" i="60" s="1"/>
  <c r="W270" i="60"/>
  <c r="W393" i="60"/>
  <c r="AS393" i="60"/>
  <c r="AU393" i="60" s="1"/>
  <c r="AW393" i="60" s="1"/>
  <c r="AY393" i="60" s="1"/>
  <c r="AS305" i="60"/>
  <c r="AU305" i="60" s="1"/>
  <c r="AW305" i="60" s="1"/>
  <c r="AY305" i="60" s="1"/>
  <c r="W305" i="60"/>
  <c r="AS267" i="60"/>
  <c r="AU267" i="60" s="1"/>
  <c r="AW267" i="60" s="1"/>
  <c r="AY267" i="60" s="1"/>
  <c r="W267" i="60"/>
  <c r="AS56" i="60"/>
  <c r="AU56" i="60" s="1"/>
  <c r="AW56" i="60" s="1"/>
  <c r="AY56" i="60" s="1"/>
  <c r="W56" i="60"/>
  <c r="AS292" i="60"/>
  <c r="AU292" i="60" s="1"/>
  <c r="AW292" i="60" s="1"/>
  <c r="AY292" i="60" s="1"/>
  <c r="W292" i="60"/>
  <c r="AO292" i="60" s="1"/>
  <c r="AS58" i="60"/>
  <c r="AU58" i="60" s="1"/>
  <c r="AW58" i="60" s="1"/>
  <c r="W58" i="60"/>
  <c r="AO58" i="60" s="1"/>
  <c r="AS156" i="60"/>
  <c r="AU156" i="60" s="1"/>
  <c r="AW156" i="60" s="1"/>
  <c r="AY156" i="60" s="1"/>
  <c r="W156" i="60"/>
  <c r="AO156" i="60" s="1"/>
  <c r="W381" i="60"/>
  <c r="AO381" i="60" s="1"/>
  <c r="AS381" i="60"/>
  <c r="AU381" i="60" s="1"/>
  <c r="AW381" i="60" s="1"/>
  <c r="AY381" i="60" s="1"/>
  <c r="AS353" i="60"/>
  <c r="AU353" i="60" s="1"/>
  <c r="AW353" i="60" s="1"/>
  <c r="AY353" i="60" s="1"/>
  <c r="W353" i="60"/>
  <c r="AO353" i="60" s="1"/>
  <c r="AS39" i="60"/>
  <c r="AU39" i="60" s="1"/>
  <c r="AW39" i="60" s="1"/>
  <c r="AY39" i="60" s="1"/>
  <c r="W39" i="60"/>
  <c r="AO39" i="60" s="1"/>
  <c r="AS68" i="60"/>
  <c r="AU68" i="60" s="1"/>
  <c r="AW68" i="60" s="1"/>
  <c r="AY68" i="60" s="1"/>
  <c r="W68" i="60"/>
  <c r="AS154" i="60"/>
  <c r="AU154" i="60" s="1"/>
  <c r="AW154" i="60" s="1"/>
  <c r="AY154" i="60" s="1"/>
  <c r="W154" i="60"/>
  <c r="AS168" i="60"/>
  <c r="AU168" i="60" s="1"/>
  <c r="AW168" i="60" s="1"/>
  <c r="AY168" i="60" s="1"/>
  <c r="W168" i="60"/>
  <c r="AS234" i="60"/>
  <c r="AU234" i="60" s="1"/>
  <c r="AW234" i="60" s="1"/>
  <c r="AY234" i="60" s="1"/>
  <c r="W234" i="60"/>
  <c r="W390" i="60"/>
  <c r="AS390" i="60"/>
  <c r="AU390" i="60" s="1"/>
  <c r="AW390" i="60" s="1"/>
  <c r="AY390" i="60" s="1"/>
  <c r="AS221" i="60"/>
  <c r="AU221" i="60" s="1"/>
  <c r="AW221" i="60" s="1"/>
  <c r="AY221" i="60" s="1"/>
  <c r="W221" i="60"/>
  <c r="AS315" i="60"/>
  <c r="AU315" i="60" s="1"/>
  <c r="AW315" i="60" s="1"/>
  <c r="AY315" i="60" s="1"/>
  <c r="W315" i="60"/>
  <c r="AS128" i="60"/>
  <c r="AU128" i="60" s="1"/>
  <c r="AW128" i="60" s="1"/>
  <c r="AY128" i="60" s="1"/>
  <c r="W128" i="60"/>
  <c r="AS178" i="60"/>
  <c r="AU178" i="60" s="1"/>
  <c r="AW178" i="60" s="1"/>
  <c r="W178" i="60"/>
  <c r="AO178" i="60" s="1"/>
  <c r="AS360" i="60"/>
  <c r="AU360" i="60" s="1"/>
  <c r="AW360" i="60" s="1"/>
  <c r="W360" i="60"/>
  <c r="AO360" i="60" s="1"/>
  <c r="AS126" i="60"/>
  <c r="AU126" i="60" s="1"/>
  <c r="AW126" i="60" s="1"/>
  <c r="W126" i="60"/>
  <c r="AO126" i="60" s="1"/>
  <c r="W403" i="60"/>
  <c r="AO403" i="60" s="1"/>
  <c r="AS403" i="60"/>
  <c r="AU403" i="60" s="1"/>
  <c r="AW403" i="60" s="1"/>
  <c r="AS161" i="60"/>
  <c r="AU161" i="60" s="1"/>
  <c r="AW161" i="60" s="1"/>
  <c r="W161" i="60"/>
  <c r="AO161" i="60" s="1"/>
  <c r="AS87" i="60"/>
  <c r="AU87" i="60" s="1"/>
  <c r="AW87" i="60" s="1"/>
  <c r="W87" i="60"/>
  <c r="AO87" i="60" s="1"/>
  <c r="AS356" i="60"/>
  <c r="AU356" i="60" s="1"/>
  <c r="AW356" i="60" s="1"/>
  <c r="W356" i="60"/>
  <c r="AO356" i="60" s="1"/>
  <c r="AS340" i="60"/>
  <c r="AU340" i="60" s="1"/>
  <c r="AW340" i="60" s="1"/>
  <c r="W340" i="60"/>
  <c r="AO340" i="60" s="1"/>
  <c r="AS310" i="60"/>
  <c r="AU310" i="60" s="1"/>
  <c r="AW310" i="60" s="1"/>
  <c r="AY310" i="60" s="1"/>
  <c r="W310" i="60"/>
  <c r="AS60" i="60"/>
  <c r="AU60" i="60" s="1"/>
  <c r="AW60" i="60" s="1"/>
  <c r="AY60" i="60" s="1"/>
  <c r="W60" i="60"/>
  <c r="AS90" i="60"/>
  <c r="AU90" i="60" s="1"/>
  <c r="AW90" i="60" s="1"/>
  <c r="AY90" i="60" s="1"/>
  <c r="W90" i="60"/>
  <c r="W388" i="60"/>
  <c r="AS388" i="60"/>
  <c r="AU388" i="60" s="1"/>
  <c r="AW388" i="60" s="1"/>
  <c r="AY388" i="60" s="1"/>
  <c r="AS195" i="60"/>
  <c r="AU195" i="60" s="1"/>
  <c r="AW195" i="60" s="1"/>
  <c r="AY195" i="60" s="1"/>
  <c r="W195" i="60"/>
  <c r="AS200" i="60"/>
  <c r="AU200" i="60" s="1"/>
  <c r="AW200" i="60" s="1"/>
  <c r="AY200" i="60" s="1"/>
  <c r="W200" i="60"/>
  <c r="AO200" i="60" s="1"/>
  <c r="AS316" i="60"/>
  <c r="AU316" i="60" s="1"/>
  <c r="AW316" i="60" s="1"/>
  <c r="W316" i="60"/>
  <c r="AO316" i="60" s="1"/>
  <c r="AS106" i="60"/>
  <c r="AU106" i="60" s="1"/>
  <c r="AW106" i="60" s="1"/>
  <c r="AY106" i="60" s="1"/>
  <c r="W106" i="60"/>
  <c r="AO106" i="60" s="1"/>
  <c r="AS180" i="60"/>
  <c r="AU180" i="60" s="1"/>
  <c r="AW180" i="60" s="1"/>
  <c r="W180" i="60"/>
  <c r="AO180" i="60" s="1"/>
  <c r="AS54" i="60"/>
  <c r="AU54" i="60" s="1"/>
  <c r="AW54" i="60" s="1"/>
  <c r="W54" i="60"/>
  <c r="AO54" i="60" s="1"/>
  <c r="W398" i="60"/>
  <c r="AO398" i="60" s="1"/>
  <c r="AS398" i="60"/>
  <c r="AU398" i="60" s="1"/>
  <c r="AW398" i="60" s="1"/>
  <c r="AS245" i="60"/>
  <c r="AU245" i="60" s="1"/>
  <c r="AW245" i="60" s="1"/>
  <c r="AY245" i="60" s="1"/>
  <c r="W245" i="60"/>
  <c r="AO245" i="60" s="1"/>
  <c r="AS63" i="60"/>
  <c r="AU63" i="60" s="1"/>
  <c r="AW63" i="60" s="1"/>
  <c r="AY63" i="60" s="1"/>
  <c r="W63" i="60"/>
  <c r="AO63" i="60" s="1"/>
  <c r="AS236" i="60"/>
  <c r="AU236" i="60" s="1"/>
  <c r="AW236" i="60" s="1"/>
  <c r="AY236" i="60" s="1"/>
  <c r="W236" i="60"/>
  <c r="AO236" i="60" s="1"/>
  <c r="AS112" i="60"/>
  <c r="AU112" i="60" s="1"/>
  <c r="AW112" i="60" s="1"/>
  <c r="AY112" i="60" s="1"/>
  <c r="W112" i="60"/>
  <c r="AS190" i="60"/>
  <c r="AU190" i="60" s="1"/>
  <c r="AW190" i="60" s="1"/>
  <c r="AY190" i="60" s="1"/>
  <c r="W190" i="60"/>
  <c r="AS24" i="60"/>
  <c r="AU24" i="60" s="1"/>
  <c r="AW24" i="60" s="1"/>
  <c r="AY24" i="60" s="1"/>
  <c r="W24" i="60"/>
  <c r="AS342" i="60"/>
  <c r="AU342" i="60" s="1"/>
  <c r="AW342" i="60" s="1"/>
  <c r="AY342" i="60" s="1"/>
  <c r="W342" i="60"/>
  <c r="W389" i="60"/>
  <c r="AS389" i="60"/>
  <c r="AU389" i="60" s="1"/>
  <c r="AW389" i="60" s="1"/>
  <c r="AY389" i="60" s="1"/>
  <c r="AS365" i="60"/>
  <c r="AU365" i="60" s="1"/>
  <c r="AW365" i="60" s="1"/>
  <c r="AY365" i="60" s="1"/>
  <c r="W365" i="60"/>
  <c r="AO365" i="60" s="1"/>
  <c r="AS15" i="60"/>
  <c r="AU15" i="60" s="1"/>
  <c r="AW15" i="60" s="1"/>
  <c r="AY15" i="60" s="1"/>
  <c r="W15" i="60"/>
  <c r="AS92" i="60"/>
  <c r="AU92" i="60" s="1"/>
  <c r="AW92" i="60" s="1"/>
  <c r="AY92" i="60" s="1"/>
  <c r="W92" i="60"/>
  <c r="AS100" i="60"/>
  <c r="AU100" i="60" s="1"/>
  <c r="AW100" i="60" s="1"/>
  <c r="AY100" i="60" s="1"/>
  <c r="W100" i="60"/>
  <c r="AS262" i="60"/>
  <c r="AU262" i="60" s="1"/>
  <c r="AW262" i="60" s="1"/>
  <c r="W262" i="60"/>
  <c r="AO262" i="60" s="1"/>
  <c r="AS312" i="60"/>
  <c r="AU312" i="60" s="1"/>
  <c r="AW312" i="60" s="1"/>
  <c r="W312" i="60"/>
  <c r="AO312" i="60" s="1"/>
  <c r="AS66" i="60"/>
  <c r="AU66" i="60" s="1"/>
  <c r="AW66" i="60" s="1"/>
  <c r="W66" i="60"/>
  <c r="AO66" i="60" s="1"/>
  <c r="W376" i="60"/>
  <c r="AO376" i="60" s="1"/>
  <c r="AS376" i="60"/>
  <c r="AU376" i="60" s="1"/>
  <c r="AW376" i="60" s="1"/>
  <c r="AS113" i="60"/>
  <c r="AU113" i="60" s="1"/>
  <c r="AW113" i="60" s="1"/>
  <c r="W113" i="60"/>
  <c r="AO113" i="60" s="1"/>
  <c r="AS75" i="60"/>
  <c r="AU75" i="60" s="1"/>
  <c r="AW75" i="60" s="1"/>
  <c r="W75" i="60"/>
  <c r="AO75" i="60" s="1"/>
  <c r="AS260" i="60"/>
  <c r="AU260" i="60" s="1"/>
  <c r="AW260" i="60" s="1"/>
  <c r="W260" i="60"/>
  <c r="AO260" i="60" s="1"/>
  <c r="AP64" i="60"/>
  <c r="AR64" i="60" s="1"/>
  <c r="AP160" i="60"/>
  <c r="AR160" i="60" s="1"/>
  <c r="AP220" i="60"/>
  <c r="AR220" i="60" s="1"/>
  <c r="AT220" i="60" s="1"/>
  <c r="AV220" i="60" s="1"/>
  <c r="AX220" i="60" s="1"/>
  <c r="AZ220" i="60" s="1"/>
  <c r="AP304" i="60"/>
  <c r="AR304" i="60" s="1"/>
  <c r="AP280" i="60"/>
  <c r="AR280" i="60" s="1"/>
  <c r="AT226" i="60"/>
  <c r="AV226" i="60" s="1"/>
  <c r="AX226" i="60" s="1"/>
  <c r="AZ226" i="60" s="1"/>
  <c r="BB226" i="60" s="1"/>
  <c r="AP178" i="60"/>
  <c r="AR178" i="60" s="1"/>
  <c r="AP262" i="60"/>
  <c r="AR262" i="60" s="1"/>
  <c r="AP202" i="60"/>
  <c r="AR202" i="60" s="1"/>
  <c r="AP370" i="60"/>
  <c r="AR370" i="60" s="1"/>
  <c r="AT96" i="60"/>
  <c r="AV96" i="60" s="1"/>
  <c r="AX96" i="60" s="1"/>
  <c r="AZ96" i="60" s="1"/>
  <c r="AP192" i="60"/>
  <c r="AR192" i="60" s="1"/>
  <c r="AT192" i="60" s="1"/>
  <c r="AV192" i="60" s="1"/>
  <c r="AX192" i="60" s="1"/>
  <c r="AZ192" i="60" s="1"/>
  <c r="AP144" i="60"/>
  <c r="AR144" i="60" s="1"/>
  <c r="AP240" i="60"/>
  <c r="AR240" i="60" s="1"/>
  <c r="AP360" i="60"/>
  <c r="AR360" i="60" s="1"/>
  <c r="AP312" i="60"/>
  <c r="AR312" i="60" s="1"/>
  <c r="AP288" i="60"/>
  <c r="AR288" i="60" s="1"/>
  <c r="AP276" i="60"/>
  <c r="AR276" i="60" s="1"/>
  <c r="AT276" i="60" s="1"/>
  <c r="AV276" i="60" s="1"/>
  <c r="AX276" i="60" s="1"/>
  <c r="AZ276" i="60" s="1"/>
  <c r="AP18" i="60"/>
  <c r="AR18" i="60" s="1"/>
  <c r="AT18" i="60" s="1"/>
  <c r="AV18" i="60" s="1"/>
  <c r="AX18" i="60" s="1"/>
  <c r="AZ18" i="60" s="1"/>
  <c r="AP294" i="60"/>
  <c r="AR294" i="60" s="1"/>
  <c r="AP126" i="60"/>
  <c r="AR126" i="60" s="1"/>
  <c r="AP66" i="60"/>
  <c r="AR66" i="60" s="1"/>
  <c r="AP258" i="60"/>
  <c r="AR258" i="60" s="1"/>
  <c r="AT366" i="60"/>
  <c r="AV366" i="60" s="1"/>
  <c r="AX366" i="60" s="1"/>
  <c r="AZ366" i="60" s="1"/>
  <c r="BB366" i="60" s="1"/>
  <c r="AT330" i="60"/>
  <c r="AV330" i="60" s="1"/>
  <c r="AX330" i="60" s="1"/>
  <c r="AZ330" i="60" s="1"/>
  <c r="BB330" i="60" s="1"/>
  <c r="BD330" i="60" s="1"/>
  <c r="BF330" i="60" s="1"/>
  <c r="AP376" i="60"/>
  <c r="AR376" i="60" s="1"/>
  <c r="AP379" i="60"/>
  <c r="AR379" i="60" s="1"/>
  <c r="AP378" i="60"/>
  <c r="AR378" i="60" s="1"/>
  <c r="AP392" i="60"/>
  <c r="AR392" i="60" s="1"/>
  <c r="AT392" i="60" s="1"/>
  <c r="AV392" i="60" s="1"/>
  <c r="AX392" i="60" s="1"/>
  <c r="AZ392" i="60" s="1"/>
  <c r="BB392" i="60" s="1"/>
  <c r="BD392" i="60" s="1"/>
  <c r="BF392" i="60" s="1"/>
  <c r="AP384" i="60"/>
  <c r="AR384" i="60" s="1"/>
  <c r="AT384" i="60" s="1"/>
  <c r="AV384" i="60" s="1"/>
  <c r="AX384" i="60" s="1"/>
  <c r="AZ384" i="60" s="1"/>
  <c r="AP403" i="60"/>
  <c r="AR403" i="60" s="1"/>
  <c r="AP65" i="60"/>
  <c r="AR65" i="60" s="1"/>
  <c r="AP161" i="60"/>
  <c r="AR161" i="60" s="1"/>
  <c r="AP113" i="60"/>
  <c r="AR113" i="60" s="1"/>
  <c r="AP209" i="60"/>
  <c r="AR209" i="60" s="1"/>
  <c r="AP53" i="60"/>
  <c r="AR53" i="60" s="1"/>
  <c r="AT53" i="60" s="1"/>
  <c r="AV53" i="60" s="1"/>
  <c r="AX53" i="60" s="1"/>
  <c r="AZ53" i="60" s="1"/>
  <c r="BB53" i="60" s="1"/>
  <c r="AP317" i="60"/>
  <c r="AR317" i="60" s="1"/>
  <c r="AT317" i="60" s="1"/>
  <c r="AV317" i="60" s="1"/>
  <c r="AX317" i="60" s="1"/>
  <c r="AZ317" i="60" s="1"/>
  <c r="BB317" i="60" s="1"/>
  <c r="BD317" i="60" s="1"/>
  <c r="BF317" i="60" s="1"/>
  <c r="AP257" i="60"/>
  <c r="AR257" i="60" s="1"/>
  <c r="AT257" i="60" s="1"/>
  <c r="AV257" i="60" s="1"/>
  <c r="AX257" i="60" s="1"/>
  <c r="AZ257" i="60" s="1"/>
  <c r="BB257" i="60" s="1"/>
  <c r="AP329" i="60"/>
  <c r="AR329" i="60" s="1"/>
  <c r="AP51" i="60"/>
  <c r="AR51" i="60" s="1"/>
  <c r="AT51" i="60" s="1"/>
  <c r="AV51" i="60" s="1"/>
  <c r="AX51" i="60" s="1"/>
  <c r="AZ51" i="60" s="1"/>
  <c r="AP291" i="60"/>
  <c r="AR291" i="60" s="1"/>
  <c r="AT291" i="60" s="1"/>
  <c r="AV291" i="60" s="1"/>
  <c r="AX291" i="60" s="1"/>
  <c r="AZ291" i="60" s="1"/>
  <c r="BB291" i="60" s="1"/>
  <c r="BD291" i="60" s="1"/>
  <c r="BF291" i="60" s="1"/>
  <c r="AP159" i="60"/>
  <c r="AR159" i="60" s="1"/>
  <c r="AP87" i="60"/>
  <c r="AR87" i="60" s="1"/>
  <c r="AP75" i="60"/>
  <c r="AR75" i="60" s="1"/>
  <c r="AP339" i="60"/>
  <c r="AR339" i="60" s="1"/>
  <c r="AP351" i="60"/>
  <c r="AR351" i="60" s="1"/>
  <c r="AT351" i="60" s="1"/>
  <c r="AV351" i="60" s="1"/>
  <c r="AX351" i="60" s="1"/>
  <c r="AZ351" i="60" s="1"/>
  <c r="AP188" i="60"/>
  <c r="AR188" i="60" s="1"/>
  <c r="AT188" i="60" s="1"/>
  <c r="AV188" i="60" s="1"/>
  <c r="AX188" i="60" s="1"/>
  <c r="AZ188" i="60" s="1"/>
  <c r="AT176" i="60"/>
  <c r="AV176" i="60" s="1"/>
  <c r="AX176" i="60" s="1"/>
  <c r="AZ176" i="60" s="1"/>
  <c r="BB176" i="60" s="1"/>
  <c r="AP116" i="60"/>
  <c r="AR116" i="60" s="1"/>
  <c r="AT116" i="60" s="1"/>
  <c r="AV116" i="60" s="1"/>
  <c r="AX116" i="60" s="1"/>
  <c r="AZ116" i="60" s="1"/>
  <c r="AP344" i="60"/>
  <c r="AR344" i="60" s="1"/>
  <c r="AT344" i="60" s="1"/>
  <c r="AV344" i="60" s="1"/>
  <c r="AX344" i="60" s="1"/>
  <c r="AZ344" i="60" s="1"/>
  <c r="BB344" i="60" s="1"/>
  <c r="BD344" i="60" s="1"/>
  <c r="BF344" i="60" s="1"/>
  <c r="AP356" i="60"/>
  <c r="AR356" i="60" s="1"/>
  <c r="AP260" i="60"/>
  <c r="AR260" i="60" s="1"/>
  <c r="AS196" i="60"/>
  <c r="AU196" i="60" s="1"/>
  <c r="AW196" i="60" s="1"/>
  <c r="W196" i="60"/>
  <c r="AO196" i="60" s="1"/>
  <c r="AS214" i="60"/>
  <c r="AU214" i="60" s="1"/>
  <c r="AW214" i="60" s="1"/>
  <c r="AY214" i="60" s="1"/>
  <c r="W214" i="60"/>
  <c r="AS36" i="60"/>
  <c r="AU36" i="60" s="1"/>
  <c r="AW36" i="60" s="1"/>
  <c r="AY36" i="60" s="1"/>
  <c r="W36" i="60"/>
  <c r="AS246" i="60"/>
  <c r="AU246" i="60" s="1"/>
  <c r="AW246" i="60" s="1"/>
  <c r="AY246" i="60" s="1"/>
  <c r="W246" i="60"/>
  <c r="W400" i="60"/>
  <c r="AS400" i="60"/>
  <c r="AU400" i="60" s="1"/>
  <c r="AW400" i="60" s="1"/>
  <c r="AY400" i="60" s="1"/>
  <c r="AS173" i="60"/>
  <c r="AU173" i="60" s="1"/>
  <c r="AW173" i="60" s="1"/>
  <c r="AY173" i="60" s="1"/>
  <c r="W173" i="60"/>
  <c r="AS231" i="60"/>
  <c r="AU231" i="60" s="1"/>
  <c r="AW231" i="60" s="1"/>
  <c r="AY231" i="60" s="1"/>
  <c r="W231" i="60"/>
  <c r="AS248" i="60"/>
  <c r="AU248" i="60" s="1"/>
  <c r="AW248" i="60" s="1"/>
  <c r="AY248" i="60" s="1"/>
  <c r="W248" i="60"/>
  <c r="AS148" i="60"/>
  <c r="AU148" i="60" s="1"/>
  <c r="AW148" i="60" s="1"/>
  <c r="AY148" i="60" s="1"/>
  <c r="W148" i="60"/>
  <c r="AO148" i="60" s="1"/>
  <c r="AS142" i="60"/>
  <c r="AU142" i="60" s="1"/>
  <c r="AW142" i="60" s="1"/>
  <c r="AY142" i="60" s="1"/>
  <c r="W142" i="60"/>
  <c r="AO142" i="60" s="1"/>
  <c r="AS132" i="60"/>
  <c r="AU132" i="60" s="1"/>
  <c r="AW132" i="60" s="1"/>
  <c r="AY132" i="60" s="1"/>
  <c r="W132" i="60"/>
  <c r="AO132" i="60" s="1"/>
  <c r="AS138" i="60"/>
  <c r="AU138" i="60" s="1"/>
  <c r="AW138" i="60" s="1"/>
  <c r="AY138" i="60" s="1"/>
  <c r="W138" i="60"/>
  <c r="AO138" i="60" s="1"/>
  <c r="W391" i="60"/>
  <c r="AO391" i="60" s="1"/>
  <c r="AS391" i="60"/>
  <c r="AU391" i="60" s="1"/>
  <c r="AW391" i="60" s="1"/>
  <c r="AS279" i="60"/>
  <c r="AU279" i="60" s="1"/>
  <c r="AW279" i="60" s="1"/>
  <c r="W279" i="60"/>
  <c r="AO279" i="60" s="1"/>
  <c r="AS32" i="60"/>
  <c r="AU32" i="60" s="1"/>
  <c r="AW32" i="60" s="1"/>
  <c r="W32" i="60"/>
  <c r="AO32" i="60" s="1"/>
  <c r="AS232" i="60"/>
  <c r="AU232" i="60" s="1"/>
  <c r="AW232" i="60" s="1"/>
  <c r="AY232" i="60" s="1"/>
  <c r="W232" i="60"/>
  <c r="AS130" i="60"/>
  <c r="AU130" i="60" s="1"/>
  <c r="AW130" i="60" s="1"/>
  <c r="W130" i="60"/>
  <c r="AO130" i="60" s="1"/>
  <c r="AS48" i="60"/>
  <c r="AU48" i="60" s="1"/>
  <c r="AW48" i="60" s="1"/>
  <c r="AY48" i="60" s="1"/>
  <c r="W48" i="60"/>
  <c r="AS42" i="60"/>
  <c r="AU42" i="60" s="1"/>
  <c r="AW42" i="60" s="1"/>
  <c r="AY42" i="60" s="1"/>
  <c r="W42" i="60"/>
  <c r="AO42" i="60" s="1"/>
  <c r="W385" i="60"/>
  <c r="AS385" i="60"/>
  <c r="AU385" i="60" s="1"/>
  <c r="AW385" i="60" s="1"/>
  <c r="AY385" i="60" s="1"/>
  <c r="AS341" i="60"/>
  <c r="AU341" i="60" s="1"/>
  <c r="AW341" i="60" s="1"/>
  <c r="AY341" i="60" s="1"/>
  <c r="W341" i="60"/>
  <c r="AO341" i="60" s="1"/>
  <c r="AS243" i="60"/>
  <c r="AU243" i="60" s="1"/>
  <c r="AW243" i="60" s="1"/>
  <c r="AY243" i="60" s="1"/>
  <c r="W243" i="60"/>
  <c r="AS140" i="60"/>
  <c r="AU140" i="60" s="1"/>
  <c r="AW140" i="60" s="1"/>
  <c r="AY140" i="60" s="1"/>
  <c r="W140" i="60"/>
  <c r="AS64" i="60"/>
  <c r="AU64" i="60" s="1"/>
  <c r="AW64" i="60" s="1"/>
  <c r="W64" i="60"/>
  <c r="AO64" i="60" s="1"/>
  <c r="AS202" i="60"/>
  <c r="AU202" i="60" s="1"/>
  <c r="AW202" i="60" s="1"/>
  <c r="AY202" i="60" s="1"/>
  <c r="W202" i="60"/>
  <c r="AO202" i="60" s="1"/>
  <c r="AS288" i="60"/>
  <c r="AU288" i="60" s="1"/>
  <c r="AW288" i="60" s="1"/>
  <c r="W288" i="60"/>
  <c r="AO288" i="60" s="1"/>
  <c r="AS258" i="60"/>
  <c r="AU258" i="60" s="1"/>
  <c r="AW258" i="60" s="1"/>
  <c r="W258" i="60"/>
  <c r="AO258" i="60" s="1"/>
  <c r="W379" i="60"/>
  <c r="AO379" i="60" s="1"/>
  <c r="AS379" i="60"/>
  <c r="AU379" i="60" s="1"/>
  <c r="AW379" i="60" s="1"/>
  <c r="AS209" i="60"/>
  <c r="AU209" i="60" s="1"/>
  <c r="AW209" i="60" s="1"/>
  <c r="W209" i="60"/>
  <c r="AO209" i="60" s="1"/>
  <c r="AS339" i="60"/>
  <c r="AU339" i="60" s="1"/>
  <c r="AW339" i="60" s="1"/>
  <c r="W339" i="60"/>
  <c r="AO339" i="60" s="1"/>
  <c r="AR11" i="56"/>
  <c r="AS106" i="56"/>
  <c r="AS162" i="56"/>
  <c r="AS218" i="56"/>
  <c r="AS200" i="56"/>
  <c r="AS209" i="56"/>
  <c r="P11" i="56"/>
  <c r="AB11" i="56"/>
  <c r="AN11" i="56"/>
  <c r="AS137" i="56"/>
  <c r="AS67" i="56"/>
  <c r="AS81" i="56"/>
  <c r="AS161" i="56"/>
  <c r="AS70" i="56"/>
  <c r="AS149" i="56"/>
  <c r="AS231" i="56"/>
  <c r="AS202" i="56"/>
  <c r="AS74" i="56"/>
  <c r="AS163" i="56"/>
  <c r="AS167" i="56"/>
  <c r="AS134" i="56"/>
  <c r="AS18" i="56"/>
  <c r="AS182" i="56"/>
  <c r="AS51" i="56"/>
  <c r="C13" i="1"/>
  <c r="C14" i="1"/>
  <c r="BD176" i="60" l="1"/>
  <c r="BF176" i="60" s="1"/>
  <c r="BD53" i="60"/>
  <c r="BF53" i="60" s="1"/>
  <c r="BD366" i="60"/>
  <c r="BF366" i="60" s="1"/>
  <c r="AT304" i="60"/>
  <c r="AV304" i="60" s="1"/>
  <c r="AX304" i="60" s="1"/>
  <c r="AZ304" i="60" s="1"/>
  <c r="BD284" i="60"/>
  <c r="BF284" i="60" s="1"/>
  <c r="AT402" i="60"/>
  <c r="AV402" i="60" s="1"/>
  <c r="AX402" i="60" s="1"/>
  <c r="AZ402" i="60" s="1"/>
  <c r="BB402" i="60" s="1"/>
  <c r="BD402" i="60" s="1"/>
  <c r="BF402" i="60" s="1"/>
  <c r="AY17" i="60"/>
  <c r="BD210" i="60"/>
  <c r="BF210" i="60" s="1"/>
  <c r="AY288" i="60"/>
  <c r="AY340" i="60"/>
  <c r="AT377" i="60"/>
  <c r="AV377" i="60" s="1"/>
  <c r="AX377" i="60" s="1"/>
  <c r="AZ377" i="60" s="1"/>
  <c r="BB377" i="60" s="1"/>
  <c r="BD377" i="60" s="1"/>
  <c r="BF377" i="60" s="1"/>
  <c r="BD34" i="60"/>
  <c r="BF34" i="60" s="1"/>
  <c r="BD257" i="60"/>
  <c r="BF257" i="60" s="1"/>
  <c r="BD226" i="60"/>
  <c r="BF226" i="60" s="1"/>
  <c r="BD207" i="60"/>
  <c r="BF207" i="60" s="1"/>
  <c r="BD328" i="60"/>
  <c r="BF328" i="60" s="1"/>
  <c r="BA27" i="60"/>
  <c r="AT376" i="60"/>
  <c r="AV376" i="60" s="1"/>
  <c r="AX376" i="60" s="1"/>
  <c r="AZ376" i="60" s="1"/>
  <c r="AT395" i="60"/>
  <c r="AV395" i="60" s="1"/>
  <c r="AX395" i="60" s="1"/>
  <c r="AZ395" i="60" s="1"/>
  <c r="BB395" i="60" s="1"/>
  <c r="BD395" i="60" s="1"/>
  <c r="BF395" i="60" s="1"/>
  <c r="AT238" i="60"/>
  <c r="AV238" i="60" s="1"/>
  <c r="AX238" i="60" s="1"/>
  <c r="AZ238" i="60" s="1"/>
  <c r="AY398" i="60"/>
  <c r="AT111" i="60"/>
  <c r="AV111" i="60" s="1"/>
  <c r="AX111" i="60" s="1"/>
  <c r="AZ111" i="60" s="1"/>
  <c r="AT41" i="60"/>
  <c r="AV41" i="60" s="1"/>
  <c r="AX41" i="60" s="1"/>
  <c r="AZ41" i="60" s="1"/>
  <c r="BB41" i="60" s="1"/>
  <c r="BD41" i="60" s="1"/>
  <c r="BF41" i="60" s="1"/>
  <c r="AT399" i="60"/>
  <c r="AV399" i="60" s="1"/>
  <c r="AX399" i="60" s="1"/>
  <c r="AZ399" i="60" s="1"/>
  <c r="AT282" i="60"/>
  <c r="AV282" i="60" s="1"/>
  <c r="AX282" i="60" s="1"/>
  <c r="AZ282" i="60" s="1"/>
  <c r="AY348" i="60"/>
  <c r="BB272" i="60"/>
  <c r="BD272" i="60" s="1"/>
  <c r="BF272" i="60" s="1"/>
  <c r="BB204" i="60"/>
  <c r="BD204" i="60" s="1"/>
  <c r="BF204" i="60" s="1"/>
  <c r="AT269" i="60"/>
  <c r="AV269" i="60" s="1"/>
  <c r="AX269" i="60" s="1"/>
  <c r="AZ269" i="60" s="1"/>
  <c r="BA80" i="60"/>
  <c r="AT403" i="60"/>
  <c r="AV403" i="60" s="1"/>
  <c r="AX403" i="60" s="1"/>
  <c r="AZ403" i="60" s="1"/>
  <c r="AT378" i="60"/>
  <c r="AV378" i="60" s="1"/>
  <c r="AX378" i="60" s="1"/>
  <c r="AZ378" i="60" s="1"/>
  <c r="BB378" i="60" s="1"/>
  <c r="BD378" i="60" s="1"/>
  <c r="BF378" i="60" s="1"/>
  <c r="AY180" i="60"/>
  <c r="AT125" i="60"/>
  <c r="AV125" i="60" s="1"/>
  <c r="AX125" i="60" s="1"/>
  <c r="AZ125" i="60" s="1"/>
  <c r="AY318" i="60"/>
  <c r="AT346" i="60"/>
  <c r="AV346" i="60" s="1"/>
  <c r="AX346" i="60" s="1"/>
  <c r="AZ346" i="60" s="1"/>
  <c r="BB124" i="60"/>
  <c r="BD124" i="60" s="1"/>
  <c r="BF124" i="60" s="1"/>
  <c r="BB351" i="60"/>
  <c r="BD351" i="60" s="1"/>
  <c r="BF351" i="60" s="1"/>
  <c r="BB324" i="60"/>
  <c r="BD324" i="60" s="1"/>
  <c r="BF324" i="60" s="1"/>
  <c r="BB40" i="60"/>
  <c r="BD40" i="60" s="1"/>
  <c r="BF40" i="60" s="1"/>
  <c r="BA269" i="60"/>
  <c r="AY64" i="60"/>
  <c r="BA330" i="60"/>
  <c r="BA96" i="60"/>
  <c r="AY30" i="60"/>
  <c r="BA30" i="60" s="1"/>
  <c r="AT44" i="60"/>
  <c r="AV44" i="60" s="1"/>
  <c r="AX44" i="60" s="1"/>
  <c r="AZ44" i="60" s="1"/>
  <c r="BB44" i="60" s="1"/>
  <c r="BD44" i="60" s="1"/>
  <c r="BF44" i="60" s="1"/>
  <c r="BA389" i="60"/>
  <c r="BA381" i="60"/>
  <c r="BA293" i="60"/>
  <c r="BA296" i="60"/>
  <c r="BA387" i="60"/>
  <c r="BA382" i="60"/>
  <c r="AT140" i="60"/>
  <c r="AV140" i="60" s="1"/>
  <c r="AX140" i="60" s="1"/>
  <c r="AZ140" i="60" s="1"/>
  <c r="AO140" i="60"/>
  <c r="AT48" i="60"/>
  <c r="AV48" i="60" s="1"/>
  <c r="AX48" i="60" s="1"/>
  <c r="AZ48" i="60" s="1"/>
  <c r="AO48" i="60"/>
  <c r="AT248" i="60"/>
  <c r="AV248" i="60" s="1"/>
  <c r="AX248" i="60" s="1"/>
  <c r="AZ248" i="60" s="1"/>
  <c r="AO248" i="60"/>
  <c r="AT36" i="60"/>
  <c r="AV36" i="60" s="1"/>
  <c r="AX36" i="60" s="1"/>
  <c r="AZ36" i="60" s="1"/>
  <c r="AO36" i="60"/>
  <c r="BA264" i="60"/>
  <c r="AT29" i="60"/>
  <c r="AV29" i="60" s="1"/>
  <c r="AX29" i="60" s="1"/>
  <c r="AZ29" i="60" s="1"/>
  <c r="AO29" i="60"/>
  <c r="AT92" i="60"/>
  <c r="AV92" i="60" s="1"/>
  <c r="AX92" i="60" s="1"/>
  <c r="AZ92" i="60" s="1"/>
  <c r="AO92" i="60"/>
  <c r="AT190" i="60"/>
  <c r="AV190" i="60" s="1"/>
  <c r="AX190" i="60" s="1"/>
  <c r="AZ190" i="60" s="1"/>
  <c r="AO190" i="60"/>
  <c r="AT90" i="60"/>
  <c r="AV90" i="60" s="1"/>
  <c r="AX90" i="60" s="1"/>
  <c r="AZ90" i="60" s="1"/>
  <c r="BB90" i="60" s="1"/>
  <c r="BD90" i="60" s="1"/>
  <c r="BF90" i="60" s="1"/>
  <c r="AO90" i="60"/>
  <c r="AT60" i="60"/>
  <c r="AV60" i="60" s="1"/>
  <c r="AX60" i="60" s="1"/>
  <c r="AZ60" i="60" s="1"/>
  <c r="BB60" i="60" s="1"/>
  <c r="BD60" i="60" s="1"/>
  <c r="BF60" i="60" s="1"/>
  <c r="AO60" i="60"/>
  <c r="AT315" i="60"/>
  <c r="AV315" i="60" s="1"/>
  <c r="AX315" i="60" s="1"/>
  <c r="AZ315" i="60" s="1"/>
  <c r="BB315" i="60" s="1"/>
  <c r="BD315" i="60" s="1"/>
  <c r="BF315" i="60" s="1"/>
  <c r="AO315" i="60"/>
  <c r="AT221" i="60"/>
  <c r="AV221" i="60" s="1"/>
  <c r="AX221" i="60" s="1"/>
  <c r="AZ221" i="60" s="1"/>
  <c r="BB221" i="60" s="1"/>
  <c r="BD221" i="60" s="1"/>
  <c r="BF221" i="60" s="1"/>
  <c r="AO221" i="60"/>
  <c r="AT234" i="60"/>
  <c r="AV234" i="60" s="1"/>
  <c r="AX234" i="60" s="1"/>
  <c r="AZ234" i="60" s="1"/>
  <c r="BB234" i="60" s="1"/>
  <c r="BD234" i="60" s="1"/>
  <c r="BF234" i="60" s="1"/>
  <c r="AO234" i="60"/>
  <c r="AT154" i="60"/>
  <c r="AV154" i="60" s="1"/>
  <c r="AX154" i="60" s="1"/>
  <c r="AZ154" i="60" s="1"/>
  <c r="BB154" i="60" s="1"/>
  <c r="AO154" i="60"/>
  <c r="AT68" i="60"/>
  <c r="AV68" i="60" s="1"/>
  <c r="AX68" i="60" s="1"/>
  <c r="AZ68" i="60" s="1"/>
  <c r="AO68" i="60"/>
  <c r="AT56" i="60"/>
  <c r="AV56" i="60" s="1"/>
  <c r="AX56" i="60" s="1"/>
  <c r="AZ56" i="60" s="1"/>
  <c r="BB56" i="60" s="1"/>
  <c r="AO56" i="60"/>
  <c r="AT94" i="60"/>
  <c r="AV94" i="60" s="1"/>
  <c r="AX94" i="60" s="1"/>
  <c r="AZ94" i="60" s="1"/>
  <c r="BB94" i="60" s="1"/>
  <c r="BD94" i="60" s="1"/>
  <c r="BF94" i="60" s="1"/>
  <c r="AO94" i="60"/>
  <c r="AT244" i="60"/>
  <c r="AV244" i="60" s="1"/>
  <c r="AX244" i="60" s="1"/>
  <c r="AZ244" i="60" s="1"/>
  <c r="BB244" i="60" s="1"/>
  <c r="BD244" i="60" s="1"/>
  <c r="BF244" i="60" s="1"/>
  <c r="AO244" i="60"/>
  <c r="AT298" i="60"/>
  <c r="AV298" i="60" s="1"/>
  <c r="AX298" i="60" s="1"/>
  <c r="AZ298" i="60" s="1"/>
  <c r="AO298" i="60"/>
  <c r="AT172" i="60"/>
  <c r="AV172" i="60" s="1"/>
  <c r="AX172" i="60" s="1"/>
  <c r="AZ172" i="60" s="1"/>
  <c r="BB172" i="60" s="1"/>
  <c r="BD172" i="60" s="1"/>
  <c r="BF172" i="60" s="1"/>
  <c r="AO172" i="60"/>
  <c r="AT185" i="60"/>
  <c r="AV185" i="60" s="1"/>
  <c r="AX185" i="60" s="1"/>
  <c r="AZ185" i="60" s="1"/>
  <c r="AO185" i="60"/>
  <c r="AT70" i="60"/>
  <c r="AV70" i="60" s="1"/>
  <c r="AX70" i="60" s="1"/>
  <c r="AZ70" i="60" s="1"/>
  <c r="AO70" i="60"/>
  <c r="AT88" i="60"/>
  <c r="AV88" i="60" s="1"/>
  <c r="AX88" i="60" s="1"/>
  <c r="AZ88" i="60" s="1"/>
  <c r="AO88" i="60"/>
  <c r="AT332" i="60"/>
  <c r="AV332" i="60" s="1"/>
  <c r="AX332" i="60" s="1"/>
  <c r="AZ332" i="60" s="1"/>
  <c r="BB332" i="60" s="1"/>
  <c r="BD332" i="60" s="1"/>
  <c r="BF332" i="60" s="1"/>
  <c r="AO332" i="60"/>
  <c r="AT72" i="60"/>
  <c r="AV72" i="60" s="1"/>
  <c r="AX72" i="60" s="1"/>
  <c r="AZ72" i="60" s="1"/>
  <c r="BB72" i="60" s="1"/>
  <c r="BD72" i="60" s="1"/>
  <c r="BF72" i="60" s="1"/>
  <c r="AO72" i="60"/>
  <c r="AT363" i="60"/>
  <c r="AV363" i="60" s="1"/>
  <c r="AX363" i="60" s="1"/>
  <c r="AZ363" i="60" s="1"/>
  <c r="BB363" i="60" s="1"/>
  <c r="BD363" i="60" s="1"/>
  <c r="BF363" i="60" s="1"/>
  <c r="AO363" i="60"/>
  <c r="AT152" i="60"/>
  <c r="AV152" i="60" s="1"/>
  <c r="AX152" i="60" s="1"/>
  <c r="AZ152" i="60" s="1"/>
  <c r="BB152" i="60" s="1"/>
  <c r="BD152" i="60" s="1"/>
  <c r="BF152" i="60" s="1"/>
  <c r="AO152" i="60"/>
  <c r="AT306" i="60"/>
  <c r="AV306" i="60" s="1"/>
  <c r="AX306" i="60" s="1"/>
  <c r="AZ306" i="60" s="1"/>
  <c r="BB306" i="60" s="1"/>
  <c r="BD306" i="60" s="1"/>
  <c r="BF306" i="60" s="1"/>
  <c r="AO306" i="60"/>
  <c r="AT108" i="60"/>
  <c r="AV108" i="60" s="1"/>
  <c r="AX108" i="60" s="1"/>
  <c r="AZ108" i="60" s="1"/>
  <c r="BB108" i="60" s="1"/>
  <c r="BD108" i="60" s="1"/>
  <c r="BF108" i="60" s="1"/>
  <c r="AO108" i="60"/>
  <c r="AT327" i="60"/>
  <c r="AV327" i="60" s="1"/>
  <c r="AX327" i="60" s="1"/>
  <c r="AZ327" i="60" s="1"/>
  <c r="BB327" i="60" s="1"/>
  <c r="BD327" i="60" s="1"/>
  <c r="BF327" i="60" s="1"/>
  <c r="AO327" i="60"/>
  <c r="AT358" i="60"/>
  <c r="AV358" i="60" s="1"/>
  <c r="AX358" i="60" s="1"/>
  <c r="AZ358" i="60" s="1"/>
  <c r="BB358" i="60" s="1"/>
  <c r="BD358" i="60" s="1"/>
  <c r="BF358" i="60" s="1"/>
  <c r="AO358" i="60"/>
  <c r="AT184" i="60"/>
  <c r="AV184" i="60" s="1"/>
  <c r="AX184" i="60" s="1"/>
  <c r="AZ184" i="60" s="1"/>
  <c r="AO184" i="60"/>
  <c r="AT308" i="60"/>
  <c r="AV308" i="60" s="1"/>
  <c r="AX308" i="60" s="1"/>
  <c r="AZ308" i="60" s="1"/>
  <c r="BB308" i="60" s="1"/>
  <c r="BD308" i="60" s="1"/>
  <c r="BF308" i="60" s="1"/>
  <c r="AO308" i="60"/>
  <c r="AT250" i="60"/>
  <c r="AV250" i="60" s="1"/>
  <c r="AX250" i="60" s="1"/>
  <c r="AZ250" i="60" s="1"/>
  <c r="BB250" i="60" s="1"/>
  <c r="BD250" i="60" s="1"/>
  <c r="BF250" i="60" s="1"/>
  <c r="AO250" i="60"/>
  <c r="AT243" i="60"/>
  <c r="AV243" i="60" s="1"/>
  <c r="AX243" i="60" s="1"/>
  <c r="AZ243" i="60" s="1"/>
  <c r="BB243" i="60" s="1"/>
  <c r="BD243" i="60" s="1"/>
  <c r="BF243" i="60" s="1"/>
  <c r="AO243" i="60"/>
  <c r="AT232" i="60"/>
  <c r="AV232" i="60" s="1"/>
  <c r="AX232" i="60" s="1"/>
  <c r="AZ232" i="60" s="1"/>
  <c r="AO232" i="60"/>
  <c r="AT231" i="60"/>
  <c r="AV231" i="60" s="1"/>
  <c r="AX231" i="60" s="1"/>
  <c r="AZ231" i="60" s="1"/>
  <c r="BB231" i="60" s="1"/>
  <c r="BD231" i="60" s="1"/>
  <c r="BF231" i="60" s="1"/>
  <c r="AO231" i="60"/>
  <c r="AT173" i="60"/>
  <c r="AV173" i="60" s="1"/>
  <c r="AX173" i="60" s="1"/>
  <c r="AZ173" i="60" s="1"/>
  <c r="BB173" i="60" s="1"/>
  <c r="BD173" i="60" s="1"/>
  <c r="BF173" i="60" s="1"/>
  <c r="AO173" i="60"/>
  <c r="AT246" i="60"/>
  <c r="AV246" i="60" s="1"/>
  <c r="AX246" i="60" s="1"/>
  <c r="AZ246" i="60" s="1"/>
  <c r="BB246" i="60" s="1"/>
  <c r="BD246" i="60" s="1"/>
  <c r="BF246" i="60" s="1"/>
  <c r="AO246" i="60"/>
  <c r="AT214" i="60"/>
  <c r="AV214" i="60" s="1"/>
  <c r="AX214" i="60" s="1"/>
  <c r="AZ214" i="60" s="1"/>
  <c r="BB214" i="60" s="1"/>
  <c r="BD214" i="60" s="1"/>
  <c r="BF214" i="60" s="1"/>
  <c r="AO214" i="60"/>
  <c r="AT100" i="60"/>
  <c r="AV100" i="60" s="1"/>
  <c r="AX100" i="60" s="1"/>
  <c r="AZ100" i="60" s="1"/>
  <c r="BB100" i="60" s="1"/>
  <c r="BD100" i="60" s="1"/>
  <c r="BF100" i="60" s="1"/>
  <c r="AO100" i="60"/>
  <c r="AT15" i="60"/>
  <c r="AV15" i="60" s="1"/>
  <c r="AX15" i="60" s="1"/>
  <c r="AZ15" i="60" s="1"/>
  <c r="BB15" i="60" s="1"/>
  <c r="BD15" i="60" s="1"/>
  <c r="BF15" i="60" s="1"/>
  <c r="AO15" i="60"/>
  <c r="AT342" i="60"/>
  <c r="AV342" i="60" s="1"/>
  <c r="AX342" i="60" s="1"/>
  <c r="AZ342" i="60" s="1"/>
  <c r="BB342" i="60" s="1"/>
  <c r="BD342" i="60" s="1"/>
  <c r="BF342" i="60" s="1"/>
  <c r="AO342" i="60"/>
  <c r="AT24" i="60"/>
  <c r="AV24" i="60" s="1"/>
  <c r="AX24" i="60" s="1"/>
  <c r="AZ24" i="60" s="1"/>
  <c r="BB24" i="60" s="1"/>
  <c r="BD24" i="60" s="1"/>
  <c r="BF24" i="60" s="1"/>
  <c r="AO24" i="60"/>
  <c r="AT112" i="60"/>
  <c r="AV112" i="60" s="1"/>
  <c r="AX112" i="60" s="1"/>
  <c r="AZ112" i="60" s="1"/>
  <c r="BB112" i="60" s="1"/>
  <c r="BD112" i="60" s="1"/>
  <c r="BF112" i="60" s="1"/>
  <c r="AO112" i="60"/>
  <c r="AT195" i="60"/>
  <c r="AV195" i="60" s="1"/>
  <c r="AX195" i="60" s="1"/>
  <c r="AZ195" i="60" s="1"/>
  <c r="BB195" i="60" s="1"/>
  <c r="BD195" i="60" s="1"/>
  <c r="BF195" i="60" s="1"/>
  <c r="AO195" i="60"/>
  <c r="AT310" i="60"/>
  <c r="AV310" i="60" s="1"/>
  <c r="AX310" i="60" s="1"/>
  <c r="AZ310" i="60" s="1"/>
  <c r="BB310" i="60" s="1"/>
  <c r="BD310" i="60" s="1"/>
  <c r="BF310" i="60" s="1"/>
  <c r="AO310" i="60"/>
  <c r="AT128" i="60"/>
  <c r="AV128" i="60" s="1"/>
  <c r="AX128" i="60" s="1"/>
  <c r="AZ128" i="60" s="1"/>
  <c r="BB128" i="60" s="1"/>
  <c r="BD128" i="60" s="1"/>
  <c r="BF128" i="60" s="1"/>
  <c r="AO128" i="60"/>
  <c r="AT168" i="60"/>
  <c r="AV168" i="60" s="1"/>
  <c r="AX168" i="60" s="1"/>
  <c r="AZ168" i="60" s="1"/>
  <c r="BB168" i="60" s="1"/>
  <c r="BD168" i="60" s="1"/>
  <c r="BF168" i="60" s="1"/>
  <c r="AO168" i="60"/>
  <c r="AT267" i="60"/>
  <c r="AV267" i="60" s="1"/>
  <c r="AX267" i="60" s="1"/>
  <c r="AZ267" i="60" s="1"/>
  <c r="BB267" i="60" s="1"/>
  <c r="BD267" i="60" s="1"/>
  <c r="BF267" i="60" s="1"/>
  <c r="AO267" i="60"/>
  <c r="AT305" i="60"/>
  <c r="AV305" i="60" s="1"/>
  <c r="AX305" i="60" s="1"/>
  <c r="AZ305" i="60" s="1"/>
  <c r="BB305" i="60" s="1"/>
  <c r="BD305" i="60" s="1"/>
  <c r="BF305" i="60" s="1"/>
  <c r="AO305" i="60"/>
  <c r="AT270" i="60"/>
  <c r="AV270" i="60" s="1"/>
  <c r="AX270" i="60" s="1"/>
  <c r="AZ270" i="60" s="1"/>
  <c r="BB270" i="60" s="1"/>
  <c r="BD270" i="60" s="1"/>
  <c r="BF270" i="60" s="1"/>
  <c r="AO270" i="60"/>
  <c r="AT84" i="60"/>
  <c r="AV84" i="60" s="1"/>
  <c r="AX84" i="60" s="1"/>
  <c r="AZ84" i="60" s="1"/>
  <c r="BB84" i="60" s="1"/>
  <c r="BD84" i="60" s="1"/>
  <c r="BF84" i="60" s="1"/>
  <c r="AO84" i="60"/>
  <c r="AT320" i="60"/>
  <c r="AV320" i="60" s="1"/>
  <c r="AX320" i="60" s="1"/>
  <c r="AZ320" i="60" s="1"/>
  <c r="BB320" i="60" s="1"/>
  <c r="BD320" i="60" s="1"/>
  <c r="BF320" i="60" s="1"/>
  <c r="AO320" i="60"/>
  <c r="AT174" i="60"/>
  <c r="AV174" i="60" s="1"/>
  <c r="AX174" i="60" s="1"/>
  <c r="AZ174" i="60" s="1"/>
  <c r="BB174" i="60" s="1"/>
  <c r="BD174" i="60" s="1"/>
  <c r="BF174" i="60" s="1"/>
  <c r="AO174" i="60"/>
  <c r="AT22" i="60"/>
  <c r="AV22" i="60" s="1"/>
  <c r="AX22" i="60" s="1"/>
  <c r="AZ22" i="60" s="1"/>
  <c r="BB22" i="60" s="1"/>
  <c r="BD22" i="60" s="1"/>
  <c r="BF22" i="60" s="1"/>
  <c r="AO22" i="60"/>
  <c r="AT52" i="60"/>
  <c r="AV52" i="60" s="1"/>
  <c r="AX52" i="60" s="1"/>
  <c r="AZ52" i="60" s="1"/>
  <c r="BB52" i="60" s="1"/>
  <c r="BD52" i="60" s="1"/>
  <c r="BF52" i="60" s="1"/>
  <c r="AO52" i="60"/>
  <c r="AT78" i="60"/>
  <c r="AV78" i="60" s="1"/>
  <c r="AX78" i="60" s="1"/>
  <c r="AZ78" i="60" s="1"/>
  <c r="BB78" i="60" s="1"/>
  <c r="AO78" i="60"/>
  <c r="AT164" i="60"/>
  <c r="AV164" i="60" s="1"/>
  <c r="AX164" i="60" s="1"/>
  <c r="AZ164" i="60" s="1"/>
  <c r="BB164" i="60" s="1"/>
  <c r="BD164" i="60" s="1"/>
  <c r="BF164" i="60" s="1"/>
  <c r="AO164" i="60"/>
  <c r="AT102" i="60"/>
  <c r="AV102" i="60" s="1"/>
  <c r="AX102" i="60" s="1"/>
  <c r="AZ102" i="60" s="1"/>
  <c r="BB102" i="60" s="1"/>
  <c r="BD102" i="60" s="1"/>
  <c r="BF102" i="60" s="1"/>
  <c r="AO102" i="60"/>
  <c r="AT20" i="60"/>
  <c r="AV20" i="60" s="1"/>
  <c r="AX20" i="60" s="1"/>
  <c r="AZ20" i="60" s="1"/>
  <c r="BB20" i="60" s="1"/>
  <c r="BD20" i="60" s="1"/>
  <c r="BF20" i="60" s="1"/>
  <c r="AO20" i="60"/>
  <c r="AT372" i="60"/>
  <c r="AV372" i="60" s="1"/>
  <c r="AX372" i="60" s="1"/>
  <c r="AZ372" i="60" s="1"/>
  <c r="BB372" i="60" s="1"/>
  <c r="BD372" i="60" s="1"/>
  <c r="BF372" i="60" s="1"/>
  <c r="AO372" i="60"/>
  <c r="AT149" i="60"/>
  <c r="AV149" i="60" s="1"/>
  <c r="AX149" i="60" s="1"/>
  <c r="AZ149" i="60" s="1"/>
  <c r="BB149" i="60" s="1"/>
  <c r="BD149" i="60" s="1"/>
  <c r="BF149" i="60" s="1"/>
  <c r="AO149" i="60"/>
  <c r="AT136" i="60"/>
  <c r="AV136" i="60" s="1"/>
  <c r="AX136" i="60" s="1"/>
  <c r="AZ136" i="60" s="1"/>
  <c r="BB136" i="60" s="1"/>
  <c r="BD136" i="60" s="1"/>
  <c r="BF136" i="60" s="1"/>
  <c r="AO136" i="60"/>
  <c r="AT147" i="60"/>
  <c r="AV147" i="60" s="1"/>
  <c r="AX147" i="60" s="1"/>
  <c r="AZ147" i="60" s="1"/>
  <c r="BB147" i="60" s="1"/>
  <c r="BD147" i="60" s="1"/>
  <c r="BF147" i="60" s="1"/>
  <c r="AO147" i="60"/>
  <c r="AT222" i="60"/>
  <c r="AV222" i="60" s="1"/>
  <c r="AX222" i="60" s="1"/>
  <c r="AZ222" i="60" s="1"/>
  <c r="BB222" i="60" s="1"/>
  <c r="BD222" i="60" s="1"/>
  <c r="BF222" i="60" s="1"/>
  <c r="AO222" i="60"/>
  <c r="AT198" i="60"/>
  <c r="AV198" i="60" s="1"/>
  <c r="AX198" i="60" s="1"/>
  <c r="AZ198" i="60" s="1"/>
  <c r="BB198" i="60" s="1"/>
  <c r="BD198" i="60" s="1"/>
  <c r="BF198" i="60" s="1"/>
  <c r="AO198" i="60"/>
  <c r="AT120" i="60"/>
  <c r="AV120" i="60" s="1"/>
  <c r="AX120" i="60" s="1"/>
  <c r="AZ120" i="60" s="1"/>
  <c r="BB120" i="60" s="1"/>
  <c r="BD120" i="60" s="1"/>
  <c r="BF120" i="60" s="1"/>
  <c r="AO120" i="60"/>
  <c r="AT212" i="60"/>
  <c r="AV212" i="60" s="1"/>
  <c r="AX212" i="60" s="1"/>
  <c r="AZ212" i="60" s="1"/>
  <c r="BB212" i="60" s="1"/>
  <c r="BD212" i="60" s="1"/>
  <c r="BF212" i="60" s="1"/>
  <c r="AO212" i="60"/>
  <c r="AT228" i="60"/>
  <c r="AV228" i="60" s="1"/>
  <c r="AX228" i="60" s="1"/>
  <c r="AZ228" i="60" s="1"/>
  <c r="BB228" i="60" s="1"/>
  <c r="BD228" i="60" s="1"/>
  <c r="BF228" i="60" s="1"/>
  <c r="AO228" i="60"/>
  <c r="AT385" i="60"/>
  <c r="AV385" i="60" s="1"/>
  <c r="AX385" i="60" s="1"/>
  <c r="AZ385" i="60" s="1"/>
  <c r="BB385" i="60" s="1"/>
  <c r="BD385" i="60" s="1"/>
  <c r="BF385" i="60" s="1"/>
  <c r="AO385" i="60"/>
  <c r="AT400" i="60"/>
  <c r="AV400" i="60" s="1"/>
  <c r="AX400" i="60" s="1"/>
  <c r="AZ400" i="60" s="1"/>
  <c r="BB400" i="60" s="1"/>
  <c r="BD400" i="60" s="1"/>
  <c r="BF400" i="60" s="1"/>
  <c r="AO400" i="60"/>
  <c r="AT389" i="60"/>
  <c r="AV389" i="60" s="1"/>
  <c r="AX389" i="60" s="1"/>
  <c r="AZ389" i="60" s="1"/>
  <c r="BB389" i="60" s="1"/>
  <c r="BD389" i="60" s="1"/>
  <c r="BF389" i="60" s="1"/>
  <c r="AO389" i="60"/>
  <c r="AT388" i="60"/>
  <c r="AV388" i="60" s="1"/>
  <c r="AX388" i="60" s="1"/>
  <c r="AZ388" i="60" s="1"/>
  <c r="BB388" i="60" s="1"/>
  <c r="BD388" i="60" s="1"/>
  <c r="BF388" i="60" s="1"/>
  <c r="AO388" i="60"/>
  <c r="AT390" i="60"/>
  <c r="AV390" i="60" s="1"/>
  <c r="AX390" i="60" s="1"/>
  <c r="AZ390" i="60" s="1"/>
  <c r="BB390" i="60" s="1"/>
  <c r="BD390" i="60" s="1"/>
  <c r="BF390" i="60" s="1"/>
  <c r="AO390" i="60"/>
  <c r="AT393" i="60"/>
  <c r="AV393" i="60" s="1"/>
  <c r="AX393" i="60" s="1"/>
  <c r="AZ393" i="60" s="1"/>
  <c r="BB393" i="60" s="1"/>
  <c r="BD393" i="60" s="1"/>
  <c r="BF393" i="60" s="1"/>
  <c r="AO393" i="60"/>
  <c r="AT380" i="60"/>
  <c r="AV380" i="60" s="1"/>
  <c r="AX380" i="60" s="1"/>
  <c r="AZ380" i="60" s="1"/>
  <c r="BB380" i="60" s="1"/>
  <c r="BD380" i="60" s="1"/>
  <c r="BF380" i="60" s="1"/>
  <c r="AO380" i="60"/>
  <c r="AT387" i="60"/>
  <c r="AV387" i="60" s="1"/>
  <c r="AX387" i="60" s="1"/>
  <c r="AZ387" i="60" s="1"/>
  <c r="BB387" i="60" s="1"/>
  <c r="BD387" i="60" s="1"/>
  <c r="BF387" i="60" s="1"/>
  <c r="AO387" i="60"/>
  <c r="AT382" i="60"/>
  <c r="AV382" i="60" s="1"/>
  <c r="AX382" i="60" s="1"/>
  <c r="AZ382" i="60" s="1"/>
  <c r="BB382" i="60" s="1"/>
  <c r="BD382" i="60" s="1"/>
  <c r="BF382" i="60" s="1"/>
  <c r="AO382" i="60"/>
  <c r="AT394" i="60"/>
  <c r="AV394" i="60" s="1"/>
  <c r="AX394" i="60" s="1"/>
  <c r="AZ394" i="60" s="1"/>
  <c r="BB394" i="60" s="1"/>
  <c r="BD394" i="60" s="1"/>
  <c r="BF394" i="60" s="1"/>
  <c r="AO394" i="60"/>
  <c r="AT397" i="60"/>
  <c r="AV397" i="60" s="1"/>
  <c r="AX397" i="60" s="1"/>
  <c r="AZ397" i="60" s="1"/>
  <c r="BB397" i="60" s="1"/>
  <c r="BD397" i="60" s="1"/>
  <c r="BF397" i="60" s="1"/>
  <c r="AO397" i="60"/>
  <c r="AT396" i="60"/>
  <c r="AV396" i="60" s="1"/>
  <c r="AX396" i="60" s="1"/>
  <c r="AZ396" i="60" s="1"/>
  <c r="BB396" i="60" s="1"/>
  <c r="BD396" i="60" s="1"/>
  <c r="BF396" i="60" s="1"/>
  <c r="AO396" i="60"/>
  <c r="BD78" i="60"/>
  <c r="BF78" i="60" s="1"/>
  <c r="BD56" i="60"/>
  <c r="BF56" i="60" s="1"/>
  <c r="AY279" i="60"/>
  <c r="BA279" i="60" s="1"/>
  <c r="AT159" i="60"/>
  <c r="AV159" i="60" s="1"/>
  <c r="AX159" i="60" s="1"/>
  <c r="AZ159" i="60" s="1"/>
  <c r="BB159" i="60" s="1"/>
  <c r="BD159" i="60" s="1"/>
  <c r="BF159" i="60" s="1"/>
  <c r="AT161" i="60"/>
  <c r="AV161" i="60" s="1"/>
  <c r="AX161" i="60" s="1"/>
  <c r="AZ161" i="60" s="1"/>
  <c r="BB161" i="60" s="1"/>
  <c r="BD161" i="60" s="1"/>
  <c r="BF161" i="60" s="1"/>
  <c r="AY391" i="60"/>
  <c r="BB116" i="60"/>
  <c r="BD116" i="60" s="1"/>
  <c r="BF116" i="60" s="1"/>
  <c r="BB18" i="60"/>
  <c r="BD18" i="60" s="1"/>
  <c r="BF18" i="60" s="1"/>
  <c r="BB192" i="60"/>
  <c r="BD192" i="60" s="1"/>
  <c r="BF192" i="60" s="1"/>
  <c r="BB303" i="60"/>
  <c r="BD303" i="60" s="1"/>
  <c r="BF303" i="60" s="1"/>
  <c r="AT256" i="60"/>
  <c r="AV256" i="60" s="1"/>
  <c r="AX256" i="60" s="1"/>
  <c r="AZ256" i="60" s="1"/>
  <c r="BB256" i="60" s="1"/>
  <c r="BD256" i="60" s="1"/>
  <c r="BF256" i="60" s="1"/>
  <c r="AT294" i="60"/>
  <c r="AV294" i="60" s="1"/>
  <c r="AX294" i="60" s="1"/>
  <c r="AZ294" i="60" s="1"/>
  <c r="BB294" i="60" s="1"/>
  <c r="BD294" i="60" s="1"/>
  <c r="BF294" i="60" s="1"/>
  <c r="AT160" i="60"/>
  <c r="AV160" i="60" s="1"/>
  <c r="AX160" i="60" s="1"/>
  <c r="AZ160" i="60" s="1"/>
  <c r="BB160" i="60" s="1"/>
  <c r="BD160" i="60" s="1"/>
  <c r="BF160" i="60" s="1"/>
  <c r="AY32" i="60"/>
  <c r="BA32" i="60" s="1"/>
  <c r="BB51" i="60"/>
  <c r="BD51" i="60" s="1"/>
  <c r="BF51" i="60" s="1"/>
  <c r="AT329" i="60"/>
  <c r="AV329" i="60" s="1"/>
  <c r="AX329" i="60" s="1"/>
  <c r="AZ329" i="60" s="1"/>
  <c r="BB329" i="60" s="1"/>
  <c r="BD329" i="60" s="1"/>
  <c r="BF329" i="60" s="1"/>
  <c r="BB384" i="60"/>
  <c r="BD384" i="60" s="1"/>
  <c r="BF384" i="60" s="1"/>
  <c r="BB96" i="60"/>
  <c r="BD96" i="60" s="1"/>
  <c r="BF96" i="60" s="1"/>
  <c r="AT224" i="60"/>
  <c r="AV224" i="60" s="1"/>
  <c r="AX224" i="60" s="1"/>
  <c r="AZ224" i="60" s="1"/>
  <c r="BB224" i="60" s="1"/>
  <c r="BD224" i="60" s="1"/>
  <c r="BF224" i="60" s="1"/>
  <c r="BB99" i="60"/>
  <c r="BD99" i="60" s="1"/>
  <c r="BF99" i="60" s="1"/>
  <c r="BB186" i="60"/>
  <c r="BD186" i="60" s="1"/>
  <c r="BF186" i="60" s="1"/>
  <c r="BB334" i="60"/>
  <c r="BD334" i="60" s="1"/>
  <c r="BF334" i="60" s="1"/>
  <c r="AY104" i="60"/>
  <c r="BA104" i="60" s="1"/>
  <c r="AY364" i="60"/>
  <c r="BA364" i="60" s="1"/>
  <c r="AT368" i="60"/>
  <c r="AV368" i="60" s="1"/>
  <c r="AX368" i="60" s="1"/>
  <c r="AZ368" i="60" s="1"/>
  <c r="BB368" i="60" s="1"/>
  <c r="BD368" i="60" s="1"/>
  <c r="BF368" i="60" s="1"/>
  <c r="BB276" i="60"/>
  <c r="BD276" i="60" s="1"/>
  <c r="BF276" i="60" s="1"/>
  <c r="AT240" i="60"/>
  <c r="AV240" i="60" s="1"/>
  <c r="AX240" i="60" s="1"/>
  <c r="AZ240" i="60" s="1"/>
  <c r="BB240" i="60" s="1"/>
  <c r="BD240" i="60" s="1"/>
  <c r="BF240" i="60" s="1"/>
  <c r="AT370" i="60"/>
  <c r="AV370" i="60" s="1"/>
  <c r="AX370" i="60" s="1"/>
  <c r="AZ370" i="60" s="1"/>
  <c r="BB370" i="60" s="1"/>
  <c r="BD370" i="60" s="1"/>
  <c r="BF370" i="60" s="1"/>
  <c r="BB89" i="60"/>
  <c r="BD89" i="60" s="1"/>
  <c r="BF89" i="60" s="1"/>
  <c r="BB166" i="60"/>
  <c r="BD166" i="60" s="1"/>
  <c r="BF166" i="60" s="1"/>
  <c r="BB208" i="60"/>
  <c r="BD208" i="60" s="1"/>
  <c r="BF208" i="60" s="1"/>
  <c r="AY255" i="60"/>
  <c r="BA255" i="60" s="1"/>
  <c r="AY401" i="60"/>
  <c r="BA401" i="60" s="1"/>
  <c r="AY82" i="60"/>
  <c r="BA82" i="60" s="1"/>
  <c r="AY135" i="60"/>
  <c r="BA135" i="60" s="1"/>
  <c r="BA78" i="60"/>
  <c r="BA324" i="60"/>
  <c r="BA40" i="60"/>
  <c r="BC40" i="60" s="1"/>
  <c r="BE40" i="60" s="1"/>
  <c r="BG40" i="60" s="1"/>
  <c r="AY28" i="60"/>
  <c r="BA28" i="60" s="1"/>
  <c r="BA164" i="60"/>
  <c r="AY114" i="60"/>
  <c r="AY336" i="60"/>
  <c r="BA336" i="60" s="1"/>
  <c r="AT144" i="60"/>
  <c r="AV144" i="60" s="1"/>
  <c r="AX144" i="60" s="1"/>
  <c r="AZ144" i="60" s="1"/>
  <c r="BB144" i="60" s="1"/>
  <c r="BD144" i="60" s="1"/>
  <c r="BF144" i="60" s="1"/>
  <c r="BB220" i="60"/>
  <c r="BD220" i="60" s="1"/>
  <c r="BF220" i="60" s="1"/>
  <c r="AY54" i="60"/>
  <c r="BA54" i="60" s="1"/>
  <c r="AY316" i="60"/>
  <c r="BA316" i="60" s="1"/>
  <c r="AY58" i="60"/>
  <c r="BA58" i="60" s="1"/>
  <c r="BB137" i="60"/>
  <c r="BD137" i="60" s="1"/>
  <c r="BF137" i="60" s="1"/>
  <c r="BB399" i="60"/>
  <c r="BD399" i="60" s="1"/>
  <c r="BF399" i="60" s="1"/>
  <c r="BB16" i="60"/>
  <c r="BD16" i="60" s="1"/>
  <c r="BF16" i="60" s="1"/>
  <c r="AT118" i="60"/>
  <c r="AV118" i="60" s="1"/>
  <c r="AX118" i="60" s="1"/>
  <c r="AZ118" i="60" s="1"/>
  <c r="BB118" i="60" s="1"/>
  <c r="BD118" i="60" s="1"/>
  <c r="BF118" i="60" s="1"/>
  <c r="AY46" i="60"/>
  <c r="BA46" i="60" s="1"/>
  <c r="BA288" i="60"/>
  <c r="BA140" i="60"/>
  <c r="BA341" i="60"/>
  <c r="BB92" i="60"/>
  <c r="BD92" i="60" s="1"/>
  <c r="BF92" i="60" s="1"/>
  <c r="BD154" i="60"/>
  <c r="BF154" i="60" s="1"/>
  <c r="BA402" i="60"/>
  <c r="BC402" i="60" s="1"/>
  <c r="BE402" i="60" s="1"/>
  <c r="BG402" i="60" s="1"/>
  <c r="BA42" i="60"/>
  <c r="BA48" i="60"/>
  <c r="BC48" i="60" s="1"/>
  <c r="BE48" i="60" s="1"/>
  <c r="BG48" i="60" s="1"/>
  <c r="BA138" i="60"/>
  <c r="BA142" i="60"/>
  <c r="BA148" i="60"/>
  <c r="BA248" i="60"/>
  <c r="BC248" i="60" s="1"/>
  <c r="BE248" i="60" s="1"/>
  <c r="BG248" i="60" s="1"/>
  <c r="BA36" i="60"/>
  <c r="BC36" i="60" s="1"/>
  <c r="BE36" i="60" s="1"/>
  <c r="BG36" i="60" s="1"/>
  <c r="BA298" i="60"/>
  <c r="BC298" i="60" s="1"/>
  <c r="BE298" i="60" s="1"/>
  <c r="BG298" i="60" s="1"/>
  <c r="BA172" i="60"/>
  <c r="BC172" i="60" s="1"/>
  <c r="BE172" i="60" s="1"/>
  <c r="BG172" i="60" s="1"/>
  <c r="BA197" i="60"/>
  <c r="BA318" i="60"/>
  <c r="BA332" i="60"/>
  <c r="BA72" i="60"/>
  <c r="BC72" i="60" s="1"/>
  <c r="BE72" i="60" s="1"/>
  <c r="BG72" i="60" s="1"/>
  <c r="BA308" i="60"/>
  <c r="BC308" i="60" s="1"/>
  <c r="BE308" i="60" s="1"/>
  <c r="BG308" i="60" s="1"/>
  <c r="BB376" i="60"/>
  <c r="BD376" i="60" s="1"/>
  <c r="BF376" i="60" s="1"/>
  <c r="BB298" i="60"/>
  <c r="BD298" i="60" s="1"/>
  <c r="BF298" i="60" s="1"/>
  <c r="BB185" i="60"/>
  <c r="BD185" i="60" s="1"/>
  <c r="BF185" i="60" s="1"/>
  <c r="BB70" i="60"/>
  <c r="BD70" i="60" s="1"/>
  <c r="BF70" i="60" s="1"/>
  <c r="BB88" i="60"/>
  <c r="BD88" i="60" s="1"/>
  <c r="BF88" i="60" s="1"/>
  <c r="BA250" i="60"/>
  <c r="AY339" i="60"/>
  <c r="BA339" i="60" s="1"/>
  <c r="BA394" i="60"/>
  <c r="AY379" i="60"/>
  <c r="BA379" i="60" s="1"/>
  <c r="AY111" i="60"/>
  <c r="BA111" i="60" s="1"/>
  <c r="BC111" i="60" s="1"/>
  <c r="BE111" i="60" s="1"/>
  <c r="BG111" i="60" s="1"/>
  <c r="BC293" i="60"/>
  <c r="BE293" i="60" s="1"/>
  <c r="BG293" i="60" s="1"/>
  <c r="BC264" i="60"/>
  <c r="BE264" i="60" s="1"/>
  <c r="BG264" i="60" s="1"/>
  <c r="BA393" i="60"/>
  <c r="BA228" i="60"/>
  <c r="BA202" i="60"/>
  <c r="BC202" i="60" s="1"/>
  <c r="BE202" i="60" s="1"/>
  <c r="BG202" i="60" s="1"/>
  <c r="BA64" i="60"/>
  <c r="BA243" i="60"/>
  <c r="BC243" i="60" s="1"/>
  <c r="BE243" i="60" s="1"/>
  <c r="BG243" i="60" s="1"/>
  <c r="BA232" i="60"/>
  <c r="BA132" i="60"/>
  <c r="BA231" i="60"/>
  <c r="BA173" i="60"/>
  <c r="BC173" i="60" s="1"/>
  <c r="BE173" i="60" s="1"/>
  <c r="BG173" i="60" s="1"/>
  <c r="BA246" i="60"/>
  <c r="BA214" i="60"/>
  <c r="BB190" i="60"/>
  <c r="BD190" i="60" s="1"/>
  <c r="BF190" i="60" s="1"/>
  <c r="BB68" i="60"/>
  <c r="BD68" i="60" s="1"/>
  <c r="BF68" i="60" s="1"/>
  <c r="AY209" i="60"/>
  <c r="BA209" i="60" s="1"/>
  <c r="BB232" i="60"/>
  <c r="BD232" i="60" s="1"/>
  <c r="BF232" i="60" s="1"/>
  <c r="BB238" i="60"/>
  <c r="BD238" i="60" s="1"/>
  <c r="BF238" i="60" s="1"/>
  <c r="AT280" i="60"/>
  <c r="AV280" i="60" s="1"/>
  <c r="AX280" i="60" s="1"/>
  <c r="AZ280" i="60" s="1"/>
  <c r="BB280" i="60" s="1"/>
  <c r="BD280" i="60" s="1"/>
  <c r="BF280" i="60" s="1"/>
  <c r="BA92" i="60"/>
  <c r="BC92" i="60" s="1"/>
  <c r="BE92" i="60" s="1"/>
  <c r="BG92" i="60" s="1"/>
  <c r="BA190" i="60"/>
  <c r="BC190" i="60" s="1"/>
  <c r="BE190" i="60" s="1"/>
  <c r="BG190" i="60" s="1"/>
  <c r="AY196" i="60"/>
  <c r="BA196" i="60" s="1"/>
  <c r="AT260" i="60"/>
  <c r="AV260" i="60" s="1"/>
  <c r="AX260" i="60" s="1"/>
  <c r="AZ260" i="60" s="1"/>
  <c r="BB260" i="60" s="1"/>
  <c r="BD260" i="60" s="1"/>
  <c r="BF260" i="60" s="1"/>
  <c r="AT339" i="60"/>
  <c r="AV339" i="60" s="1"/>
  <c r="AX339" i="60" s="1"/>
  <c r="AZ339" i="60" s="1"/>
  <c r="BB339" i="60" s="1"/>
  <c r="BD339" i="60" s="1"/>
  <c r="BF339" i="60" s="1"/>
  <c r="AT126" i="60"/>
  <c r="AV126" i="60" s="1"/>
  <c r="AX126" i="60" s="1"/>
  <c r="AZ126" i="60" s="1"/>
  <c r="BB126" i="60" s="1"/>
  <c r="BD126" i="60" s="1"/>
  <c r="BF126" i="60" s="1"/>
  <c r="AT312" i="60"/>
  <c r="AV312" i="60" s="1"/>
  <c r="AX312" i="60" s="1"/>
  <c r="AZ312" i="60" s="1"/>
  <c r="BB312" i="60" s="1"/>
  <c r="BD312" i="60" s="1"/>
  <c r="BF312" i="60" s="1"/>
  <c r="BB304" i="60"/>
  <c r="BD304" i="60" s="1"/>
  <c r="BF304" i="60" s="1"/>
  <c r="AY258" i="60"/>
  <c r="BA258" i="60" s="1"/>
  <c r="BB140" i="60"/>
  <c r="BD140" i="60" s="1"/>
  <c r="BF140" i="60" s="1"/>
  <c r="BB248" i="60"/>
  <c r="BD248" i="60" s="1"/>
  <c r="BF248" i="60" s="1"/>
  <c r="BB36" i="60"/>
  <c r="BD36" i="60" s="1"/>
  <c r="BF36" i="60" s="1"/>
  <c r="AT356" i="60"/>
  <c r="AV356" i="60" s="1"/>
  <c r="AX356" i="60" s="1"/>
  <c r="AZ356" i="60" s="1"/>
  <c r="BB356" i="60" s="1"/>
  <c r="BD356" i="60" s="1"/>
  <c r="BF356" i="60" s="1"/>
  <c r="AT65" i="60"/>
  <c r="AV65" i="60" s="1"/>
  <c r="AX65" i="60" s="1"/>
  <c r="AZ65" i="60" s="1"/>
  <c r="BB65" i="60" s="1"/>
  <c r="BD65" i="60" s="1"/>
  <c r="BF65" i="60" s="1"/>
  <c r="BB403" i="60"/>
  <c r="BD403" i="60" s="1"/>
  <c r="BF403" i="60" s="1"/>
  <c r="AT360" i="60"/>
  <c r="AV360" i="60" s="1"/>
  <c r="AX360" i="60" s="1"/>
  <c r="AZ360" i="60" s="1"/>
  <c r="BB360" i="60" s="1"/>
  <c r="BD360" i="60" s="1"/>
  <c r="BF360" i="60" s="1"/>
  <c r="BA63" i="60"/>
  <c r="BA245" i="60"/>
  <c r="BA106" i="60"/>
  <c r="BA200" i="60"/>
  <c r="BA90" i="60"/>
  <c r="BC90" i="60" s="1"/>
  <c r="BE90" i="60" s="1"/>
  <c r="BG90" i="60" s="1"/>
  <c r="BA60" i="60"/>
  <c r="BC60" i="60" s="1"/>
  <c r="BE60" i="60" s="1"/>
  <c r="BG60" i="60" s="1"/>
  <c r="BA315" i="60"/>
  <c r="BC315" i="60" s="1"/>
  <c r="BE315" i="60" s="1"/>
  <c r="BG315" i="60" s="1"/>
  <c r="BA221" i="60"/>
  <c r="BC221" i="60" s="1"/>
  <c r="BE221" i="60" s="1"/>
  <c r="BG221" i="60" s="1"/>
  <c r="BA234" i="60"/>
  <c r="BC234" i="60" s="1"/>
  <c r="BE234" i="60" s="1"/>
  <c r="BG234" i="60" s="1"/>
  <c r="BA154" i="60"/>
  <c r="BC154" i="60" s="1"/>
  <c r="BE154" i="60" s="1"/>
  <c r="BG154" i="60" s="1"/>
  <c r="BA68" i="60"/>
  <c r="BC68" i="60" s="1"/>
  <c r="BE68" i="60" s="1"/>
  <c r="BG68" i="60" s="1"/>
  <c r="BA292" i="60"/>
  <c r="BA56" i="60"/>
  <c r="BC56" i="60" s="1"/>
  <c r="BE56" i="60" s="1"/>
  <c r="BG56" i="60" s="1"/>
  <c r="BA94" i="60"/>
  <c r="BC94" i="60" s="1"/>
  <c r="BE94" i="60" s="1"/>
  <c r="BG94" i="60" s="1"/>
  <c r="AT375" i="60"/>
  <c r="AV375" i="60" s="1"/>
  <c r="AX375" i="60" s="1"/>
  <c r="AZ375" i="60" s="1"/>
  <c r="BB375" i="60" s="1"/>
  <c r="BD375" i="60" s="1"/>
  <c r="BF375" i="60" s="1"/>
  <c r="AT130" i="60"/>
  <c r="AV130" i="60" s="1"/>
  <c r="AX130" i="60" s="1"/>
  <c r="AZ130" i="60" s="1"/>
  <c r="BB130" i="60" s="1"/>
  <c r="BD130" i="60" s="1"/>
  <c r="BF130" i="60" s="1"/>
  <c r="AY188" i="60"/>
  <c r="BA188" i="60" s="1"/>
  <c r="BC188" i="60" s="1"/>
  <c r="BE188" i="60" s="1"/>
  <c r="BG188" i="60" s="1"/>
  <c r="BB219" i="60"/>
  <c r="BD219" i="60" s="1"/>
  <c r="BF219" i="60" s="1"/>
  <c r="BB125" i="60"/>
  <c r="BD125" i="60" s="1"/>
  <c r="BF125" i="60" s="1"/>
  <c r="BB346" i="60"/>
  <c r="BD346" i="60" s="1"/>
  <c r="BF346" i="60" s="1"/>
  <c r="AT341" i="60"/>
  <c r="AV341" i="60" s="1"/>
  <c r="AX341" i="60" s="1"/>
  <c r="AZ341" i="60" s="1"/>
  <c r="BB341" i="60" s="1"/>
  <c r="BD341" i="60" s="1"/>
  <c r="BF341" i="60" s="1"/>
  <c r="BB282" i="60"/>
  <c r="BD282" i="60" s="1"/>
  <c r="BF282" i="60" s="1"/>
  <c r="BA366" i="60"/>
  <c r="BC366" i="60" s="1"/>
  <c r="BE366" i="60" s="1"/>
  <c r="BG366" i="60" s="1"/>
  <c r="BB80" i="60"/>
  <c r="BD80" i="60" s="1"/>
  <c r="BF80" i="60" s="1"/>
  <c r="BB281" i="60"/>
  <c r="BD281" i="60" s="1"/>
  <c r="BF281" i="60" s="1"/>
  <c r="BA76" i="60"/>
  <c r="BA185" i="60"/>
  <c r="BC185" i="60" s="1"/>
  <c r="BE185" i="60" s="1"/>
  <c r="BG185" i="60" s="1"/>
  <c r="BA70" i="60"/>
  <c r="BC70" i="60" s="1"/>
  <c r="BE70" i="60" s="1"/>
  <c r="BG70" i="60" s="1"/>
  <c r="BA88" i="60"/>
  <c r="BC88" i="60" s="1"/>
  <c r="BE88" i="60" s="1"/>
  <c r="BG88" i="60" s="1"/>
  <c r="BA322" i="60"/>
  <c r="BA22" i="60"/>
  <c r="BA52" i="60"/>
  <c r="BC52" i="60" s="1"/>
  <c r="BE52" i="60" s="1"/>
  <c r="BG52" i="60" s="1"/>
  <c r="AT104" i="60"/>
  <c r="AV104" i="60" s="1"/>
  <c r="AX104" i="60" s="1"/>
  <c r="AZ104" i="60" s="1"/>
  <c r="BB104" i="60" s="1"/>
  <c r="BD104" i="60" s="1"/>
  <c r="BF104" i="60" s="1"/>
  <c r="AT386" i="60"/>
  <c r="AV386" i="60" s="1"/>
  <c r="AX386" i="60" s="1"/>
  <c r="AZ386" i="60" s="1"/>
  <c r="BB386" i="60" s="1"/>
  <c r="BD386" i="60" s="1"/>
  <c r="BF386" i="60" s="1"/>
  <c r="BB162" i="60"/>
  <c r="BD162" i="60" s="1"/>
  <c r="BF162" i="60" s="1"/>
  <c r="BB184" i="60"/>
  <c r="BD184" i="60" s="1"/>
  <c r="BF184" i="60" s="1"/>
  <c r="BA20" i="60"/>
  <c r="BC20" i="60" s="1"/>
  <c r="BE20" i="60" s="1"/>
  <c r="BG20" i="60" s="1"/>
  <c r="BA372" i="60"/>
  <c r="BA147" i="60"/>
  <c r="BA222" i="60"/>
  <c r="BA198" i="60"/>
  <c r="BC198" i="60" s="1"/>
  <c r="BE198" i="60" s="1"/>
  <c r="BG198" i="60" s="1"/>
  <c r="BA120" i="60"/>
  <c r="BB29" i="60"/>
  <c r="BD29" i="60" s="1"/>
  <c r="BF29" i="60" s="1"/>
  <c r="BB171" i="60"/>
  <c r="BD171" i="60" s="1"/>
  <c r="BF171" i="60" s="1"/>
  <c r="BB101" i="60"/>
  <c r="BD101" i="60" s="1"/>
  <c r="BF101" i="60" s="1"/>
  <c r="AT374" i="60"/>
  <c r="AV374" i="60" s="1"/>
  <c r="AX374" i="60" s="1"/>
  <c r="AZ374" i="60" s="1"/>
  <c r="BB374" i="60" s="1"/>
  <c r="BD374" i="60" s="1"/>
  <c r="BF374" i="60" s="1"/>
  <c r="BB300" i="60"/>
  <c r="BD300" i="60" s="1"/>
  <c r="BF300" i="60" s="1"/>
  <c r="BB352" i="60"/>
  <c r="BD352" i="60" s="1"/>
  <c r="BF352" i="60" s="1"/>
  <c r="BB269" i="60"/>
  <c r="BD269" i="60" s="1"/>
  <c r="BF269" i="60" s="1"/>
  <c r="BA212" i="60"/>
  <c r="AY216" i="60"/>
  <c r="BA216" i="60" s="1"/>
  <c r="BA320" i="60"/>
  <c r="BC320" i="60" s="1"/>
  <c r="BE320" i="60" s="1"/>
  <c r="BG320" i="60" s="1"/>
  <c r="BA174" i="60"/>
  <c r="BC174" i="60" s="1"/>
  <c r="BE174" i="60" s="1"/>
  <c r="BG174" i="60" s="1"/>
  <c r="BA252" i="60"/>
  <c r="AY150" i="60"/>
  <c r="BB183" i="60"/>
  <c r="BD183" i="60" s="1"/>
  <c r="BF183" i="60" s="1"/>
  <c r="BB77" i="60"/>
  <c r="BD77" i="60" s="1"/>
  <c r="BF77" i="60" s="1"/>
  <c r="BB354" i="60"/>
  <c r="BD354" i="60" s="1"/>
  <c r="BF354" i="60" s="1"/>
  <c r="BB274" i="60"/>
  <c r="BD274" i="60" s="1"/>
  <c r="BF274" i="60" s="1"/>
  <c r="AY383" i="60"/>
  <c r="BA383" i="60" s="1"/>
  <c r="BB27" i="60"/>
  <c r="BD27" i="60" s="1"/>
  <c r="BF27" i="60" s="1"/>
  <c r="BB268" i="60"/>
  <c r="BD268" i="60" s="1"/>
  <c r="BF268" i="60" s="1"/>
  <c r="BA226" i="60"/>
  <c r="BC226" i="60" s="1"/>
  <c r="BE226" i="60" s="1"/>
  <c r="BG226" i="60" s="1"/>
  <c r="BA207" i="60"/>
  <c r="BC207" i="60" s="1"/>
  <c r="BE207" i="60" s="1"/>
  <c r="BG207" i="60" s="1"/>
  <c r="BA41" i="60"/>
  <c r="BC41" i="60" s="1"/>
  <c r="BE41" i="60" s="1"/>
  <c r="BG41" i="60" s="1"/>
  <c r="BA286" i="60"/>
  <c r="BC286" i="60" s="1"/>
  <c r="BE286" i="60" s="1"/>
  <c r="BG286" i="60" s="1"/>
  <c r="AY276" i="60"/>
  <c r="BA276" i="60" s="1"/>
  <c r="BC276" i="60" s="1"/>
  <c r="BE276" i="60" s="1"/>
  <c r="BG276" i="60" s="1"/>
  <c r="BA400" i="60"/>
  <c r="AT75" i="60"/>
  <c r="AV75" i="60" s="1"/>
  <c r="AX75" i="60" s="1"/>
  <c r="AZ75" i="60" s="1"/>
  <c r="BB75" i="60" s="1"/>
  <c r="BD75" i="60" s="1"/>
  <c r="BF75" i="60" s="1"/>
  <c r="AT288" i="60"/>
  <c r="AV288" i="60" s="1"/>
  <c r="AX288" i="60" s="1"/>
  <c r="AZ288" i="60" s="1"/>
  <c r="BB288" i="60" s="1"/>
  <c r="BD288" i="60" s="1"/>
  <c r="BF288" i="60" s="1"/>
  <c r="AT202" i="60"/>
  <c r="AV202" i="60" s="1"/>
  <c r="AX202" i="60" s="1"/>
  <c r="AZ202" i="60" s="1"/>
  <c r="BB202" i="60" s="1"/>
  <c r="BD202" i="60" s="1"/>
  <c r="BF202" i="60" s="1"/>
  <c r="AY75" i="60"/>
  <c r="BA75" i="60" s="1"/>
  <c r="AY113" i="60"/>
  <c r="BA113" i="60" s="1"/>
  <c r="AY66" i="60"/>
  <c r="BA66" i="60" s="1"/>
  <c r="AY262" i="60"/>
  <c r="BA262" i="60" s="1"/>
  <c r="BA100" i="60"/>
  <c r="BC100" i="60" s="1"/>
  <c r="BE100" i="60" s="1"/>
  <c r="BG100" i="60" s="1"/>
  <c r="BA15" i="60"/>
  <c r="BA365" i="60"/>
  <c r="BA342" i="60"/>
  <c r="BC342" i="60" s="1"/>
  <c r="BE342" i="60" s="1"/>
  <c r="BG342" i="60" s="1"/>
  <c r="BA24" i="60"/>
  <c r="BC24" i="60" s="1"/>
  <c r="BE24" i="60" s="1"/>
  <c r="BG24" i="60" s="1"/>
  <c r="BA112" i="60"/>
  <c r="BA236" i="60"/>
  <c r="BA180" i="60"/>
  <c r="BA195" i="60"/>
  <c r="BC195" i="60" s="1"/>
  <c r="BE195" i="60" s="1"/>
  <c r="BG195" i="60" s="1"/>
  <c r="BA310" i="60"/>
  <c r="BC310" i="60" s="1"/>
  <c r="BE310" i="60" s="1"/>
  <c r="BG310" i="60" s="1"/>
  <c r="BA340" i="60"/>
  <c r="AY87" i="60"/>
  <c r="BA87" i="60" s="1"/>
  <c r="AY161" i="60"/>
  <c r="BA161" i="60" s="1"/>
  <c r="BC161" i="60" s="1"/>
  <c r="BE161" i="60" s="1"/>
  <c r="BG161" i="60" s="1"/>
  <c r="AY178" i="60"/>
  <c r="BA178" i="60" s="1"/>
  <c r="BA128" i="60"/>
  <c r="BC128" i="60" s="1"/>
  <c r="BE128" i="60" s="1"/>
  <c r="BG128" i="60" s="1"/>
  <c r="BA168" i="60"/>
  <c r="BC168" i="60" s="1"/>
  <c r="BE168" i="60" s="1"/>
  <c r="BG168" i="60" s="1"/>
  <c r="BA39" i="60"/>
  <c r="BA353" i="60"/>
  <c r="BA156" i="60"/>
  <c r="BA267" i="60"/>
  <c r="BC267" i="60" s="1"/>
  <c r="BE267" i="60" s="1"/>
  <c r="BG267" i="60" s="1"/>
  <c r="BA305" i="60"/>
  <c r="BC305" i="60" s="1"/>
  <c r="BE305" i="60" s="1"/>
  <c r="BG305" i="60" s="1"/>
  <c r="BA270" i="60"/>
  <c r="BC270" i="60" s="1"/>
  <c r="BE270" i="60" s="1"/>
  <c r="BG270" i="60" s="1"/>
  <c r="BA84" i="60"/>
  <c r="BC84" i="60" s="1"/>
  <c r="BE84" i="60" s="1"/>
  <c r="BG84" i="60" s="1"/>
  <c r="BB111" i="60"/>
  <c r="BD111" i="60" s="1"/>
  <c r="BF111" i="60" s="1"/>
  <c r="AT365" i="60"/>
  <c r="AV365" i="60" s="1"/>
  <c r="AX365" i="60" s="1"/>
  <c r="AZ365" i="60" s="1"/>
  <c r="BB365" i="60" s="1"/>
  <c r="BD365" i="60" s="1"/>
  <c r="BF365" i="60" s="1"/>
  <c r="AY378" i="60"/>
  <c r="BA378" i="60" s="1"/>
  <c r="BC378" i="60" s="1"/>
  <c r="BE378" i="60" s="1"/>
  <c r="BG378" i="60" s="1"/>
  <c r="AY384" i="60"/>
  <c r="BA384" i="60" s="1"/>
  <c r="BC384" i="60" s="1"/>
  <c r="BE384" i="60" s="1"/>
  <c r="BG384" i="60" s="1"/>
  <c r="AT63" i="60"/>
  <c r="AV63" i="60" s="1"/>
  <c r="AX63" i="60" s="1"/>
  <c r="AZ63" i="60" s="1"/>
  <c r="BB63" i="60" s="1"/>
  <c r="BD63" i="60" s="1"/>
  <c r="BF63" i="60" s="1"/>
  <c r="AT197" i="60"/>
  <c r="AV197" i="60" s="1"/>
  <c r="AX197" i="60" s="1"/>
  <c r="AZ197" i="60" s="1"/>
  <c r="BB197" i="60" s="1"/>
  <c r="BD197" i="60" s="1"/>
  <c r="BF197" i="60" s="1"/>
  <c r="AT381" i="60"/>
  <c r="AV381" i="60" s="1"/>
  <c r="AX381" i="60" s="1"/>
  <c r="AZ381" i="60" s="1"/>
  <c r="BB381" i="60" s="1"/>
  <c r="BD381" i="60" s="1"/>
  <c r="BF381" i="60" s="1"/>
  <c r="AT318" i="60"/>
  <c r="AV318" i="60" s="1"/>
  <c r="AX318" i="60" s="1"/>
  <c r="AZ318" i="60" s="1"/>
  <c r="BB318" i="60" s="1"/>
  <c r="BD318" i="60" s="1"/>
  <c r="BF318" i="60" s="1"/>
  <c r="AT348" i="60"/>
  <c r="AV348" i="60" s="1"/>
  <c r="AX348" i="60" s="1"/>
  <c r="AZ348" i="60" s="1"/>
  <c r="BB348" i="60" s="1"/>
  <c r="BD348" i="60" s="1"/>
  <c r="BF348" i="60" s="1"/>
  <c r="AT132" i="60"/>
  <c r="AV132" i="60" s="1"/>
  <c r="AX132" i="60" s="1"/>
  <c r="AZ132" i="60" s="1"/>
  <c r="BB132" i="60" s="1"/>
  <c r="BD132" i="60" s="1"/>
  <c r="BF132" i="60" s="1"/>
  <c r="AT322" i="60"/>
  <c r="AV322" i="60" s="1"/>
  <c r="AX322" i="60" s="1"/>
  <c r="AZ322" i="60" s="1"/>
  <c r="BB322" i="60" s="1"/>
  <c r="BD322" i="60" s="1"/>
  <c r="BF322" i="60" s="1"/>
  <c r="AT142" i="60"/>
  <c r="AV142" i="60" s="1"/>
  <c r="AX142" i="60" s="1"/>
  <c r="AZ142" i="60" s="1"/>
  <c r="BB142" i="60" s="1"/>
  <c r="BD142" i="60" s="1"/>
  <c r="BF142" i="60" s="1"/>
  <c r="AT316" i="60"/>
  <c r="AV316" i="60" s="1"/>
  <c r="AX316" i="60" s="1"/>
  <c r="AZ316" i="60" s="1"/>
  <c r="BB316" i="60" s="1"/>
  <c r="BD316" i="60" s="1"/>
  <c r="BF316" i="60" s="1"/>
  <c r="BA399" i="60"/>
  <c r="BC399" i="60" s="1"/>
  <c r="BE399" i="60" s="1"/>
  <c r="BG399" i="60" s="1"/>
  <c r="BA395" i="60"/>
  <c r="BC395" i="60" s="1"/>
  <c r="BE395" i="60" s="1"/>
  <c r="BG395" i="60" s="1"/>
  <c r="AT196" i="60"/>
  <c r="AV196" i="60" s="1"/>
  <c r="AX196" i="60" s="1"/>
  <c r="AZ196" i="60" s="1"/>
  <c r="BB196" i="60" s="1"/>
  <c r="BD196" i="60" s="1"/>
  <c r="BF196" i="60" s="1"/>
  <c r="AY344" i="60"/>
  <c r="BA344" i="60" s="1"/>
  <c r="BC344" i="60" s="1"/>
  <c r="BE344" i="60" s="1"/>
  <c r="BG344" i="60" s="1"/>
  <c r="AY328" i="60"/>
  <c r="BA328" i="60" s="1"/>
  <c r="BC328" i="60" s="1"/>
  <c r="BE328" i="60" s="1"/>
  <c r="BG328" i="60" s="1"/>
  <c r="AT17" i="60"/>
  <c r="AV17" i="60" s="1"/>
  <c r="AX17" i="60" s="1"/>
  <c r="AZ17" i="60" s="1"/>
  <c r="BB17" i="60" s="1"/>
  <c r="BD17" i="60" s="1"/>
  <c r="BF17" i="60" s="1"/>
  <c r="AY130" i="60"/>
  <c r="BA130" i="60" s="1"/>
  <c r="BB188" i="60"/>
  <c r="BD188" i="60" s="1"/>
  <c r="BF188" i="60" s="1"/>
  <c r="AT87" i="60"/>
  <c r="AV87" i="60" s="1"/>
  <c r="AX87" i="60" s="1"/>
  <c r="AZ87" i="60" s="1"/>
  <c r="BB87" i="60" s="1"/>
  <c r="BD87" i="60" s="1"/>
  <c r="BF87" i="60" s="1"/>
  <c r="AT209" i="60"/>
  <c r="AV209" i="60" s="1"/>
  <c r="AX209" i="60" s="1"/>
  <c r="AZ209" i="60" s="1"/>
  <c r="BB209" i="60" s="1"/>
  <c r="BD209" i="60" s="1"/>
  <c r="BF209" i="60" s="1"/>
  <c r="AT258" i="60"/>
  <c r="AV258" i="60" s="1"/>
  <c r="AX258" i="60" s="1"/>
  <c r="AZ258" i="60" s="1"/>
  <c r="BB258" i="60" s="1"/>
  <c r="BD258" i="60" s="1"/>
  <c r="BF258" i="60" s="1"/>
  <c r="AT262" i="60"/>
  <c r="AV262" i="60" s="1"/>
  <c r="AX262" i="60" s="1"/>
  <c r="AZ262" i="60" s="1"/>
  <c r="BB262" i="60" s="1"/>
  <c r="BD262" i="60" s="1"/>
  <c r="BF262" i="60" s="1"/>
  <c r="AT64" i="60"/>
  <c r="AV64" i="60" s="1"/>
  <c r="AX64" i="60" s="1"/>
  <c r="AZ64" i="60" s="1"/>
  <c r="BB64" i="60" s="1"/>
  <c r="BD64" i="60" s="1"/>
  <c r="BF64" i="60" s="1"/>
  <c r="BA398" i="60"/>
  <c r="BA388" i="60"/>
  <c r="BC388" i="60" s="1"/>
  <c r="BE388" i="60" s="1"/>
  <c r="BG388" i="60" s="1"/>
  <c r="AY403" i="60"/>
  <c r="BA403" i="60" s="1"/>
  <c r="BC403" i="60" s="1"/>
  <c r="BE403" i="60" s="1"/>
  <c r="BG403" i="60" s="1"/>
  <c r="BA390" i="60"/>
  <c r="AY351" i="60"/>
  <c r="BA351" i="60" s="1"/>
  <c r="BC351" i="60" s="1"/>
  <c r="BE351" i="60" s="1"/>
  <c r="BG351" i="60" s="1"/>
  <c r="AY53" i="60"/>
  <c r="BA53" i="60" s="1"/>
  <c r="BC53" i="60" s="1"/>
  <c r="BE53" i="60" s="1"/>
  <c r="BG53" i="60" s="1"/>
  <c r="AY370" i="60"/>
  <c r="BA370" i="60" s="1"/>
  <c r="BC370" i="60" s="1"/>
  <c r="BE370" i="60" s="1"/>
  <c r="BG370" i="60" s="1"/>
  <c r="AY160" i="60"/>
  <c r="BA160" i="60" s="1"/>
  <c r="AY224" i="60"/>
  <c r="BA224" i="60" s="1"/>
  <c r="AY159" i="60"/>
  <c r="BA159" i="60" s="1"/>
  <c r="BC159" i="60" s="1"/>
  <c r="BE159" i="60" s="1"/>
  <c r="BG159" i="60" s="1"/>
  <c r="AY329" i="60"/>
  <c r="BA329" i="60" s="1"/>
  <c r="BC329" i="60" s="1"/>
  <c r="BE329" i="60" s="1"/>
  <c r="BG329" i="60" s="1"/>
  <c r="AY294" i="60"/>
  <c r="BA294" i="60" s="1"/>
  <c r="AY144" i="60"/>
  <c r="BA144" i="60" s="1"/>
  <c r="BC332" i="60"/>
  <c r="BE332" i="60" s="1"/>
  <c r="BG332" i="60" s="1"/>
  <c r="AT296" i="60"/>
  <c r="AV296" i="60" s="1"/>
  <c r="AX296" i="60" s="1"/>
  <c r="AZ296" i="60" s="1"/>
  <c r="BB296" i="60" s="1"/>
  <c r="BD296" i="60" s="1"/>
  <c r="BF296" i="60" s="1"/>
  <c r="AT39" i="60"/>
  <c r="AV39" i="60" s="1"/>
  <c r="AX39" i="60" s="1"/>
  <c r="AZ39" i="60" s="1"/>
  <c r="BB39" i="60" s="1"/>
  <c r="BD39" i="60" s="1"/>
  <c r="BF39" i="60" s="1"/>
  <c r="AT401" i="60"/>
  <c r="AV401" i="60" s="1"/>
  <c r="AX401" i="60" s="1"/>
  <c r="AZ401" i="60" s="1"/>
  <c r="BB401" i="60" s="1"/>
  <c r="BD401" i="60" s="1"/>
  <c r="BF401" i="60" s="1"/>
  <c r="AT150" i="60"/>
  <c r="AV150" i="60" s="1"/>
  <c r="AX150" i="60" s="1"/>
  <c r="AZ150" i="60" s="1"/>
  <c r="BB150" i="60" s="1"/>
  <c r="BD150" i="60" s="1"/>
  <c r="BF150" i="60" s="1"/>
  <c r="AT138" i="60"/>
  <c r="AV138" i="60" s="1"/>
  <c r="AX138" i="60" s="1"/>
  <c r="AZ138" i="60" s="1"/>
  <c r="BB138" i="60" s="1"/>
  <c r="BD138" i="60" s="1"/>
  <c r="BF138" i="60" s="1"/>
  <c r="AT180" i="60"/>
  <c r="AV180" i="60" s="1"/>
  <c r="AX180" i="60" s="1"/>
  <c r="AZ180" i="60" s="1"/>
  <c r="BB180" i="60" s="1"/>
  <c r="BD180" i="60" s="1"/>
  <c r="BF180" i="60" s="1"/>
  <c r="AT106" i="60"/>
  <c r="AV106" i="60" s="1"/>
  <c r="AX106" i="60" s="1"/>
  <c r="AZ106" i="60" s="1"/>
  <c r="BB106" i="60" s="1"/>
  <c r="BD106" i="60" s="1"/>
  <c r="BF106" i="60" s="1"/>
  <c r="AT292" i="60"/>
  <c r="AV292" i="60" s="1"/>
  <c r="AX292" i="60" s="1"/>
  <c r="AZ292" i="60" s="1"/>
  <c r="BB292" i="60" s="1"/>
  <c r="BD292" i="60" s="1"/>
  <c r="BF292" i="60" s="1"/>
  <c r="AY291" i="60"/>
  <c r="BA291" i="60" s="1"/>
  <c r="BC291" i="60" s="1"/>
  <c r="BE291" i="60" s="1"/>
  <c r="BG291" i="60" s="1"/>
  <c r="AY34" i="60"/>
  <c r="BA34" i="60" s="1"/>
  <c r="BC34" i="60" s="1"/>
  <c r="BE34" i="60" s="1"/>
  <c r="BG34" i="60" s="1"/>
  <c r="AY284" i="60"/>
  <c r="BA284" i="60" s="1"/>
  <c r="BC284" i="60" s="1"/>
  <c r="BE284" i="60" s="1"/>
  <c r="BG284" i="60" s="1"/>
  <c r="BC324" i="60"/>
  <c r="BE324" i="60" s="1"/>
  <c r="BG324" i="60" s="1"/>
  <c r="AY368" i="60"/>
  <c r="BA368" i="60" s="1"/>
  <c r="AY118" i="60"/>
  <c r="BA118" i="60" s="1"/>
  <c r="BC184" i="60"/>
  <c r="BE184" i="60" s="1"/>
  <c r="BG184" i="60" s="1"/>
  <c r="AY51" i="60"/>
  <c r="BA51" i="60" s="1"/>
  <c r="BC51" i="60" s="1"/>
  <c r="BE51" i="60" s="1"/>
  <c r="BG51" i="60" s="1"/>
  <c r="AY317" i="60"/>
  <c r="BA317" i="60" s="1"/>
  <c r="BC317" i="60" s="1"/>
  <c r="BE317" i="60" s="1"/>
  <c r="BG317" i="60" s="1"/>
  <c r="BC330" i="60"/>
  <c r="BE330" i="60" s="1"/>
  <c r="BG330" i="60" s="1"/>
  <c r="BC96" i="60"/>
  <c r="BE96" i="60" s="1"/>
  <c r="BG96" i="60" s="1"/>
  <c r="AY16" i="60"/>
  <c r="BA16" i="60" s="1"/>
  <c r="BC16" i="60" s="1"/>
  <c r="BE16" i="60" s="1"/>
  <c r="BG16" i="60" s="1"/>
  <c r="AY183" i="60"/>
  <c r="BA183" i="60" s="1"/>
  <c r="BC183" i="60" s="1"/>
  <c r="BE183" i="60" s="1"/>
  <c r="BG183" i="60" s="1"/>
  <c r="AY77" i="60"/>
  <c r="BA77" i="60" s="1"/>
  <c r="BC77" i="60" s="1"/>
  <c r="BE77" i="60" s="1"/>
  <c r="BG77" i="60" s="1"/>
  <c r="AY274" i="60"/>
  <c r="BA274" i="60" s="1"/>
  <c r="BC274" i="60" s="1"/>
  <c r="BE274" i="60" s="1"/>
  <c r="BG274" i="60" s="1"/>
  <c r="AT123" i="60"/>
  <c r="AV123" i="60" s="1"/>
  <c r="AX123" i="60" s="1"/>
  <c r="AZ123" i="60" s="1"/>
  <c r="BB123" i="60" s="1"/>
  <c r="BD123" i="60" s="1"/>
  <c r="BF123" i="60" s="1"/>
  <c r="AT233" i="60"/>
  <c r="AV233" i="60" s="1"/>
  <c r="AX233" i="60" s="1"/>
  <c r="AZ233" i="60" s="1"/>
  <c r="BB233" i="60" s="1"/>
  <c r="BD233" i="60" s="1"/>
  <c r="BF233" i="60" s="1"/>
  <c r="AT336" i="60"/>
  <c r="AV336" i="60" s="1"/>
  <c r="AX336" i="60" s="1"/>
  <c r="AZ336" i="60" s="1"/>
  <c r="BB336" i="60" s="1"/>
  <c r="BD336" i="60" s="1"/>
  <c r="BF336" i="60" s="1"/>
  <c r="AT340" i="60"/>
  <c r="AV340" i="60" s="1"/>
  <c r="AX340" i="60" s="1"/>
  <c r="AZ340" i="60" s="1"/>
  <c r="BB340" i="60" s="1"/>
  <c r="BD340" i="60" s="1"/>
  <c r="BF340" i="60" s="1"/>
  <c r="BA397" i="60"/>
  <c r="BC397" i="60" s="1"/>
  <c r="BE397" i="60" s="1"/>
  <c r="BG397" i="60" s="1"/>
  <c r="AY386" i="60"/>
  <c r="BA386" i="60" s="1"/>
  <c r="BA396" i="60"/>
  <c r="BC396" i="60" s="1"/>
  <c r="BE396" i="60" s="1"/>
  <c r="BG396" i="60" s="1"/>
  <c r="AT32" i="60"/>
  <c r="AV32" i="60" s="1"/>
  <c r="AX32" i="60" s="1"/>
  <c r="AZ32" i="60" s="1"/>
  <c r="BB32" i="60" s="1"/>
  <c r="BD32" i="60" s="1"/>
  <c r="BF32" i="60" s="1"/>
  <c r="AT46" i="60"/>
  <c r="AV46" i="60" s="1"/>
  <c r="AX46" i="60" s="1"/>
  <c r="AZ46" i="60" s="1"/>
  <c r="BB46" i="60" s="1"/>
  <c r="BD46" i="60" s="1"/>
  <c r="BF46" i="60" s="1"/>
  <c r="BC140" i="60"/>
  <c r="BE140" i="60" s="1"/>
  <c r="BG140" i="60" s="1"/>
  <c r="AY376" i="60"/>
  <c r="BA376" i="60" s="1"/>
  <c r="BC376" i="60" s="1"/>
  <c r="BE376" i="60" s="1"/>
  <c r="BG376" i="60" s="1"/>
  <c r="BB48" i="60"/>
  <c r="BD48" i="60" s="1"/>
  <c r="BF48" i="60" s="1"/>
  <c r="BA385" i="60"/>
  <c r="BC385" i="60" s="1"/>
  <c r="BE385" i="60" s="1"/>
  <c r="BG385" i="60" s="1"/>
  <c r="BA391" i="60"/>
  <c r="AT113" i="60"/>
  <c r="AV113" i="60" s="1"/>
  <c r="AX113" i="60" s="1"/>
  <c r="AZ113" i="60" s="1"/>
  <c r="BB113" i="60" s="1"/>
  <c r="BD113" i="60" s="1"/>
  <c r="BF113" i="60" s="1"/>
  <c r="AT379" i="60"/>
  <c r="AV379" i="60" s="1"/>
  <c r="AX379" i="60" s="1"/>
  <c r="AZ379" i="60" s="1"/>
  <c r="BB379" i="60" s="1"/>
  <c r="BD379" i="60" s="1"/>
  <c r="BF379" i="60" s="1"/>
  <c r="AT66" i="60"/>
  <c r="AV66" i="60" s="1"/>
  <c r="AX66" i="60" s="1"/>
  <c r="AZ66" i="60" s="1"/>
  <c r="BB66" i="60" s="1"/>
  <c r="BD66" i="60" s="1"/>
  <c r="BF66" i="60" s="1"/>
  <c r="AT178" i="60"/>
  <c r="AV178" i="60" s="1"/>
  <c r="AX178" i="60" s="1"/>
  <c r="AZ178" i="60" s="1"/>
  <c r="BB178" i="60" s="1"/>
  <c r="BD178" i="60" s="1"/>
  <c r="BF178" i="60" s="1"/>
  <c r="AY260" i="60"/>
  <c r="BA260" i="60" s="1"/>
  <c r="AY312" i="60"/>
  <c r="BA312" i="60" s="1"/>
  <c r="AY356" i="60"/>
  <c r="BA356" i="60" s="1"/>
  <c r="AY126" i="60"/>
  <c r="BA126" i="60" s="1"/>
  <c r="AY360" i="60"/>
  <c r="BA360" i="60" s="1"/>
  <c r="BC360" i="60" s="1"/>
  <c r="BE360" i="60" s="1"/>
  <c r="BG360" i="60" s="1"/>
  <c r="BA244" i="60"/>
  <c r="BC244" i="60" s="1"/>
  <c r="BE244" i="60" s="1"/>
  <c r="BG244" i="60" s="1"/>
  <c r="BB293" i="60"/>
  <c r="BD293" i="60" s="1"/>
  <c r="BF293" i="60" s="1"/>
  <c r="BB264" i="60"/>
  <c r="BD264" i="60" s="1"/>
  <c r="BF264" i="60" s="1"/>
  <c r="BA380" i="60"/>
  <c r="BC380" i="60" s="1"/>
  <c r="BE380" i="60" s="1"/>
  <c r="BG380" i="60" s="1"/>
  <c r="AT30" i="60"/>
  <c r="AV30" i="60" s="1"/>
  <c r="AX30" i="60" s="1"/>
  <c r="AZ30" i="60" s="1"/>
  <c r="BB30" i="60" s="1"/>
  <c r="BD30" i="60" s="1"/>
  <c r="BF30" i="60" s="1"/>
  <c r="AY375" i="60"/>
  <c r="BA375" i="60" s="1"/>
  <c r="BC375" i="60" s="1"/>
  <c r="BE375" i="60" s="1"/>
  <c r="BG375" i="60" s="1"/>
  <c r="BC382" i="60"/>
  <c r="BE382" i="60" s="1"/>
  <c r="BG382" i="60" s="1"/>
  <c r="AT255" i="60"/>
  <c r="AV255" i="60" s="1"/>
  <c r="AX255" i="60" s="1"/>
  <c r="AZ255" i="60" s="1"/>
  <c r="BB255" i="60" s="1"/>
  <c r="BD255" i="60" s="1"/>
  <c r="BF255" i="60" s="1"/>
  <c r="AT245" i="60"/>
  <c r="AV245" i="60" s="1"/>
  <c r="AX245" i="60" s="1"/>
  <c r="AZ245" i="60" s="1"/>
  <c r="BB245" i="60" s="1"/>
  <c r="BD245" i="60" s="1"/>
  <c r="BF245" i="60" s="1"/>
  <c r="AT391" i="60"/>
  <c r="AV391" i="60" s="1"/>
  <c r="AX391" i="60" s="1"/>
  <c r="AZ391" i="60" s="1"/>
  <c r="BB391" i="60" s="1"/>
  <c r="BD391" i="60" s="1"/>
  <c r="BF391" i="60" s="1"/>
  <c r="AT54" i="60"/>
  <c r="AV54" i="60" s="1"/>
  <c r="AX54" i="60" s="1"/>
  <c r="AZ54" i="60" s="1"/>
  <c r="BB54" i="60" s="1"/>
  <c r="BD54" i="60" s="1"/>
  <c r="BF54" i="60" s="1"/>
  <c r="AT156" i="60"/>
  <c r="AV156" i="60" s="1"/>
  <c r="AX156" i="60" s="1"/>
  <c r="AZ156" i="60" s="1"/>
  <c r="BB156" i="60" s="1"/>
  <c r="BD156" i="60" s="1"/>
  <c r="BF156" i="60" s="1"/>
  <c r="AT58" i="60"/>
  <c r="AV58" i="60" s="1"/>
  <c r="AX58" i="60" s="1"/>
  <c r="AZ58" i="60" s="1"/>
  <c r="BB58" i="60" s="1"/>
  <c r="BD58" i="60" s="1"/>
  <c r="BF58" i="60" s="1"/>
  <c r="AT76" i="60"/>
  <c r="AV76" i="60" s="1"/>
  <c r="AX76" i="60" s="1"/>
  <c r="AZ76" i="60" s="1"/>
  <c r="BB76" i="60" s="1"/>
  <c r="BD76" i="60" s="1"/>
  <c r="BF76" i="60" s="1"/>
  <c r="AY392" i="60"/>
  <c r="BA392" i="60" s="1"/>
  <c r="BC392" i="60" s="1"/>
  <c r="BE392" i="60" s="1"/>
  <c r="BG392" i="60" s="1"/>
  <c r="AY374" i="60"/>
  <c r="BA374" i="60" s="1"/>
  <c r="AT135" i="60"/>
  <c r="AV135" i="60" s="1"/>
  <c r="AX135" i="60" s="1"/>
  <c r="AZ135" i="60" s="1"/>
  <c r="BB135" i="60" s="1"/>
  <c r="BD135" i="60" s="1"/>
  <c r="BF135" i="60" s="1"/>
  <c r="AT252" i="60"/>
  <c r="AV252" i="60" s="1"/>
  <c r="AX252" i="60" s="1"/>
  <c r="AZ252" i="60" s="1"/>
  <c r="BB252" i="60" s="1"/>
  <c r="BD252" i="60" s="1"/>
  <c r="BF252" i="60" s="1"/>
  <c r="AY65" i="60"/>
  <c r="BA65" i="60" s="1"/>
  <c r="AY240" i="60"/>
  <c r="BA240" i="60" s="1"/>
  <c r="AY280" i="60"/>
  <c r="BA280" i="60" s="1"/>
  <c r="BC80" i="60"/>
  <c r="BE80" i="60" s="1"/>
  <c r="BG80" i="60" s="1"/>
  <c r="AY281" i="60"/>
  <c r="BA281" i="60" s="1"/>
  <c r="BC281" i="60" s="1"/>
  <c r="BE281" i="60" s="1"/>
  <c r="BG281" i="60" s="1"/>
  <c r="BC354" i="60"/>
  <c r="BE354" i="60" s="1"/>
  <c r="BG354" i="60" s="1"/>
  <c r="AY346" i="60"/>
  <c r="BA346" i="60" s="1"/>
  <c r="BC346" i="60" s="1"/>
  <c r="BE346" i="60" s="1"/>
  <c r="BG346" i="60" s="1"/>
  <c r="AY352" i="60"/>
  <c r="BA352" i="60" s="1"/>
  <c r="BC352" i="60" s="1"/>
  <c r="BE352" i="60" s="1"/>
  <c r="BG352" i="60" s="1"/>
  <c r="BC27" i="60"/>
  <c r="BE27" i="60" s="1"/>
  <c r="BG27" i="60" s="1"/>
  <c r="BC269" i="60"/>
  <c r="BE269" i="60" s="1"/>
  <c r="BG269" i="60" s="1"/>
  <c r="AY268" i="60"/>
  <c r="BA268" i="60" s="1"/>
  <c r="BC268" i="60" s="1"/>
  <c r="BE268" i="60" s="1"/>
  <c r="BG268" i="60" s="1"/>
  <c r="BA29" i="60"/>
  <c r="BC29" i="60" s="1"/>
  <c r="BE29" i="60" s="1"/>
  <c r="BG29" i="60" s="1"/>
  <c r="AT42" i="60"/>
  <c r="AV42" i="60" s="1"/>
  <c r="AX42" i="60" s="1"/>
  <c r="AZ42" i="60" s="1"/>
  <c r="BB42" i="60" s="1"/>
  <c r="BD42" i="60" s="1"/>
  <c r="BF42" i="60" s="1"/>
  <c r="AY44" i="60"/>
  <c r="BA44" i="60" s="1"/>
  <c r="BC44" i="60" s="1"/>
  <c r="BE44" i="60" s="1"/>
  <c r="BG44" i="60" s="1"/>
  <c r="BA238" i="60"/>
  <c r="BC238" i="60" s="1"/>
  <c r="BE238" i="60" s="1"/>
  <c r="BG238" i="60" s="1"/>
  <c r="AY304" i="60"/>
  <c r="BA304" i="60" s="1"/>
  <c r="BC304" i="60" s="1"/>
  <c r="BE304" i="60" s="1"/>
  <c r="BG304" i="60" s="1"/>
  <c r="BA219" i="60"/>
  <c r="BC219" i="60" s="1"/>
  <c r="BE219" i="60" s="1"/>
  <c r="BG219" i="60" s="1"/>
  <c r="BA125" i="60"/>
  <c r="BC125" i="60" s="1"/>
  <c r="BE125" i="60" s="1"/>
  <c r="BG125" i="60" s="1"/>
  <c r="BA282" i="60"/>
  <c r="BC282" i="60" s="1"/>
  <c r="BE282" i="60" s="1"/>
  <c r="BG282" i="60" s="1"/>
  <c r="AY256" i="60"/>
  <c r="BA256" i="60" s="1"/>
  <c r="BA363" i="60"/>
  <c r="BC363" i="60" s="1"/>
  <c r="BE363" i="60" s="1"/>
  <c r="BG363" i="60" s="1"/>
  <c r="BA17" i="60"/>
  <c r="BA150" i="60"/>
  <c r="BA348" i="60"/>
  <c r="BA152" i="60"/>
  <c r="BA233" i="60"/>
  <c r="BA306" i="60"/>
  <c r="BC306" i="60" s="1"/>
  <c r="BE306" i="60" s="1"/>
  <c r="BG306" i="60" s="1"/>
  <c r="BA108" i="60"/>
  <c r="BC108" i="60" s="1"/>
  <c r="BE108" i="60" s="1"/>
  <c r="BG108" i="60" s="1"/>
  <c r="AT236" i="60"/>
  <c r="AV236" i="60" s="1"/>
  <c r="AX236" i="60" s="1"/>
  <c r="AZ236" i="60" s="1"/>
  <c r="BB236" i="60" s="1"/>
  <c r="BD236" i="60" s="1"/>
  <c r="BF236" i="60" s="1"/>
  <c r="AT279" i="60"/>
  <c r="AV279" i="60" s="1"/>
  <c r="AX279" i="60" s="1"/>
  <c r="AZ279" i="60" s="1"/>
  <c r="BB279" i="60" s="1"/>
  <c r="BD279" i="60" s="1"/>
  <c r="BF279" i="60" s="1"/>
  <c r="AT353" i="60"/>
  <c r="AV353" i="60" s="1"/>
  <c r="AX353" i="60" s="1"/>
  <c r="AZ353" i="60" s="1"/>
  <c r="BB353" i="60" s="1"/>
  <c r="BD353" i="60" s="1"/>
  <c r="BF353" i="60" s="1"/>
  <c r="AT398" i="60"/>
  <c r="AV398" i="60" s="1"/>
  <c r="AX398" i="60" s="1"/>
  <c r="AZ398" i="60" s="1"/>
  <c r="BB398" i="60" s="1"/>
  <c r="BD398" i="60" s="1"/>
  <c r="BF398" i="60" s="1"/>
  <c r="AT216" i="60"/>
  <c r="AV216" i="60" s="1"/>
  <c r="AX216" i="60" s="1"/>
  <c r="AZ216" i="60" s="1"/>
  <c r="BB216" i="60" s="1"/>
  <c r="BD216" i="60" s="1"/>
  <c r="BF216" i="60" s="1"/>
  <c r="AT82" i="60"/>
  <c r="AV82" i="60" s="1"/>
  <c r="AX82" i="60" s="1"/>
  <c r="AZ82" i="60" s="1"/>
  <c r="BB82" i="60" s="1"/>
  <c r="BD82" i="60" s="1"/>
  <c r="BF82" i="60" s="1"/>
  <c r="AT364" i="60"/>
  <c r="AV364" i="60" s="1"/>
  <c r="AX364" i="60" s="1"/>
  <c r="AZ364" i="60" s="1"/>
  <c r="BB364" i="60" s="1"/>
  <c r="BD364" i="60" s="1"/>
  <c r="BF364" i="60" s="1"/>
  <c r="AT148" i="60"/>
  <c r="AV148" i="60" s="1"/>
  <c r="AX148" i="60" s="1"/>
  <c r="AZ148" i="60" s="1"/>
  <c r="BB148" i="60" s="1"/>
  <c r="BD148" i="60" s="1"/>
  <c r="BF148" i="60" s="1"/>
  <c r="AY116" i="60"/>
  <c r="BA116" i="60" s="1"/>
  <c r="BC116" i="60" s="1"/>
  <c r="BE116" i="60" s="1"/>
  <c r="BG116" i="60" s="1"/>
  <c r="AY257" i="60"/>
  <c r="BA257" i="60" s="1"/>
  <c r="BC257" i="60" s="1"/>
  <c r="BE257" i="60" s="1"/>
  <c r="BG257" i="60" s="1"/>
  <c r="AY18" i="60"/>
  <c r="BA18" i="60" s="1"/>
  <c r="BC18" i="60" s="1"/>
  <c r="BE18" i="60" s="1"/>
  <c r="BG18" i="60" s="1"/>
  <c r="AY192" i="60"/>
  <c r="BA192" i="60" s="1"/>
  <c r="BC192" i="60" s="1"/>
  <c r="BE192" i="60" s="1"/>
  <c r="BG192" i="60" s="1"/>
  <c r="AY220" i="60"/>
  <c r="BA220" i="60" s="1"/>
  <c r="BC220" i="60" s="1"/>
  <c r="BE220" i="60" s="1"/>
  <c r="BG220" i="60" s="1"/>
  <c r="BA303" i="60"/>
  <c r="BC303" i="60" s="1"/>
  <c r="BE303" i="60" s="1"/>
  <c r="BG303" i="60" s="1"/>
  <c r="BA89" i="60"/>
  <c r="BC89" i="60" s="1"/>
  <c r="BE89" i="60" s="1"/>
  <c r="BG89" i="60" s="1"/>
  <c r="BA334" i="60"/>
  <c r="BC334" i="60" s="1"/>
  <c r="BE334" i="60" s="1"/>
  <c r="BG334" i="60" s="1"/>
  <c r="AY171" i="60"/>
  <c r="BA171" i="60" s="1"/>
  <c r="BC171" i="60" s="1"/>
  <c r="BE171" i="60" s="1"/>
  <c r="BG171" i="60" s="1"/>
  <c r="AY101" i="60"/>
  <c r="BA101" i="60" s="1"/>
  <c r="BC101" i="60" s="1"/>
  <c r="BE101" i="60" s="1"/>
  <c r="BG101" i="60" s="1"/>
  <c r="AY162" i="60"/>
  <c r="BA162" i="60" s="1"/>
  <c r="BC162" i="60" s="1"/>
  <c r="BE162" i="60" s="1"/>
  <c r="BG162" i="60" s="1"/>
  <c r="AY300" i="60"/>
  <c r="BA300" i="60" s="1"/>
  <c r="BC300" i="60" s="1"/>
  <c r="BE300" i="60" s="1"/>
  <c r="BG300" i="60" s="1"/>
  <c r="BA327" i="60"/>
  <c r="BC327" i="60" s="1"/>
  <c r="BE327" i="60" s="1"/>
  <c r="BG327" i="60" s="1"/>
  <c r="BA102" i="60"/>
  <c r="BC102" i="60" s="1"/>
  <c r="BE102" i="60" s="1"/>
  <c r="BG102" i="60" s="1"/>
  <c r="BA176" i="60"/>
  <c r="BC176" i="60" s="1"/>
  <c r="BE176" i="60" s="1"/>
  <c r="BG176" i="60" s="1"/>
  <c r="AY99" i="60"/>
  <c r="BA99" i="60" s="1"/>
  <c r="BC99" i="60" s="1"/>
  <c r="BE99" i="60" s="1"/>
  <c r="BG99" i="60" s="1"/>
  <c r="BA137" i="60"/>
  <c r="BC137" i="60" s="1"/>
  <c r="BE137" i="60" s="1"/>
  <c r="BG137" i="60" s="1"/>
  <c r="BA186" i="60"/>
  <c r="BC186" i="60" s="1"/>
  <c r="BE186" i="60" s="1"/>
  <c r="BG186" i="60" s="1"/>
  <c r="BA166" i="60"/>
  <c r="BC166" i="60" s="1"/>
  <c r="BE166" i="60" s="1"/>
  <c r="BG166" i="60" s="1"/>
  <c r="BA208" i="60"/>
  <c r="BC208" i="60" s="1"/>
  <c r="BE208" i="60" s="1"/>
  <c r="BG208" i="60" s="1"/>
  <c r="AY272" i="60"/>
  <c r="BA272" i="60" s="1"/>
  <c r="BC272" i="60" s="1"/>
  <c r="BE272" i="60" s="1"/>
  <c r="BG272" i="60" s="1"/>
  <c r="BA210" i="60"/>
  <c r="BC210" i="60" s="1"/>
  <c r="BE210" i="60" s="1"/>
  <c r="BG210" i="60" s="1"/>
  <c r="AY204" i="60"/>
  <c r="BA204" i="60" s="1"/>
  <c r="BC204" i="60" s="1"/>
  <c r="BE204" i="60" s="1"/>
  <c r="BG204" i="60" s="1"/>
  <c r="AY124" i="60"/>
  <c r="BA124" i="60" s="1"/>
  <c r="BC124" i="60" s="1"/>
  <c r="BE124" i="60" s="1"/>
  <c r="BG124" i="60" s="1"/>
  <c r="AY123" i="60"/>
  <c r="BA123" i="60" s="1"/>
  <c r="BA149" i="60"/>
  <c r="BC149" i="60" s="1"/>
  <c r="BE149" i="60" s="1"/>
  <c r="BG149" i="60" s="1"/>
  <c r="BA114" i="60"/>
  <c r="BA136" i="60"/>
  <c r="BC136" i="60" s="1"/>
  <c r="BE136" i="60" s="1"/>
  <c r="BG136" i="60" s="1"/>
  <c r="AT200" i="60"/>
  <c r="AV200" i="60" s="1"/>
  <c r="AX200" i="60" s="1"/>
  <c r="AZ200" i="60" s="1"/>
  <c r="BB200" i="60" s="1"/>
  <c r="BD200" i="60" s="1"/>
  <c r="BF200" i="60" s="1"/>
  <c r="AT383" i="60"/>
  <c r="AV383" i="60" s="1"/>
  <c r="AX383" i="60" s="1"/>
  <c r="AZ383" i="60" s="1"/>
  <c r="BB383" i="60" s="1"/>
  <c r="BD383" i="60" s="1"/>
  <c r="BF383" i="60" s="1"/>
  <c r="AT114" i="60"/>
  <c r="AV114" i="60" s="1"/>
  <c r="AX114" i="60" s="1"/>
  <c r="AZ114" i="60" s="1"/>
  <c r="BB114" i="60" s="1"/>
  <c r="BD114" i="60" s="1"/>
  <c r="BF114" i="60" s="1"/>
  <c r="AY377" i="60"/>
  <c r="BA377" i="60" s="1"/>
  <c r="BC377" i="60" s="1"/>
  <c r="BE377" i="60" s="1"/>
  <c r="BG377" i="60" s="1"/>
  <c r="AT28" i="60"/>
  <c r="AV28" i="60" s="1"/>
  <c r="AX28" i="60" s="1"/>
  <c r="AZ28" i="60" s="1"/>
  <c r="BB28" i="60" s="1"/>
  <c r="BD28" i="60" s="1"/>
  <c r="BF28" i="60" s="1"/>
  <c r="AS130" i="56"/>
  <c r="K14" i="55"/>
  <c r="I14" i="55"/>
  <c r="AC11" i="56"/>
  <c r="AS44" i="56"/>
  <c r="AS19" i="56"/>
  <c r="AS122" i="56"/>
  <c r="J14" i="55"/>
  <c r="Q11" i="56"/>
  <c r="S11" i="56"/>
  <c r="AO11" i="56"/>
  <c r="AS97" i="56"/>
  <c r="AS91" i="56"/>
  <c r="AS16" i="56"/>
  <c r="AS93" i="56"/>
  <c r="AS235" i="56"/>
  <c r="AS146" i="56"/>
  <c r="AS183" i="56"/>
  <c r="AS128" i="56"/>
  <c r="AS27" i="56"/>
  <c r="AS47" i="56"/>
  <c r="AS173" i="56"/>
  <c r="AS148" i="56"/>
  <c r="AS179" i="56"/>
  <c r="AS37" i="56"/>
  <c r="AS243" i="56"/>
  <c r="AS225" i="56"/>
  <c r="AS31" i="56"/>
  <c r="AS203" i="56"/>
  <c r="AS87" i="56"/>
  <c r="AS236" i="56"/>
  <c r="AS152" i="56"/>
  <c r="AS198" i="56"/>
  <c r="AS129" i="56"/>
  <c r="AS237" i="56"/>
  <c r="AS35" i="56"/>
  <c r="AS144" i="56"/>
  <c r="AS88" i="56"/>
  <c r="AS95" i="56"/>
  <c r="AS232" i="56"/>
  <c r="AS118" i="56"/>
  <c r="AS114" i="56"/>
  <c r="AS42" i="56"/>
  <c r="AS20" i="56"/>
  <c r="AS54" i="56"/>
  <c r="AS60" i="56"/>
  <c r="AS132" i="56"/>
  <c r="AS21" i="56"/>
  <c r="AS164" i="56"/>
  <c r="AS222" i="56"/>
  <c r="AS131" i="56"/>
  <c r="AS102" i="56"/>
  <c r="AS196" i="56"/>
  <c r="AS221" i="56"/>
  <c r="AS66" i="56"/>
  <c r="AS238" i="56"/>
  <c r="AS25" i="56"/>
  <c r="AS227" i="56"/>
  <c r="AS184" i="56"/>
  <c r="AS110" i="56"/>
  <c r="AS220" i="56"/>
  <c r="AS170" i="56"/>
  <c r="AS104" i="56"/>
  <c r="AS119" i="56"/>
  <c r="AS195" i="56"/>
  <c r="AS71" i="56"/>
  <c r="AS49" i="56"/>
  <c r="AS34" i="56"/>
  <c r="AS174" i="56"/>
  <c r="AS98" i="56"/>
  <c r="AS190" i="56"/>
  <c r="AS253" i="56"/>
  <c r="AS107" i="56"/>
  <c r="AS85" i="56"/>
  <c r="AS84" i="56"/>
  <c r="AS30" i="56"/>
  <c r="AS80" i="56"/>
  <c r="AS135" i="56"/>
  <c r="AS187" i="56"/>
  <c r="AS33" i="56"/>
  <c r="AS192" i="56"/>
  <c r="AS150" i="56"/>
  <c r="AS254" i="56"/>
  <c r="AS242" i="56"/>
  <c r="AS189" i="56"/>
  <c r="AS191" i="56"/>
  <c r="AS197" i="56"/>
  <c r="AS159" i="56"/>
  <c r="AS217" i="56"/>
  <c r="AS68" i="56"/>
  <c r="AS157" i="56"/>
  <c r="AS63" i="56"/>
  <c r="AS45" i="56"/>
  <c r="AS123" i="56"/>
  <c r="AS204" i="56"/>
  <c r="AS201" i="56"/>
  <c r="AS83" i="56"/>
  <c r="AS156" i="56"/>
  <c r="AS48" i="56"/>
  <c r="AS41" i="56"/>
  <c r="AS252" i="56"/>
  <c r="AS92" i="56"/>
  <c r="AS113" i="56"/>
  <c r="AS109" i="56"/>
  <c r="AS226" i="56"/>
  <c r="AS56" i="56"/>
  <c r="AS168" i="56"/>
  <c r="AS154" i="56"/>
  <c r="AS125" i="56"/>
  <c r="AS57" i="56"/>
  <c r="AS205" i="56"/>
  <c r="AS69" i="56"/>
  <c r="AS89" i="56"/>
  <c r="AS32" i="56"/>
  <c r="AS177" i="56"/>
  <c r="AS133" i="56"/>
  <c r="AS175" i="56"/>
  <c r="AS22" i="56"/>
  <c r="AS169" i="56"/>
  <c r="AS53" i="56"/>
  <c r="AS176" i="56"/>
  <c r="AS229" i="56"/>
  <c r="AS17" i="56"/>
  <c r="AS90" i="56"/>
  <c r="AS126" i="56"/>
  <c r="AS121" i="56"/>
  <c r="AS46" i="56"/>
  <c r="AS245" i="56"/>
  <c r="AS120" i="56"/>
  <c r="AS212" i="56"/>
  <c r="AS255" i="56"/>
  <c r="AS230" i="56"/>
  <c r="AS224" i="56"/>
  <c r="AS78" i="56"/>
  <c r="AS171" i="56"/>
  <c r="AS211" i="56"/>
  <c r="AS105" i="56"/>
  <c r="AS145" i="56"/>
  <c r="AS116" i="56"/>
  <c r="AS94" i="56"/>
  <c r="AS228" i="56"/>
  <c r="AS199" i="56"/>
  <c r="AS26" i="56"/>
  <c r="AS250" i="56"/>
  <c r="AS100" i="56"/>
  <c r="AS24" i="56"/>
  <c r="AS151" i="56"/>
  <c r="AS210" i="56"/>
  <c r="AS160" i="56"/>
  <c r="AS180" i="56"/>
  <c r="AS62" i="56"/>
  <c r="AS249" i="56"/>
  <c r="AS233" i="56"/>
  <c r="AS96" i="56"/>
  <c r="AS178" i="56"/>
  <c r="AS127" i="56"/>
  <c r="AS138" i="56"/>
  <c r="AS207" i="56"/>
  <c r="AS216" i="56"/>
  <c r="AS23" i="56"/>
  <c r="AS181" i="56"/>
  <c r="AS108" i="56"/>
  <c r="AS103" i="56"/>
  <c r="AS75" i="56"/>
  <c r="AS188" i="56"/>
  <c r="AS206" i="56"/>
  <c r="AS76" i="56"/>
  <c r="AS223" i="56"/>
  <c r="AS29" i="56"/>
  <c r="AS64" i="56"/>
  <c r="AS219" i="56"/>
  <c r="AS142" i="56"/>
  <c r="AS141" i="56"/>
  <c r="AS208" i="56"/>
  <c r="AS241" i="56"/>
  <c r="AS240" i="56"/>
  <c r="AS112" i="56"/>
  <c r="AS86" i="56"/>
  <c r="AS246" i="56"/>
  <c r="AS186" i="56"/>
  <c r="AS185" i="56"/>
  <c r="AS244" i="56"/>
  <c r="AS55" i="56"/>
  <c r="AS73" i="56"/>
  <c r="AS77" i="56"/>
  <c r="AS50" i="56"/>
  <c r="AS52" i="56"/>
  <c r="AS194" i="56"/>
  <c r="AS79" i="56"/>
  <c r="AS101" i="56"/>
  <c r="AS248" i="56"/>
  <c r="AS59" i="56"/>
  <c r="AS124" i="56"/>
  <c r="AS213" i="56"/>
  <c r="AS166" i="56"/>
  <c r="AS251" i="56"/>
  <c r="AS28" i="56"/>
  <c r="AS247" i="56"/>
  <c r="AS72" i="56"/>
  <c r="AS214" i="56"/>
  <c r="AS234" i="56"/>
  <c r="AS239" i="56"/>
  <c r="AS155" i="56"/>
  <c r="AS111" i="56"/>
  <c r="AS117" i="56"/>
  <c r="AS99" i="56"/>
  <c r="AS36" i="56"/>
  <c r="AS39" i="56"/>
  <c r="AS172" i="56"/>
  <c r="AS115" i="56"/>
  <c r="AS38" i="56"/>
  <c r="AS215" i="56"/>
  <c r="AS153" i="56"/>
  <c r="AS40" i="56"/>
  <c r="AS140" i="56"/>
  <c r="AS61" i="56"/>
  <c r="AE11" i="56"/>
  <c r="BC126" i="60" l="1"/>
  <c r="BE126" i="60" s="1"/>
  <c r="BG126" i="60" s="1"/>
  <c r="BC144" i="60"/>
  <c r="BE144" i="60" s="1"/>
  <c r="BG144" i="60" s="1"/>
  <c r="BC147" i="60"/>
  <c r="BE147" i="60" s="1"/>
  <c r="BG147" i="60" s="1"/>
  <c r="BC368" i="60"/>
  <c r="BE368" i="60" s="1"/>
  <c r="BG368" i="60" s="1"/>
  <c r="BC160" i="60"/>
  <c r="BE160" i="60" s="1"/>
  <c r="BG160" i="60" s="1"/>
  <c r="BC212" i="60"/>
  <c r="BE212" i="60" s="1"/>
  <c r="BG212" i="60" s="1"/>
  <c r="BC120" i="60"/>
  <c r="BE120" i="60" s="1"/>
  <c r="BG120" i="60" s="1"/>
  <c r="BC372" i="60"/>
  <c r="BE372" i="60" s="1"/>
  <c r="BG372" i="60" s="1"/>
  <c r="BC22" i="60"/>
  <c r="BE22" i="60" s="1"/>
  <c r="BG22" i="60" s="1"/>
  <c r="BC232" i="60"/>
  <c r="BE232" i="60" s="1"/>
  <c r="BG232" i="60" s="1"/>
  <c r="BC197" i="60"/>
  <c r="BE197" i="60" s="1"/>
  <c r="BG197" i="60" s="1"/>
  <c r="BC222" i="60"/>
  <c r="BE222" i="60" s="1"/>
  <c r="BG222" i="60" s="1"/>
  <c r="BC164" i="60"/>
  <c r="BE164" i="60" s="1"/>
  <c r="BG164" i="60" s="1"/>
  <c r="BC78" i="60"/>
  <c r="BE78" i="60" s="1"/>
  <c r="BG78" i="60" s="1"/>
  <c r="BC374" i="60"/>
  <c r="BE374" i="60" s="1"/>
  <c r="BG374" i="60" s="1"/>
  <c r="BC356" i="60"/>
  <c r="BE356" i="60" s="1"/>
  <c r="BG356" i="60" s="1"/>
  <c r="BC312" i="60"/>
  <c r="BE312" i="60" s="1"/>
  <c r="BG312" i="60" s="1"/>
  <c r="BC63" i="60"/>
  <c r="BE63" i="60" s="1"/>
  <c r="BG63" i="60" s="1"/>
  <c r="BC228" i="60"/>
  <c r="BE228" i="60" s="1"/>
  <c r="BG228" i="60" s="1"/>
  <c r="BC393" i="60"/>
  <c r="BE393" i="60" s="1"/>
  <c r="BG393" i="60" s="1"/>
  <c r="BC394" i="60"/>
  <c r="BE394" i="60" s="1"/>
  <c r="BG394" i="60" s="1"/>
  <c r="BC292" i="60"/>
  <c r="BE292" i="60" s="1"/>
  <c r="BG292" i="60" s="1"/>
  <c r="BC150" i="60"/>
  <c r="BE150" i="60" s="1"/>
  <c r="BG150" i="60" s="1"/>
  <c r="BC132" i="60"/>
  <c r="BE132" i="60" s="1"/>
  <c r="BG132" i="60" s="1"/>
  <c r="BC322" i="60"/>
  <c r="BE322" i="60" s="1"/>
  <c r="BG322" i="60" s="1"/>
  <c r="BC318" i="60"/>
  <c r="BE318" i="60" s="1"/>
  <c r="BG318" i="60" s="1"/>
  <c r="BC387" i="60"/>
  <c r="BE387" i="60" s="1"/>
  <c r="BG387" i="60" s="1"/>
  <c r="BC381" i="60"/>
  <c r="BE381" i="60" s="1"/>
  <c r="BG381" i="60" s="1"/>
  <c r="BC348" i="60"/>
  <c r="BE348" i="60" s="1"/>
  <c r="BG348" i="60" s="1"/>
  <c r="BC389" i="60"/>
  <c r="BE389" i="60" s="1"/>
  <c r="BG389" i="60" s="1"/>
  <c r="BC240" i="60"/>
  <c r="BE240" i="60" s="1"/>
  <c r="BG240" i="60" s="1"/>
  <c r="BC386" i="60"/>
  <c r="BE386" i="60" s="1"/>
  <c r="BG386" i="60" s="1"/>
  <c r="BC250" i="60"/>
  <c r="BE250" i="60" s="1"/>
  <c r="BG250" i="60" s="1"/>
  <c r="BC358" i="60"/>
  <c r="BE358" i="60" s="1"/>
  <c r="BG358" i="60" s="1"/>
  <c r="BC214" i="60"/>
  <c r="BE214" i="60" s="1"/>
  <c r="BG214" i="60" s="1"/>
  <c r="BC152" i="60"/>
  <c r="BE152" i="60" s="1"/>
  <c r="BG152" i="60" s="1"/>
  <c r="BC390" i="60"/>
  <c r="BE390" i="60" s="1"/>
  <c r="BG390" i="60" s="1"/>
  <c r="BC246" i="60"/>
  <c r="BE246" i="60" s="1"/>
  <c r="BG246" i="60" s="1"/>
  <c r="BC400" i="60"/>
  <c r="BE400" i="60" s="1"/>
  <c r="BG400" i="60" s="1"/>
  <c r="BC231" i="60"/>
  <c r="BE231" i="60" s="1"/>
  <c r="BG231" i="60" s="1"/>
  <c r="BC112" i="60"/>
  <c r="BE112" i="60" s="1"/>
  <c r="BG112" i="60" s="1"/>
  <c r="BC15" i="60"/>
  <c r="BE15" i="60" s="1"/>
  <c r="BG15" i="60" s="1"/>
  <c r="BC336" i="60"/>
  <c r="BE336" i="60" s="1"/>
  <c r="BG336" i="60" s="1"/>
  <c r="BC17" i="60"/>
  <c r="BE17" i="60" s="1"/>
  <c r="BG17" i="60" s="1"/>
  <c r="BC280" i="60"/>
  <c r="BE280" i="60" s="1"/>
  <c r="BG280" i="60" s="1"/>
  <c r="BC118" i="60"/>
  <c r="BE118" i="60" s="1"/>
  <c r="BG118" i="60" s="1"/>
  <c r="BC294" i="60"/>
  <c r="BE294" i="60" s="1"/>
  <c r="BG294" i="60" s="1"/>
  <c r="BC224" i="60"/>
  <c r="BE224" i="60" s="1"/>
  <c r="BG224" i="60" s="1"/>
  <c r="BC75" i="60"/>
  <c r="BE75" i="60" s="1"/>
  <c r="BG75" i="60" s="1"/>
  <c r="BC46" i="60"/>
  <c r="BE46" i="60" s="1"/>
  <c r="BG46" i="60" s="1"/>
  <c r="BC256" i="60"/>
  <c r="BE256" i="60" s="1"/>
  <c r="BG256" i="60" s="1"/>
  <c r="BC316" i="60"/>
  <c r="BE316" i="60" s="1"/>
  <c r="BG316" i="60" s="1"/>
  <c r="BC233" i="60"/>
  <c r="BE233" i="60" s="1"/>
  <c r="BG233" i="60" s="1"/>
  <c r="BC138" i="60"/>
  <c r="BE138" i="60" s="1"/>
  <c r="BG138" i="60" s="1"/>
  <c r="BC106" i="60"/>
  <c r="BE106" i="60" s="1"/>
  <c r="BG106" i="60" s="1"/>
  <c r="BC196" i="60"/>
  <c r="BE196" i="60" s="1"/>
  <c r="BG196" i="60" s="1"/>
  <c r="BC260" i="60"/>
  <c r="BE260" i="60" s="1"/>
  <c r="BG260" i="60" s="1"/>
  <c r="BC130" i="60"/>
  <c r="BE130" i="60" s="1"/>
  <c r="BG130" i="60" s="1"/>
  <c r="BC339" i="60"/>
  <c r="BE339" i="60" s="1"/>
  <c r="BG339" i="60" s="1"/>
  <c r="BC123" i="60"/>
  <c r="BE123" i="60" s="1"/>
  <c r="BG123" i="60" s="1"/>
  <c r="BC30" i="60"/>
  <c r="BE30" i="60" s="1"/>
  <c r="BG30" i="60" s="1"/>
  <c r="BC65" i="60"/>
  <c r="BE65" i="60" s="1"/>
  <c r="BG65" i="60" s="1"/>
  <c r="BC142" i="60"/>
  <c r="BE142" i="60" s="1"/>
  <c r="BG142" i="60" s="1"/>
  <c r="BC104" i="60"/>
  <c r="BE104" i="60" s="1"/>
  <c r="BG104" i="60" s="1"/>
  <c r="BC341" i="60"/>
  <c r="BE341" i="60" s="1"/>
  <c r="BG341" i="60" s="1"/>
  <c r="BC200" i="60"/>
  <c r="BE200" i="60" s="1"/>
  <c r="BG200" i="60" s="1"/>
  <c r="BC364" i="60"/>
  <c r="BE364" i="60" s="1"/>
  <c r="BG364" i="60" s="1"/>
  <c r="BC82" i="60"/>
  <c r="BE82" i="60" s="1"/>
  <c r="BG82" i="60" s="1"/>
  <c r="BC401" i="60"/>
  <c r="BE401" i="60" s="1"/>
  <c r="BG401" i="60" s="1"/>
  <c r="BC148" i="60"/>
  <c r="BE148" i="60" s="1"/>
  <c r="BG148" i="60" s="1"/>
  <c r="BC66" i="60"/>
  <c r="BE66" i="60" s="1"/>
  <c r="BG66" i="60" s="1"/>
  <c r="BC54" i="60"/>
  <c r="BE54" i="60" s="1"/>
  <c r="BG54" i="60" s="1"/>
  <c r="BC391" i="60"/>
  <c r="BE391" i="60" s="1"/>
  <c r="BG391" i="60" s="1"/>
  <c r="BC135" i="60"/>
  <c r="BE135" i="60" s="1"/>
  <c r="BG135" i="60" s="1"/>
  <c r="BC76" i="60"/>
  <c r="BE76" i="60" s="1"/>
  <c r="BG76" i="60" s="1"/>
  <c r="BC398" i="60"/>
  <c r="BE398" i="60" s="1"/>
  <c r="BG398" i="60" s="1"/>
  <c r="BC64" i="60"/>
  <c r="BE64" i="60" s="1"/>
  <c r="BG64" i="60" s="1"/>
  <c r="BC209" i="60"/>
  <c r="BE209" i="60" s="1"/>
  <c r="BG209" i="60" s="1"/>
  <c r="BC113" i="60"/>
  <c r="BE113" i="60" s="1"/>
  <c r="BG113" i="60" s="1"/>
  <c r="BC32" i="60"/>
  <c r="BE32" i="60" s="1"/>
  <c r="BG32" i="60" s="1"/>
  <c r="BC245" i="60"/>
  <c r="BE245" i="60" s="1"/>
  <c r="BG245" i="60" s="1"/>
  <c r="BC379" i="60"/>
  <c r="BE379" i="60" s="1"/>
  <c r="BG379" i="60" s="1"/>
  <c r="BC28" i="60"/>
  <c r="BE28" i="60" s="1"/>
  <c r="BG28" i="60" s="1"/>
  <c r="BC255" i="60"/>
  <c r="BE255" i="60" s="1"/>
  <c r="BG255" i="60" s="1"/>
  <c r="BC279" i="60"/>
  <c r="BE279" i="60" s="1"/>
  <c r="BG279" i="60" s="1"/>
  <c r="BC353" i="60"/>
  <c r="BE353" i="60" s="1"/>
  <c r="BG353" i="60" s="1"/>
  <c r="BC178" i="60"/>
  <c r="BE178" i="60" s="1"/>
  <c r="BG178" i="60" s="1"/>
  <c r="BC87" i="60"/>
  <c r="BE87" i="60" s="1"/>
  <c r="BG87" i="60" s="1"/>
  <c r="BC180" i="60"/>
  <c r="BE180" i="60" s="1"/>
  <c r="BG180" i="60" s="1"/>
  <c r="BC236" i="60"/>
  <c r="BE236" i="60" s="1"/>
  <c r="BG236" i="60" s="1"/>
  <c r="BC262" i="60"/>
  <c r="BE262" i="60" s="1"/>
  <c r="BG262" i="60" s="1"/>
  <c r="BC216" i="60"/>
  <c r="BE216" i="60" s="1"/>
  <c r="BG216" i="60" s="1"/>
  <c r="BC288" i="60"/>
  <c r="BE288" i="60" s="1"/>
  <c r="BG288" i="60" s="1"/>
  <c r="BC114" i="60"/>
  <c r="BE114" i="60" s="1"/>
  <c r="BG114" i="60" s="1"/>
  <c r="BC383" i="60"/>
  <c r="BE383" i="60" s="1"/>
  <c r="BG383" i="60" s="1"/>
  <c r="BC58" i="60"/>
  <c r="BE58" i="60" s="1"/>
  <c r="BG58" i="60" s="1"/>
  <c r="BC258" i="60"/>
  <c r="BE258" i="60" s="1"/>
  <c r="BG258" i="60" s="1"/>
  <c r="BC252" i="60"/>
  <c r="BE252" i="60" s="1"/>
  <c r="BG252" i="60" s="1"/>
  <c r="BC42" i="60"/>
  <c r="BE42" i="60" s="1"/>
  <c r="BG42" i="60" s="1"/>
  <c r="BC156" i="60"/>
  <c r="BE156" i="60" s="1"/>
  <c r="BG156" i="60" s="1"/>
  <c r="BC39" i="60"/>
  <c r="BE39" i="60" s="1"/>
  <c r="BG39" i="60" s="1"/>
  <c r="BC340" i="60"/>
  <c r="BE340" i="60" s="1"/>
  <c r="BG340" i="60" s="1"/>
  <c r="BC365" i="60"/>
  <c r="BE365" i="60" s="1"/>
  <c r="BG365" i="60" s="1"/>
  <c r="BC296" i="60"/>
  <c r="BE296" i="60" s="1"/>
  <c r="BG296" i="60" s="1"/>
  <c r="I15" i="55"/>
  <c r="AQ11" i="56"/>
  <c r="L14" i="55"/>
  <c r="E20" i="49" s="1"/>
  <c r="BP28" i="1"/>
  <c r="CG28" i="1" s="1"/>
  <c r="BO30" i="1"/>
  <c r="CF30" i="1" s="1"/>
  <c r="BR22" i="1"/>
  <c r="BN33" i="1"/>
  <c r="CE33" i="1" s="1"/>
  <c r="BQ14" i="1"/>
  <c r="BP35" i="1"/>
  <c r="CG35" i="1" s="1"/>
  <c r="BQ17" i="1"/>
  <c r="BO28" i="1"/>
  <c r="CF28" i="1" s="1"/>
  <c r="BQ16" i="1"/>
  <c r="BN31" i="1"/>
  <c r="CE31" i="1" s="1"/>
  <c r="BN35" i="1"/>
  <c r="CE35" i="1" s="1"/>
  <c r="BR16" i="1"/>
  <c r="BN28" i="1"/>
  <c r="CE28" i="1" s="1"/>
  <c r="BO29" i="1"/>
  <c r="CF29" i="1" s="1"/>
  <c r="BR23" i="1"/>
  <c r="BO32" i="1"/>
  <c r="CF32" i="1" s="1"/>
  <c r="BP32" i="1"/>
  <c r="CG32" i="1" s="1"/>
  <c r="BO31" i="1"/>
  <c r="CF31" i="1" s="1"/>
  <c r="BR14" i="1"/>
  <c r="BN34" i="1"/>
  <c r="CE34" i="1" s="1"/>
  <c r="BR15" i="1"/>
  <c r="BO33" i="1"/>
  <c r="CF33" i="1" s="1"/>
  <c r="BN30" i="1"/>
  <c r="CE30" i="1" s="1"/>
  <c r="BQ19" i="1"/>
  <c r="BQ24" i="1"/>
  <c r="BO35" i="1"/>
  <c r="CF35" i="1" s="1"/>
  <c r="BN29" i="1"/>
  <c r="CE29" i="1" s="1"/>
  <c r="BR21" i="1"/>
  <c r="BQ15" i="1"/>
  <c r="BQ20" i="1"/>
  <c r="BQ23" i="1"/>
  <c r="BQ21" i="1"/>
  <c r="BQ22" i="1"/>
  <c r="BR24" i="1"/>
  <c r="BQ18" i="1"/>
  <c r="BP30" i="1"/>
  <c r="CG30" i="1" s="1"/>
  <c r="BN32" i="1"/>
  <c r="CE32" i="1" s="1"/>
  <c r="BP33" i="1"/>
  <c r="CG33" i="1" s="1"/>
  <c r="BP34" i="1"/>
  <c r="CG34" i="1" s="1"/>
  <c r="BP29" i="1"/>
  <c r="CG29" i="1" s="1"/>
  <c r="BR19" i="1"/>
  <c r="BR20" i="1"/>
  <c r="BR13" i="1"/>
  <c r="BP31" i="1"/>
  <c r="CG31" i="1" s="1"/>
  <c r="BO34" i="1"/>
  <c r="CF34" i="1" s="1"/>
  <c r="BQ13" i="1"/>
  <c r="BR17" i="1"/>
  <c r="BR18" i="1"/>
  <c r="CI17" i="1" l="1"/>
  <c r="CI13" i="1"/>
  <c r="CH22" i="1"/>
  <c r="CH21" i="1"/>
  <c r="CI21" i="1"/>
  <c r="CI15" i="1"/>
  <c r="CI23" i="1"/>
  <c r="CI16" i="1"/>
  <c r="CI18" i="1"/>
  <c r="CH13" i="1"/>
  <c r="CI20" i="1"/>
  <c r="CI19" i="1"/>
  <c r="CI24" i="1"/>
  <c r="CH15" i="1"/>
  <c r="CH19" i="1"/>
  <c r="CI22" i="1"/>
  <c r="CH23" i="1"/>
  <c r="CH16" i="1"/>
  <c r="CH14" i="1"/>
  <c r="CH20" i="1"/>
  <c r="CH24" i="1"/>
  <c r="CH18" i="1"/>
  <c r="CI14" i="1"/>
  <c r="CH17" i="1"/>
  <c r="AS11" i="56"/>
  <c r="L15" i="55"/>
  <c r="K15" i="55"/>
  <c r="J15" i="55"/>
  <c r="M14" i="55"/>
  <c r="N14" i="55" s="1"/>
  <c r="O14" i="55" s="1"/>
  <c r="BS13" i="1"/>
  <c r="BS17" i="1"/>
  <c r="BS14" i="1"/>
  <c r="BS33" i="1"/>
  <c r="BS22" i="1"/>
  <c r="BS30" i="1"/>
  <c r="BS31" i="1"/>
  <c r="BS19" i="1"/>
  <c r="BS21" i="1"/>
  <c r="BS24" i="1"/>
  <c r="BS32" i="1"/>
  <c r="BS29" i="1"/>
  <c r="BS18" i="1"/>
  <c r="BS15" i="1"/>
  <c r="BS23" i="1"/>
  <c r="BS34" i="1"/>
  <c r="BS20" i="1"/>
  <c r="BS28" i="1"/>
  <c r="BS35" i="1"/>
  <c r="BS16" i="1"/>
  <c r="A9" i="55" l="1"/>
  <c r="M15" i="55" l="1"/>
  <c r="F18" i="49" l="1"/>
  <c r="F19" i="49" l="1"/>
  <c r="F20" i="49" l="1"/>
  <c r="F21" i="49" s="1"/>
  <c r="F23" i="49" s="1"/>
  <c r="A9" i="49" l="1"/>
</calcChain>
</file>

<file path=xl/comments1.xml><?xml version="1.0" encoding="utf-8"?>
<comments xmlns="http://schemas.openxmlformats.org/spreadsheetml/2006/main">
  <authors>
    <author>JUAN CARLOS ZAMBRANO</author>
  </authors>
  <commentList>
    <comment ref="O14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 50 gr a 60 gr</t>
        </r>
      </text>
    </comment>
    <comment ref="Q14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 50 gr a 60 gr</t>
        </r>
      </text>
    </comment>
    <comment ref="M15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EL REQUERIMIENTO DE ESTE ALIMENTO SEGÚN FICHA TECNICA ES 24 A 30 g
</t>
        </r>
      </text>
    </comment>
    <comment ref="N15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EL REQUERIMIENTO DE ESTE ALIMENTO SEGÚN FICHA TECNICA ES 24 A 30 g
</t>
        </r>
      </text>
    </comment>
    <comment ref="O15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EL REQUERIMIENTO DE ESTE ALIMENTO SEGÚN FICHA TECNICA ES 24 A 30 g
</t>
        </r>
      </text>
    </comment>
    <comment ref="P15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EL REQUERIMIENTO DE ESTE ALIMENTO SEGÚN FICHA TECNICA ES 24 A 30 g
</t>
        </r>
      </text>
    </comment>
    <comment ref="Q15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EL REQUERIMIENTO DE ESTE ALIMENTO SEGÚN FICHA TECNICA ES 24 A 30 g
</t>
        </r>
      </text>
    </comment>
    <comment ref="J19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SE ELIMINA EL BROWNIE CON AREQUIPE CODIGO 14</t>
        </r>
      </text>
    </comment>
    <comment ref="M19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 40 A 50 G</t>
        </r>
      </text>
    </comment>
    <comment ref="N19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 40 A 50 G</t>
        </r>
      </text>
    </comment>
    <comment ref="P19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 40 A 50 G</t>
        </r>
      </text>
    </comment>
    <comment ref="M20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 30 gr a 40 gr</t>
        </r>
      </text>
    </comment>
    <comment ref="M22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EL REQUERIMIENTO DE ESTE ALIMENTO SEGÚN FICHA TECNICA ES 25 A 30 g
</t>
        </r>
      </text>
    </comment>
    <comment ref="N22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EL REQUERIMIENTO DE ESTE ALIMENTO SEGÚN FICHA TECNICA ES 25 A 30 g
</t>
        </r>
      </text>
    </comment>
    <comment ref="O22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EL REQUERIMIENTO DE ESTE ALIMENTO SEGÚN FICHA TECNICA ES 25 A 30 g
</t>
        </r>
      </text>
    </comment>
    <comment ref="P22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EL REQUERIMIENTO DE ESTE ALIMENTO SEGÚN FICHA TECNICA ES 25 A 30 g
</t>
        </r>
      </text>
    </comment>
    <comment ref="Q22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EL REQUERIMIENTO DE ESTE ALIMENTO SEGÚN FICHA TECNICA ES 25 A 30 g
</t>
        </r>
      </text>
    </comment>
    <comment ref="M24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EL REQUERIMIENTO DE ESTE ALIMENTO SEGÚN FICHA TECNICA ES 40 a 50g
</t>
        </r>
      </text>
    </comment>
    <comment ref="N24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EL REQUERIMIENTO DE ESTE ALIMENTO SEGÚN FICHA TECNICA ES 40 a 50g
</t>
        </r>
      </text>
    </comment>
    <comment ref="O24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EL REQUERIMIENTO DE ESTE ALIMENTO SEGÚN FICHA TECNICA ES 40 a 50g
</t>
        </r>
      </text>
    </comment>
    <comment ref="P24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EL REQUERIMIENTO DE ESTE ALIMENTO SEGÚN FICHA TECNICA ES 40 a 50g
</t>
        </r>
      </text>
    </comment>
    <comment ref="Q24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EL REQUERIMIENTO DE ESTE ALIMENTO SEGÚN FICHA TECNICA ES 40 a 50g
</t>
        </r>
      </text>
    </comment>
    <comment ref="M26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 30 gr a 40 gr</t>
        </r>
      </text>
    </comment>
    <comment ref="M27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EL REQUERIMIENTO DE ESTE ALIMENTO SEGÚN FICHA TECNICA ES 24 A 30 g
</t>
        </r>
      </text>
    </comment>
    <comment ref="N27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EL REQUERIMIENTO DE ESTE ALIMENTO SEGÚN FICHA TECNICA ES 24 A 30 g
</t>
        </r>
      </text>
    </comment>
    <comment ref="O27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EL REQUERIMIENTO DE ESTE ALIMENTO SEGÚN FICHA TECNICA ES 24 A 30 g
</t>
        </r>
      </text>
    </comment>
    <comment ref="P27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EL REQUERIMIENTO DE ESTE ALIMENTO SEGÚN FICHA TECNICA ES 24 A 30 g
</t>
        </r>
      </text>
    </comment>
    <comment ref="Q27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EL REQUERIMIENTO DE ESTE ALIMENTO SEGÚN FICHA TECNICA ES 24 A 30 g
</t>
        </r>
      </text>
    </comment>
    <comment ref="M29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 40 A 50 G</t>
        </r>
      </text>
    </comment>
    <comment ref="N29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 40 A 50 G</t>
        </r>
      </text>
    </comment>
    <comment ref="O30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 50 gr a 60 gr</t>
        </r>
      </text>
    </comment>
    <comment ref="M32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 30 gr a 40 gr</t>
        </r>
      </text>
    </comment>
    <comment ref="M37" authorId="0">
      <text>
        <r>
          <rPr>
            <b/>
            <sz val="9"/>
            <color indexed="81"/>
            <rFont val="Tahoma"/>
            <family val="2"/>
          </rPr>
          <t>JUAN CARLOS ZAMBRANO:</t>
        </r>
        <r>
          <rPr>
            <sz val="9"/>
            <color indexed="81"/>
            <rFont val="Tahoma"/>
            <family val="2"/>
          </rPr>
          <t xml:space="preserve">
CAMBIA EL DIA 17 DE NOV . CORREO DE CLAUDIA LEON. PASA DE 30 gr a 40 gr</t>
        </r>
      </text>
    </comment>
  </commentList>
</comments>
</file>

<file path=xl/sharedStrings.xml><?xml version="1.0" encoding="utf-8"?>
<sst xmlns="http://schemas.openxmlformats.org/spreadsheetml/2006/main" count="27872" uniqueCount="2552">
  <si>
    <t>COMPONENTE</t>
  </si>
  <si>
    <t>CEREAL</t>
  </si>
  <si>
    <t>Galleta Casera</t>
  </si>
  <si>
    <t>Tipo A</t>
  </si>
  <si>
    <t>Tipo B</t>
  </si>
  <si>
    <t>Tipo C</t>
  </si>
  <si>
    <t>Tipo M</t>
  </si>
  <si>
    <t>Tipo H</t>
  </si>
  <si>
    <t>Unidad</t>
  </si>
  <si>
    <t>gr</t>
  </si>
  <si>
    <t>Mantecada</t>
  </si>
  <si>
    <t xml:space="preserve">Muffin </t>
  </si>
  <si>
    <t>Almojábana</t>
  </si>
  <si>
    <t>Ponqué cubierto con chocolate</t>
  </si>
  <si>
    <t>Brownie</t>
  </si>
  <si>
    <t>Galleta de avena</t>
  </si>
  <si>
    <t>Achiras</t>
  </si>
  <si>
    <t>Galletas Waffer</t>
  </si>
  <si>
    <t>E1</t>
  </si>
  <si>
    <t>Galletas con chips de chocolate</t>
  </si>
  <si>
    <t>Ponqué cubierto con chocolate relleno de mermelada</t>
  </si>
  <si>
    <t>E2</t>
  </si>
  <si>
    <t>E3</t>
  </si>
  <si>
    <t>PE1</t>
  </si>
  <si>
    <t>PE2</t>
  </si>
  <si>
    <t>PE3</t>
  </si>
  <si>
    <t>PE4</t>
  </si>
  <si>
    <t>PE5</t>
  </si>
  <si>
    <t>PE6</t>
  </si>
  <si>
    <t>PE7</t>
  </si>
  <si>
    <t>PE8</t>
  </si>
  <si>
    <t>PE9</t>
  </si>
  <si>
    <t>PE10</t>
  </si>
  <si>
    <t>PE11</t>
  </si>
  <si>
    <t>PE12</t>
  </si>
  <si>
    <t>PE13</t>
  </si>
  <si>
    <t>PE14</t>
  </si>
  <si>
    <t>PE15</t>
  </si>
  <si>
    <t>SE1</t>
  </si>
  <si>
    <t>PRODUCTO</t>
  </si>
  <si>
    <t>SE2</t>
  </si>
  <si>
    <t>SE3</t>
  </si>
  <si>
    <t>SE4</t>
  </si>
  <si>
    <t>SE5</t>
  </si>
  <si>
    <t>SE6</t>
  </si>
  <si>
    <t>SE7</t>
  </si>
  <si>
    <t>SE8</t>
  </si>
  <si>
    <t>SE9</t>
  </si>
  <si>
    <t>Galleta de Avena</t>
  </si>
  <si>
    <t>Galleta casera</t>
  </si>
  <si>
    <t>SE10</t>
  </si>
  <si>
    <t>SE11</t>
  </si>
  <si>
    <t xml:space="preserve">Brownie cubierto con chocolate </t>
  </si>
  <si>
    <t>SE12</t>
  </si>
  <si>
    <t>SE13</t>
  </si>
  <si>
    <t>SE14</t>
  </si>
  <si>
    <t>Donut</t>
  </si>
  <si>
    <t xml:space="preserve">Ponqué cubierto de chocolate </t>
  </si>
  <si>
    <t>SE15</t>
  </si>
  <si>
    <t>OBSERVACION</t>
  </si>
  <si>
    <t>Nombre Ficha Tecnica</t>
  </si>
  <si>
    <t>Galleta Casera (Paquete mínimo dos (2) unidades)</t>
  </si>
  <si>
    <t>Galletas Integrales</t>
  </si>
  <si>
    <t>Galletas Integrales (Paquete de 3 o 4 unidades).</t>
  </si>
  <si>
    <t>Galleta de avena (Paquete mínimo dos (2) unidades)</t>
  </si>
  <si>
    <t>Muffin De  Frutas O Chips De Chocolate</t>
  </si>
  <si>
    <t>Brownie/ Brownie cubierto de chocolate</t>
  </si>
  <si>
    <t>Galletas Con Chips De Chocolate/ Galleta Chocochips (Paquete minimo con 10 unidades)</t>
  </si>
  <si>
    <t>Ponqué cubierto con chocolate, relleno con mermelada</t>
  </si>
  <si>
    <t>Galleta Tipo Waffer</t>
  </si>
  <si>
    <t>Donut cubierto de chocolate o rellena de arequipe o mermelada de frutas.</t>
  </si>
  <si>
    <t>SubProducto</t>
  </si>
  <si>
    <t>Codigo Alimento</t>
  </si>
  <si>
    <t>Cotizar en rango</t>
  </si>
  <si>
    <t>ITEM</t>
  </si>
  <si>
    <t>FECHA</t>
  </si>
  <si>
    <t>MES</t>
  </si>
  <si>
    <t>DIA</t>
  </si>
  <si>
    <t>DIA SEMANA</t>
  </si>
  <si>
    <t>FEBRERO</t>
  </si>
  <si>
    <t>MIERCOLES</t>
  </si>
  <si>
    <t>JUEVES</t>
  </si>
  <si>
    <t>VIERNES</t>
  </si>
  <si>
    <t>SABADO</t>
  </si>
  <si>
    <t>NO</t>
  </si>
  <si>
    <t>DOMINGO</t>
  </si>
  <si>
    <t>LUNES</t>
  </si>
  <si>
    <t>MARTES</t>
  </si>
  <si>
    <t>MARZO</t>
  </si>
  <si>
    <t>ABRIL</t>
  </si>
  <si>
    <t>SEMANA SANTA</t>
  </si>
  <si>
    <t>MAYO</t>
  </si>
  <si>
    <t>JUNIO</t>
  </si>
  <si>
    <t>VACACIONES</t>
  </si>
  <si>
    <t>AGOSTO</t>
  </si>
  <si>
    <t>SEPTIEMBRE</t>
  </si>
  <si>
    <t>OCTUBRE</t>
  </si>
  <si>
    <t>NOVIEMBRE</t>
  </si>
  <si>
    <t>NA</t>
  </si>
  <si>
    <t>ENTREGA</t>
  </si>
  <si>
    <t>P_</t>
  </si>
  <si>
    <t>S_</t>
  </si>
  <si>
    <t>TOTAL</t>
  </si>
  <si>
    <t>TOTAL AÑO</t>
  </si>
  <si>
    <t>COD</t>
  </si>
  <si>
    <t>SI</t>
  </si>
  <si>
    <t>TIPO MUJER</t>
  </si>
  <si>
    <t>TIPO HOMBRE</t>
  </si>
  <si>
    <t>OBSERVACIONES</t>
  </si>
  <si>
    <t>JORNADA</t>
  </si>
  <si>
    <t>MAÑANA</t>
  </si>
  <si>
    <t>TARDE</t>
  </si>
  <si>
    <t>TOTAL ENTREGA DIARIA</t>
  </si>
  <si>
    <t>TIPO A
 (4 A 6 AÑOS)</t>
  </si>
  <si>
    <t>TIPO B  
(7 A 12 AÑOS)</t>
  </si>
  <si>
    <t>TIPO C  
(13 A 17 AÑOS)</t>
  </si>
  <si>
    <t>REFRIGERIOS PRIMERA ENTREGA</t>
  </si>
  <si>
    <t>REFRIGERIOS SEGUNDA ENTREGA</t>
  </si>
  <si>
    <t>El Calendario no incluye : La semana Santa , Vacaciones de Mitad de año (Dos semanas de Junio y una en Julio), Semana de Receso Octubre</t>
  </si>
  <si>
    <t>PE15 - FESTIVO</t>
  </si>
  <si>
    <t>SE5 - FESTIVO</t>
  </si>
  <si>
    <t>SE11 - FESTIVO</t>
  </si>
  <si>
    <t>PE14 - FESTIVO</t>
  </si>
  <si>
    <t>ENTREGA FIN DE SEMANA</t>
  </si>
  <si>
    <t>ENTREGA ENTRE SEMANA</t>
  </si>
  <si>
    <t>S_FDS</t>
  </si>
  <si>
    <t>CODIGO MENU</t>
  </si>
  <si>
    <t>TOTALES</t>
  </si>
  <si>
    <t>Proveedor del Suministro</t>
  </si>
  <si>
    <t>N° Contrato</t>
  </si>
  <si>
    <t>Proyecto</t>
  </si>
  <si>
    <t>Modalidad</t>
  </si>
  <si>
    <t>Loc.</t>
  </si>
  <si>
    <t>Localidad</t>
  </si>
  <si>
    <t>Nombre IDE</t>
  </si>
  <si>
    <t>Sede</t>
  </si>
  <si>
    <t>Nombre Sede</t>
  </si>
  <si>
    <t>FIN DE SEMANA</t>
  </si>
  <si>
    <t>J</t>
  </si>
  <si>
    <t>TIPO A</t>
  </si>
  <si>
    <t>TIPO B</t>
  </si>
  <si>
    <t>TIPO C</t>
  </si>
  <si>
    <t>TIPO M</t>
  </si>
  <si>
    <t>TIPO H</t>
  </si>
  <si>
    <t>LA CAMPIÑA SAS</t>
  </si>
  <si>
    <t>2362-G12</t>
  </si>
  <si>
    <t>1052-1</t>
  </si>
  <si>
    <t>REFRIGERIOS</t>
  </si>
  <si>
    <t>Kennedy</t>
  </si>
  <si>
    <t>COL NAL NICOLAS ESGUERRA (IED)</t>
  </si>
  <si>
    <t xml:space="preserve">SEDE A </t>
  </si>
  <si>
    <t>M</t>
  </si>
  <si>
    <t>SEDE A</t>
  </si>
  <si>
    <t>N</t>
  </si>
  <si>
    <t>T</t>
  </si>
  <si>
    <t>COL SAN PEDRO CLAVER (IED)</t>
  </si>
  <si>
    <t>CED SAN PEDRO CLAVER Sede A</t>
  </si>
  <si>
    <t>CED GERMAN ZEA HERNANDEZ</t>
  </si>
  <si>
    <t>CED GERNAN ZEA HERNANDEZ</t>
  </si>
  <si>
    <t>COL PAULO VI (IED)</t>
  </si>
  <si>
    <t>CED PAULO VI</t>
  </si>
  <si>
    <t>SEDE D (TEMPORAL SEDE B)</t>
  </si>
  <si>
    <t>COL MARSELLA (IED)</t>
  </si>
  <si>
    <t>CED MARSELLA</t>
  </si>
  <si>
    <t>SEDE B</t>
  </si>
  <si>
    <t>COL ALQUERIA DE LA FRAGUA (IED)</t>
  </si>
  <si>
    <t>CENT EDUC DIST ALQUERIA LA FRAGUA</t>
  </si>
  <si>
    <t>COL LOS PERIODISTAS (IED)</t>
  </si>
  <si>
    <t>CENT EDUC DIST LOS PERIODISTAS</t>
  </si>
  <si>
    <t>COL PROSPERO PINZON (IED)</t>
  </si>
  <si>
    <t>CED PROSPERO PINZON</t>
  </si>
  <si>
    <t>COL CASTILLA (IED)</t>
  </si>
  <si>
    <t>CENTRO EDUCATIVO DISTRITAL BAS Y MEDIA NUEVA CASTILLA</t>
  </si>
  <si>
    <t>COL CODEMA (IED)</t>
  </si>
  <si>
    <t>CED PRIMAVERA</t>
  </si>
  <si>
    <t>COL GUSTAVO ROJAS PINILLA (IED)</t>
  </si>
  <si>
    <t>SEDE B "EL TINTAL"</t>
  </si>
  <si>
    <t>COL SALUDCOOP SUR (IED)</t>
  </si>
  <si>
    <t>MUJERES DEL RIO</t>
  </si>
  <si>
    <t>COL NELSON MANDELA (IED)</t>
  </si>
  <si>
    <t>SEDE A - NELSON MANDELA</t>
  </si>
  <si>
    <t>2362-G12-JC2</t>
  </si>
  <si>
    <t>1052-2</t>
  </si>
  <si>
    <t>2362-G12-PI</t>
  </si>
  <si>
    <t>2362-G4</t>
  </si>
  <si>
    <t>COL CARLOS ARTURO TORRES (IED)</t>
  </si>
  <si>
    <t>CED REPUBLICA DE FINLANDIA</t>
  </si>
  <si>
    <t>SEDE EDUCACION ESPECIAL</t>
  </si>
  <si>
    <t>COL TOM ADAMS (IED)</t>
  </si>
  <si>
    <t>CED TOM ADAMS Sede A</t>
  </si>
  <si>
    <t>CENT EDUC DIST SAN JORGE(ENCY)</t>
  </si>
  <si>
    <t>COL CLASS (IED)</t>
  </si>
  <si>
    <t>CENT EDUC DIST CIUDAD ROMA</t>
  </si>
  <si>
    <t>CENT EDUC DIST ROMULO GALLEGOS</t>
  </si>
  <si>
    <t>COL SAN JOSE (IED)</t>
  </si>
  <si>
    <t>CED SAN JOSE</t>
  </si>
  <si>
    <t>CED SAN JOSE DESCANSO</t>
  </si>
  <si>
    <t>COL OEA (IED)</t>
  </si>
  <si>
    <t>CENT EDUC DIST BAS Y MEDIA O.E.A</t>
  </si>
  <si>
    <t>CED ANTONIA SANTOS</t>
  </si>
  <si>
    <t>COL KENNEDY (IED)</t>
  </si>
  <si>
    <t>COL DIST KENNEDY</t>
  </si>
  <si>
    <t>ANTONIA SANTOS</t>
  </si>
  <si>
    <t>HEROES</t>
  </si>
  <si>
    <t>ROSA MARIA GORDILLO</t>
  </si>
  <si>
    <t>COL MANUEL CEPEDA VARGAS (IED)</t>
  </si>
  <si>
    <t>CED BRITALIA</t>
  </si>
  <si>
    <t>CED GRAN BRITALIA</t>
  </si>
  <si>
    <t>CAMILO TORRES</t>
  </si>
  <si>
    <t>COL ALFONSO LOPEZ PUMAREJO (IED)</t>
  </si>
  <si>
    <t xml:space="preserve">SEDE A    </t>
  </si>
  <si>
    <t xml:space="preserve">SEDE B    </t>
  </si>
  <si>
    <t>COL GABRIEL BETANCOURT MEJIA (IED)</t>
  </si>
  <si>
    <t>SEDE MAGDALENA</t>
  </si>
  <si>
    <t>2362-G4-JC</t>
  </si>
  <si>
    <t>M1</t>
  </si>
  <si>
    <t>2362-G4-JC2</t>
  </si>
  <si>
    <t>2362-G4-PI</t>
  </si>
  <si>
    <t>FABIO DOBLADO BARRETO</t>
  </si>
  <si>
    <t>2306-G28</t>
  </si>
  <si>
    <t>Bosa</t>
  </si>
  <si>
    <t>COL NUEVO CHILE (IED)</t>
  </si>
  <si>
    <t>CED NUEVO CHILE</t>
  </si>
  <si>
    <t>CED RODRIGO DE BASTIDAS</t>
  </si>
  <si>
    <t>SEDE C - PI</t>
  </si>
  <si>
    <t>SEDE D</t>
  </si>
  <si>
    <t>SEDE E</t>
  </si>
  <si>
    <t>COL GRAN COLOMBIANO (IED)</t>
  </si>
  <si>
    <t>CENT EDUC DIST GRAN COLOMBIANO</t>
  </si>
  <si>
    <t>CED LOS LAURELES</t>
  </si>
  <si>
    <t>CED LOS NARANJOS</t>
  </si>
  <si>
    <t>COL LLANO ORIENTAL (IED)</t>
  </si>
  <si>
    <t>CENT EDUC DIST LLANO ORIENTAL</t>
  </si>
  <si>
    <t>LLANO ORIENTAL</t>
  </si>
  <si>
    <t>COL PABLO DE TARSO (IED)</t>
  </si>
  <si>
    <t>CED PABLO DE TARSO A</t>
  </si>
  <si>
    <t>CED PAULO VI Sede B</t>
  </si>
  <si>
    <t>COL VILLAS DEL PROGRESO (IED)</t>
  </si>
  <si>
    <t>CENT EDUC DIST VILLAS DEL PROGRESO</t>
  </si>
  <si>
    <t>JUVENTUD DE AMERICA</t>
  </si>
  <si>
    <t>JARDINES DE LA LIBERTAD</t>
  </si>
  <si>
    <t>2306-G28-JC</t>
  </si>
  <si>
    <t>Tunjuelito</t>
  </si>
  <si>
    <t>COL INST TEC INDUSTRIAL PILOTO (IED)</t>
  </si>
  <si>
    <t>INST TEC IND PILOTO</t>
  </si>
  <si>
    <t>COL SAN CARLOS (IED)</t>
  </si>
  <si>
    <t>CED JOSE ANTONIO RICAURTE</t>
  </si>
  <si>
    <t>SEDE B-ACTUALMENTE SEDE C</t>
  </si>
  <si>
    <t>2306-G28-JC2</t>
  </si>
  <si>
    <t>Ciudad Bolívar</t>
  </si>
  <si>
    <t>COL LA ESTANCIA - SAN ISIDRO LABRADOR (IED)</t>
  </si>
  <si>
    <t>COL DIST LA ESTANCIA</t>
  </si>
  <si>
    <t>COL RUR PASQUILLA (IED)</t>
  </si>
  <si>
    <t>PASQUILLA</t>
  </si>
  <si>
    <t>COL MARCO FIDEL SUAREZ (IED)</t>
  </si>
  <si>
    <t>COL DIST U.B. MARCO FIDEL SUAREZ</t>
  </si>
  <si>
    <t>2306-G28-PI</t>
  </si>
  <si>
    <t>COL LEONARDO POSADA PEDRAZA (IED)</t>
  </si>
  <si>
    <t>LEONARDO POSADA PEDRAZA</t>
  </si>
  <si>
    <t>2306-G30</t>
  </si>
  <si>
    <t>COL FANNY MICKEY (IED)</t>
  </si>
  <si>
    <t>FANNY MICKEY IED</t>
  </si>
  <si>
    <t>COL CENT INTEGL JOSE MARIA CORDOBA (IED)</t>
  </si>
  <si>
    <t>COL DIST JOSE MARIA CORDOBA</t>
  </si>
  <si>
    <t>COL VENECIA (IED)</t>
  </si>
  <si>
    <t>COL RAFAEL URIBE URIBE (IED)_6</t>
  </si>
  <si>
    <t>CENT EDUC DIST NSTRA SRA DEL CARMEN</t>
  </si>
  <si>
    <t>COL CIUDAD DE BOGOTA (IED)</t>
  </si>
  <si>
    <t>COL DIST U.B. CIUDAD DE BOGOTA</t>
  </si>
  <si>
    <t>CENT EDUC DIST ROCKEFELLER</t>
  </si>
  <si>
    <t>COL INEM SANTIAGO PEREZ (IED)</t>
  </si>
  <si>
    <t>CED AGUSTIN CODAZZI</t>
  </si>
  <si>
    <t>COL ISLA DEL SOL (IED)</t>
  </si>
  <si>
    <t>CED ISLA DEL SOL</t>
  </si>
  <si>
    <t>COL SAN BENITO ABAD (IED)</t>
  </si>
  <si>
    <t>CENT EDUC DIST DIANA TURBAY</t>
  </si>
  <si>
    <t>CENT EDUC DIST SAN BENITO</t>
  </si>
  <si>
    <t>2306-G30-JC</t>
  </si>
  <si>
    <t>2306-G30-JC2</t>
  </si>
  <si>
    <t>COL BERNARDO JARAMILLO (IED)</t>
  </si>
  <si>
    <t>CED BERNARDO JARAMILLO</t>
  </si>
  <si>
    <t>2306-G30-PI</t>
  </si>
  <si>
    <t>2306-G9</t>
  </si>
  <si>
    <t>COL LA ARABIA (IED)</t>
  </si>
  <si>
    <t>LA ARABIA</t>
  </si>
  <si>
    <t>COL PARAISO MIRADOR (IED)</t>
  </si>
  <si>
    <t>IED PARAISO MIRADOR</t>
  </si>
  <si>
    <t>CASAS PREFABRICADAS</t>
  </si>
  <si>
    <t>COL SOTAVENTO (IED)</t>
  </si>
  <si>
    <t>SOTAVENTO</t>
  </si>
  <si>
    <t>CED SAN ISIDRO LABRADOR</t>
  </si>
  <si>
    <t>SANTA BARBARA PASQUILLA</t>
  </si>
  <si>
    <t>PASQUILLITA</t>
  </si>
  <si>
    <t>CED NUESTRA SEÑORA DE FATIMA</t>
  </si>
  <si>
    <t>CED FATIMA COLMOTORES</t>
  </si>
  <si>
    <t>CED NUESTRA SEÑORA DEL ROSARIO</t>
  </si>
  <si>
    <t>COL RUFINO JOSE CUERVO (IED)</t>
  </si>
  <si>
    <t>CED RUFINO JOSE CUERVO</t>
  </si>
  <si>
    <t>CED CECILIA DE LA FUENTE LLERAS</t>
  </si>
  <si>
    <t>CED NUEVO TUNJUELITO</t>
  </si>
  <si>
    <t>SEDE ANEXA NUEVO TUNJUELITO</t>
  </si>
  <si>
    <t>SEDE B-ACTUALMENT SEDE C</t>
  </si>
  <si>
    <t>2306-G9-JC</t>
  </si>
  <si>
    <t>2306-G9-JC2</t>
  </si>
  <si>
    <t>2306-G9-PI</t>
  </si>
  <si>
    <t>ALIMENTOS SPRESS LTDA</t>
  </si>
  <si>
    <t>3537-1</t>
  </si>
  <si>
    <t>Rafael Uribe</t>
  </si>
  <si>
    <t>COL REINO DE HOLANDA (IED)</t>
  </si>
  <si>
    <t>CED REINO DE HOLANDA</t>
  </si>
  <si>
    <t>CED MARCO FIDEL SUAREZ</t>
  </si>
  <si>
    <t>COL LIC FEM MERCEDES NARIÑO (IED)</t>
  </si>
  <si>
    <t xml:space="preserve">CED LICEO FEMENINO MERCEDES NARIÑO </t>
  </si>
  <si>
    <t>COL SAN AGUSTIN (IED)</t>
  </si>
  <si>
    <t>CED SAN AGUSTIN</t>
  </si>
  <si>
    <t>CED  MAXIMO GORKI</t>
  </si>
  <si>
    <t>COL ALEJANDRO OBREGON (IED)</t>
  </si>
  <si>
    <t>SEDE A UNICA</t>
  </si>
  <si>
    <t>COL ANTONIO BARAYA (IED)</t>
  </si>
  <si>
    <t>CENT EDUC DIST ANTONIO BARAYA</t>
  </si>
  <si>
    <t>CENT EDUC DIST PABLO VI</t>
  </si>
  <si>
    <t>COL PALERMO SUR (CED)</t>
  </si>
  <si>
    <t xml:space="preserve">SEDE  NUEVA  </t>
  </si>
  <si>
    <t>SEDE NUEVA</t>
  </si>
  <si>
    <t>COL LA PAZ (CED)</t>
  </si>
  <si>
    <t>CED LA PAZ</t>
  </si>
  <si>
    <t>3537-2E</t>
  </si>
  <si>
    <t>CED LICEO FEMENINO MERCEDES NARIÑO</t>
  </si>
  <si>
    <t>3537-2U</t>
  </si>
  <si>
    <t>3538-1</t>
  </si>
  <si>
    <t>Engativá</t>
  </si>
  <si>
    <t>COL ANTONIO NARIÑO (IED)</t>
  </si>
  <si>
    <t>ANTONIO NARIÑO</t>
  </si>
  <si>
    <t>LA CONSOLACION</t>
  </si>
  <si>
    <t>COL REPUBLICA DE COLOMBIA (IED)</t>
  </si>
  <si>
    <t>CED REPUBLICA DE COLOMBIA</t>
  </si>
  <si>
    <t>CED REPUBLICA DE CHILE</t>
  </si>
  <si>
    <t>CED NUEVA ESTRADA</t>
  </si>
  <si>
    <t>COL INST TEC INDUSTRIAL FRANCISCO JOSE DE CALDAS (IED)</t>
  </si>
  <si>
    <t>INST TEC DIST FRANCISCO JOSE DE CALDAS</t>
  </si>
  <si>
    <t>CIUDAD DE HONDA</t>
  </si>
  <si>
    <t>CLEMENCIA CAICEDO</t>
  </si>
  <si>
    <t>DÁMASO ZAPATA</t>
  </si>
  <si>
    <t>COL MIGUEL ANTONIO CARO (IED)</t>
  </si>
  <si>
    <t>CED MIGUEL ANTONIO CARO</t>
  </si>
  <si>
    <t>COL MORISCO (IED)</t>
  </si>
  <si>
    <t>CED MORISCO</t>
  </si>
  <si>
    <t>CENT EDUC DIST MORISCO</t>
  </si>
  <si>
    <t>COL SAN JOSE NORTE (IED)</t>
  </si>
  <si>
    <t>CED AGUAS CLARAS</t>
  </si>
  <si>
    <t>COL FLORIDABLANCA (IED)</t>
  </si>
  <si>
    <t>CENT EDUC DIST DE EDUC BAS Y MEDIA FLORIDABLANCA</t>
  </si>
  <si>
    <t>RAFAEL POMBO</t>
  </si>
  <si>
    <t>FLORIDA BLANCA II SECTOR</t>
  </si>
  <si>
    <t>COL REPUBLICA DE CHINA (IED)</t>
  </si>
  <si>
    <t>COL MAGDALENA ORTEGA DE NARIÑO (IED)</t>
  </si>
  <si>
    <t>LICEO NAL MAGDALENA ORTEGA DE NARIÑO</t>
  </si>
  <si>
    <t>COL MANUELA AYALA DE GAITAN (IED)</t>
  </si>
  <si>
    <t>CENT EDUC DIST MANUELA AYALA DE GAITAN</t>
  </si>
  <si>
    <t>CENT EDUC DIST CARLOS LLERAS RESTREPO</t>
  </si>
  <si>
    <t>COL RODOLFO LLINAS (ANTIGUO BOLIVIA)</t>
  </si>
  <si>
    <t>SEDE A (ANTIGUO BOLIVIA)</t>
  </si>
  <si>
    <t>3538-2E</t>
  </si>
  <si>
    <t>3539-1</t>
  </si>
  <si>
    <t>Antonio Nariño</t>
  </si>
  <si>
    <t>COL GUILLERMO LEON VALENCIA (IED) (A Nariño)</t>
  </si>
  <si>
    <t>COL DIST GUILLERMO LEON VALENCIA</t>
  </si>
  <si>
    <t>CENT EDUC DIST NSTRA SRA DE LA SABIDURIA</t>
  </si>
  <si>
    <t>CENT EDUC DIST REP DE PANAMA</t>
  </si>
  <si>
    <t>COL ESC NORMAL SUPERIOR DISTRITAL MARIA MONTESSORI Y ANEXA (IED)</t>
  </si>
  <si>
    <t>ESC NORMAL SUPERIOR DIST MARIA MONTESSORI</t>
  </si>
  <si>
    <t>ESC NORMAL SUPERIOR DIST MARIA MONTESSORI ANEXA</t>
  </si>
  <si>
    <t>COL ATANASIO GIRARDOT (IED)</t>
  </si>
  <si>
    <t>COL FRANCISCO DE PAULA SANTANDER (IED)_15</t>
  </si>
  <si>
    <t>COL TEC JAIME PARDO LEAL (IED)</t>
  </si>
  <si>
    <t>CEDIT JAIME PARDO LEAL</t>
  </si>
  <si>
    <t>COL QUIROGA ALIANZA (IED)</t>
  </si>
  <si>
    <t xml:space="preserve">CED QUIROGA ALIANZA </t>
  </si>
  <si>
    <t>COL REPUBLICA FEDERAL DE ALEMANIA (IED)</t>
  </si>
  <si>
    <t>COL ALEXANDER FLEMING (IED)</t>
  </si>
  <si>
    <t xml:space="preserve">CED     REINO UNIDO DE HOLANDA </t>
  </si>
  <si>
    <t>CENT EDUC DIST REINO UNIDO DE HOLANDA</t>
  </si>
  <si>
    <t>COL  DIST ANTONIO RICAURTE</t>
  </si>
  <si>
    <t>SEDE C PARQUE EL TUNAL</t>
  </si>
  <si>
    <t>COL JOSE MARTI (IED)</t>
  </si>
  <si>
    <t>CED  NAZARETH</t>
  </si>
  <si>
    <t xml:space="preserve">COL DIST GRANJA SAN PABLO </t>
  </si>
  <si>
    <t xml:space="preserve">CED  LA RESURRECCION </t>
  </si>
  <si>
    <t>CED  LA RESURRECCION</t>
  </si>
  <si>
    <t xml:space="preserve">CED  RIO DE JANEIRO </t>
  </si>
  <si>
    <t>COL MARRUECOS Y MOLINOS (IED)</t>
  </si>
  <si>
    <t>CED MARRUECOS Y MOLINOS</t>
  </si>
  <si>
    <t>3539-2E</t>
  </si>
  <si>
    <t>3539-2U</t>
  </si>
  <si>
    <t>SURCOLOMBIANA DE INVERSIONES LTDA</t>
  </si>
  <si>
    <t>3522-1</t>
  </si>
  <si>
    <t>Usaquen</t>
  </si>
  <si>
    <t>COL AGUSTIN FERNANDEZ (IED)</t>
  </si>
  <si>
    <t>AGUSTIN FERNANDEZ</t>
  </si>
  <si>
    <t>SAN BERNARDO</t>
  </si>
  <si>
    <t>SANTA CECILIA ALTA</t>
  </si>
  <si>
    <t>SEDE A PRIMARIA</t>
  </si>
  <si>
    <t>COL TOBERIN (IED)</t>
  </si>
  <si>
    <t>BABILONIA</t>
  </si>
  <si>
    <t>LAS ORQUIDEAS</t>
  </si>
  <si>
    <t>SEDE D -PI</t>
  </si>
  <si>
    <t>COL UNION COLOMBIA (IED)</t>
  </si>
  <si>
    <t>PILOTO DE aplicación</t>
  </si>
  <si>
    <t>PILOTO DE APLICACIÓN</t>
  </si>
  <si>
    <t>SANTA CLAUDIA</t>
  </si>
  <si>
    <t>COL CRISTOBAL COLON (IED)</t>
  </si>
  <si>
    <t>CRISTOBAL COLON</t>
  </si>
  <si>
    <t>SANTA CECILIA BAJA</t>
  </si>
  <si>
    <t>SORATAMA</t>
  </si>
  <si>
    <t>COL GENERAL SANTANDER (IED)_1</t>
  </si>
  <si>
    <t>GENERAL SANTANDER</t>
  </si>
  <si>
    <t>COL RESTREPO MILLAN (IED)</t>
  </si>
  <si>
    <t>COL NAL RESTREPO MILLAN</t>
  </si>
  <si>
    <t>ESC. DIST. ISABEL II DE INGLATERRA</t>
  </si>
  <si>
    <t>CED EL PESEBRE</t>
  </si>
  <si>
    <t>COL BRAVO PAEZ (IED)</t>
  </si>
  <si>
    <t xml:space="preserve">COL DIST BRAVO PAEZ </t>
  </si>
  <si>
    <t>COL MANUEL DEL SOCORRO RODRIGUEZ (IED)</t>
  </si>
  <si>
    <t>CED MANUEL DEL SOCORRO RODRIGUEZ</t>
  </si>
  <si>
    <t>CED REPUBLICA DE ISARAEL</t>
  </si>
  <si>
    <t>COL ALFREDO IRIARTE (IED)</t>
  </si>
  <si>
    <t>CED CHIRCALES</t>
  </si>
  <si>
    <t>CED EL MIRADOR</t>
  </si>
  <si>
    <t>CED LA MERCED SUR</t>
  </si>
  <si>
    <t>COL ENRIQUE OLAYA HERRERA (IED)</t>
  </si>
  <si>
    <t>COL DIST ENRIQUE OLAYA HERRERA</t>
  </si>
  <si>
    <t>3522-2E</t>
  </si>
  <si>
    <t>UNIÓN TEMPORAL NUTRIR INFANCIA 2014 SED</t>
  </si>
  <si>
    <t>2310-G1</t>
  </si>
  <si>
    <t>Puente Aranda</t>
  </si>
  <si>
    <t>COL ANDRES BELLO (IED)</t>
  </si>
  <si>
    <t>CED ANDRES BELLO</t>
  </si>
  <si>
    <t>COL JOSE JOAQUIN CASAS (IED)</t>
  </si>
  <si>
    <t>CENT EDUC DIST JOSE JOAQUIN CASAS</t>
  </si>
  <si>
    <t>JOSE JOAQUIN CASAS</t>
  </si>
  <si>
    <t>COL DARIO ECHANDIA (IED)</t>
  </si>
  <si>
    <t>CED DARIO ECHANDIA</t>
  </si>
  <si>
    <t>CED LOS PATIOS</t>
  </si>
  <si>
    <t>CED TOCAREMA</t>
  </si>
  <si>
    <t>COL LA AMISTAD (IED)</t>
  </si>
  <si>
    <t>IED LA AMISTAD</t>
  </si>
  <si>
    <t xml:space="preserve">CED LLANO GRANDE </t>
  </si>
  <si>
    <t>CED PINAR DEL RIO</t>
  </si>
  <si>
    <t>COL EL JAPON (IED)</t>
  </si>
  <si>
    <t>CED JAPON</t>
  </si>
  <si>
    <t>COL LAS AMERICAS (IED)</t>
  </si>
  <si>
    <t>UNIDAD DE EDUC BASICA LAS AMERICAS</t>
  </si>
  <si>
    <t>COL LA CHUCUA (IED)</t>
  </si>
  <si>
    <t>CENT EDUC DIST LA CHUCUA</t>
  </si>
  <si>
    <t>COL FERNANDO SOTO APARICIO (ANTIGUO NUEVO KENNEDY)</t>
  </si>
  <si>
    <t>COL DIST NUEVO KENNEDY</t>
  </si>
  <si>
    <t>CED PASTRANITA</t>
  </si>
  <si>
    <t>SEDE C</t>
  </si>
  <si>
    <t>COL JAIRO ANIBAL NIÑO (CED) (ANTIGUO PATIO BONITO)</t>
  </si>
  <si>
    <t>CED PATIO BONITO I</t>
  </si>
  <si>
    <t>COL MANUEL ZAPATA OLIVELLA (ANT. PATIO BONITO II) (IED)</t>
  </si>
  <si>
    <t>CED PATIO BONITO II</t>
  </si>
  <si>
    <t>COL VILLA RICA (IED)</t>
  </si>
  <si>
    <t>CED BAS Y MEDIA VILLA RICA</t>
  </si>
  <si>
    <t>CENT EDUC DIST PERPETUO SOCORRO</t>
  </si>
  <si>
    <t>COL SAN JOSE DE CASTILLA (IED)</t>
  </si>
  <si>
    <t>INST DIST CASTILLA</t>
  </si>
  <si>
    <t>CED SAN JOSE OCCIDENTAL</t>
  </si>
  <si>
    <t>CENT EDUC DIST VISION DE COLOMBIA</t>
  </si>
  <si>
    <t>2310-G1-JC</t>
  </si>
  <si>
    <t>2310-G1-JC2</t>
  </si>
  <si>
    <t>2310-G1-PI</t>
  </si>
  <si>
    <t>2310-G29</t>
  </si>
  <si>
    <t>COL BRASILIA - BOSA (IED)</t>
  </si>
  <si>
    <t>CENT EDUC DIST BRASILIA - BOSA</t>
  </si>
  <si>
    <t>CED LUIS HERNANDO PEREA</t>
  </si>
  <si>
    <t>CED BRASILIA  - BOSA</t>
  </si>
  <si>
    <t>COL MOTORISTA (CED)</t>
  </si>
  <si>
    <t>CENT EDUC DIST MOTORISTA</t>
  </si>
  <si>
    <t>COL JOSE ANTONIO GALAN (IED)</t>
  </si>
  <si>
    <t>CENT EDUC DIST JOSE ANTONIO GALAN</t>
  </si>
  <si>
    <t>COL CARLOS PIZARRO LEON GOMEZ (IED)</t>
  </si>
  <si>
    <t>SEDE B - PI</t>
  </si>
  <si>
    <t xml:space="preserve">COL GERMAN ARCINIEGAS (IED) </t>
  </si>
  <si>
    <t>NUEVOS HORIZONTES</t>
  </si>
  <si>
    <t>COL LUIS LOPEZ DE MESA (IED)</t>
  </si>
  <si>
    <t xml:space="preserve">SEDE NUEVA </t>
  </si>
  <si>
    <t>COL FRANCISCO DE PAULA SANTANDER (IED)_7</t>
  </si>
  <si>
    <t>CENT EDUC DIST FRANCISCO DE PAULA SANTANDER</t>
  </si>
  <si>
    <t>COL FERNANDO MAZUERA VILLEGAS (IED)</t>
  </si>
  <si>
    <t>FERNANDO MAZUERA VILLEGAS</t>
  </si>
  <si>
    <t>CED GONZALO JIMENEZ DE QUESADA</t>
  </si>
  <si>
    <t>CED HUMBERTO VALENCIA</t>
  </si>
  <si>
    <t>CED NUEVA ISLANDIA</t>
  </si>
  <si>
    <t>SEDE B EL LIBERTADOR</t>
  </si>
  <si>
    <t>LOS ANGELES</t>
  </si>
  <si>
    <t>COL PORFIRIO BARBA JACOB (IED)</t>
  </si>
  <si>
    <t>R SALON COMUNAL LA PALESTINA</t>
  </si>
  <si>
    <t>COL SAN BERNARDINO (IED)</t>
  </si>
  <si>
    <t>CENT EDUC DIST SAN BERNARDINO</t>
  </si>
  <si>
    <t>COL EL PORVENIR (IED)</t>
  </si>
  <si>
    <t>CED PORVENIR NO.2</t>
  </si>
  <si>
    <t>COL BOSANOVA (IED)</t>
  </si>
  <si>
    <t xml:space="preserve">CED BOSA NOVA </t>
  </si>
  <si>
    <t>CLARA, FE Y PAZ</t>
  </si>
  <si>
    <t>2310-G29-JC</t>
  </si>
  <si>
    <t>C.E.D. CARLOS PIZARRO</t>
  </si>
  <si>
    <t>CENT EDUC DIST LUIS LOPEZ DE MESA</t>
  </si>
  <si>
    <t>CED PORFIRIO BARBA JACOB</t>
  </si>
  <si>
    <t xml:space="preserve">CED PORFIRIO BARBA JACOB </t>
  </si>
  <si>
    <t>EL PORVENIR</t>
  </si>
  <si>
    <t>2310-G29-JC2</t>
  </si>
  <si>
    <t>2310-G29-PI</t>
  </si>
  <si>
    <t>2310-G7</t>
  </si>
  <si>
    <t>COL DE CULTURA POPULAR (IED)</t>
  </si>
  <si>
    <t>INST NAL DE CULTURA POPULAR</t>
  </si>
  <si>
    <t>COL LA MERCED (IED)</t>
  </si>
  <si>
    <t>COL DIST LA MERCED</t>
  </si>
  <si>
    <t>COL SILVERIA ESPINOSA DE RENDON (IED)</t>
  </si>
  <si>
    <t>COL DEPT SILVERIA ESPINOSA DE RENDON</t>
  </si>
  <si>
    <t>CED RAFAEL POMBO</t>
  </si>
  <si>
    <t>CED TRINIDAD</t>
  </si>
  <si>
    <t>COL EL JAZMIN (IED)</t>
  </si>
  <si>
    <t>CENT EDUC DIST EL JAZMIN</t>
  </si>
  <si>
    <t>CED EL JAZMIN</t>
  </si>
  <si>
    <t>COL ESPAÑA (IED)</t>
  </si>
  <si>
    <t>CENT EDUC DIST ESPAÑA</t>
  </si>
  <si>
    <t>CED ESPAÑA</t>
  </si>
  <si>
    <t>COL BENJAMIN HERRERA (IED)</t>
  </si>
  <si>
    <t>COL DIST BENJAMIN HERRERA</t>
  </si>
  <si>
    <t>CED TAYRONA</t>
  </si>
  <si>
    <t>COL ANTONIO JOSE DE SUCRE (IED)</t>
  </si>
  <si>
    <t>CENT EDUC DIST ANTONIO JOSE DE SUCRE</t>
  </si>
  <si>
    <t>COL MARCO ANTONIO CARREÑO SILVA (IED)</t>
  </si>
  <si>
    <t>CENT EDUC DIST EL REMANSO</t>
  </si>
  <si>
    <t>CENT EDUC DIST MARCO ANTONIO CARREÑO SILVA</t>
  </si>
  <si>
    <t>CENT EDUC DIST JORGE GAITAN CORTES</t>
  </si>
  <si>
    <t>COL LUIS VARGAS TEJADA (IED)</t>
  </si>
  <si>
    <t>COL DIST LUIS VARGAS TEJADA</t>
  </si>
  <si>
    <t>CENT EDUC DIST JOHN F KENNEDY</t>
  </si>
  <si>
    <t>COL SORRENTO (IED)</t>
  </si>
  <si>
    <t>COL DIST SORRENTO</t>
  </si>
  <si>
    <t>SEDE B SAN RAFAEL</t>
  </si>
  <si>
    <t>COL JOSE MANUEL RESTREPO (IED)</t>
  </si>
  <si>
    <t>COL DIST EDUC BAS Y MEDIA JOSE MANUEL RESTREPO</t>
  </si>
  <si>
    <t>COL LUIS CARLOS GALAN SARMIENTO (IED)</t>
  </si>
  <si>
    <t>COL DIST LUIS CARLOS GALAN SARMIENTO</t>
  </si>
  <si>
    <t>COL JULIO GARAVITO ARMERO (IED)</t>
  </si>
  <si>
    <t>CENT EDUC DIST LA ALQUERIA</t>
  </si>
  <si>
    <t>CENT EDUC DIST MUZU No. 1</t>
  </si>
  <si>
    <t>CENT EDUC DIST MUZU No. 2</t>
  </si>
  <si>
    <t>2310-G7-JC</t>
  </si>
  <si>
    <t>2310-G7-JC2</t>
  </si>
  <si>
    <t>2310-G7-PI</t>
  </si>
  <si>
    <t>PROALIMENTOS LIBER SAS</t>
  </si>
  <si>
    <t>2330-G14</t>
  </si>
  <si>
    <t>Los Mártires</t>
  </si>
  <si>
    <t>COL EDUARDO SANTOS (IED)</t>
  </si>
  <si>
    <t>COL REPUBLICA BOLIVARIANA DE VENEZUELA (IED)</t>
  </si>
  <si>
    <t>COL LIC NAL ANTONIA SANTOS (IED)</t>
  </si>
  <si>
    <t>LICEO NAL EDUC BAS Y MEDIA ANTONIA SANTOS</t>
  </si>
  <si>
    <t>COL TEC MENORAH (IED)</t>
  </si>
  <si>
    <t>CED TECNICO MENORAH</t>
  </si>
  <si>
    <t>COL PANAMERICANO (IED)</t>
  </si>
  <si>
    <t>CED PANAMERICANO</t>
  </si>
  <si>
    <t>CENT EDUC DIST PANAMERICANO</t>
  </si>
  <si>
    <t>COL RICAURTE (CONCEJO) (IED)</t>
  </si>
  <si>
    <t>CENT EDUC DIST ANTONIO RICAURTE</t>
  </si>
  <si>
    <t>COL SAN FRANCISCO DE ASIS (IED)</t>
  </si>
  <si>
    <t>INST POLITECNICO NAL FEMENINO</t>
  </si>
  <si>
    <t>CED EMMA VILLEGAS DE GAITAN</t>
  </si>
  <si>
    <t>La Candelaria</t>
  </si>
  <si>
    <t>COL ESC NAL DE COMERCIO (IED)</t>
  </si>
  <si>
    <t>QUINTA DIAZ</t>
  </si>
  <si>
    <t>COL INTEGRADA LA CANDELARIA (IED)</t>
  </si>
  <si>
    <t>CENT EDUC DIST LA CANDELARIA</t>
  </si>
  <si>
    <t>LA INMACULADA</t>
  </si>
  <si>
    <t>Santafé</t>
  </si>
  <si>
    <t>COL POLICARPA SALAVARRIETA (IED)</t>
  </si>
  <si>
    <t>COL EXTERN NAL CAMILO TORRES (IED)</t>
  </si>
  <si>
    <t>EXTERNADO NAL CAMILO TORRES</t>
  </si>
  <si>
    <t>COL JORGE SOTO DEL CORRAL (IED)</t>
  </si>
  <si>
    <t>ATANASIO GIRARDOT</t>
  </si>
  <si>
    <t>EL GUAVIO</t>
  </si>
  <si>
    <t>COL ANTONIO JOSE URIBE (IED)</t>
  </si>
  <si>
    <t>COL DIST ANTONIO JOSE URIBE</t>
  </si>
  <si>
    <t>SANTA INES-LOS ANGELES</t>
  </si>
  <si>
    <t>COL MANUEL ELKIN PATARROYO (IED)</t>
  </si>
  <si>
    <t>MANUEL ELKIN PATARROLLO</t>
  </si>
  <si>
    <t>COL AULAS COLOMBIANAS SAN LUIS (IED)</t>
  </si>
  <si>
    <t>AULAS COLOMBIANAS EL CONSUELO</t>
  </si>
  <si>
    <t>SAN LUIS EL DORADO</t>
  </si>
  <si>
    <t>COL EL VERJON BAJO (IED)</t>
  </si>
  <si>
    <t>VERJON ALTO</t>
  </si>
  <si>
    <t>COL LOS PINOS (IED)</t>
  </si>
  <si>
    <t>LOS PINOS</t>
  </si>
  <si>
    <t>EFRAIN CAÑAVERA</t>
  </si>
  <si>
    <t>CENT EDUC DIST EFRAIN CAÑAVERA</t>
  </si>
  <si>
    <t xml:space="preserve">EL PAREJO </t>
  </si>
  <si>
    <t>2330-G14-JC</t>
  </si>
  <si>
    <t>San Cristóbal</t>
  </si>
  <si>
    <t>COL TEC TOMAS RUEDA VARGAS (IED)</t>
  </si>
  <si>
    <t>CED TOMAS RUEDA VARGAS</t>
  </si>
  <si>
    <t>CED SANTA INES SUR ORIENTAL</t>
  </si>
  <si>
    <t>CED REP DEL CANADA I</t>
  </si>
  <si>
    <t>2330-G14-JC2</t>
  </si>
  <si>
    <t>2330-G14-PI</t>
  </si>
  <si>
    <t>2330-G2</t>
  </si>
  <si>
    <t>COL JOSE MARIA CARBONELL (IED)</t>
  </si>
  <si>
    <t>JOSE MARIA CARBONELL</t>
  </si>
  <si>
    <t>COL ATENAS (IED)</t>
  </si>
  <si>
    <t>CED ATENAS</t>
  </si>
  <si>
    <t>COL JOSE JOAQUIN CASTRO MARTINEZ (IED)</t>
  </si>
  <si>
    <t>JOSE JOAQUIN CASTRO MARTINEZ</t>
  </si>
  <si>
    <t>CE  SAN VICENTE SUR ORIENTAL</t>
  </si>
  <si>
    <t>COL EL RODEO (IED)</t>
  </si>
  <si>
    <t>CED EL RODEO</t>
  </si>
  <si>
    <t>CED LA GLORIA</t>
  </si>
  <si>
    <t>COL LA VICTORIA (IED)</t>
  </si>
  <si>
    <t>CED LA VICTORIA</t>
  </si>
  <si>
    <t>CED SANTAFEREÑA I</t>
  </si>
  <si>
    <t>COL MORALBA SURORIENTAL (IED)</t>
  </si>
  <si>
    <t>CED MORALBA SUR ORIENTAL</t>
  </si>
  <si>
    <t>CED EL QUINDIO</t>
  </si>
  <si>
    <t>CED FUNDACION EL CONSUELO</t>
  </si>
  <si>
    <t>COL FLORENTINO GONZALEZ (IED)</t>
  </si>
  <si>
    <t>FLORENTINO GONZÁLEZ</t>
  </si>
  <si>
    <t>COL ALEMANIA UNIFICADA (IED)</t>
  </si>
  <si>
    <t>CED GUACAMAYAS</t>
  </si>
  <si>
    <t>CENT EDUC DIST GUACAMAYAS</t>
  </si>
  <si>
    <t>CED ALEMANIA UNIFICADA</t>
  </si>
  <si>
    <t>COL REPUBLICA DEL ECUADOR (IED)</t>
  </si>
  <si>
    <t>CENT EDUC DIST VITELMA</t>
  </si>
  <si>
    <t>COL DIST EDUC BAS Y MEDIA REP DEL ECUADOR</t>
  </si>
  <si>
    <t>CED VITELMA</t>
  </si>
  <si>
    <t>COL JUAN REY (IED)</t>
  </si>
  <si>
    <t>CED JUAN REY</t>
  </si>
  <si>
    <t>CED CIUDAD DE LONDRES</t>
  </si>
  <si>
    <t>CED CHIGUAZA</t>
  </si>
  <si>
    <t>COL JOSE FELIX RESTREPO (IED)</t>
  </si>
  <si>
    <t>COL DIST JOSE FELIX RESTREPO</t>
  </si>
  <si>
    <t>CENT EDUC DIST SANTA ANA SUR</t>
  </si>
  <si>
    <t>CED JUAN XXIII</t>
  </si>
  <si>
    <t>CARLOS ALBAN HOLGUIN</t>
  </si>
  <si>
    <t>COL JUAN EVANGELISTA GOMEZ (IED)</t>
  </si>
  <si>
    <t>JUAN EVANGELISTA GOMEZ</t>
  </si>
  <si>
    <t>COL ENTRE NUBES SURORIENTAL (IED)</t>
  </si>
  <si>
    <t>CED ANIBAL FERNANDEZ DE SOTO</t>
  </si>
  <si>
    <t>CED LA PENINSULA</t>
  </si>
  <si>
    <t>CED CANADA GÜIRA</t>
  </si>
  <si>
    <t>2330-G2-JC</t>
  </si>
  <si>
    <t>2330-G2-JC2</t>
  </si>
  <si>
    <t>2330-G2-PI</t>
  </si>
  <si>
    <t>2330-G3</t>
  </si>
  <si>
    <t>COL GRAN COLOMBIA (IED)</t>
  </si>
  <si>
    <t>CED GRAN COLOMBIA</t>
  </si>
  <si>
    <t>COL VEINTE DE JULIO (IED)</t>
  </si>
  <si>
    <t>CED VEINTE DE JULIO</t>
  </si>
  <si>
    <t>COL PANTALEON GAITAN PEREZ (CED)</t>
  </si>
  <si>
    <t>CED PANTALEON GAITAN PEREZ</t>
  </si>
  <si>
    <t>COL JUANA ESCOBAR (IED)</t>
  </si>
  <si>
    <t>ESC SAN LUIS SUR ORIENTAL</t>
  </si>
  <si>
    <t>CED REP DE CANADA II</t>
  </si>
  <si>
    <t>COL AGUAS CLARAS (IED)</t>
  </si>
  <si>
    <t>COL ALTAMIRA SURORIENTAL (IED)</t>
  </si>
  <si>
    <t>CED ALTAMIRA SUR ORIENTAL</t>
  </si>
  <si>
    <t>CED NUEVA GLORIA</t>
  </si>
  <si>
    <t>CED REP DE ISRAEL</t>
  </si>
  <si>
    <t>COL SAN CRISTOBAL SUR (IED)</t>
  </si>
  <si>
    <t>CED SAN CRISTOBAL SUR</t>
  </si>
  <si>
    <t>CED JOSE A MORALES</t>
  </si>
  <si>
    <t>JARDIN INFANTIL NAL POPULAR No.2</t>
  </si>
  <si>
    <t>COL JOSE ACEVEDO Y GOMEZ (IED)</t>
  </si>
  <si>
    <t>CED JOSE ACEVEDO Y GOMEZ</t>
  </si>
  <si>
    <t>CED RAMAJAL</t>
  </si>
  <si>
    <t>COL MONTEBELLO (IED)</t>
  </si>
  <si>
    <t>COL DIST EDUC BAS Y MEDIA MONTEBELLO</t>
  </si>
  <si>
    <t>CED JOSE MARIA CORDOBA</t>
  </si>
  <si>
    <t>COL LOS ALPES (IED)</t>
  </si>
  <si>
    <t>COL DIST EDUC BAS Y MEDIA LOS ALPES</t>
  </si>
  <si>
    <t>CED BELLAVISTA</t>
  </si>
  <si>
    <t>COL LA BELLEZA LOS LIBERTADORES (IED)</t>
  </si>
  <si>
    <t>CED LA BELLEZA</t>
  </si>
  <si>
    <t>CED LOS LIBERTADORES</t>
  </si>
  <si>
    <t>COL FRANCISCO JAVIER MATIZ (IED)</t>
  </si>
  <si>
    <t>CED FRANCISCO JAVIER MATIZ</t>
  </si>
  <si>
    <t>CENT EDUC DIST SURAMERICA</t>
  </si>
  <si>
    <t>COL SAN ISIDRO SURORIENTAL (IED)</t>
  </si>
  <si>
    <t>CED SAN ISIDRO SUR ORIENTAL</t>
  </si>
  <si>
    <t>CED OMAR TORRIJOS</t>
  </si>
  <si>
    <t>COL MANUELITA SAENZ (IED)</t>
  </si>
  <si>
    <t>COL DIST EDUC BAS Y MEDIA MANUELITA SAENZ</t>
  </si>
  <si>
    <t>COL EL MANANTIAL (CED)</t>
  </si>
  <si>
    <t>ESC EL MANANTIAL</t>
  </si>
  <si>
    <t>COL RAFAEL NUÑEZ (IED)</t>
  </si>
  <si>
    <t>COL ALDEMAR ROJAS (IED)</t>
  </si>
  <si>
    <t>CENT EDUC DIST ALDEMAR ROJAS</t>
  </si>
  <si>
    <t>COL INT AVANCEMOS</t>
  </si>
  <si>
    <t>2330-G3-JC</t>
  </si>
  <si>
    <t>2330-G3-JC2</t>
  </si>
  <si>
    <t>2330-G3-PI</t>
  </si>
  <si>
    <t>FUNDALIMENTOS</t>
  </si>
  <si>
    <t>2287-G21</t>
  </si>
  <si>
    <t>COL ISMAEL PERDOMO (IED)</t>
  </si>
  <si>
    <t>ISMAEL PERDOMO</t>
  </si>
  <si>
    <t>COL ACACIA II (IED)</t>
  </si>
  <si>
    <t>CENT EDUC DIST ACACIA II</t>
  </si>
  <si>
    <t>CED ACACIA I</t>
  </si>
  <si>
    <t>COL EL PARAISO DE MANUELA BELTRAN (IED)</t>
  </si>
  <si>
    <t xml:space="preserve">CED MANUELA BELTRAN </t>
  </si>
  <si>
    <t>CED EL PARAISO</t>
  </si>
  <si>
    <t>COL ARBORIZADORA ALTA (IED)</t>
  </si>
  <si>
    <t>ARBORIZADORA ALTA</t>
  </si>
  <si>
    <t>CED PRADERA ESPERANZA</t>
  </si>
  <si>
    <t>COL SAN FRANCISCO (IED)</t>
  </si>
  <si>
    <t>CED SAN FRANCISCO  I A</t>
  </si>
  <si>
    <t>CED SAN FRANCISCO II B</t>
  </si>
  <si>
    <t>CED SAN FRANCISCO III C</t>
  </si>
  <si>
    <t>COLEGIO LA JOYA (IED)(ANT DON BOSCO)</t>
  </si>
  <si>
    <t>COLEGIO LA JOYA (IED) (ANT DON BOSCO)</t>
  </si>
  <si>
    <t>COL CONFEDERACION BRISAS DEL DIAMANTE (IED)</t>
  </si>
  <si>
    <t>CED CONFEDERACION SUIZA</t>
  </si>
  <si>
    <t>VILLAS DEL DIAMANTE</t>
  </si>
  <si>
    <t>MANITAS</t>
  </si>
  <si>
    <t>COL MOCHUELO ALTO (CED)</t>
  </si>
  <si>
    <t>MOCHUELO ALTO</t>
  </si>
  <si>
    <t>2287-G21-2E</t>
  </si>
  <si>
    <t>2287-G21-JC</t>
  </si>
  <si>
    <t>COL ANTONIO GARCIA (IED)</t>
  </si>
  <si>
    <t>ANTONIO GARCIA</t>
  </si>
  <si>
    <t>2287-G21-JC2</t>
  </si>
  <si>
    <t>AERODELICIAS LTDA CCE</t>
  </si>
  <si>
    <t>2606-1</t>
  </si>
  <si>
    <t>MATRICULA CONTRATADA</t>
  </si>
  <si>
    <t>INST TEC IND CENTRO DON BOSCO</t>
  </si>
  <si>
    <t>LIC PSICOPEDAG BOLIVIA</t>
  </si>
  <si>
    <t>LIC PSICOPEDAG ENGATIVA</t>
  </si>
  <si>
    <t>LIC SAN BASILIO MAGNO</t>
  </si>
  <si>
    <t>COLEGIO DE FORMACION INTEGRAL VIRGEN DE LA PEÑA</t>
  </si>
  <si>
    <t>COLEGIO REMBRANDT</t>
  </si>
  <si>
    <t>COLEGIO PAE (PROCESO ALTERNATIVO EDUCATIVO)</t>
  </si>
  <si>
    <t>LIC SAN LEON MAGNO</t>
  </si>
  <si>
    <t>2607-2</t>
  </si>
  <si>
    <t>EL PORTAL FUNDACION PARA HIJOS DE RECLUSOS</t>
  </si>
  <si>
    <t>COLEGIO HERMANOS BELTRAN</t>
  </si>
  <si>
    <t>GIMN SAN JOSE</t>
  </si>
  <si>
    <t>INST NSTRA SRA DE LA SABIDURIA PARA NIÑOS SORDOS</t>
  </si>
  <si>
    <t>GIMNASIO NUEVA VILLA MAYOR</t>
  </si>
  <si>
    <t>2608-5</t>
  </si>
  <si>
    <t>COLEGIO ISABELITA TEJADA</t>
  </si>
  <si>
    <t>COLEGIO INTERAMERICANO</t>
  </si>
  <si>
    <t xml:space="preserve">INSTITUTO DE EDUC ELEMENTAL PREES Y SECUN INELPRES </t>
  </si>
  <si>
    <t>COLEGIO COFRATERNIDAD DE SAN FERNANDO</t>
  </si>
  <si>
    <t>INST ORESTES SINDICI</t>
  </si>
  <si>
    <t>INST JERUSALEN</t>
  </si>
  <si>
    <t>COLEGIO LA NUEVA ESTANCIA</t>
  </si>
  <si>
    <t>COLEGIO TALLER PSICOPEDAG DE LOS ANDES</t>
  </si>
  <si>
    <t>COLEGIO PSICOPEDAG LA ACACIA  LTDA</t>
  </si>
  <si>
    <t>LIC CONTADORA</t>
  </si>
  <si>
    <t>COLEGIO SOLES DEL SABER</t>
  </si>
  <si>
    <t>INST SAN PABLO APOSTOL</t>
  </si>
  <si>
    <t>2610-5-CC</t>
  </si>
  <si>
    <t>2612-2-CC</t>
  </si>
  <si>
    <t>Usme</t>
  </si>
  <si>
    <t>COL COLSUBSIDIO SAN CAYETANO (CED)</t>
  </si>
  <si>
    <t xml:space="preserve">COL COLSUBSIDIO SAN CAYETANO </t>
  </si>
  <si>
    <t>2613-1-CC</t>
  </si>
  <si>
    <t>Barrios Unidos</t>
  </si>
  <si>
    <t>COL JORGE ELIECER GAITAN (IED)</t>
  </si>
  <si>
    <t>SEDE B CRA 47 NO 71 A89</t>
  </si>
  <si>
    <t>2614-2-CC</t>
  </si>
  <si>
    <t>COL FERNANDO GONZALEZ OCHOA (IED)</t>
  </si>
  <si>
    <t>CHICO SUR</t>
  </si>
  <si>
    <t>COL GRAN YOMASA (IED)</t>
  </si>
  <si>
    <t>CED GRAN YOMASA</t>
  </si>
  <si>
    <t>UNIÓN TEMPORAL CAPITALIÑOS PAE CCE</t>
  </si>
  <si>
    <t>2603-3</t>
  </si>
  <si>
    <t>COLEGIO ESTANCIA DE BOSA</t>
  </si>
  <si>
    <t>COLEGIO COLOMBO JAPONES</t>
  </si>
  <si>
    <t>GIMNASIO COLOMBO ANDINO</t>
  </si>
  <si>
    <t>CENT EDUC SAN LUIS GONZAGA FE Y ALEGRIA</t>
  </si>
  <si>
    <t>UNID EDUC JEAN PIAGET</t>
  </si>
  <si>
    <t>COLEGIO SAN BONIFACIO</t>
  </si>
  <si>
    <t>GIMNASIO MODERNO DEL PRADO</t>
  </si>
  <si>
    <t>COLEGIO CIUDAD PATIO BONITO</t>
  </si>
  <si>
    <t>LIC NSTRA SRA DE LAS NIEVES</t>
  </si>
  <si>
    <t>INST RENATO DESCARTES</t>
  </si>
  <si>
    <t>COLEGIO JAZMIN OCCIDENTAL</t>
  </si>
  <si>
    <t>COLEGIO RAFAEL GOBERNA SEDE II</t>
  </si>
  <si>
    <t>LIC CULT MOSQUERA</t>
  </si>
  <si>
    <t>2604-4</t>
  </si>
  <si>
    <t>LICEO CIUDAD CAPITAL</t>
  </si>
  <si>
    <t>GIMN SANTA ROCIO</t>
  </si>
  <si>
    <t>COLEGIO MIX CIUDADANOS DEL FUTURO</t>
  </si>
  <si>
    <t>COLEGIO MIGUEL ANGEL ASTURIAS</t>
  </si>
  <si>
    <t>COLEGIO CLARETIANO EL LIBERTADOR</t>
  </si>
  <si>
    <t>COLEGIO CLARETIANO</t>
  </si>
  <si>
    <t>LIC  SAN PABLO</t>
  </si>
  <si>
    <t>LICEO MODERNO GRAN PARIS</t>
  </si>
  <si>
    <t>INST CLARA FEY</t>
  </si>
  <si>
    <t>UNIÓN TEMPORAL ALICOL 2015 - 1 CCE</t>
  </si>
  <si>
    <t>2605-6</t>
  </si>
  <si>
    <t>Suba</t>
  </si>
  <si>
    <t>COLEGIO WINCHESTER</t>
  </si>
  <si>
    <t>INST CULT RAFAEL MAYA</t>
  </si>
  <si>
    <t>GIMN BILING CAMPESTRE STEPHEN HAWKING</t>
  </si>
  <si>
    <t>INST  EDUC COMPARTIR SUBA</t>
  </si>
  <si>
    <t>LIC MALLERLAND</t>
  </si>
  <si>
    <t>COLEGIO CELESTIN FREINET</t>
  </si>
  <si>
    <t>COLEGIO PEDAG DULCE MARIA</t>
  </si>
  <si>
    <t>COLEGIO NUEVA CIENCIA</t>
  </si>
  <si>
    <t>LIC SIGLO XXI</t>
  </si>
  <si>
    <t>CENT EDUC LOMBARDIA</t>
  </si>
  <si>
    <t>COLEGIO HOGAR DE NAZARETH</t>
  </si>
  <si>
    <t>LIC LA NUEVA ESTANCIA DE SUBA</t>
  </si>
  <si>
    <t>LICEO EMPRESARIAL DEL CAMPO</t>
  </si>
  <si>
    <t>COLEGIO INSTITUTO UNIVERSAL SAN PEDRO LIMITADA</t>
  </si>
  <si>
    <t>LIC SANTA ISABEL</t>
  </si>
  <si>
    <t>LIC ARKADIA COLOMBIA</t>
  </si>
  <si>
    <t>COLEGIO FUND HOGAR SAN MAURICIO</t>
  </si>
  <si>
    <t>CENT EDUC ASOSIERVAS</t>
  </si>
  <si>
    <t>COLEGIO ALAFAS DEL NORTE</t>
  </si>
  <si>
    <t>INST TEC CIAL CERROS DE SUBA</t>
  </si>
  <si>
    <t>GIMN SANTANDER</t>
  </si>
  <si>
    <t>COLEGIO HOWARD GARDNER</t>
  </si>
  <si>
    <t>2609-6-CC</t>
  </si>
  <si>
    <t>COL RAMON DE ZUBIRIA (IED)</t>
  </si>
  <si>
    <t>CED STEPHEN HAWGING</t>
  </si>
  <si>
    <t>UNIÓN TEMPORAL ALICOL 2016</t>
  </si>
  <si>
    <t>2370-G17</t>
  </si>
  <si>
    <t>COL INST TEC LAUREANO GOMEZ (IED)</t>
  </si>
  <si>
    <t>INST TEC DIST LAUREANO GOMEZ</t>
  </si>
  <si>
    <t>CED BACHUE</t>
  </si>
  <si>
    <t>COL JOSE ASUNCION SILVA (IED)</t>
  </si>
  <si>
    <t>COL DIST JOSE ASUNCION SILVA</t>
  </si>
  <si>
    <t>COL JORGE GAITAN CORTES (IED)</t>
  </si>
  <si>
    <t>JORGE GAITAN CORTES</t>
  </si>
  <si>
    <t>COL ANTONIO VILLAVICENCIO (IED)</t>
  </si>
  <si>
    <t>CED ANTONIO VILLAVICENCIO</t>
  </si>
  <si>
    <t>COL NIDIA QUINTERO DE TURBAY (IED)</t>
  </si>
  <si>
    <t>COL NAL NIDYA QUINTERO DE TURBAY</t>
  </si>
  <si>
    <t>CENT EDUC DIST FLORENCIA</t>
  </si>
  <si>
    <t>COL LA GAITANA (IED)</t>
  </si>
  <si>
    <t>CED VILLA MARIA</t>
  </si>
  <si>
    <t>CENT EDUC DIST VILLA MARIA</t>
  </si>
  <si>
    <t>COL LA TOSCANA - LISBOA (IED)</t>
  </si>
  <si>
    <t>CED LA TOSCANA</t>
  </si>
  <si>
    <t>CED LISBOA</t>
  </si>
  <si>
    <t>PEDAGOGICO  DULCE MARIA</t>
  </si>
  <si>
    <t>COL VEINTIUN ANGELES (IED)</t>
  </si>
  <si>
    <t>TUNA ALTA</t>
  </si>
  <si>
    <t>CASA BLANCA</t>
  </si>
  <si>
    <t>JARDIN CASTILLO DE LOS CEREZOS</t>
  </si>
  <si>
    <t>COL GERARDO PAREDES (IED)</t>
  </si>
  <si>
    <t>COL DIST EDUC BAS Y MEDIA GERARDO PAREDES MARTINEZ</t>
  </si>
  <si>
    <t>COL DIST GERARDO PAREDES MARTINEZ</t>
  </si>
  <si>
    <t>CENT EDUC DIST LA FRONTERA</t>
  </si>
  <si>
    <t>CED LA FRONTERA</t>
  </si>
  <si>
    <t>CED SAN CAYETANO</t>
  </si>
  <si>
    <t>SPENCER</t>
  </si>
  <si>
    <t>COL NICOLAS BUENAVENTURA (IED)</t>
  </si>
  <si>
    <t>NICOLAS BUENAVENTURA</t>
  </si>
  <si>
    <t>2370-G17-JC</t>
  </si>
  <si>
    <t>COL INST TEC JUAN DEL CORRAL (IED)</t>
  </si>
  <si>
    <t>INST TEC DIST JUAN DEL CORRAL</t>
  </si>
  <si>
    <t>SANTA FE DE BOGOTA</t>
  </si>
  <si>
    <t>COL NACIONES UNIDAS (IED)</t>
  </si>
  <si>
    <t>NACIONES UNIDAS</t>
  </si>
  <si>
    <t>JOSE ASUNCION SILVA</t>
  </si>
  <si>
    <t>2370-G17-JC2</t>
  </si>
  <si>
    <t>2370-G17-PI</t>
  </si>
  <si>
    <t>2370-G19</t>
  </si>
  <si>
    <t>COL INST TEC DISTRITAL JULIO FLOREZ (IED)</t>
  </si>
  <si>
    <t>SANTA ROSA</t>
  </si>
  <si>
    <t>JULIO FLOREZ</t>
  </si>
  <si>
    <t>COL TIBABUYES UNIVERSAL (IED)</t>
  </si>
  <si>
    <t>CENT EDUC DIST TIBABUYES UNIVERSAL</t>
  </si>
  <si>
    <t>CED TIBABUYES UNIVERSAL</t>
  </si>
  <si>
    <t>CED BILBAO</t>
  </si>
  <si>
    <t>COL NUEVA COLOMBIA (IED)</t>
  </si>
  <si>
    <t>CED NUEVA COLOMBIA</t>
  </si>
  <si>
    <t>ARRENDAMIENTO NVA COLOMBIA</t>
  </si>
  <si>
    <t>COL GUSTAVO MORALES MORALES (IED)</t>
  </si>
  <si>
    <t>CED GUSTAVO MORALES</t>
  </si>
  <si>
    <t>COL ALVARO GOMEZ HURTADO (IED)</t>
  </si>
  <si>
    <t>CED CHUCUA NORTE</t>
  </si>
  <si>
    <t>COL GONZALO ARANGO (IED)</t>
  </si>
  <si>
    <t>CATALANES</t>
  </si>
  <si>
    <t>COL SIMON BOLIVAR (IED)_11</t>
  </si>
  <si>
    <t>SIMON BOLIVAR</t>
  </si>
  <si>
    <t>COL EL SALITRE - SUBA (IED)</t>
  </si>
  <si>
    <t>CONEJERA</t>
  </si>
  <si>
    <t>SAN CARLOS DE SUBA</t>
  </si>
  <si>
    <t>LICEO MIXTO DEL DAS</t>
  </si>
  <si>
    <t>COL NUEVA ZELANDIA (IED)</t>
  </si>
  <si>
    <t>CED NUEVA ZELANDIA</t>
  </si>
  <si>
    <t>CED ABC</t>
  </si>
  <si>
    <t>2370-G19-JC</t>
  </si>
  <si>
    <t>COL JUAN LOZANO Y LOZANO (IED)</t>
  </si>
  <si>
    <t>CED SUBA CENTRO</t>
  </si>
  <si>
    <t>2370-G19-JC2</t>
  </si>
  <si>
    <t>COL NUEVA CONSTITUCION (IED)</t>
  </si>
  <si>
    <t>COL VILLA AMALIA (IED)</t>
  </si>
  <si>
    <t>CED VILLA AMALIA</t>
  </si>
  <si>
    <t>CED RAMON DE ZUBIRIA</t>
  </si>
  <si>
    <t>2370-G20</t>
  </si>
  <si>
    <t>COL ALBERTO LLERAS CAMARGO (IED)</t>
  </si>
  <si>
    <t>COL DIST ALBERTO LLERAS CAMARGO</t>
  </si>
  <si>
    <t>COL VIRGINIA GUTIERREZ DE PINEDA (IED)</t>
  </si>
  <si>
    <t>VIRGINIA GUTIERREZ DE PINEDA</t>
  </si>
  <si>
    <t>COL PRADO VERANIEGO (IED)</t>
  </si>
  <si>
    <t>CED PRADO VERANIEGO</t>
  </si>
  <si>
    <t>CENT EDUC DIST PRADO VERANIEGO I</t>
  </si>
  <si>
    <t>COL ANIBAL FERNANDEZ DE SOTO (IED)</t>
  </si>
  <si>
    <t>CED PRADO  PINZON</t>
  </si>
  <si>
    <t>CENT EDUC DIST PRADO PINZON</t>
  </si>
  <si>
    <t>COL VISTA BELLA (IED)</t>
  </si>
  <si>
    <t>CED VISTA BELLA</t>
  </si>
  <si>
    <t>CENT EDUC DIST VISTA BELLA</t>
  </si>
  <si>
    <t>CED GRANADA NORTE</t>
  </si>
  <si>
    <t>COL VILLA ELISA (IED)</t>
  </si>
  <si>
    <t>CED VILLA ELISA</t>
  </si>
  <si>
    <t>EL RUBI-JAPON (Cll 128 Bis Nº 93-07)</t>
  </si>
  <si>
    <t>EL RUBI-JAPON</t>
  </si>
  <si>
    <t>COL REPUBLICA DOMINICANA (IED)</t>
  </si>
  <si>
    <t>SEDE CELESTIN FREINEL</t>
  </si>
  <si>
    <t>COL DIST JUAN LOZANO Y LOZANO</t>
  </si>
  <si>
    <t>COL HUNZA (IED)</t>
  </si>
  <si>
    <t>CED AGUADITA</t>
  </si>
  <si>
    <t>CED DIVINO NIÑO JESUS EL CONDOR</t>
  </si>
  <si>
    <t>CED CIUDAD HUNZA</t>
  </si>
  <si>
    <t>2370-G20-JC</t>
  </si>
  <si>
    <t>COL MARCO TULIO FERNANDEZ (IED)</t>
  </si>
  <si>
    <t>COL DIST MARIANO OSPINA PEREZ</t>
  </si>
  <si>
    <t>CENT EDUC DIST MERCEDES DE FERNANDEZ</t>
  </si>
  <si>
    <t>CENT EDUC DIST SAN JOAQUIN</t>
  </si>
  <si>
    <t>CENT EDUC DIST SAN IGNACIO</t>
  </si>
  <si>
    <t>TOLENTINO</t>
  </si>
  <si>
    <t>2370-G20-JC2</t>
  </si>
  <si>
    <t>2370-G20-PI</t>
  </si>
  <si>
    <t>CED LA NUEVA GAITANA</t>
  </si>
  <si>
    <t>2370-G5</t>
  </si>
  <si>
    <t>COL AQUILEO PARRA (IED)</t>
  </si>
  <si>
    <t>AQUILEO PARRA</t>
  </si>
  <si>
    <t>SAN ANTONIO NORTE 2 SECTOR</t>
  </si>
  <si>
    <t>COL ROBERT F KENNEDY (IED)</t>
  </si>
  <si>
    <t>CENT EDUC DIST ROBERT KENNEDY</t>
  </si>
  <si>
    <t>CENT EDUC DIST EL REAL</t>
  </si>
  <si>
    <t>COL TABORA (IED)</t>
  </si>
  <si>
    <t xml:space="preserve">I.E.D. TABORA </t>
  </si>
  <si>
    <t>I.E.D. SANTA Ma. LAGO</t>
  </si>
  <si>
    <t>I.E.D. LA GRANJA</t>
  </si>
  <si>
    <t>COL GARCES NAVAS (IED)</t>
  </si>
  <si>
    <t>CED GARCES NAVAS No 3</t>
  </si>
  <si>
    <t>CED GARCES NAVAS II</t>
  </si>
  <si>
    <t>COL GUILLERMO LEON VALENCIA (IED) (Engativa)</t>
  </si>
  <si>
    <t>CENT EDUC DIST GUILLERMO LEON VALENCIA</t>
  </si>
  <si>
    <t>COL NESTOR FORERO ALCALA (IED)</t>
  </si>
  <si>
    <t>COL DIST NESTOR FORERO ALCALA</t>
  </si>
  <si>
    <t>COL INST TEC DISTRITAL REPUBLICA DE GUATEMALA (IED)</t>
  </si>
  <si>
    <t>INST TEC DIST REP DE GUATEMALA</t>
  </si>
  <si>
    <t>COL TOMAS CIPRIANO DE MOSQUERA (IED)</t>
  </si>
  <si>
    <t>EMAUS</t>
  </si>
  <si>
    <t>COL LA PALESTINA (IED)</t>
  </si>
  <si>
    <t>CED DEL NIÑO</t>
  </si>
  <si>
    <t>LA PALESTINA</t>
  </si>
  <si>
    <t>COL GENERAL SANTANDER (IED)_10</t>
  </si>
  <si>
    <t xml:space="preserve">CARDENAL DUQUE </t>
  </si>
  <si>
    <t>CARDENAL DUQUE</t>
  </si>
  <si>
    <t>CARDENAL LUQUE</t>
  </si>
  <si>
    <t>COL SIMON BOLIVAR (IED)_10</t>
  </si>
  <si>
    <t>COL DIST SIMON BOLIVAR</t>
  </si>
  <si>
    <t>CENT EDUC DIST MATILDE ANARAY</t>
  </si>
  <si>
    <t>2370-G5-JC2</t>
  </si>
  <si>
    <t>2370-G5-PI</t>
  </si>
  <si>
    <t>UNIÓN TEMPORAL ALIMENTANDO SOLIDARIO</t>
  </si>
  <si>
    <t>2372-G11</t>
  </si>
  <si>
    <t>Fontibón</t>
  </si>
  <si>
    <t>COL RODRIGO ARENAS BETANCOURT (IED)</t>
  </si>
  <si>
    <t>COL PABLO NERUDA (IED)</t>
  </si>
  <si>
    <t>PABLO NERUDA SEDE A</t>
  </si>
  <si>
    <t>PABLO NERUDA SEDE B</t>
  </si>
  <si>
    <t>COL ANTONIO VAN UDEN (IED)</t>
  </si>
  <si>
    <t>ANTONIO VAN UDEN</t>
  </si>
  <si>
    <t>CED LA ESTACION</t>
  </si>
  <si>
    <t>CED SAN VICENTE</t>
  </si>
  <si>
    <t>COL VILLEMAR EL CARMEN (IED)</t>
  </si>
  <si>
    <t>SANTA CECILIA</t>
  </si>
  <si>
    <t>SEDE D  NUEVA REFORZAMIENTO (ANTIGUA SEDE C)</t>
  </si>
  <si>
    <t>COL INST TEC INTERNACIONAL (IED)</t>
  </si>
  <si>
    <t xml:space="preserve">IEDIT INTERNACIONAL </t>
  </si>
  <si>
    <t>COL LUIS ANGEL ARANGO (IED)</t>
  </si>
  <si>
    <t>LUIS ANGEL ARANGO SEDE A</t>
  </si>
  <si>
    <t>LUIS ANGEL ARANGO SEDE B</t>
  </si>
  <si>
    <t>COL COSTA RICA (IED)</t>
  </si>
  <si>
    <t>REP DE COSTA RICA</t>
  </si>
  <si>
    <t>PUERTA TEJADA</t>
  </si>
  <si>
    <t>NUEVO COLEGIO DE FONTIBON</t>
  </si>
  <si>
    <t>COL INTEGD DE FONTIBON IBEP (IED)</t>
  </si>
  <si>
    <t xml:space="preserve">INTEGRADO DE FONTIBON </t>
  </si>
  <si>
    <t>EMMA VILLEGAS DE GAITAN</t>
  </si>
  <si>
    <t>BATAVIA</t>
  </si>
  <si>
    <t>PALESTINA</t>
  </si>
  <si>
    <t>EMMA VILLEGAS B2</t>
  </si>
  <si>
    <t>COL ATAHUALPA (IED)</t>
  </si>
  <si>
    <t>ATAHUALPA</t>
  </si>
  <si>
    <t>2372-G11-JC</t>
  </si>
  <si>
    <t>2372-G11-JC2</t>
  </si>
  <si>
    <t>2372-G8</t>
  </si>
  <si>
    <t>COL FEM LORENCITA VILLEGAS DE SANTOS (IED)</t>
  </si>
  <si>
    <t>COL TEC DOMINGO FAUSTINO SARMIENTO (IED)</t>
  </si>
  <si>
    <t>DOMINGO FAUSTINO SARMIENTO</t>
  </si>
  <si>
    <t>SEVILLA</t>
  </si>
  <si>
    <t>CARLOS SANZ DE SANTAMARIA</t>
  </si>
  <si>
    <t>JOSE ANTONIO RICAURTE</t>
  </si>
  <si>
    <t>COL HELADIA MEJIA (IED)</t>
  </si>
  <si>
    <t>COL DIST HELADIA MEJIA HIJOS DE EDUCADORES</t>
  </si>
  <si>
    <t xml:space="preserve">SEDE C CLL 66 A NO 42-00 </t>
  </si>
  <si>
    <t>COL REPUBLICA DE PANAMA (IED)</t>
  </si>
  <si>
    <t>COL DIST REP DE PANAMA</t>
  </si>
  <si>
    <t>COL FRANCISCO PRIMERO S.S. (IED)(ANT ALEMANIA SOLIDARIA )</t>
  </si>
  <si>
    <t>CED ALEMANIA</t>
  </si>
  <si>
    <t>CED MANUEL ANTONIO RUEDA VARGAS</t>
  </si>
  <si>
    <t>CED MANUELA AYALA DE GAITAN</t>
  </si>
  <si>
    <t>COL RAFAEL BERNAL JIMENEZ (IED)</t>
  </si>
  <si>
    <t>COL DIST RAFAEL BERNAL JIMENEZ</t>
  </si>
  <si>
    <t>GLORIA GAITAN</t>
  </si>
  <si>
    <t>COL JUAN FRANCISCO BERBEO (IED)</t>
  </si>
  <si>
    <t>Teusaquillo</t>
  </si>
  <si>
    <t>COL MANUELA BELTRAN (IED)</t>
  </si>
  <si>
    <t>INST DIST DE COMERCIO MANUELA BELTRAN</t>
  </si>
  <si>
    <t>CENT EDUC DIST ANTONIO NARIÑO</t>
  </si>
  <si>
    <t>Chapinero</t>
  </si>
  <si>
    <t>COL SIMON RODRIGUEZ (IED)</t>
  </si>
  <si>
    <t>NUEVA GRANADA</t>
  </si>
  <si>
    <t>CENT EDUC DIST BOSQUE CALDERON TEJADA</t>
  </si>
  <si>
    <t>COL SAN MARTIN DE PORRES (IED)</t>
  </si>
  <si>
    <t>CENT EDUC DIST SAN MARTIN DE PORRES</t>
  </si>
  <si>
    <t>ANTONIO JOSE DE SUCRE</t>
  </si>
  <si>
    <t>COL CAMP MONTE VERDE (IED)</t>
  </si>
  <si>
    <t>PLAN PADRINOS SAN LUIS</t>
  </si>
  <si>
    <t xml:space="preserve">SEDE B JULIO ANTONIO GAITAN (ANTIG VERJON </t>
  </si>
  <si>
    <t>2372-G8-JC</t>
  </si>
  <si>
    <t>COL TOMAS CARRASQUILLA (IED)</t>
  </si>
  <si>
    <t xml:space="preserve"> TOMAS CARRASQUILLA</t>
  </si>
  <si>
    <t>CED PANAMERICANA</t>
  </si>
  <si>
    <t>2372-G8-JC2</t>
  </si>
  <si>
    <t>2372-G8-PI</t>
  </si>
  <si>
    <t>UNIÓN TEMPORAL PRONUTRIMOS 12</t>
  </si>
  <si>
    <t>2307-G10</t>
  </si>
  <si>
    <t>COL CARLOS ARANGO VELEZ (IED)</t>
  </si>
  <si>
    <t>COL DIST CARLOS ARANGO VELEZ</t>
  </si>
  <si>
    <t>FLORALIA</t>
  </si>
  <si>
    <t>COL SAN RAFAEL (IED)</t>
  </si>
  <si>
    <t>CENT EDUC DIST SAN RAFAEL</t>
  </si>
  <si>
    <t>CED CATALINA</t>
  </si>
  <si>
    <t>COL ISABEL II (IED)</t>
  </si>
  <si>
    <t>CENTRO EDUCATIVO DISTRITAL ISABEL II</t>
  </si>
  <si>
    <t>CENTRO EDUCATIVO DISTRITAL PIO XII</t>
  </si>
  <si>
    <t>COL INEM FRANCISCO DE PAULA SANTANDER (IED)</t>
  </si>
  <si>
    <t>IED INEM FRANCISCO DE PAULA SANTANDER</t>
  </si>
  <si>
    <t>CENTRO EDUCATIVO DISTRITAL CASABLANCA</t>
  </si>
  <si>
    <t>COL JACKELINE (IED)</t>
  </si>
  <si>
    <t>CENT EDUC DIST JACKELINE</t>
  </si>
  <si>
    <t>COL LA FLORESTA SUR (IED)</t>
  </si>
  <si>
    <t>CENT EDUC DIST LA FLORESTA SUR</t>
  </si>
  <si>
    <t>CENT EDUC DIST JUAN PABLO II</t>
  </si>
  <si>
    <t>COL INST TEC RODRIGO DE TRIANA (IED)</t>
  </si>
  <si>
    <t>CED LAS PALMERAS</t>
  </si>
  <si>
    <t>CED CAMPO HERMOSO</t>
  </si>
  <si>
    <t>COL HERNANDO DURAN DUSAN (CED)</t>
  </si>
  <si>
    <t xml:space="preserve">COL HERNANDO DURAN DUSAN </t>
  </si>
  <si>
    <t>2307-G10-2U</t>
  </si>
  <si>
    <t>2307-G10-PI</t>
  </si>
  <si>
    <t>2307-G24</t>
  </si>
  <si>
    <t>COL RAFAEL DELGADO SALGUERO (IED)</t>
  </si>
  <si>
    <t>2_MATER ADMIRABILIS</t>
  </si>
  <si>
    <t>COL EL LIBERTADOR (IED)</t>
  </si>
  <si>
    <t>CENT EDUC DIST EL LIBERTADOR</t>
  </si>
  <si>
    <t>CED MANUEL MURILLO TORO</t>
  </si>
  <si>
    <t>CED JUAN DE RIZZO</t>
  </si>
  <si>
    <t>COL MISAEL PASTRANA BORRERO (IED)</t>
  </si>
  <si>
    <t>CED    MISAEL PASTRANA BORRERO</t>
  </si>
  <si>
    <t>CED MISAEL PASTRANA BORRERO</t>
  </si>
  <si>
    <t>COL GUSTAVO RESTREPO (IED)</t>
  </si>
  <si>
    <t>GUSTAVO RESTREPO</t>
  </si>
  <si>
    <t>JOSE ACEVEDO Y GOMEZ</t>
  </si>
  <si>
    <t>CENTRO D MENTAL JOSE ACEVEDO Y GOMEZ</t>
  </si>
  <si>
    <t>GABRIEL TURBAY</t>
  </si>
  <si>
    <t>COL REPUBLICA EEUU DE AMERICA (IED)</t>
  </si>
  <si>
    <t>COL CLEMENCIA DE CAYCEDO (IED)</t>
  </si>
  <si>
    <t>COL DIANA TURBAY (IED)</t>
  </si>
  <si>
    <t>CED  DIANA  TURBAY  I</t>
  </si>
  <si>
    <t>CED  DIANA TURBAY   II</t>
  </si>
  <si>
    <t>AYACUCHO</t>
  </si>
  <si>
    <t>COL COLOMBIA VIVA (IED)</t>
  </si>
  <si>
    <t xml:space="preserve"> SEDE NESTOR FORERO ALCALA </t>
  </si>
  <si>
    <t>COL MARIA CANO (IED)</t>
  </si>
  <si>
    <t>MARIA CANO</t>
  </si>
  <si>
    <t>SEDE BACHILLERATO</t>
  </si>
  <si>
    <t>2307-G24-2E</t>
  </si>
  <si>
    <t>SEDE C ALQUERIA</t>
  </si>
  <si>
    <t>2307-G24-2U</t>
  </si>
  <si>
    <t>2307-G24-PI</t>
  </si>
  <si>
    <t>UNIÓN TEMPORAL NUTRISERVI 2016</t>
  </si>
  <si>
    <t>2328-G15</t>
  </si>
  <si>
    <t>COL SANTA LIBRADA (IED)</t>
  </si>
  <si>
    <t>CED SANTA LIBRADA</t>
  </si>
  <si>
    <t>COL SANTA MARTHA (IED)</t>
  </si>
  <si>
    <t>CED SANTA MARTA</t>
  </si>
  <si>
    <t>COL ESTANISLAO ZULETA (IED)</t>
  </si>
  <si>
    <t>ESTANISLAO ZULETA</t>
  </si>
  <si>
    <t>CENT EDUC DIST LA ALBORADA</t>
  </si>
  <si>
    <t>COL PROVINCIA DE QUEBEC (IED)</t>
  </si>
  <si>
    <t>CED PROVINCIA DE QUEBEC</t>
  </si>
  <si>
    <t>COL LOS COMUNEROS - OSWALDO GUAYAZAMIN (IED)</t>
  </si>
  <si>
    <t>CENT EDUC DIST LOS COMUNEROS</t>
  </si>
  <si>
    <t>CENT EDUC DIST EL VIRREY ULTIMA ETAPA</t>
  </si>
  <si>
    <t>COL LA AURORA (IED)</t>
  </si>
  <si>
    <t>CED LA AURORA</t>
  </si>
  <si>
    <t>COL NUEVO SAN ANDRES DE LOS ALTOS (IED)</t>
  </si>
  <si>
    <t>CED NUEVO SAN ANDRES DE LOS ALTOS</t>
  </si>
  <si>
    <t>COL USMINIA (IED)</t>
  </si>
  <si>
    <t>CENT EDUC DIST USMINIA</t>
  </si>
  <si>
    <t>CENT EDUC DIST LORENZO ALCANTUZ</t>
  </si>
  <si>
    <t>COL DIEGO MONTAÑA CUELLAR (IED)</t>
  </si>
  <si>
    <t>MONTEBLANCO</t>
  </si>
  <si>
    <t>EL UVAL</t>
  </si>
  <si>
    <t>SERRANIAS</t>
  </si>
  <si>
    <t>COL OFELIA URIBE DE ACOSTA (IED)</t>
  </si>
  <si>
    <t>CENT EDUC DIST CHICO SUR</t>
  </si>
  <si>
    <t>COL BRASILIA - USME (IED)</t>
  </si>
  <si>
    <t>IED  BRASILIA  - USME</t>
  </si>
  <si>
    <t>COL EL VIRREY JOSE SOLIS (IED)</t>
  </si>
  <si>
    <t>COL DIST EDUC BAS Y MEDIA EL VIRREY JOSE SOLIS</t>
  </si>
  <si>
    <t>COL EL CORTIJO - VIANEY (IED)</t>
  </si>
  <si>
    <t>CENT EDUC  EL CORTIJO</t>
  </si>
  <si>
    <t>CENT EDUC  VIANEY Calle 72 s No 2 A 32</t>
  </si>
  <si>
    <t>COL CIUDAD DE VILLAVICENCIO (IED)</t>
  </si>
  <si>
    <t>CENT EDUC DIST PUERTA AL LLANO</t>
  </si>
  <si>
    <t>CENT EDUC DIST VILLA HERMOSA</t>
  </si>
  <si>
    <t>COL RUR LA UNION USME (CED)</t>
  </si>
  <si>
    <t>CENT EDUC DIST RUR LA UNION USME</t>
  </si>
  <si>
    <t>COL RUR OLARTE (CED)</t>
  </si>
  <si>
    <t>CENT EDUC DIST RUR OLARTE</t>
  </si>
  <si>
    <t>COL RUR LOS ANDES (CED)</t>
  </si>
  <si>
    <t>CENT EDUC DIST RUR LOS ANDES</t>
  </si>
  <si>
    <t>COL RUR LOS ARRAYANES (CED)</t>
  </si>
  <si>
    <t>CENT EDUC DIST RUR LOS ARRAYANES</t>
  </si>
  <si>
    <t>COL RUR LA ARGENTINA (CED)</t>
  </si>
  <si>
    <t>CENT EDUC DIST LA ARGENTINA</t>
  </si>
  <si>
    <t>COL RUR CHIZACA (CED)</t>
  </si>
  <si>
    <t>CENT EDUC DIST RURAL CHIZACA</t>
  </si>
  <si>
    <t>COL RUR EL CURUBITAL (CED)</t>
  </si>
  <si>
    <t>CENT EDUC DIST RURAL EL CURUBITAL</t>
  </si>
  <si>
    <t>COL RUR EL HATO (CED)</t>
  </si>
  <si>
    <t>CENT EDUC DIST RURAL EL HATO</t>
  </si>
  <si>
    <t>COL RUR LA MAYORIA (CED)</t>
  </si>
  <si>
    <t>CENT EDUC DIST RURAL LA MAYORIA</t>
  </si>
  <si>
    <t>COL RUR LAS MERCEDES (CED)</t>
  </si>
  <si>
    <t>CENT EDUC DIST RURAL LAS MERCEDES</t>
  </si>
  <si>
    <t>2328-G15-JC</t>
  </si>
  <si>
    <t>2328-G15-JC2</t>
  </si>
  <si>
    <t>2328-G15-PI</t>
  </si>
  <si>
    <t>2328-G18</t>
  </si>
  <si>
    <t>COL FRIEDRICH NAUMANN (IED)</t>
  </si>
  <si>
    <t>CODITO</t>
  </si>
  <si>
    <t>COL NUEVO HORIZONTE (IED)</t>
  </si>
  <si>
    <t>CENT EDUC DIST NUEVO HORIZONTE</t>
  </si>
  <si>
    <t>BUENAVISTA</t>
  </si>
  <si>
    <t>HORIZONTE</t>
  </si>
  <si>
    <t>INSTITUTO TORCA (ANTIGUO SEDE B SALUCOOP N)</t>
  </si>
  <si>
    <t>COL NUEVA ESPERANZA (IED)</t>
  </si>
  <si>
    <t>CED NUEVA ESPERANZA</t>
  </si>
  <si>
    <t>SEDE B(SECUNDARIA)</t>
  </si>
  <si>
    <t>SEDE B (SECUNDARIA)</t>
  </si>
  <si>
    <t>COL MIGUEL DE CERVANTES SAAVEDRA (IED)</t>
  </si>
  <si>
    <t>CED MIGUEL DE CERVANTES S</t>
  </si>
  <si>
    <t>ARRIENDO CED MIGUEL DE CERVANTES S</t>
  </si>
  <si>
    <t>COL CHUNIZA (IED)</t>
  </si>
  <si>
    <t>CENT EDUC DIST CHUNIZA</t>
  </si>
  <si>
    <t>COL LUIS EDUARDO MORA OSEJO (IED)</t>
  </si>
  <si>
    <t>COL FRANCISCO ANTONIO ZEA DE USME (IED)</t>
  </si>
  <si>
    <t>FRANCISCO ANTONIO ZEA</t>
  </si>
  <si>
    <t>COL ALMIRANTE PADILLA (IED)</t>
  </si>
  <si>
    <t>IED  ALMIRANTE PADILLA CLL76 AS 1 D 59 ESTE</t>
  </si>
  <si>
    <t>IED  ALMIRANTE PADILLA</t>
  </si>
  <si>
    <t>COL LOS TEJARES (IED)</t>
  </si>
  <si>
    <t>CED LOS TEJARES</t>
  </si>
  <si>
    <t>CED EL CURUBO</t>
  </si>
  <si>
    <t>COL FEDERICO GARCIA LORCA (IED)</t>
  </si>
  <si>
    <t>CENT EDUC DIST FEDERICO GARCIA LORCA</t>
  </si>
  <si>
    <t>CED BETANIA</t>
  </si>
  <si>
    <t>BETANIA PRESCOLAR Y PRIMERO</t>
  </si>
  <si>
    <t>BETANIA PRESCOLAR Y PRIMARIA</t>
  </si>
  <si>
    <t>COL TENERIFE - GRANADA SUR (IED)</t>
  </si>
  <si>
    <t>CED TENERIFE</t>
  </si>
  <si>
    <t>CED GRANADA SUR</t>
  </si>
  <si>
    <t>COL BRAZUELOS (IED)</t>
  </si>
  <si>
    <t>CENT EDUC DIST BRAZUELOS</t>
  </si>
  <si>
    <t>COL EL UVAL (IED)</t>
  </si>
  <si>
    <t>CED RURAL EL UVAL</t>
  </si>
  <si>
    <t>COL FABIO LOZANO SIMONELLI (IED)</t>
  </si>
  <si>
    <t>CED FABIO LOZANO SIMONELLI</t>
  </si>
  <si>
    <t>CED DANUBIO AZUL</t>
  </si>
  <si>
    <t>CED FISCALA  ALTA</t>
  </si>
  <si>
    <t>2328-G18-JC</t>
  </si>
  <si>
    <t>2328-G18-JC2</t>
  </si>
  <si>
    <t>2328-G18-PI</t>
  </si>
  <si>
    <t>2328-G27</t>
  </si>
  <si>
    <t>COL USAQUEN (IED)</t>
  </si>
  <si>
    <t xml:space="preserve">SEDE B </t>
  </si>
  <si>
    <t>COL DIVINO MAESTRO (IED)</t>
  </si>
  <si>
    <t>PILOTO BAVARIA</t>
  </si>
  <si>
    <t>SEDEB -DIVINO MAESTRO</t>
  </si>
  <si>
    <t>COL CARLOS ALBAN HOLGUIN (IED)</t>
  </si>
  <si>
    <t>CED CARLOS ALBAN HOLGUIN</t>
  </si>
  <si>
    <t>CED JOSE MARIA CARBONELL</t>
  </si>
  <si>
    <t>COL CEDID SAN PABLO (IED)</t>
  </si>
  <si>
    <t>CEDID SAN PABLO BOSA</t>
  </si>
  <si>
    <t>CED LA AMISTAD</t>
  </si>
  <si>
    <t>CED NUEVA GRANADA</t>
  </si>
  <si>
    <t>GRUPOS JUVENILES CREATIVOS</t>
  </si>
  <si>
    <t>COL LA CONCEPCION (CED)</t>
  </si>
  <si>
    <t>CENT EDUC DIST RURAL LA CONCEPCION</t>
  </si>
  <si>
    <t>CED NUESTRA SEÑORA DE LOURDES</t>
  </si>
  <si>
    <t>COL ORLANDO HIGUITA ROJAS (IED)</t>
  </si>
  <si>
    <t>JUAN MAXIMILIANO AMBROSIO</t>
  </si>
  <si>
    <t>2328-G27-JC</t>
  </si>
  <si>
    <t>2328-G27-JC2</t>
  </si>
  <si>
    <t>2328-G27-PI</t>
  </si>
  <si>
    <t>COL DEBORA ARANGO PEREZ (IED)</t>
  </si>
  <si>
    <t>DEBORA ARANGO</t>
  </si>
  <si>
    <t>UNIÓN TEMPORAL CAPITALIÑOS SED 2016</t>
  </si>
  <si>
    <t>2271-G22</t>
  </si>
  <si>
    <t>COL REPUBLICA DE MEXICO (IED)</t>
  </si>
  <si>
    <t>CED REPUBLICA DE MEXICO</t>
  </si>
  <si>
    <t>COL RAFAEL URIBE URIBE (IED)_19</t>
  </si>
  <si>
    <t>RAFAEL URIBE A</t>
  </si>
  <si>
    <t>COL LEON DE GREIFF (IED)</t>
  </si>
  <si>
    <t>LEON DE GREIFF</t>
  </si>
  <si>
    <t>COL RODRIGO LARA BONILLA (IED)</t>
  </si>
  <si>
    <t>RODRIGO LARA BONILLA</t>
  </si>
  <si>
    <t>CED JOSE CELESTINO MUTIS</t>
  </si>
  <si>
    <t>JARDIN RODRIGUITO</t>
  </si>
  <si>
    <t>COL GUILLERMO CANO ISAZA (IED)</t>
  </si>
  <si>
    <t>CEDID GUILLERMO CANO ISAZA</t>
  </si>
  <si>
    <t>COL CEDID CIUDAD BOLIVAR (IED)</t>
  </si>
  <si>
    <t>CED TANQUE LAGUNA</t>
  </si>
  <si>
    <t>CED PERDOMO ALTO</t>
  </si>
  <si>
    <t>CED SANTA ROSITA LAS VEGAS</t>
  </si>
  <si>
    <t>COL CIUDAD BOLIVAR - ARGENTINA (IED)</t>
  </si>
  <si>
    <t>CED CIUDAD BOLIVAR</t>
  </si>
  <si>
    <t>CED ARGENTINA LA NUEVA</t>
  </si>
  <si>
    <t>COL COMPARTIR RECUERDO (IED)</t>
  </si>
  <si>
    <t>COMPARTIR LUCERO</t>
  </si>
  <si>
    <t>EL RECUERDO</t>
  </si>
  <si>
    <t>COL CANADA (IED)</t>
  </si>
  <si>
    <t>CANADA</t>
  </si>
  <si>
    <t>2271-G22-JC</t>
  </si>
  <si>
    <t>COL CUNDINAMARCA (IED)</t>
  </si>
  <si>
    <t>CUNDINAMARCA</t>
  </si>
  <si>
    <t>2271-G22-JC2</t>
  </si>
  <si>
    <t>2271-G22-PI</t>
  </si>
  <si>
    <t>2271-G23</t>
  </si>
  <si>
    <t>COL CIUDAD DE MONTREAL (IED)</t>
  </si>
  <si>
    <t xml:space="preserve">CIUDAD DE MONTREAL </t>
  </si>
  <si>
    <t>COL SANTA BARBARA (IED)</t>
  </si>
  <si>
    <t>COL DIST EDUC SANTA BARBARA</t>
  </si>
  <si>
    <t>CED SANTA BARBARA</t>
  </si>
  <si>
    <t>CED SANTA BARBARA / POLICIA</t>
  </si>
  <si>
    <t>COL UNION EUROPEA (IED)</t>
  </si>
  <si>
    <t>UNION EUROPEA</t>
  </si>
  <si>
    <t>COL ARBORIZADORA BAJA (IED)</t>
  </si>
  <si>
    <t>CED ARBORIZADORA BAJA</t>
  </si>
  <si>
    <t>COL NICOLAS GOMEZ DAVILA (IED)</t>
  </si>
  <si>
    <t>CED SAN FRANCISCO  I</t>
  </si>
  <si>
    <t>SEDE  DIEGO ANDRES</t>
  </si>
  <si>
    <t>SEDE DIEGO ANDRES</t>
  </si>
  <si>
    <t>COL ESTRELLA DEL SUR (IED)</t>
  </si>
  <si>
    <t>ESTRELLA A</t>
  </si>
  <si>
    <t>ESTRELLA B</t>
  </si>
  <si>
    <t>ESTRELLA C</t>
  </si>
  <si>
    <t>ESTRELLA D</t>
  </si>
  <si>
    <t>ESTRELLA F</t>
  </si>
  <si>
    <t>COL SIERRA MORENA (IED)</t>
  </si>
  <si>
    <t>DIVINO NINO</t>
  </si>
  <si>
    <t>ARRENDAMIENTO</t>
  </si>
  <si>
    <t>COL EL TESORO DE LA CUMBRE (IED)</t>
  </si>
  <si>
    <t>EL TESORO</t>
  </si>
  <si>
    <t xml:space="preserve">LA CUMBRE </t>
  </si>
  <si>
    <t>COL VILLAMAR (IED)</t>
  </si>
  <si>
    <t>CED VILLA GLORIA</t>
  </si>
  <si>
    <t>CED MARANDU</t>
  </si>
  <si>
    <t>COL EL MINUTO DE BUENOS AIRES (IED)</t>
  </si>
  <si>
    <t xml:space="preserve">BUENOS AIRES </t>
  </si>
  <si>
    <t>COL RUR QUIBA ALTA (IED)</t>
  </si>
  <si>
    <t>CED QUIBA ALTA</t>
  </si>
  <si>
    <t>CED QUIBA BAJA</t>
  </si>
  <si>
    <t>2271-G23-JC</t>
  </si>
  <si>
    <t>JUAN BOSCO OBRERO</t>
  </si>
  <si>
    <t>2271-G23-JC2</t>
  </si>
  <si>
    <t>2271-G23-PI</t>
  </si>
  <si>
    <t>UNIÓN TEMPORAL NUTRIR DE COLOMBIA 2016</t>
  </si>
  <si>
    <t>2379-G16-JC</t>
  </si>
  <si>
    <t>SERVITA - 40 HORAS</t>
  </si>
  <si>
    <t>PISINGOS</t>
  </si>
  <si>
    <t>PARQUE ALTABLANCA 40 HORAS - PARROQUIA BARRANCAS</t>
  </si>
  <si>
    <t>CLUB COMPENSAR</t>
  </si>
  <si>
    <t>2379-G16-JC2</t>
  </si>
  <si>
    <t>2379-G16-PI</t>
  </si>
  <si>
    <t>DON BOSCO II</t>
  </si>
  <si>
    <t>DON BOSCO IV</t>
  </si>
  <si>
    <t>JUAN  LUIS LONDOÑO LA SALLE</t>
  </si>
  <si>
    <t>COLEGIO MIRAVALLE</t>
  </si>
  <si>
    <t>COLEGIO ARGELIA</t>
  </si>
  <si>
    <t xml:space="preserve">IED FE Y ALEGRÍA SAN IGNACIO </t>
  </si>
  <si>
    <t>COLEGIO SANTIAGO DE LAS ATALAYAS</t>
  </si>
  <si>
    <t>CALASANZ</t>
  </si>
  <si>
    <t xml:space="preserve">COLEGIO JAIME GARZON </t>
  </si>
  <si>
    <t>Usaquén</t>
  </si>
  <si>
    <t>DON BOSCO III</t>
  </si>
  <si>
    <t>DON BOSCO V</t>
  </si>
  <si>
    <t>IED FE Y ALEGRIA JOSE MARIA VELEZ</t>
  </si>
  <si>
    <t>COLEGIO LA GIRALDA</t>
  </si>
  <si>
    <t>GIMNASIO SABIO CALDAS</t>
  </si>
  <si>
    <t>ALIMENTOS SPRESS LIMITADA</t>
  </si>
  <si>
    <t>LAS MERCEDES</t>
  </si>
  <si>
    <t>TORQUIGUA</t>
  </si>
  <si>
    <t>NOTAS :</t>
  </si>
  <si>
    <t>Columna1</t>
  </si>
  <si>
    <t>MAÑANA M1</t>
  </si>
  <si>
    <t>NOCTURNA</t>
  </si>
  <si>
    <t>NUMERO DE ENTREGAS</t>
  </si>
  <si>
    <t>VOLUMEN ESTIMADO  DE SUMINISTRO VIGENCIA 2017 SEGÚN COLEGIO SEDE Y JORNADA</t>
  </si>
  <si>
    <t>VOLUMEN ESTIMADO DE SUMINISTROS DIARIOS</t>
  </si>
  <si>
    <t>VOLUMEN ESTIMADO DE SUMINISTROS VIGENCIA 2017</t>
  </si>
  <si>
    <t>PRESENTACION REQUERIDA SEGÚN TIPO DE REFRIGERIO (GRUPO ETAREO)</t>
  </si>
  <si>
    <t>SEMANA DE RECESO</t>
  </si>
  <si>
    <t>C_PE1</t>
  </si>
  <si>
    <t>C_PE2</t>
  </si>
  <si>
    <t>C_PE5</t>
  </si>
  <si>
    <t>C_PE6</t>
  </si>
  <si>
    <t>C_PE9</t>
  </si>
  <si>
    <t>C_PE10</t>
  </si>
  <si>
    <t>C_PE12</t>
  </si>
  <si>
    <t>C_PE13</t>
  </si>
  <si>
    <t>C_PE15</t>
  </si>
  <si>
    <t>C_E1</t>
  </si>
  <si>
    <t>C_E2</t>
  </si>
  <si>
    <t>C_E3</t>
  </si>
  <si>
    <t>CODIGO GRUPO</t>
  </si>
  <si>
    <t>CICLO</t>
  </si>
  <si>
    <t>DIA DE SUMINISTRO</t>
  </si>
  <si>
    <t>MENU PROGRAMADO 
(FIN DE SEMANA)</t>
  </si>
  <si>
    <t>DIA DE SUMINISTRO L-V</t>
  </si>
  <si>
    <t>DIA DE SUMINISTRO FDS</t>
  </si>
  <si>
    <t>C_SE2</t>
  </si>
  <si>
    <t>C_SE4</t>
  </si>
  <si>
    <t>C_SE5</t>
  </si>
  <si>
    <t>C_SE6</t>
  </si>
  <si>
    <t>C_SE9</t>
  </si>
  <si>
    <t>C_SE10</t>
  </si>
  <si>
    <t>C_SE14</t>
  </si>
  <si>
    <t>C_SE15</t>
  </si>
  <si>
    <t>CPE1</t>
  </si>
  <si>
    <t>CPE2</t>
  </si>
  <si>
    <t>CPE3</t>
  </si>
  <si>
    <t>CSE1</t>
  </si>
  <si>
    <t>CSE2</t>
  </si>
  <si>
    <t>CSE3</t>
  </si>
  <si>
    <t>CONSOLIDADO DE PROVEEDORES</t>
  </si>
  <si>
    <t>COD PROVEEDOR</t>
  </si>
  <si>
    <t xml:space="preserve">NIT </t>
  </si>
  <si>
    <t>CONTACTO</t>
  </si>
  <si>
    <t>CARGO</t>
  </si>
  <si>
    <t>TELEFONO</t>
  </si>
  <si>
    <t>E-MAIL</t>
  </si>
  <si>
    <t>CONSOLIDADO DE COTIZACIONES</t>
  </si>
  <si>
    <t>COD
ELEMENTO</t>
  </si>
  <si>
    <t>NOMBRE PRODUCTO</t>
  </si>
  <si>
    <t>UNIDADES</t>
  </si>
  <si>
    <t>VALOR UNITARIO SIN IVA</t>
  </si>
  <si>
    <t>VALOR UNITARIO IVA INCLUIDO</t>
  </si>
  <si>
    <t>OBSERVACIONE3S</t>
  </si>
  <si>
    <t>AÑO VALOR</t>
  </si>
  <si>
    <t>EVALUAR ?</t>
  </si>
  <si>
    <t>UNIDAD DE MEDIDA</t>
  </si>
  <si>
    <t>FACTOR PROMEDIO PONDERADO</t>
  </si>
  <si>
    <t># COT.</t>
  </si>
  <si>
    <t>NOMBRE PRODUCTO Y/O SERVICIO</t>
  </si>
  <si>
    <t>TIPO</t>
  </si>
  <si>
    <t>RESPONSABLE</t>
  </si>
  <si>
    <t>COMPONENTE MENU</t>
  </si>
  <si>
    <t>COMAPAN</t>
  </si>
  <si>
    <t>INDUSTRIA DE ALIMENTOS SANTANA HERMANOS</t>
  </si>
  <si>
    <t>LA RECETTA SOLUCIONES GASTRONOMICAS</t>
  </si>
  <si>
    <t>MOUNTAIN FOOD S.A.S</t>
  </si>
  <si>
    <t>IBEROAMERICANA DE ALIMENTOS Y SERVICIOS S.A.S</t>
  </si>
  <si>
    <t>METRO</t>
  </si>
  <si>
    <t>200 gr</t>
  </si>
  <si>
    <t>70 gr</t>
  </si>
  <si>
    <t xml:space="preserve"> EL SOLICITADO </t>
  </si>
  <si>
    <t>40-50</t>
  </si>
  <si>
    <t>PONQUE MARIA LUISA UND. X 30 GRS</t>
  </si>
  <si>
    <t xml:space="preserve"> -     </t>
  </si>
  <si>
    <t>GALLETA DE AVENA X6 UND X42GRS</t>
  </si>
  <si>
    <t>MANTECADA UND X 90 GRS</t>
  </si>
  <si>
    <t>MUFFINS CHIP DE CHOCOLATE X 90 GRS</t>
  </si>
  <si>
    <t>MINICHOCOLITA X 30 GRS</t>
  </si>
  <si>
    <t>CHOCOLITA UND. X 68 GRS</t>
  </si>
  <si>
    <t>20 gr</t>
  </si>
  <si>
    <t>30 gr</t>
  </si>
  <si>
    <t>50 gr</t>
  </si>
  <si>
    <t>40 gr</t>
  </si>
  <si>
    <t>60 gr</t>
  </si>
  <si>
    <t>Brownie BIMBO Chocolate 50gr</t>
  </si>
  <si>
    <t>30gr</t>
  </si>
  <si>
    <t>40gr</t>
  </si>
  <si>
    <t>60gr</t>
  </si>
  <si>
    <t>100 gr</t>
  </si>
  <si>
    <t>55 gr</t>
  </si>
  <si>
    <t>COTIZACION ESTUDIO SED 2016</t>
  </si>
  <si>
    <t>MAPR</t>
  </si>
  <si>
    <t xml:space="preserve">Cumple con lo requerido </t>
  </si>
  <si>
    <t>El gramaje no corresponde al solicitado</t>
  </si>
  <si>
    <t>el gamaje no corresponde</t>
  </si>
  <si>
    <t>A</t>
  </si>
  <si>
    <t>B</t>
  </si>
  <si>
    <t>C</t>
  </si>
  <si>
    <t>DIRECTO</t>
  </si>
  <si>
    <t>SANTANA HERMANOS</t>
  </si>
  <si>
    <t xml:space="preserve">MAMA PANCHA </t>
  </si>
  <si>
    <t>POR TIPO</t>
  </si>
  <si>
    <t>TARIFA IVA</t>
  </si>
  <si>
    <t>AB</t>
  </si>
  <si>
    <t>CMH</t>
  </si>
  <si>
    <t>H</t>
  </si>
  <si>
    <t>ABM</t>
  </si>
  <si>
    <t>BM</t>
  </si>
  <si>
    <t>CH</t>
  </si>
  <si>
    <t>BH</t>
  </si>
  <si>
    <t>REVISAR  GRAMAJE</t>
  </si>
  <si>
    <t>BCMH</t>
  </si>
  <si>
    <t>PRECIOS 2016</t>
  </si>
  <si>
    <t>LA 14</t>
  </si>
  <si>
    <t>COLOMBINA</t>
  </si>
  <si>
    <t>LA CAMPIÑA</t>
  </si>
  <si>
    <t>RAMO</t>
  </si>
  <si>
    <t>Valor Componente 
Tipo A</t>
  </si>
  <si>
    <t>Valor Componente 
Tipo B</t>
  </si>
  <si>
    <t>Valor Componente 
Tipo C</t>
  </si>
  <si>
    <t>Valor Componente 
Tipo M</t>
  </si>
  <si>
    <t>Valor Componente 
Tipo H</t>
  </si>
  <si>
    <t>TIPOA</t>
  </si>
  <si>
    <t>TIPOB</t>
  </si>
  <si>
    <t>TIPOC</t>
  </si>
  <si>
    <t>TIPOM</t>
  </si>
  <si>
    <t>TIPOH</t>
  </si>
  <si>
    <t>Estadistico Seleccionado</t>
  </si>
  <si>
    <t>Promedio Simple</t>
  </si>
  <si>
    <t>Media Geometrica</t>
  </si>
  <si>
    <t>Promedio Ponderado</t>
  </si>
  <si>
    <t>Mediana</t>
  </si>
  <si>
    <t>La Mas Baja</t>
  </si>
  <si>
    <t>La mas Alta</t>
  </si>
  <si>
    <t>24_A</t>
  </si>
  <si>
    <t>24_BM</t>
  </si>
  <si>
    <t>24_CH</t>
  </si>
  <si>
    <t>NOTAS : Esta hoja de calculo, agrupa las cotizaciones recibidas según el alimento , producto y/ servicio requerido.</t>
  </si>
  <si>
    <t>ABCM</t>
  </si>
  <si>
    <t>GRUPO ÉXITO S.A.</t>
  </si>
  <si>
    <t>32 a 35</t>
  </si>
  <si>
    <t>32 - gr</t>
  </si>
  <si>
    <t>35 - gr</t>
  </si>
  <si>
    <t>25 - 30</t>
  </si>
  <si>
    <t>80gr</t>
  </si>
  <si>
    <t>20gr</t>
  </si>
  <si>
    <t>35gr</t>
  </si>
  <si>
    <t>50gr</t>
  </si>
  <si>
    <t>70gr</t>
  </si>
  <si>
    <t xml:space="preserve">12 unidades </t>
  </si>
  <si>
    <t>CONALPAN</t>
  </si>
  <si>
    <t>PRIMERA ENTREGA</t>
  </si>
  <si>
    <t>SEGUNDA ENTREGA</t>
  </si>
  <si>
    <t>HAPPY DONUTS</t>
  </si>
  <si>
    <t xml:space="preserve"> </t>
  </si>
  <si>
    <t>INDUDONUTS SAS</t>
  </si>
  <si>
    <t>IND PANIFICADORA CONALPAN</t>
  </si>
  <si>
    <t>80 gr</t>
  </si>
  <si>
    <t>32 - 35</t>
  </si>
  <si>
    <t>35 GR</t>
  </si>
  <si>
    <t>und</t>
  </si>
  <si>
    <t>3_ABM</t>
  </si>
  <si>
    <t>3_CH</t>
  </si>
  <si>
    <t>CAL_CALENDARIO_CICLOS</t>
  </si>
  <si>
    <t>FRE_FRECUENCIAS</t>
  </si>
  <si>
    <t>VOL_VOLUMEN_SUMINISTROS</t>
  </si>
  <si>
    <t>PRO_BASE_PROVEEDORES</t>
  </si>
  <si>
    <t>MNU_BD_MENUS</t>
  </si>
  <si>
    <t>COT_BASE_COTIZACIONES</t>
  </si>
  <si>
    <t>COT_PRECALCULOS</t>
  </si>
  <si>
    <t>Ir a Indice</t>
  </si>
  <si>
    <t>CAL_DIAS_SUMINISTRO_PE</t>
  </si>
  <si>
    <t>CAL_DIAS_SUMINISTRO_SE_FDS</t>
  </si>
  <si>
    <t>CAL_DIAS_SUMINISTRO_SE_LAV</t>
  </si>
  <si>
    <t>CAL_PRIMERA_ENTREGA</t>
  </si>
  <si>
    <t>CAL_SEGUNDA_ENTREGA_FDS</t>
  </si>
  <si>
    <t>CAL_SEGUNDA_ENTREGA_LAV</t>
  </si>
  <si>
    <t>COT_ALIMENTOS</t>
  </si>
  <si>
    <t>COT_CODIGO_ALIMENTOS</t>
  </si>
  <si>
    <t>COT_COTIZACIONES_TOTAL</t>
  </si>
  <si>
    <t>COT_FACTOR_PROMEDIO_PONDERADO</t>
  </si>
  <si>
    <t>COT_PRE_ALIMENTOS</t>
  </si>
  <si>
    <t>COT_PRE_CODIGO_ALIMENTOS</t>
  </si>
  <si>
    <t>COT_PRE_ESTADISTICOS</t>
  </si>
  <si>
    <t>FRE_CANTIDADES_DIARIAS_SUMINISTROS</t>
  </si>
  <si>
    <t>MNU_ALIMENTOS</t>
  </si>
  <si>
    <t>MNU_ALMACENAMIENTO_FRUTA</t>
  </si>
  <si>
    <t>MNU_ALMACENAMIENTO_MP_FRIO</t>
  </si>
  <si>
    <t>MNU_ALMACENAMIENTO_MP_SECO</t>
  </si>
  <si>
    <t>MNU_ALMACENAMIENTO_TERM_FRIO</t>
  </si>
  <si>
    <t>MNU_ALMACENAMIENTO_TERM_SECO</t>
  </si>
  <si>
    <t>MNU_BOLSATINAS_FDS</t>
  </si>
  <si>
    <t>MNU_BOLSATINAS_LAV</t>
  </si>
  <si>
    <t>MNU_CUCHARITAS_FDS</t>
  </si>
  <si>
    <t>MNU_CUCHARITAS_LAV</t>
  </si>
  <si>
    <t>MNU_EMPAQUE_SECUNDARIO_FDS</t>
  </si>
  <si>
    <t>MNU_EMPAQUE_SECUNDARIO_LAV</t>
  </si>
  <si>
    <t>MNU_GRUPO_ALIMENTO</t>
  </si>
  <si>
    <t>MNU_GRUPO_ALIMENTO_CANASTILLAS</t>
  </si>
  <si>
    <t>MNU_GRUPO_ALIMENTO_PESO</t>
  </si>
  <si>
    <t>MNU_NUMERO_MENU</t>
  </si>
  <si>
    <t>MNU_VOLUMEN_TON</t>
  </si>
  <si>
    <t>VOL_JORNADA</t>
  </si>
  <si>
    <t>VOL_TIPOA</t>
  </si>
  <si>
    <t>VOL_TIPOB</t>
  </si>
  <si>
    <t>VOL_TIPOC</t>
  </si>
  <si>
    <t>VOL_TIPOH</t>
  </si>
  <si>
    <t>VOL_TIPOM</t>
  </si>
  <si>
    <t>VOL_VOLUMEN_SUMINISTROS[[#Todo],[Columna1]]</t>
  </si>
  <si>
    <t>VOL_VOLUMEN_SUMINISTROS[[#Todo],[TIPO A]]</t>
  </si>
  <si>
    <t>VOL_VOLUMEN_SUMINISTROS[[#Todo],[TIPO B]]</t>
  </si>
  <si>
    <t>VOL_VOLUMEN_SUMINISTROS[[#Todo],[TIPO C]]</t>
  </si>
  <si>
    <t>VOL_VOLUMEN_SUMINISTROS[[#Todo],[TIPO H]]</t>
  </si>
  <si>
    <t>VOL_VOLUMEN_SUMINISTROS[[#Todo],[TIPO M]]</t>
  </si>
  <si>
    <t xml:space="preserve">NOMBRE RANGO </t>
  </si>
  <si>
    <t>REFERENCIA EN LA HOJA DE CALCULO</t>
  </si>
  <si>
    <t>Número Usuarios diarios:</t>
  </si>
  <si>
    <t>Días Atención:</t>
  </si>
  <si>
    <t>Total  Refrigerios periodo:</t>
  </si>
  <si>
    <t>Tiempo de ejecución en meses</t>
  </si>
  <si>
    <t>REFRIGERIOS ESCOLARES</t>
  </si>
  <si>
    <t>SEGUNDA ENTREGA LAV</t>
  </si>
  <si>
    <t>SEGUNDA ENTREGA FDS</t>
  </si>
  <si>
    <t>PRIMERA  ENTREGA</t>
  </si>
  <si>
    <t>DETALLE</t>
  </si>
  <si>
    <t>TOTALES SEGUNDA ENTREGA</t>
  </si>
  <si>
    <t>TOTALES PRIMERA ENTREGA</t>
  </si>
  <si>
    <t>Valor Total Componente</t>
  </si>
  <si>
    <t>30 GR</t>
  </si>
  <si>
    <t>Muestra un resumen del presupuesto estimado para la Vigencia 2017. Incluye Primera y Segunda Entrega</t>
  </si>
  <si>
    <t>34 gr</t>
  </si>
  <si>
    <t>65 gr</t>
  </si>
  <si>
    <t>180 gr</t>
  </si>
  <si>
    <t>Piolo Mora 1p 34g MLA</t>
  </si>
  <si>
    <t>Mantecada 55g GUA</t>
  </si>
  <si>
    <t>Brownie Chocolate BK 50g BIM</t>
  </si>
  <si>
    <t>Brownie Chocolate 65g BIM</t>
  </si>
  <si>
    <t>Dunitas Espolvoreadas 2p 60g BIM</t>
  </si>
  <si>
    <t>Dunitas Espolvoreadas 6p 180g BIM</t>
  </si>
  <si>
    <t>BIMBO COLOMBIA</t>
  </si>
  <si>
    <t>FRECUENCIA FDS</t>
  </si>
  <si>
    <t>FRECUENCIA LAV</t>
  </si>
  <si>
    <t>PE1_8</t>
  </si>
  <si>
    <t>PE2_17</t>
  </si>
  <si>
    <t>PE4_33</t>
  </si>
  <si>
    <t>PE6_42</t>
  </si>
  <si>
    <t>PE12_58</t>
  </si>
  <si>
    <t>PE15_17</t>
  </si>
  <si>
    <t>PE4_58</t>
  </si>
  <si>
    <t>PE6_70</t>
  </si>
  <si>
    <t>PE12_22</t>
  </si>
  <si>
    <t>PE15_42</t>
  </si>
  <si>
    <t>E2_58</t>
  </si>
  <si>
    <t>PE4_46</t>
  </si>
  <si>
    <t>PE6_43</t>
  </si>
  <si>
    <t>PE9_33</t>
  </si>
  <si>
    <t>PE14_17</t>
  </si>
  <si>
    <t>E3_69</t>
  </si>
  <si>
    <t>PE1_7</t>
  </si>
  <si>
    <t>PE6_46</t>
  </si>
  <si>
    <t>PE9_42</t>
  </si>
  <si>
    <t>PE15_22</t>
  </si>
  <si>
    <t>E2_46</t>
  </si>
  <si>
    <t>PE3_69</t>
  </si>
  <si>
    <t>PE7_46</t>
  </si>
  <si>
    <t>PE12_42</t>
  </si>
  <si>
    <t>E3_58</t>
  </si>
  <si>
    <t>PE4_59</t>
  </si>
  <si>
    <t>PE6_22</t>
  </si>
  <si>
    <t>PE12_43</t>
  </si>
  <si>
    <t>E1_69</t>
  </si>
  <si>
    <t>PE4_22</t>
  </si>
  <si>
    <t>PE4_17</t>
  </si>
  <si>
    <t>PE9_58</t>
  </si>
  <si>
    <t>Aplica para calculos</t>
  </si>
  <si>
    <t>CEREAL EMPACADO</t>
  </si>
  <si>
    <t>102gr</t>
  </si>
  <si>
    <t>100gr</t>
  </si>
  <si>
    <t>24-30</t>
  </si>
  <si>
    <t>162gr</t>
  </si>
  <si>
    <t>243gr</t>
  </si>
  <si>
    <t>54 gr</t>
  </si>
  <si>
    <t>44gr</t>
  </si>
  <si>
    <t>66gr</t>
  </si>
  <si>
    <t>CHOCORAMO TAJADA</t>
  </si>
  <si>
    <t>barrita de chocolate rrellena de frutos rojos</t>
  </si>
  <si>
    <t>ACHIRA X 30</t>
  </si>
  <si>
    <t>ACHIRA X 17G 6 UNI</t>
  </si>
  <si>
    <t>ACHIRA X 100</t>
  </si>
  <si>
    <t>MULTIPACKX6 ARTESANAS TRIGO ENTERO 162G</t>
  </si>
  <si>
    <t>DISPLAYX9 ARTESANAS MIEL NATURAL 243G</t>
  </si>
  <si>
    <t>DONAS RAMO CHOCOLATE X 4</t>
  </si>
  <si>
    <t>DONAS RAMO CLASICAS X 4</t>
  </si>
  <si>
    <t>BROWNIE CHOCOLATE UNID. X 55 GR</t>
  </si>
  <si>
    <t>BROWNIE CHOCOL.UNID. 80 GR</t>
  </si>
  <si>
    <t>MUFFINS FEL CHOCO X 6</t>
  </si>
  <si>
    <t>MUFFINS FELICIDADES X6 CON ARANDANOS 480 gr</t>
  </si>
  <si>
    <t>E1_58</t>
  </si>
  <si>
    <t>PE9_59</t>
  </si>
  <si>
    <t>PE12_59</t>
  </si>
  <si>
    <t>PE2_42</t>
  </si>
  <si>
    <t>PE2_59</t>
  </si>
  <si>
    <t>PE12_36</t>
  </si>
  <si>
    <t>CODIGO ALIMENTO</t>
  </si>
  <si>
    <t>CALCULO DEL VALOR UNITARIO DE LOS COMPONENTES  TIPO A- B- C  SEGUNDA ENTREGA</t>
  </si>
  <si>
    <t>SUMINISTROS TIPOA</t>
  </si>
  <si>
    <t>SUMINISTROS TIPOB</t>
  </si>
  <si>
    <t>SUMINISTROS TIPOC</t>
  </si>
  <si>
    <t>SUMINISTROS TIPO MUJER (NOCTURNO)</t>
  </si>
  <si>
    <t>SUMINISTROS TIPO HOMBRE (NOCTURNO)</t>
  </si>
  <si>
    <t>Nombre Producto</t>
  </si>
  <si>
    <t>Precios Base Gravable</t>
  </si>
  <si>
    <t>Galletas horneadas con chip de chocolate en empaque primario  de una una laminacion de dos bopp transparente de 15 micras c/u con peso de 30 gr y minimo 10 galletas por empaque,vida util de 120 dias,embaladas en caja de carton x 180 unds (no se pueden entregar en canastilla por eso la oferta se hace en caja de carton)</t>
  </si>
  <si>
    <t>VALOR TOTAL GRUPO</t>
  </si>
  <si>
    <t>JANR</t>
  </si>
  <si>
    <t>ACHIRAS GIGANTENAS</t>
  </si>
  <si>
    <t>IND ALIMENTICIA DEL HUILA</t>
  </si>
  <si>
    <t>ITALO</t>
  </si>
  <si>
    <t>CADA PAQUETE CORESPONDE x 26 GR</t>
  </si>
  <si>
    <t>CADA PAQUETE CORESPONDE  x 26 GR</t>
  </si>
  <si>
    <t>COD
ELEMENTO X TIPO</t>
  </si>
  <si>
    <t>CANTIDAD ESTIMADA DE ENTREGAS DIARIAS SEGÚN TIPO DE REFRIGERIO LAV</t>
  </si>
  <si>
    <t>CANTIDAD ESTIMADA DE ENTREGAS DIARIAS POR TIPO DE REFRIGERIO FDS</t>
  </si>
  <si>
    <t>ENTREGAS ESTIMADAS PARA LA VIGENCIA 2017</t>
  </si>
  <si>
    <t>Consolida los componentes asociados a cada uno de los 15 Menús (Primera y Segunda entrega), incluye el detalle de los menús especiales primera entrega y los componentes de los menús de contingencia de acuerdo a lo estipulado en el anexo técnico</t>
  </si>
  <si>
    <t>FORMA EVALUACION</t>
  </si>
  <si>
    <t>RES_RESUMEN_PRESUPUESTO_2</t>
  </si>
  <si>
    <t>TIPO REGISTRO</t>
  </si>
  <si>
    <t>COSTPE_A_ALIMENTOS</t>
  </si>
  <si>
    <t>COSTSE_A_ALIMENTOS</t>
  </si>
  <si>
    <t>CAL_PRIMERA_ENTREGA_FRUTA</t>
  </si>
  <si>
    <t>CAL_SEGUNDA_ENTREGA_FDS_FRUTA</t>
  </si>
  <si>
    <t>CAL_SEGUNDA_ENTREGA_LAV_FRUTA</t>
  </si>
  <si>
    <t>COSTPE_A_CATEGORIA</t>
  </si>
  <si>
    <t>COSTPE_A_COSTO_TOTAL_A</t>
  </si>
  <si>
    <t>COSTPE_A_COSTO_TOTAL_B</t>
  </si>
  <si>
    <t>COSTPE_A_COSTO_TOTAL_C</t>
  </si>
  <si>
    <t>COSTPE_A_COSTO_TOTAL_H</t>
  </si>
  <si>
    <t>COSTPE_A_COSTO_TOTAL_M</t>
  </si>
  <si>
    <t>COSTSE_A_CATEGORIA</t>
  </si>
  <si>
    <t>COSTSE_A_COSTO_TOTAL_A</t>
  </si>
  <si>
    <t>COSTSE_A_COSTO_TOTAL_B</t>
  </si>
  <si>
    <t>COSTSE_A_COSTO_TOTAL_C</t>
  </si>
  <si>
    <t>FRE_FRECUENCIA_MENUS_FDS</t>
  </si>
  <si>
    <t>FRE_FRECUENCIA_MENUS_LAV</t>
  </si>
  <si>
    <t>MNU_CODIGO_ALIMENTO</t>
  </si>
  <si>
    <t>MNU_CODIGO_ALIMENTO_ENTREGA</t>
  </si>
  <si>
    <t>MNU_FRECUENCIAS_FDS</t>
  </si>
  <si>
    <t>MNU_FRECUENCIAS_LAV</t>
  </si>
  <si>
    <t>MNU_GRUPO_ALIMENTO_PRECIO</t>
  </si>
  <si>
    <t>MNU_VOLUMEN_TOTAL_A</t>
  </si>
  <si>
    <t>MNU_VOLUMEN_TOTAL_B</t>
  </si>
  <si>
    <t>MNU_VOLUMEN_TOTAL_C</t>
  </si>
  <si>
    <t>MNU_VOLUMEN_TOTAL_H</t>
  </si>
  <si>
    <t>MNU_VOLUMEN_TOTAL_M</t>
  </si>
  <si>
    <t>Descripción breve del contenido de cada Tabla</t>
  </si>
  <si>
    <t>DESCRIPCIÓN BREVE</t>
  </si>
  <si>
    <t>VALOR PRESUPUESTO</t>
  </si>
  <si>
    <t>CHEFRITO</t>
  </si>
  <si>
    <t>EL CARRIEL</t>
  </si>
  <si>
    <t>24 a 30</t>
  </si>
  <si>
    <t>24 gr</t>
  </si>
  <si>
    <t>EL PRECIO SE MANTIENE</t>
  </si>
  <si>
    <t>COTIZACION NUEVA</t>
  </si>
  <si>
    <t>Solo cotizo la galleta de 30gr</t>
  </si>
  <si>
    <t>en la cotizacion anterior cotizo bolsa de 28 gr a 860 sin iva y 903 con iva</t>
  </si>
  <si>
    <t>el precio vario en relacion al gramaje</t>
  </si>
  <si>
    <t>precio vario en relacion grameje</t>
  </si>
  <si>
    <t>COTIZACION ESTUDIO SED 2016 - NUEVO MODELO</t>
  </si>
  <si>
    <t>bolsa9x3</t>
  </si>
  <si>
    <t>cotizacion nueva no hay variacion</t>
  </si>
  <si>
    <t>subio el precio</t>
  </si>
  <si>
    <t>PANIFICADORA EL COUNTRY</t>
  </si>
  <si>
    <t>Gta. DUX Integral  Bs. 9 PAQUETES  x3. Cada paquete de 27.8 gr</t>
  </si>
  <si>
    <t>Cotizo por primera vez este producto</t>
  </si>
  <si>
    <t>SANTA HELENA</t>
  </si>
  <si>
    <t>22 gr</t>
  </si>
  <si>
    <t>63 gr</t>
  </si>
  <si>
    <t>37 gr</t>
  </si>
  <si>
    <t>se mantiene el precio frente a cotizacion anterio</t>
  </si>
  <si>
    <t>los precios varian por gramajes ya que en la cotizacion actual el proveedor lo maneja</t>
  </si>
  <si>
    <t>el precio baja en cotizacion actual</t>
  </si>
  <si>
    <t>varia precio</t>
  </si>
  <si>
    <t>producto nuevo a cotizar frente a la anterior cotizacion</t>
  </si>
  <si>
    <t>varia precio con relacion al gramaje</t>
  </si>
  <si>
    <t>varia</t>
  </si>
  <si>
    <t>HOJANDRAS DIVALY</t>
  </si>
  <si>
    <t>ESTADISTICO SELECCIONADO</t>
  </si>
  <si>
    <t>VALOR UNITARIO IVA INCLUDO</t>
  </si>
  <si>
    <t>VALOR UNITARIO BASE GRAVABLE</t>
  </si>
  <si>
    <t>VALOR PONDERADO BASE GRAVABLE</t>
  </si>
  <si>
    <t>VALOR PONDERADO IVA INCLUIDO</t>
  </si>
  <si>
    <t>CALCULO PROMEDIO SIMPLE</t>
  </si>
  <si>
    <t>CALCULO MEDIA GEOMETRICA</t>
  </si>
  <si>
    <t>MEDIA GEOMETRICA BASE GRAVABLE</t>
  </si>
  <si>
    <t>MEDIA GEOMETRICA IVA INCLUIDO</t>
  </si>
  <si>
    <t>Establece el Producto de los Valores Cotizados asosiados al producto de cada fila (Valores Base Gravable)</t>
  </si>
  <si>
    <t>Establece el Producto de los Valores Cotizados asosiados al producto de cada fila (Valores Iva Incluido)</t>
  </si>
  <si>
    <t>Desviacion Estándar
(Valores Iva Incluido)</t>
  </si>
  <si>
    <t>Mediana
(Valores Iva Incluido)</t>
  </si>
  <si>
    <t>Desviacion Estándar 
(Valores Base Gavable)</t>
  </si>
  <si>
    <t>Mediana
(Valores Base Gavable)</t>
  </si>
  <si>
    <t>CALCULO MEDIANA</t>
  </si>
  <si>
    <t>CALCULO P. PONDERADO</t>
  </si>
  <si>
    <t>Estado Revisión</t>
  </si>
  <si>
    <t>Unidad de Medida</t>
  </si>
  <si>
    <t>Valor Unitario 
(Iva Incluido)</t>
  </si>
  <si>
    <t>Valor Unitario 
(Base Gravable)</t>
  </si>
  <si>
    <t>Promedio Simple
(Base Gravable)</t>
  </si>
  <si>
    <t>Promedio Simple 
(Iva Incluido)</t>
  </si>
  <si>
    <t>Desviación Estandar
(Base Gravable)</t>
  </si>
  <si>
    <t>Desviación Estandar
(Iva Incluido)</t>
  </si>
  <si>
    <t>Mediana 
(Iva Incluido)</t>
  </si>
  <si>
    <t>Mediana
(Base Gravable)</t>
  </si>
  <si>
    <t>Promedio Ponderado
(Iva Incluido)</t>
  </si>
  <si>
    <t>Promedio Ponderado
(Base Gravable)</t>
  </si>
  <si>
    <t>CALCULO DESVIACIÓN E.</t>
  </si>
  <si>
    <t>COEFICIENTE D. E.</t>
  </si>
  <si>
    <t>Coef 
(Iva Incluido)</t>
  </si>
  <si>
    <t>Coef 
(Base Gravable)</t>
  </si>
  <si>
    <t>CALCULO CUARTIL</t>
  </si>
  <si>
    <t>Valor Mas Bajo
(Base Gravable)</t>
  </si>
  <si>
    <t>Valor Mas Bajo
(Iva Incluido)</t>
  </si>
  <si>
    <t>Valor Mas Alto
(Base Gravable)</t>
  </si>
  <si>
    <t>Valor Mas Alto
(Iva Incluido)</t>
  </si>
  <si>
    <t>VALOR MAS BAJO</t>
  </si>
  <si>
    <t>VALOR MAS ALTO</t>
  </si>
  <si>
    <t>Obtienen el Valor Minimo Cotizado del producto
(Valores Base Gavable)</t>
  </si>
  <si>
    <t>Obtienen el Valor Minimo Cotizado del producto
(Valores Iva Incluido)</t>
  </si>
  <si>
    <t>Obtienen el Valor Maximo Cotizado del producto
(Valores Iva Incluido)</t>
  </si>
  <si>
    <t>Obtienen el Valor Maximo Cotizado del producto
(Valores Base Gavable)</t>
  </si>
  <si>
    <t>CALCULO DEL COSTO X COMPONENTE</t>
  </si>
  <si>
    <t>CALCULO CON LOS VALORES BASE GRAVABLE</t>
  </si>
  <si>
    <t>CALCULO CON LOS VALORES IVA INCLUIDO</t>
  </si>
  <si>
    <t>Valor gr o ml  Tipo C</t>
  </si>
  <si>
    <t>Valor gr o ml  Tipo B</t>
  </si>
  <si>
    <t>Valor gr o ml  Tipo A</t>
  </si>
  <si>
    <t>Valor gr o ml  Tipo H</t>
  </si>
  <si>
    <t>Valor gr o ml  Tipo M</t>
  </si>
  <si>
    <t>VALOR TOTAL SELECCIONADO</t>
  </si>
  <si>
    <t>VALOR UNITARIO SELECCIONADO</t>
  </si>
  <si>
    <t>PE10 - FESTIVO</t>
  </si>
  <si>
    <t>PE7- DIA DEL TRABAJO</t>
  </si>
  <si>
    <t>PE11 - FESTIVO</t>
  </si>
  <si>
    <t>PE2 - 20 DE JULIO</t>
  </si>
  <si>
    <t>PE14 - 7 DE AGOSTO</t>
  </si>
  <si>
    <t>PE8 - FESTIVO</t>
  </si>
  <si>
    <t>SE2- FESTIVO</t>
  </si>
  <si>
    <t>SE2 - DIA DEL TRABAJO</t>
  </si>
  <si>
    <t>SE8 - 20 DE JULIO</t>
  </si>
  <si>
    <t>SE8 - 7 DE AGOSTO</t>
  </si>
  <si>
    <t>SE2 - FESTIVO</t>
  </si>
  <si>
    <t>IBEASER</t>
  </si>
  <si>
    <t xml:space="preserve">gr </t>
  </si>
  <si>
    <t>variacion precio los gramajes no coreresponden a lo solicitado</t>
  </si>
  <si>
    <t>Dunitas Espolvoreadas 2 unidades x empaque  60g BIM variacion precio</t>
  </si>
  <si>
    <t>Dunita Espolvoreada  1 unidad x empaque 30g varioprecio</t>
  </si>
  <si>
    <t>Mantecada 55g GUA variacion de precio</t>
  </si>
  <si>
    <t>Muff ChocoChips Navidad 50g BIM  varion precio</t>
  </si>
  <si>
    <t>Muffins Mora Azul 95g BIM  vario precio</t>
  </si>
  <si>
    <t>E1_33</t>
  </si>
  <si>
    <t>E1_46</t>
  </si>
  <si>
    <t>PE13_36</t>
  </si>
  <si>
    <t>PE15_36</t>
  </si>
  <si>
    <t>PE9_36</t>
  </si>
  <si>
    <t>PE13_59</t>
  </si>
  <si>
    <t>PE7_59</t>
  </si>
  <si>
    <t>PE2_58</t>
  </si>
  <si>
    <t>PE2_43</t>
  </si>
  <si>
    <t>PE4_42</t>
  </si>
  <si>
    <t>PE9_69</t>
  </si>
  <si>
    <t>PE11_33</t>
  </si>
  <si>
    <t>PE11_46</t>
  </si>
  <si>
    <t>PE11_43</t>
  </si>
  <si>
    <t>PE11_70</t>
  </si>
  <si>
    <t>PE13_58</t>
  </si>
  <si>
    <t>PE7_70</t>
  </si>
  <si>
    <t>PE3_58</t>
  </si>
  <si>
    <t>PE12_46</t>
  </si>
  <si>
    <t>PE6_17</t>
  </si>
  <si>
    <t>PE13_43</t>
  </si>
  <si>
    <t>PE13_17</t>
  </si>
  <si>
    <t>PE14_43</t>
  </si>
  <si>
    <t>PE9_22</t>
  </si>
  <si>
    <t>PE3_42</t>
  </si>
  <si>
    <t>PE2_69</t>
  </si>
  <si>
    <t>PE9_70</t>
  </si>
  <si>
    <t>PE3_33</t>
  </si>
  <si>
    <t>PE7_58</t>
  </si>
  <si>
    <t>PE12_17</t>
  </si>
  <si>
    <t>PE14_42</t>
  </si>
  <si>
    <t>PE7_17</t>
  </si>
  <si>
    <t>PE13_46</t>
  </si>
  <si>
    <t>PE3_43</t>
  </si>
  <si>
    <t>PE6_69</t>
  </si>
  <si>
    <t>PE7_69</t>
  </si>
  <si>
    <t>PE13_22</t>
  </si>
  <si>
    <t>PE14_58</t>
  </si>
  <si>
    <t>PE3_46</t>
  </si>
  <si>
    <t>PE15_69</t>
  </si>
  <si>
    <t>PE15_33</t>
  </si>
  <si>
    <t>PE14_22</t>
  </si>
  <si>
    <t>E3_33</t>
  </si>
  <si>
    <t>E2_33</t>
  </si>
  <si>
    <t>PE15_43</t>
  </si>
  <si>
    <t>REVISADO</t>
  </si>
  <si>
    <t>PE2_8</t>
  </si>
  <si>
    <t>PE1_17</t>
  </si>
  <si>
    <t>PE7_7</t>
  </si>
  <si>
    <t>PE1_42</t>
  </si>
  <si>
    <t>PE1_33</t>
  </si>
  <si>
    <t>PE3_7</t>
  </si>
  <si>
    <t>PE6_8</t>
  </si>
  <si>
    <t>PE1_43</t>
  </si>
  <si>
    <t>PE1_58</t>
  </si>
  <si>
    <t>SE2_7</t>
  </si>
  <si>
    <t>SE3_7</t>
  </si>
  <si>
    <t>SE3_8</t>
  </si>
  <si>
    <t>SE5_7</t>
  </si>
  <si>
    <t>SE6_8</t>
  </si>
  <si>
    <t>SE6_7</t>
  </si>
  <si>
    <t>SE8_8</t>
  </si>
  <si>
    <t>SE9_7</t>
  </si>
  <si>
    <t>SE1_7</t>
  </si>
  <si>
    <t>SE2_8</t>
  </si>
  <si>
    <t>SE4_8</t>
  </si>
  <si>
    <t>SE6_59</t>
  </si>
  <si>
    <t>SE12_59</t>
  </si>
  <si>
    <t>SE15_59</t>
  </si>
  <si>
    <t>SE2_59</t>
  </si>
  <si>
    <t>SE14_59</t>
  </si>
  <si>
    <t>SE6_36</t>
  </si>
  <si>
    <t>SE8_36</t>
  </si>
  <si>
    <t>SE4_36</t>
  </si>
  <si>
    <t>SE9_36</t>
  </si>
  <si>
    <t>SE5_36</t>
  </si>
  <si>
    <t>SE1_17</t>
  </si>
  <si>
    <t>SE3_22</t>
  </si>
  <si>
    <t>SE4_33</t>
  </si>
  <si>
    <t>SE5_42</t>
  </si>
  <si>
    <t>SE8_43</t>
  </si>
  <si>
    <t>SE9_43</t>
  </si>
  <si>
    <t>SE12_46</t>
  </si>
  <si>
    <t>SE13_58</t>
  </si>
  <si>
    <t>SE14_17</t>
  </si>
  <si>
    <t>SE14_22</t>
  </si>
  <si>
    <t>SE15_22</t>
  </si>
  <si>
    <t>SE1_22</t>
  </si>
  <si>
    <t>SE15_33</t>
  </si>
  <si>
    <t>SE4_42</t>
  </si>
  <si>
    <t>SE5_43</t>
  </si>
  <si>
    <t>SE8_46</t>
  </si>
  <si>
    <t>SE9_46</t>
  </si>
  <si>
    <t>SE9_58</t>
  </si>
  <si>
    <t>SE9_17</t>
  </si>
  <si>
    <t>SE9_22</t>
  </si>
  <si>
    <t>SE12_17</t>
  </si>
  <si>
    <t>SE15_42</t>
  </si>
  <si>
    <t>SE1_43</t>
  </si>
  <si>
    <t>SE2_46</t>
  </si>
  <si>
    <t>SE2_58</t>
  </si>
  <si>
    <t>SE3_17</t>
  </si>
  <si>
    <t>SE6_22</t>
  </si>
  <si>
    <t>SE8_33</t>
  </si>
  <si>
    <t>SE8_42</t>
  </si>
  <si>
    <t>SE8_58</t>
  </si>
  <si>
    <t>SE12_33</t>
  </si>
  <si>
    <t>SE14_58</t>
  </si>
  <si>
    <t>SE15_46</t>
  </si>
  <si>
    <t>SE12_58</t>
  </si>
  <si>
    <t>SE13_22</t>
  </si>
  <si>
    <t>SE15_17</t>
  </si>
  <si>
    <t>SE1_42</t>
  </si>
  <si>
    <t>SE2_43</t>
  </si>
  <si>
    <t>SE4_58</t>
  </si>
  <si>
    <t>SE13_69</t>
  </si>
  <si>
    <t>SE12_70</t>
  </si>
  <si>
    <t>SE13_42</t>
  </si>
  <si>
    <t>SE1_33</t>
  </si>
  <si>
    <t>SE3_69</t>
  </si>
  <si>
    <t>SE6_46</t>
  </si>
  <si>
    <t>SE8_17</t>
  </si>
  <si>
    <t>SE14_43</t>
  </si>
  <si>
    <t>SE1_69</t>
  </si>
  <si>
    <t>SE3_58</t>
  </si>
  <si>
    <t>SE4_17</t>
  </si>
  <si>
    <t>SE5_17</t>
  </si>
  <si>
    <t>SE5_22</t>
  </si>
  <si>
    <t>SE9_42</t>
  </si>
  <si>
    <t>SE12_43</t>
  </si>
  <si>
    <t>SE13_46</t>
  </si>
  <si>
    <t>SE15_70</t>
  </si>
  <si>
    <t>SE1_70</t>
  </si>
  <si>
    <t>SE2_22</t>
  </si>
  <si>
    <t>SE3_33</t>
  </si>
  <si>
    <t>SE2_33</t>
  </si>
  <si>
    <t>SE3_42</t>
  </si>
  <si>
    <t>SE4_43</t>
  </si>
  <si>
    <t>SE5_46</t>
  </si>
  <si>
    <t>SE6_58</t>
  </si>
  <si>
    <t>SE9_70</t>
  </si>
  <si>
    <t>SE4_69</t>
  </si>
  <si>
    <t>SE1_46</t>
  </si>
  <si>
    <t>SE3_70</t>
  </si>
  <si>
    <t>SE6_69</t>
  </si>
  <si>
    <t>SE8_22</t>
  </si>
  <si>
    <t>SE12_42</t>
  </si>
  <si>
    <t>SE14_46</t>
  </si>
  <si>
    <t>SE15_58</t>
  </si>
  <si>
    <t>SE4_22</t>
  </si>
  <si>
    <t>SE5_33</t>
  </si>
  <si>
    <t>SE14_69</t>
  </si>
  <si>
    <t>SE13_17</t>
  </si>
  <si>
    <t>SE8_69</t>
  </si>
  <si>
    <t>SE4_70</t>
  </si>
  <si>
    <t>SE6_42</t>
  </si>
  <si>
    <t>SE15_43</t>
  </si>
  <si>
    <t>SE9_8</t>
  </si>
  <si>
    <t>SE13_70</t>
  </si>
  <si>
    <t>SE2_17</t>
  </si>
  <si>
    <t>Calculo primer Cuartil
(Valores Base Gavable)</t>
  </si>
  <si>
    <t>Calculo primer Cuartil
(Valores Iva Incluido)</t>
  </si>
  <si>
    <t>Primer Cuartil</t>
  </si>
  <si>
    <t>BROWNIE/ BROWNIE CUBIERTO DE CHOCOLATE</t>
  </si>
  <si>
    <t xml:space="preserve">cotizacion nueva </t>
  </si>
  <si>
    <t>ALFAGORES DEL CERRO</t>
  </si>
  <si>
    <t>Primer Cuartil
(Base Gravable)</t>
  </si>
  <si>
    <t>Primer Cuartil
(Iva Incluido)</t>
  </si>
  <si>
    <t>LA RECETA</t>
  </si>
  <si>
    <t>463-11</t>
  </si>
  <si>
    <t>CATALINSA</t>
  </si>
  <si>
    <t>cotizacion nueva</t>
  </si>
  <si>
    <t>(MAX 2 UNID)  cotizacion nueva</t>
  </si>
  <si>
    <t>(MAX 2 UNID) cotizacion nueva</t>
  </si>
  <si>
    <t>30 (MAX 2 UNID)</t>
  </si>
  <si>
    <t>IND INAVIGOR</t>
  </si>
  <si>
    <t>SECRETARÍA DE EDUCACIÓN DEL DISTRITO</t>
  </si>
  <si>
    <t>DIRECCIÓN DE BIENESTAR ESTUDIANTIL</t>
  </si>
  <si>
    <t>PROGRAMA DE ALIMENTACIÓN ESCOLAR</t>
  </si>
  <si>
    <t>Ir a Índice</t>
  </si>
  <si>
    <t>CATEGORÍA</t>
  </si>
  <si>
    <t>DÍAS ATENCIÓN</t>
  </si>
  <si>
    <t>TOTAL PRESUPUESTO REFRIGERIOS PAE 2017</t>
  </si>
  <si>
    <t>CATEGORÍA ACUERDO MARCO DE PRECIOS</t>
  </si>
  <si>
    <t>RAZÓN SOCIAL Y/O FUENTE INFORMACIÓN</t>
  </si>
  <si>
    <t xml:space="preserve">PRESENTACIÓN OFERTADA PROVEEDOR </t>
  </si>
  <si>
    <t xml:space="preserve">PRESENTACIÓN REQUERIDA
SED
</t>
  </si>
  <si>
    <t>CUMPLE PRESENTACIÓN</t>
  </si>
  <si>
    <t>PRODUCCIÓN ACTUAL</t>
  </si>
  <si>
    <t>CAPACIDAD MÁXIMA DE PRODUCCIÓN DIARIA</t>
  </si>
  <si>
    <t>TIPO COTIZACIÓN</t>
  </si>
  <si>
    <t>INDIQUE  EL MÉTODO DE CÁLCULO PRECIOS UNITARIOS</t>
  </si>
  <si>
    <t>CÁLCULO DEL VALOR UNITARIO DE LOS COMPONENTES  TIPO A- B- C-N (MUJER Y HOMBRE )- PRIMERA ENTREGA</t>
  </si>
  <si>
    <t>Precios Iva Incluído</t>
  </si>
  <si>
    <t>PROYECCIÓN VOLUMEN SUMINISTROS DIARIOS</t>
  </si>
  <si>
    <t>RAZÓN SOCIAL</t>
  </si>
  <si>
    <t>FECHA COTIZACIÓN</t>
  </si>
  <si>
    <t>PROYECCIÓN ENTREGA DE MENÚS AÑO 2017</t>
  </si>
  <si>
    <t>PROGRAMACIÓN PRIMERA  ENTREGA</t>
  </si>
  <si>
    <t>PROGRAMACIÓN SEGUNDA ENTREGA</t>
  </si>
  <si>
    <t>MENÚ PROGRAMADO</t>
  </si>
  <si>
    <t>SIMULACIÓN PROGRAMACIÓN FRUTA</t>
  </si>
  <si>
    <t>MENÚ PROGRAMADO
(LUNES A VIERNES)</t>
  </si>
  <si>
    <t>SIMULACIÓN PROGRAMACIÓN FRUTA
(LUNES A VIERNES)</t>
  </si>
  <si>
    <t>SIMULACIÓN PROGRAMACIÓN FRUTA
(FIN DE SEMANA)</t>
  </si>
  <si>
    <t>FRECUENCIA MENÚS VIGENCIA 2017</t>
  </si>
  <si>
    <t>FRECUENCIAS ESTIMADAS Y PROYECCIóN DE LA CANTIDAD DE MENÚS A ENTREGAR VIGENCIA 2017</t>
  </si>
  <si>
    <t>ESTIMADO DEL NUMERO DE DIAS  A ENTREGAR EL MENÚ</t>
  </si>
  <si>
    <t>MENÚS PROGRAMADOS PARA LA PRIMERA ENTREGA</t>
  </si>
  <si>
    <t>MENÚS PROGRAMADOS PARA LA SEGUNDA  ENTREGA
(LUNES AVIERNES)</t>
  </si>
  <si>
    <t>MENÚS PROGRAMADOS PARA LA SEGUNDA  ENTREGA
(FIN DE SEMANA)</t>
  </si>
  <si>
    <t xml:space="preserve">PROYECTO 1052- 1 CORRESPONDE A PRIMERA ENTREGA </t>
  </si>
  <si>
    <t xml:space="preserve">PROYECTO 1052- 2 CORRESPONDE A SEGUNDA  ENTREGA </t>
  </si>
  <si>
    <t>En esta hoja de cálculo se realiza la simulación de la rotación de los menús para la vigencia 2017.</t>
  </si>
  <si>
    <t>Refleja para cada uno de los elementos (alimentos, transporte, canastillas, dotación, empaques, etc.) cotizados, el cálculo de los valores unitarios conforme las cotizaciones recepcionadas y existentes en la tabla COT_BASE_COTIZACIONES</t>
  </si>
  <si>
    <t>Documenta de manera ordenada  los registros de cotización recepcionados durante la ejecución del estudio de costos 2016. En la base de datos existen tres tipos de registros.</t>
  </si>
  <si>
    <t>Código Alimento</t>
  </si>
  <si>
    <t>MENÚ</t>
  </si>
  <si>
    <t>VENTAS</t>
  </si>
  <si>
    <t>GERENTE DE VENTAS</t>
  </si>
  <si>
    <t>ALMACENES ÉXITO</t>
  </si>
  <si>
    <t>890900608-9</t>
  </si>
  <si>
    <t>LEONARDO RIOS</t>
  </si>
  <si>
    <t>AUXILIAR VENTAS POR MAYOR</t>
  </si>
  <si>
    <t>311 65 51</t>
  </si>
  <si>
    <t>VentasporMayor.ExitoCalle80@grupo-exito.com</t>
  </si>
  <si>
    <t>CAROLINA VELEZ</t>
  </si>
  <si>
    <t>REPRESENTANTE DE VENTAS</t>
  </si>
  <si>
    <t>informacion14_ta30@la14.com</t>
  </si>
  <si>
    <t>ALKOSTO S.A.</t>
  </si>
  <si>
    <t>890.900.943-1</t>
  </si>
  <si>
    <t>VICENTE CARDOZO</t>
  </si>
  <si>
    <t>VENTAS INSTITUCIONALES ALKOSTO S.A.</t>
  </si>
  <si>
    <t>437 68 68/65 16</t>
  </si>
  <si>
    <t>vicente.cardozo@alkosto.com.co</t>
  </si>
  <si>
    <t>COMPAÑIA PROCESADORA Y DISTRIBUIDORA DE LACTEOS LTDA. - PRODILACTEOS HDA. SAN MATEO</t>
  </si>
  <si>
    <t>860043347 - 5</t>
  </si>
  <si>
    <t>LUIS FRANCISCO CHAVES GARCIA</t>
  </si>
  <si>
    <t>866 04 39 - 310 854 01 49</t>
  </si>
  <si>
    <t>GERENTE COMERCIAL</t>
  </si>
  <si>
    <t>GERENTE GENERAL</t>
  </si>
  <si>
    <t>IBEASER - IBEROAMERICANA DE ALIMENTOS Y SERVICIOS S.A.S.</t>
  </si>
  <si>
    <t>MARLY MINA CADENA - FERNANDO SALAZAR</t>
  </si>
  <si>
    <t>JEFE DED PRODUCCION - JEFE DE PRESUPUESTO</t>
  </si>
  <si>
    <t>4463200 EXT 143</t>
  </si>
  <si>
    <t>jefe.produccion@ibeaser.com - jefe.presupuestos@ibeaser.com</t>
  </si>
  <si>
    <t>INDUCAMP</t>
  </si>
  <si>
    <t>830073279 - 1</t>
  </si>
  <si>
    <t>ZULI MARTINEZ</t>
  </si>
  <si>
    <t>COORDINADORA COMERCIAL</t>
  </si>
  <si>
    <t>252 79 18 - 491 86 34 - 320 847 61 04</t>
  </si>
  <si>
    <t>camp.comercial2@gmail.com</t>
  </si>
  <si>
    <t>LA CAMPIÑA S.A.</t>
  </si>
  <si>
    <t>860.001.847-6</t>
  </si>
  <si>
    <t>JORGE TORRES</t>
  </si>
  <si>
    <t>DIRECTOR COMERCIAL</t>
  </si>
  <si>
    <t>5878090 ext 351 y 401</t>
  </si>
  <si>
    <t>jtorres@lacampina.com.co</t>
  </si>
  <si>
    <t>900213759 – 0</t>
  </si>
  <si>
    <t>LUIS GABRIEL QUIMBAYA</t>
  </si>
  <si>
    <t>304 357 41 28</t>
  </si>
  <si>
    <t>lgquimbaya@larecetta.com</t>
  </si>
  <si>
    <t>PRODUCTOS LACTEOS COLFRANCE CPS EN C</t>
  </si>
  <si>
    <t>800255713 - 1</t>
  </si>
  <si>
    <t>HENRY PEÑA</t>
  </si>
  <si>
    <t>JEFE DE PRODUCCIÓN</t>
  </si>
  <si>
    <t>855 81 33 - 310 249 25 63</t>
  </si>
  <si>
    <t>ADMINISTRADORA</t>
  </si>
  <si>
    <t>SUBGERENTE</t>
  </si>
  <si>
    <t>GERENTE</t>
  </si>
  <si>
    <t>produccion@colfrance.com.co</t>
  </si>
  <si>
    <t>PANIFICADORA PANPAYA</t>
  </si>
  <si>
    <t>VIVIANA LESMES</t>
  </si>
  <si>
    <t>4857770 6130127 6136407</t>
  </si>
  <si>
    <t>pedidos@panpaya.com.com</t>
  </si>
  <si>
    <t>PRODUCTOS DRYCOL</t>
  </si>
  <si>
    <t>ANDRES ORTIZ</t>
  </si>
  <si>
    <t>3118106100 8223432</t>
  </si>
  <si>
    <t>aortiz@drycol.co</t>
  </si>
  <si>
    <t>NUTRIMOS</t>
  </si>
  <si>
    <t>ANTONIO COY</t>
  </si>
  <si>
    <t>sael-sa@hotmail.com</t>
  </si>
  <si>
    <t xml:space="preserve">SUPERMRCADO NATURISTA </t>
  </si>
  <si>
    <t>MARIA EUGENIA DE GIL</t>
  </si>
  <si>
    <t>7449390-3905012-6278854-4117058</t>
  </si>
  <si>
    <t>gerencia@supermercadonaturista.com</t>
  </si>
  <si>
    <t>AUTENTICAS ACHIRAS DE HUILA SAN GILBERTO</t>
  </si>
  <si>
    <t>ALEX SANCHEZ</t>
  </si>
  <si>
    <t>314 291 27 02</t>
  </si>
  <si>
    <t>autenticasachirasdelhuila@hotmail.com</t>
  </si>
  <si>
    <t>ACHIRAS GIGANTEÑAS</t>
  </si>
  <si>
    <t>900776215-1</t>
  </si>
  <si>
    <t>LUIS RAMIREZ</t>
  </si>
  <si>
    <t>REPRESENTANTE  DE VENTAS</t>
  </si>
  <si>
    <t>540 16 28 -  310 287 12 05</t>
  </si>
  <si>
    <t>achirasgigantenas@gmail.com</t>
  </si>
  <si>
    <t>ACHIRAS MAMA PANCHA</t>
  </si>
  <si>
    <t>19372499-6</t>
  </si>
  <si>
    <t xml:space="preserve">VICTOR LADINO </t>
  </si>
  <si>
    <t>GERENTE VENTAS</t>
  </si>
  <si>
    <t>863 19 20-316 742 16 94</t>
  </si>
  <si>
    <t>bocados.direccion@gmail.com</t>
  </si>
  <si>
    <t>ALFAJORES DEL CERRO</t>
  </si>
  <si>
    <t>JULIAN OLAYA</t>
  </si>
  <si>
    <t>318 362 71 53</t>
  </si>
  <si>
    <t>gerencia@alfajoresdelcerro.com</t>
  </si>
  <si>
    <t>830002366-0</t>
  </si>
  <si>
    <t>WILLIAM GOMEZ</t>
  </si>
  <si>
    <t>REPRENTANTE DE VENTAS</t>
  </si>
  <si>
    <t>7452111- 8772110 3208301782</t>
  </si>
  <si>
    <t>william.gomez@grupobimbo.com</t>
  </si>
  <si>
    <t>830124531-3</t>
  </si>
  <si>
    <t>MAURICIO VILLALOBOS - GIONANY GARA</t>
  </si>
  <si>
    <t>GERENTE - ING. DE PRODUCCION</t>
  </si>
  <si>
    <t>produccion2@catalinsa.co - gerencia@catalinsa.co - coordinacionrefrigerios@catalinsa.co</t>
  </si>
  <si>
    <t>CHEFRITO/INCODER S.A/INCODEPF</t>
  </si>
  <si>
    <t>860450234-7</t>
  </si>
  <si>
    <t>VIVIANA MUÑOZ</t>
  </si>
  <si>
    <t>lnstitucional@chefrito.com</t>
  </si>
  <si>
    <t xml:space="preserve">VIVIANA MUÑOZ </t>
  </si>
  <si>
    <t xml:space="preserve">SUPERVISORA PRODUCTOS INSTITUCIONALES </t>
  </si>
  <si>
    <t>8260295-3114753823</t>
  </si>
  <si>
    <t>institucional@chefrito.com</t>
  </si>
  <si>
    <t>COLOMBINA S.A.</t>
  </si>
  <si>
    <t>SANDRA MONTOYA</t>
  </si>
  <si>
    <t>3216487591-8861999</t>
  </si>
  <si>
    <t>smontoya@colombina.com</t>
  </si>
  <si>
    <t>COMESTIBLE LA ROSA S.A</t>
  </si>
  <si>
    <t>ALEJANDRA MONCADA  </t>
  </si>
  <si>
    <t>ASESORA DE CALL CENTER  </t>
  </si>
  <si>
    <t>alejandra.moncada@co.nestle.com</t>
  </si>
  <si>
    <t>DIVALI HOJALDRAS Y DELICIAS</t>
  </si>
  <si>
    <t>CATALINA DIAZ</t>
  </si>
  <si>
    <t>2405560-3118639 - 2508805-317 4420218</t>
  </si>
  <si>
    <t>ventas@hojaldresdivali.com</t>
  </si>
  <si>
    <t>DONAS FACTORY</t>
  </si>
  <si>
    <t>AIDA GUERRERO</t>
  </si>
  <si>
    <t>6100326-6272677</t>
  </si>
  <si>
    <t>nutrixfacturacion@zonak.com.co</t>
  </si>
  <si>
    <t>DUNKIN DONUTS</t>
  </si>
  <si>
    <t>MARIA LUISA CARMONA</t>
  </si>
  <si>
    <t>2100200   EXT 110 - 116- 112</t>
  </si>
  <si>
    <t>milena.lopez@dunkindonuts.com.co ventascorporativas@dunkindonuts.com.co</t>
  </si>
  <si>
    <t>FABRICA DE ACHIRAS EL BUEN GUSTO</t>
  </si>
  <si>
    <t>OLGA BOCANEGRA</t>
  </si>
  <si>
    <t>3143475075-3104853027-3208922205</t>
  </si>
  <si>
    <t>ingeniero.carlosariza@gmail.com</t>
  </si>
  <si>
    <t>GALLETAS A LA LATA</t>
  </si>
  <si>
    <t>VICTOR GARAY</t>
  </si>
  <si>
    <t>272 6631-314 219 4430</t>
  </si>
  <si>
    <t>galletasalalata@hotmail.es</t>
  </si>
  <si>
    <t>Ventas Sabana</t>
  </si>
  <si>
    <t>&lt;ventassabana@lacteoshaciendasanmateo.com</t>
  </si>
  <si>
    <t>HOJANDRAS DELY FACTORY</t>
  </si>
  <si>
    <t>OLGA LUCIA RODRIGUEZ</t>
  </si>
  <si>
    <t>674 8591 - 677 7962-313 385 2687 - 310 780 3328</t>
  </si>
  <si>
    <t>hdelifactory@yahoo.com</t>
  </si>
  <si>
    <t>800146323-3</t>
  </si>
  <si>
    <t>PATRICIA RUIZ</t>
  </si>
  <si>
    <t>DIRECTORA COMERCIAL</t>
  </si>
  <si>
    <t>ventasbogota@inavigor.com</t>
  </si>
  <si>
    <t>830006856-6</t>
  </si>
  <si>
    <t>OMAR RODRIGUEZ</t>
  </si>
  <si>
    <t>3605015-3713226-3012386022</t>
  </si>
  <si>
    <t>comercial@conalpan.com</t>
  </si>
  <si>
    <t>IND PANIFICADORA DE COLOMBIA</t>
  </si>
  <si>
    <t>LEONARDO MORENO</t>
  </si>
  <si>
    <t>130moreno@gmail.com</t>
  </si>
  <si>
    <t>IND PANIFICADORA EL COMETA</t>
  </si>
  <si>
    <t>860015941-1</t>
  </si>
  <si>
    <t>DENIS ECHEVERRIA</t>
  </si>
  <si>
    <t>3412640-2848859-2839043-2827489</t>
  </si>
  <si>
    <t>administracion@elcometa.com.co</t>
  </si>
  <si>
    <t>IND PANIFICADORA MAXLY</t>
  </si>
  <si>
    <t>800054052-7</t>
  </si>
  <si>
    <t>ADRIANA ESQUIVEL</t>
  </si>
  <si>
    <t>ventas@panmaxli.com</t>
  </si>
  <si>
    <t>IND PANIFICADORA NUTRIPAN</t>
  </si>
  <si>
    <t>YANET PINZON</t>
  </si>
  <si>
    <t>4715748   2017043  3142544861</t>
  </si>
  <si>
    <t>nutripansas@yahoo.com.co</t>
  </si>
  <si>
    <t>INDU ALIMENTICIA DEL HUILA</t>
  </si>
  <si>
    <t>52490709-3</t>
  </si>
  <si>
    <t>ANGELICA LOPEZ</t>
  </si>
  <si>
    <t>angelicamarialopez8@yahoo.com</t>
  </si>
  <si>
    <t>900209059-8</t>
  </si>
  <si>
    <t>GLORIA MOGOLLON</t>
  </si>
  <si>
    <t>4073900-4073898-3108658353</t>
  </si>
  <si>
    <t>ventas@indudonuts.com</t>
  </si>
  <si>
    <t>INDUSTRIA PANIFICADORA EL COMETA</t>
  </si>
  <si>
    <t>INDUSTRIA PANIFICADORA EL COUNTRY</t>
  </si>
  <si>
    <t>KAREN ZAMBRANO</t>
  </si>
  <si>
    <t>compras_country@hotmail.com</t>
  </si>
  <si>
    <t>INDUSTRIA PANIFICADORA MAXLI</t>
  </si>
  <si>
    <t>860.049.042-1</t>
  </si>
  <si>
    <t>10/102016</t>
  </si>
  <si>
    <t xml:space="preserve">ALVARO CASTRO, LILIANA POLO IBAÑEZ </t>
  </si>
  <si>
    <t xml:space="preserve">SECRETARIA DE VENTAS -BOGOTA </t>
  </si>
  <si>
    <t>: SVentas@comestiblesitalo.com</t>
  </si>
  <si>
    <t>KARAVANSAY ALIMENTOS NATURALES</t>
  </si>
  <si>
    <t>900472077-6</t>
  </si>
  <si>
    <t>FRANCISCA MEZA</t>
  </si>
  <si>
    <t>7031240-</t>
  </si>
  <si>
    <t>fmeza@biodistribucionesterra.com</t>
  </si>
  <si>
    <t xml:space="preserve">REPRESENTANTE </t>
  </si>
  <si>
    <t>METRO  SEDE BANDERAS</t>
  </si>
  <si>
    <t>MAURICIO BARROS</t>
  </si>
  <si>
    <t>JEFE DE  PERECEDEROS</t>
  </si>
  <si>
    <t>mauricio.barrios@cencosud.com.co</t>
  </si>
  <si>
    <t>900086521-1</t>
  </si>
  <si>
    <t>ROCIO LARA</t>
  </si>
  <si>
    <t>2718465 3164659432</t>
  </si>
  <si>
    <t>rlara@chocofood.com.co</t>
  </si>
  <si>
    <t xml:space="preserve">NUTRESA </t>
  </si>
  <si>
    <t>900081360-8</t>
  </si>
  <si>
    <t xml:space="preserve">RONALD CORTES </t>
  </si>
  <si>
    <t xml:space="preserve">VENDEDOR PUNTO DE VENTA </t>
  </si>
  <si>
    <t>2605059 - 4173200 EXT 11092
4173250 EXT 11174 - 3195724117</t>
  </si>
  <si>
    <t>pventabogotasur1@comercialnutresa.com.co</t>
  </si>
  <si>
    <t>ORI MARKET</t>
  </si>
  <si>
    <t>LORENA MAENESES</t>
  </si>
  <si>
    <t>2585739 3134897220</t>
  </si>
  <si>
    <t>okimarketveg@gmail.com</t>
  </si>
  <si>
    <t>PANADERIA Y REPOSTERIA CASCABEL</t>
  </si>
  <si>
    <t>DORIS BARBOSA</t>
  </si>
  <si>
    <t>3276100-3276105 Ext.120</t>
  </si>
  <si>
    <t>callcenter1@cascabel.com</t>
  </si>
  <si>
    <t>PANISAN LTDA</t>
  </si>
  <si>
    <t>IRMA SANTOS</t>
  </si>
  <si>
    <t>2232001-2232120</t>
  </si>
  <si>
    <t>panisanltda@hotmail.com</t>
  </si>
  <si>
    <t>PROLAC ALIMENTOS</t>
  </si>
  <si>
    <t>ALBERTO MARTINEZ</t>
  </si>
  <si>
    <t>REPRESENTANTE VENTAS</t>
  </si>
  <si>
    <t>8 259383</t>
  </si>
  <si>
    <t>albertomartinez029@hotmail.com</t>
  </si>
  <si>
    <t>PRONAVID</t>
  </si>
  <si>
    <t xml:space="preserve">SANDRA TRUJILLO </t>
  </si>
  <si>
    <t xml:space="preserve">GERENCIA </t>
  </si>
  <si>
    <t>320 344 8117 - 312 373 5766.</t>
  </si>
  <si>
    <t>comercial@pronavid.com.co, gerencia@pronavid.com.co</t>
  </si>
  <si>
    <t>860003836-8</t>
  </si>
  <si>
    <t>FERNANDO BALLETEROS</t>
  </si>
  <si>
    <t>437 57 00  3176580266</t>
  </si>
  <si>
    <t>ramoteescucha@ramo.com.co</t>
  </si>
  <si>
    <t>SANTA ELENA S.A</t>
  </si>
  <si>
    <t>890929455-5</t>
  </si>
  <si>
    <t xml:space="preserve">SIRLEY GONZALEZ </t>
  </si>
  <si>
    <t xml:space="preserve">VENTAS INSTITUCIONALES </t>
  </si>
  <si>
    <t>3206775833-325 66 00 Ext. 4202</t>
  </si>
  <si>
    <t>sgonzalez@santaelena.com.co</t>
  </si>
  <si>
    <t>79772471-5</t>
  </si>
  <si>
    <t>ENGHENBERT MARTINEZ SANTANA</t>
  </si>
  <si>
    <t xml:space="preserve">318 4935318 - 313 307 9941 </t>
  </si>
  <si>
    <t>santanahermanos@hotmail.com</t>
  </si>
  <si>
    <t>TENDA NATURISTA SANAMANZANA</t>
  </si>
  <si>
    <t>52740120-1</t>
  </si>
  <si>
    <t>JUDIT FORERO</t>
  </si>
  <si>
    <t>3115270052-3118646877-2169728</t>
  </si>
  <si>
    <t>sanamanzana.naturista@gmail.com</t>
  </si>
  <si>
    <t>TOLEDO PASTELERIA</t>
  </si>
  <si>
    <t>YUSET DASILVA</t>
  </si>
  <si>
    <t>asis.institucional@toledopasteleria.com</t>
  </si>
  <si>
    <t xml:space="preserve">COMA </t>
  </si>
  <si>
    <t xml:space="preserve">MARIELA GALVIS </t>
  </si>
  <si>
    <t xml:space="preserve">GERENTE DE VENTAS </t>
  </si>
  <si>
    <t>268 6819 - 268 6635- 312 592 9190</t>
  </si>
  <si>
    <t>marielagalvis@coma.co</t>
  </si>
  <si>
    <t>DELI RESPOSTERIA</t>
  </si>
  <si>
    <t>MARIA CECILIA DIAZ</t>
  </si>
  <si>
    <t>3071111-3175108662</t>
  </si>
  <si>
    <t>mariac.diaz@deli.com.co</t>
  </si>
  <si>
    <t>IND PANIFICADORA COMAPAN</t>
  </si>
  <si>
    <t>860000258-3</t>
  </si>
  <si>
    <t>HELY AVILA</t>
  </si>
  <si>
    <t>ventas@comapan.com.co</t>
  </si>
  <si>
    <t>900804607-6</t>
  </si>
  <si>
    <t>MAURICIO CORDERO</t>
  </si>
  <si>
    <t>2242181-8108812</t>
  </si>
  <si>
    <t>arepaselcarriel.jardin1@gmail.com</t>
  </si>
  <si>
    <t>IND PANIFICADORA EL COUNTRY</t>
  </si>
  <si>
    <t>KARIN SAMBRANO</t>
  </si>
  <si>
    <t>PRODUCTOS ALIMENTICIOS DE LAS ABUELAS</t>
  </si>
  <si>
    <t>VIRGINIA RODRIGUEZ</t>
  </si>
  <si>
    <t>340 26 86-316 534 14 21</t>
  </si>
  <si>
    <t>administrativo@delasabuelas.com</t>
  </si>
  <si>
    <t>TORTILLAS TEXANAS</t>
  </si>
  <si>
    <t>900075367-4</t>
  </si>
  <si>
    <t>SONIA ANDRADE</t>
  </si>
  <si>
    <t xml:space="preserve">6301304  2403632  </t>
  </si>
  <si>
    <t>ventas@tortillastexanas.com</t>
  </si>
  <si>
    <t>900843161-1</t>
  </si>
  <si>
    <t>MIGUEL RAMOS</t>
  </si>
  <si>
    <t>administrativo@happy.co</t>
  </si>
  <si>
    <t xml:space="preserve">CATALINA RIVERA/ LUISA ALGARRA </t>
  </si>
  <si>
    <t xml:space="preserve">GERENTE -VENTAS INSTITUCIONALES </t>
  </si>
  <si>
    <t>3147943627/3216203797/8773000 Ext. 1027</t>
  </si>
  <si>
    <t>lalgarra@colombina.com/criverag@colombina.com</t>
  </si>
  <si>
    <t xml:space="preserve">890.301.884-5
</t>
  </si>
  <si>
    <t>Muestra para cada una de las instituciones educativas el estimado de suministro diario requerido para primera y segunda entrega.</t>
  </si>
  <si>
    <t>Consolida las frecuencias de cada menú, a partir de la simulación de la rotación efectuada en la Tabla CAL_CALENDARIO_CICLOS,  de la misma manera consolidad los volúmenes de suministro estimados para la vigencia 2017.</t>
  </si>
  <si>
    <t>COT_VALOR_UNITARIO_CONIVA</t>
  </si>
  <si>
    <t>COT_VALOR_UNITARIO_SINIVA</t>
  </si>
  <si>
    <t>COT_VALORES_PONDERADOS_CONIVA</t>
  </si>
  <si>
    <t>COT_VALORES_PONDERADOS_SINIVA</t>
  </si>
  <si>
    <t>MNU_COSTO_GRAMO_TIPOA_CONIVA</t>
  </si>
  <si>
    <t>MNU_COSTO_GRAMO_TIPOA_SINIVA</t>
  </si>
  <si>
    <t>MNU_COSTO_GRAMO_TIPOB_CONIVA</t>
  </si>
  <si>
    <t>MNU_COSTO_GRAMO_TIPOB_SINIVA</t>
  </si>
  <si>
    <t>MNU_COSTO_GRAMO_TIPOC_CONIVA</t>
  </si>
  <si>
    <t>MNU_COSTO_GRAMO_TIPOC_SINIVA</t>
  </si>
  <si>
    <t>MNU_COSTO_GRAMO_TIPOH_CONIVA</t>
  </si>
  <si>
    <t>MNU_COSTO_GRAMO_TIPOH_SINIVA</t>
  </si>
  <si>
    <t>MNU_COSTO_GRAMO_TIPOM_CONIVA</t>
  </si>
  <si>
    <t>MNU_COSTO_GRAMO_TIPOM_SINIVA</t>
  </si>
  <si>
    <t>MNU_COSTO_TOTAL_CONIVA</t>
  </si>
  <si>
    <t>MNU_COSTO_TOTAL_SINIVA</t>
  </si>
  <si>
    <t>MNU_COSTO_TOTAL_TIPOA_CONIVA</t>
  </si>
  <si>
    <t>MNU_COSTO_TOTAL_TIPOA_SELECCIONADO</t>
  </si>
  <si>
    <t>MNU_COSTO_TOTAL_TIPOA_SINIVA</t>
  </si>
  <si>
    <t>MNU_COSTO_TOTAL_TIPOB_CONIVA</t>
  </si>
  <si>
    <t>MNU_COSTO_TOTAL_TIPOB_SELECCIONADO</t>
  </si>
  <si>
    <t>MNU_COSTO_TOTAL_TIPOB_SINIVA</t>
  </si>
  <si>
    <t>MNU_COSTO_TOTAL_TIPOC_CONIVA</t>
  </si>
  <si>
    <t>MNU_COSTO_TOTAL_TIPOC_SELECCIONADO</t>
  </si>
  <si>
    <t>MNU_COSTO_TOTAL_TIPOC_SINIVA</t>
  </si>
  <si>
    <t>MNU_COSTO_TOTAL_TIPOH_CONIVA</t>
  </si>
  <si>
    <t>MNU_COSTO_TOTAL_TIPOH_SELECCIONADO</t>
  </si>
  <si>
    <t>MNU_COSTO_TOTAL_TIPOH_SINIVA</t>
  </si>
  <si>
    <t>MNU_COSTO_TOTAL_TIPOM_CONIVA</t>
  </si>
  <si>
    <t>MNU_COSTO_TOTAL_TIPOM_SELECCIONADO</t>
  </si>
  <si>
    <t>MNU_COSTO_TOTAL_TIPOM_SINIVA</t>
  </si>
  <si>
    <t>MNU_COSTO_UNITARIO_TIPOA_CONIVA</t>
  </si>
  <si>
    <t>MNU_COSTO_UNITARIO_TIPOA_SELECCIONADO</t>
  </si>
  <si>
    <t>MNU_COSTO_UNITARIO_TIPOA_SINIVA</t>
  </si>
  <si>
    <t>MNU_COSTO_UNITARIO_TIPOB_CONIVA</t>
  </si>
  <si>
    <t>MNU_COSTO_UNITARIO_TIPOB_SELECCIONADO</t>
  </si>
  <si>
    <t>MNU_COSTO_UNITARIO_TIPOB_SINIVA</t>
  </si>
  <si>
    <t>MNU_COSTO_UNITARIO_TIPOC_CONIVA</t>
  </si>
  <si>
    <t>MNU_COSTO_UNITARIO_TIPOC_SELECCIONADO</t>
  </si>
  <si>
    <t>MNU_COSTO_UNITARIO_TIPOC_SINIVA</t>
  </si>
  <si>
    <t>MNU_COSTO_UNITARIO_TIPOH_CONIVA</t>
  </si>
  <si>
    <t>MNU_COSTO_UNITARIO_TIPOH_SELECCIONADO</t>
  </si>
  <si>
    <t>MNU_COSTO_UNITARIO_TIPOH_SINIVA</t>
  </si>
  <si>
    <t>MNU_COSTO_UNITARIO_TIPOM_CONIVA</t>
  </si>
  <si>
    <t>MNU_COSTO_UNITARIO_TIPOM_SELECCIONADO</t>
  </si>
  <si>
    <t>MNU_COSTO_UNITARIO_TIPOM_SINIVA</t>
  </si>
  <si>
    <t>MNU_GRAMAJE_REQUERIDO_TIPOA</t>
  </si>
  <si>
    <t>MNU_GRAMAJE_REQUERIDO_TIPOB</t>
  </si>
  <si>
    <t>MNU_GRAMAJE_REQUERIDO_TIPOC</t>
  </si>
  <si>
    <t>MNU_GRAMAJE_REQUERIDO_TIPOH</t>
  </si>
  <si>
    <t>MNU_GRAMAJE_REQUERIDO_TIPOM</t>
  </si>
  <si>
    <t>CAL_CALENDARIO_CICLOS!$F$18:$F$321</t>
  </si>
  <si>
    <t>CAL_CALENDARIO_CICLOS!$K$18:$K$321</t>
  </si>
  <si>
    <t>CAL_CALENDARIO_CICLOS!$J$18:$J$321</t>
  </si>
  <si>
    <t>CAL_CALENDARIO_CICLOS!$H$18:$H$321</t>
  </si>
  <si>
    <t>CAL_CALENDARIO_CICLOS!$I$18:$I$321</t>
  </si>
  <si>
    <t>CAL_CALENDARIO_CICLOS!$O$18:$O$321</t>
  </si>
  <si>
    <t>CAL_CALENDARIO_CICLOS!$P$18:$P$321</t>
  </si>
  <si>
    <t>CAL_CALENDARIO_CICLOS!$M$18:$M$321</t>
  </si>
  <si>
    <t>CAL_CALENDARIO_CICLOS!$N$18:$N$321</t>
  </si>
  <si>
    <t>COSTPE_A_ALIMENTOS!$A$35:$A$94</t>
  </si>
  <si>
    <t>COSTPE_A_ALIMENTOS!$AP$35:$AP$94</t>
  </si>
  <si>
    <t>COSTPE_A_ALIMENTOS!$AQ$35:$AQ$94</t>
  </si>
  <si>
    <t>COSTPE_A_ALIMENTOS!$AR$35:$AR$94</t>
  </si>
  <si>
    <t>COSTPE_A_ALIMENTOS!$AT$35:$AT$94</t>
  </si>
  <si>
    <t>COSTPE_A_ALIMENTOS!$AS$35:$AS$94</t>
  </si>
  <si>
    <t>COSTSE_A_ALIMENTOS!$A$31:$A$77</t>
  </si>
  <si>
    <t>COSTSE_A_ALIMENTOS!$AD$31:$AD$77</t>
  </si>
  <si>
    <t>COSTSE_A_ALIMENTOS!$AE$31:$AE$77</t>
  </si>
  <si>
    <t>COSTSE_A_ALIMENTOS!$AF$31:$AF$77</t>
  </si>
  <si>
    <t>COT_BASE_COTIZACIONES!$I$15:$M$2355</t>
  </si>
  <si>
    <t>COT_BASE_COTIZACIONES!$I$14:$I$2355</t>
  </si>
  <si>
    <t>COT_BASE_COTIZACIONES!$I$14:$AE$2355</t>
  </si>
  <si>
    <t>COT_BASE_COTIZACIONES!$AC$14:$AC$2355</t>
  </si>
  <si>
    <t>COT_PRECALCULOS!$D$29:$AC$1026</t>
  </si>
  <si>
    <t>COT_PRECALCULOS!$D$29:$D$1026</t>
  </si>
  <si>
    <t>COT_PRECALCULOS!$AD$2:$AD$8</t>
  </si>
  <si>
    <t>COT_BASE_COTIZACIONES!$AB$14:$AB$2355</t>
  </si>
  <si>
    <t>COT_BASE_COTIZACIONES!$AA$14:$AA$2355</t>
  </si>
  <si>
    <t>COT_BASE_COTIZACIONES!$AE$14:$AE$2355</t>
  </si>
  <si>
    <t>COT_BASE_COTIZACIONES!$AD$14:$AD$2355</t>
  </si>
  <si>
    <t>FRE_FRECUENCIAS!$G$13:$O$22</t>
  </si>
  <si>
    <t>FRE_FRECUENCIAS!$B$47:$C$62</t>
  </si>
  <si>
    <t>FRE_FRECUENCIAS!$B$14:$C$46</t>
  </si>
  <si>
    <t>MNU_BD_MENUS!$J$12:$L$466</t>
  </si>
  <si>
    <t>MNU_BD_MENUS!$BC$12:$BC$466</t>
  </si>
  <si>
    <t>MNU_BD_MENUS!$AY$12:$AY$466</t>
  </si>
  <si>
    <t>MNU_BD_MENUS!$AZ$12:$AZ$466</t>
  </si>
  <si>
    <t>MNU_BD_MENUS!$BA$12:$BA$466</t>
  </si>
  <si>
    <t>MNU_BD_MENUS!$BB$12:$BB$466</t>
  </si>
  <si>
    <t>MNU_BD_MENUS!$BH$12:$BH$466</t>
  </si>
  <si>
    <t>MNU_BD_MENUS!$BG$12:$BG$466</t>
  </si>
  <si>
    <t>MNU_BD_MENUS!$J$12:$J$466</t>
  </si>
  <si>
    <t>MNU_BD_MENUS!$D$12:$D$466</t>
  </si>
  <si>
    <t>MNU_BD_MENUS!$BQ$12:$BQ$466</t>
  </si>
  <si>
    <t>MNU_BD_MENUS!$BL$12:$BL$466</t>
  </si>
  <si>
    <t>MNU_BD_MENUS!$BR$12:$BR$466</t>
  </si>
  <si>
    <t>MNU_BD_MENUS!$BM$12:$BM$466</t>
  </si>
  <si>
    <t>MNU_BD_MENUS!$BS$12:$BS$466</t>
  </si>
  <si>
    <t>MNU_BD_MENUS!$BN$12:$BN$466</t>
  </si>
  <si>
    <t>MNU_BD_MENUS!$BU$12:$BU$466</t>
  </si>
  <si>
    <t>MNU_BD_MENUS!$BP$12:$BP$466</t>
  </si>
  <si>
    <t>MNU_BD_MENUS!$BT$12:$BT$466</t>
  </si>
  <si>
    <t>MNU_BD_MENUS!$BO$12:$BO$466</t>
  </si>
  <si>
    <t>MNU_BD_MENUS!$CQ$12:$CQ$466</t>
  </si>
  <si>
    <t>MNU_BD_MENUS!$CK$12:$CK$466</t>
  </si>
  <si>
    <t>MNU_BD_MENUS!$CL$12:$CL$466</t>
  </si>
  <si>
    <t>MNU_BD_MENUS!$CW$12:$CW$466</t>
  </si>
  <si>
    <t>MNU_BD_MENUS!$CF$12:$CF$466</t>
  </si>
  <si>
    <t>MNU_BD_MENUS!$CM$12:$CM$466</t>
  </si>
  <si>
    <t>MNU_BD_MENUS!$CX$12:$CX$466</t>
  </si>
  <si>
    <t>MNU_BD_MENUS!$CG$12:$CG$466</t>
  </si>
  <si>
    <t>MNU_BD_MENUS!$CN$12:$CN$466</t>
  </si>
  <si>
    <t>MNU_BD_MENUS!$CY$12:$CY$466</t>
  </si>
  <si>
    <t>MNU_BD_MENUS!$CH$12:$CH$466</t>
  </si>
  <si>
    <t>MNU_BD_MENUS!$CP$12:$CP$466</t>
  </si>
  <si>
    <t>MNU_BD_MENUS!$DA$12:$DA$466</t>
  </si>
  <si>
    <t>MNU_BD_MENUS!$CJ$12:$CJ$466</t>
  </si>
  <si>
    <t>MNU_BD_MENUS!$CO$12:$CO$466</t>
  </si>
  <si>
    <t>MNU_BD_MENUS!$CZ$12:$CZ$466</t>
  </si>
  <si>
    <t>MNU_BD_MENUS!$CI$12:$CI$466</t>
  </si>
  <si>
    <t>MNU_BD_MENUS!$CA$12:$CA$466</t>
  </si>
  <si>
    <t>MNU_BD_MENUS!$CR$12:$CR$466</t>
  </si>
  <si>
    <t>MNU_BD_MENUS!$BV$12:$BV$466</t>
  </si>
  <si>
    <t>MNU_BD_MENUS!$CB$12:$CB$466</t>
  </si>
  <si>
    <t>MNU_BD_MENUS!$CS$12:$CS$466</t>
  </si>
  <si>
    <t>MNU_BD_MENUS!$BW$12:$BW$466</t>
  </si>
  <si>
    <t>MNU_BD_MENUS!$CC$12:$CC$466</t>
  </si>
  <si>
    <t>MNU_BD_MENUS!$CT$12:$CT$466</t>
  </si>
  <si>
    <t>MNU_BD_MENUS!$BX$12:$BX$466</t>
  </si>
  <si>
    <t>MNU_BD_MENUS!$CE$12:$CE$466</t>
  </si>
  <si>
    <t>MNU_BD_MENUS!$CV$12:$CV$466</t>
  </si>
  <si>
    <t>MNU_BD_MENUS!$BZ$12:$BZ$466</t>
  </si>
  <si>
    <t>MNU_BD_MENUS!$CD$12:$CD$466</t>
  </si>
  <si>
    <t>MNU_BD_MENUS!$CU$12:$CU$466</t>
  </si>
  <si>
    <t>MNU_BD_MENUS!$BY$12:$BY$466</t>
  </si>
  <si>
    <t>MNU_BD_MENUS!$BJ$12:$BJ$466</t>
  </si>
  <si>
    <t>MNU_BD_MENUS!$BI$12:$BI$466</t>
  </si>
  <si>
    <t>MNU_BD_MENUS!$BF$12:$BF$466</t>
  </si>
  <si>
    <t>MNU_BD_MENUS!$BE$12:$BE$466</t>
  </si>
  <si>
    <t>MNU_BD_MENUS!$Z$12:$Z$466</t>
  </si>
  <si>
    <t>MNU_BD_MENUS!$S$12:$S$466</t>
  </si>
  <si>
    <t>MNU_BD_MENUS!$M$12:$M$466</t>
  </si>
  <si>
    <t>MNU_BD_MENUS!$N$12:$N$466</t>
  </si>
  <si>
    <t>MNU_BD_MENUS!$O$12:$O$466</t>
  </si>
  <si>
    <t>MNU_BD_MENUS!$Q$12:$Q$466</t>
  </si>
  <si>
    <t>MNU_BD_MENUS!$P$12:$P$466</t>
  </si>
  <si>
    <t>MNU_BD_MENUS!$C$12:$C$466</t>
  </si>
  <si>
    <t>MNU_BD_MENUS!$AS$12:$AS$466</t>
  </si>
  <si>
    <t>MNU_BD_MENUS!$AK$12:$AK$466</t>
  </si>
  <si>
    <t>MNU_BD_MENUS!$BK$12:$BK$466</t>
  </si>
  <si>
    <t>MNU_BD_MENUS!$G$12:$G$466</t>
  </si>
  <si>
    <t>MNU_BD_MENUS!$AR$12:$AR$466</t>
  </si>
  <si>
    <t>MNU_BD_MENUS!$AE$12:$AE$466</t>
  </si>
  <si>
    <t>MNU_BD_MENUS!$AF$12:$AF$466</t>
  </si>
  <si>
    <t>MNU_BD_MENUS!$AG$12:$AG$466</t>
  </si>
  <si>
    <t>MNU_BD_MENUS!$AI$12:$AI$466</t>
  </si>
  <si>
    <t>MNU_BD_MENUS!$AH$12:$AH$466</t>
  </si>
  <si>
    <t>PRESENTACIÓN OFERTADA</t>
  </si>
  <si>
    <t>Se determina el valor total de presupuesto para las diferentes categorías de alimentos (acuerdo marco de precios), conforme el modelo de contratación (Proveedor y Operador Logístico). En esta tabla se consolida el costo para los suministros y/o volúmenes requeridos para la primera entrega.</t>
  </si>
  <si>
    <t>Se determina el valor total de presupuesto para las diferentes categorías de alimentos (acuerdo marco de precios), conforme el modelo de contratación (Proveedor y Operador Logístico). En esta tabla se consolida el costo para los suministros y/o volúmenes requeridos para la segunda entrega.</t>
  </si>
  <si>
    <t>Consolidado de proveedores clasificados según la categoría de alimentos del acuerdo marco de precios.</t>
  </si>
  <si>
    <t>ENERO</t>
  </si>
  <si>
    <t>PE5 - FESTIVO</t>
  </si>
  <si>
    <t>PE15- DIA DEL TRABAJO</t>
  </si>
  <si>
    <t>PE7 - FESTIVO</t>
  </si>
  <si>
    <t>Columna2</t>
  </si>
  <si>
    <t>Grupo</t>
  </si>
  <si>
    <t>FRECUENCIA LAV
TIPOA</t>
  </si>
  <si>
    <t>FRECUENCIA LAV
TIPOB</t>
  </si>
  <si>
    <t>FRECUENCIA LAV
TIPOC</t>
  </si>
  <si>
    <t>FRECUENCIA LAV
TIPOM</t>
  </si>
  <si>
    <t>FRECUENCIA LAV
TIPOH</t>
  </si>
  <si>
    <t>VALOR TOTAL TIPOM</t>
  </si>
  <si>
    <t>VALOR TOTAL CATEGORIA/ GRUPO</t>
  </si>
  <si>
    <t>SE14 - FESTIVO</t>
  </si>
  <si>
    <t>FRECUENCIA FDS TIPOA</t>
  </si>
  <si>
    <t>FRECUENCIA FDS TIPOB</t>
  </si>
  <si>
    <t>FRECUENCIA FDS TIPOC</t>
  </si>
  <si>
    <t>FRECUENCIAS POR ALIMENTO PARA LOS FINES DE SEMANA</t>
  </si>
  <si>
    <t>FRECUENCIAS POR ALIMENTO PARA LUNES A VIERNES</t>
  </si>
  <si>
    <t xml:space="preserve">Gramaje Requerido 
</t>
  </si>
  <si>
    <t xml:space="preserve">Gramaje Requerido </t>
  </si>
  <si>
    <t>PE4_8</t>
  </si>
  <si>
    <t>PE9_8</t>
  </si>
  <si>
    <t>PE4_7</t>
  </si>
  <si>
    <t>PE12_8</t>
  </si>
  <si>
    <t>PE13_7</t>
  </si>
  <si>
    <t>E2_69</t>
  </si>
  <si>
    <t>E3_46</t>
  </si>
  <si>
    <t>PE6_59</t>
  </si>
  <si>
    <t>PE11_59</t>
  </si>
  <si>
    <t>PE2_36</t>
  </si>
  <si>
    <t>PE11_36</t>
  </si>
  <si>
    <t>PE11_58</t>
  </si>
  <si>
    <t>PE11_69</t>
  </si>
  <si>
    <t>PE13_70</t>
  </si>
  <si>
    <t>PE9_17</t>
  </si>
  <si>
    <t>PE13_33</t>
  </si>
  <si>
    <t>PE1_46</t>
  </si>
  <si>
    <t>PE3_17</t>
  </si>
  <si>
    <t>PE6_33</t>
  </si>
  <si>
    <t>PE11_42</t>
  </si>
  <si>
    <t>PE3_22</t>
  </si>
  <si>
    <t>PE7_42</t>
  </si>
  <si>
    <t>PE6_58</t>
  </si>
  <si>
    <t>PE1_22</t>
  </si>
  <si>
    <t>PE2_33</t>
  </si>
  <si>
    <t>PE7_43</t>
  </si>
  <si>
    <t>PE9_46</t>
  </si>
  <si>
    <t>SE12_8</t>
  </si>
  <si>
    <t>SE9_59</t>
  </si>
  <si>
    <t>SE15_36</t>
  </si>
  <si>
    <t>SE5_70</t>
  </si>
  <si>
    <t>SE13_33</t>
  </si>
  <si>
    <t>SE2_69</t>
  </si>
  <si>
    <t>SE4_46</t>
  </si>
  <si>
    <t>SE1_58</t>
  </si>
  <si>
    <t>SE9_69</t>
  </si>
  <si>
    <t>SE6_70</t>
  </si>
  <si>
    <t>SE14_33</t>
  </si>
  <si>
    <t>SE6_33</t>
  </si>
  <si>
    <t>SE15_69</t>
  </si>
  <si>
    <t>SE3_43</t>
  </si>
  <si>
    <t>NOTAS : El total de Dias Calendario escolar son 259 solo de lunes a viernes, para el periodo comprendido entre el 1 de Marzo de 2017 a 30 de junio de 2018.</t>
  </si>
  <si>
    <t>El numero de Sabados Proyectado para entrega de refrigerio en la Segunda Entrega corresponde a 53</t>
  </si>
  <si>
    <t>Frecuencia
Lunes a Viernes</t>
  </si>
  <si>
    <t>Segmento</t>
  </si>
  <si>
    <t>Categoría Acuerdo Marco De Precios</t>
  </si>
  <si>
    <t>Volumen Estimado Diario</t>
  </si>
  <si>
    <t>Volumen Estimado Total</t>
  </si>
  <si>
    <t>Frecuencia
Fin de Semana</t>
  </si>
  <si>
    <t>Gramaje Requerido</t>
  </si>
  <si>
    <t>Volumen Estimado Diario Lunes a Viernes</t>
  </si>
  <si>
    <t>Volumen Estimado Diario Fin de Semana</t>
  </si>
  <si>
    <t>Volumen Estimado Total Segunda Entrega</t>
  </si>
  <si>
    <t>Volumen Estimado Total Primera Entrega</t>
  </si>
  <si>
    <t>VALOR TOTAL CATEGORIA ALIMENTOS</t>
  </si>
  <si>
    <t>VALOR SEGMENTO</t>
  </si>
  <si>
    <t>NUMERO DE SALARIOS MINIMOS</t>
  </si>
  <si>
    <t>VALOR TOTAL CATEGORIA PRIMERA  ENTREGA</t>
  </si>
  <si>
    <t xml:space="preserve">SEGUNDA ENTREGA </t>
  </si>
  <si>
    <t>Valor Unitario Estampillas e Impuestos</t>
  </si>
  <si>
    <t>Valor Unitario Polizas Y Garantia</t>
  </si>
  <si>
    <t>Valor Unitario
Producto</t>
  </si>
  <si>
    <t>Valor Unitario
Producto+ Impuestos + Polizas</t>
  </si>
  <si>
    <t>Costo Total Suministro
Antes de Impuestos y Polizas</t>
  </si>
  <si>
    <t>Costo Total Suministro
+ Impuestos y Polizas</t>
  </si>
  <si>
    <t>Costo Total Suministro
Antes de Impuestos</t>
  </si>
  <si>
    <t>VALOR TOTAL 
TIPOA</t>
  </si>
  <si>
    <t>VALOR TOTAL
 TIPOB</t>
  </si>
  <si>
    <t>VALOR TOTAL 
TIPOC</t>
  </si>
  <si>
    <t>VALOR TOTAL 
TIPOH</t>
  </si>
  <si>
    <t>VALOR TOTAL 
TIPOB</t>
  </si>
  <si>
    <t>Volumen Total Estimado</t>
  </si>
  <si>
    <t>Costo Total Suministro
Primera Entrega</t>
  </si>
  <si>
    <t xml:space="preserve">Costo Total Suministro
</t>
  </si>
  <si>
    <t>Costo Total Suministro
Segunda Entrega</t>
  </si>
  <si>
    <t xml:space="preserve">Valor Total Suministro Año
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</si>
</sst>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8">
    <numFmt numFmtId="6" formatCode="&quot;$&quot;#,##0;[Red]\-&quot;$&quot;#,##0"/>
    <numFmt numFmtId="7" formatCode="&quot;$&quot;#,##0.00;\-&quot;$&quot;#,##0.00"/>
    <numFmt numFmtId="42" formatCode="_-&quot;$&quot;* #,##0_-;\-&quot;$&quot;* #,##0_-;_-&quot;$&quot;* &quot;-&quot;_-;_-@_-"/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 &quot;$&quot;\ * #,##0.00_ ;_ &quot;$&quot;\ * \-#,##0.00_ ;_ &quot;$&quot;\ * &quot;-&quot;??_ ;_ @_ "/>
    <numFmt numFmtId="165" formatCode="&quot;$&quot;#,##0.00"/>
    <numFmt numFmtId="166" formatCode="_-* #,##0.00\ _€_-;\-* #,##0.00\ _€_-;_-* &quot;-&quot;??\ _€_-;_-@_-"/>
    <numFmt numFmtId="167" formatCode="_(&quot;$&quot;\ * #,##0.00_);_(&quot;$&quot;\ * \(#,##0.00\);_(&quot;$&quot;\ * &quot;-&quot;??_);_(@_)"/>
    <numFmt numFmtId="168" formatCode="_(* #,##0.00_);_(* \(#,##0.00\);_(* &quot;-&quot;??_);_(@_)"/>
    <numFmt numFmtId="169" formatCode="_ * #,##0.00_ ;_ * \-#,##0.00_ ;_ * &quot;-&quot;??_ ;_ @_ "/>
    <numFmt numFmtId="170" formatCode="[$-F800]dddd\,\ mmmm\ dd\,\ yyyy"/>
    <numFmt numFmtId="171" formatCode="#,##0_ ;[Red]\-#,##0\ "/>
    <numFmt numFmtId="172" formatCode="_-* #,##0.00\ &quot;€&quot;_-;\-* #,##0.00\ &quot;€&quot;_-;_-* &quot;-&quot;??\ &quot;€&quot;_-;_-@_-"/>
    <numFmt numFmtId="173" formatCode="_ [$€-2]\ * #,##0.00_ ;_ [$€-2]\ * \-#,##0.00_ ;_ [$€-2]\ * &quot;-&quot;??_ "/>
    <numFmt numFmtId="174" formatCode="_(&quot;$&quot;\ * #,##0_);_(&quot;$&quot;\ * \(#,##0\);_(&quot;$&quot;\ * &quot;-&quot;??_);_(@_)"/>
    <numFmt numFmtId="175" formatCode="_([$€]\ * #,##0.00_);_([$€]\ * \(#,##0.00\);_([$€]\ * &quot;-&quot;??_);_(@_)"/>
    <numFmt numFmtId="176" formatCode="&quot;$&quot;#,##0"/>
    <numFmt numFmtId="177" formatCode="&quot; IPC ALIMENTOS &quot;\ 0.00%"/>
    <numFmt numFmtId="178" formatCode="&quot;VALOR TOTAL PRESUPUESTO : &quot;\ &quot;$&quot;#,##0;[Red]\-&quot;$&quot;#,##0"/>
    <numFmt numFmtId="179" formatCode="_ * #,##0_ ;_ * \-#,##0_ ;_ * &quot;-&quot;??_ ;_ @_ "/>
    <numFmt numFmtId="180" formatCode="0\ &quot;días&quot;"/>
    <numFmt numFmtId="181" formatCode="&quot;$&quot;#,##0.00000;[Red]\-&quot;$&quot;#,##0.00000"/>
    <numFmt numFmtId="182" formatCode="#,##0.0000"/>
    <numFmt numFmtId="183" formatCode="dd\ mmmm\ e\ "/>
    <numFmt numFmtId="184" formatCode="&quot;Valor SMMV&quot;\ &quot;$&quot;#,###"/>
    <numFmt numFmtId="185" formatCode="#,##0.00_ ;[Red]\-#,##0.00\ "/>
  </numFmts>
  <fonts count="82">
    <font>
      <sz val="11"/>
      <color theme="1"/>
      <name val="Calibri"/>
      <family val="2"/>
      <scheme val="minor"/>
    </font>
    <font>
      <sz val="11"/>
      <color theme="1"/>
      <name val="Century Gothic"/>
      <family val="2"/>
    </font>
    <font>
      <sz val="11"/>
      <color theme="1"/>
      <name val="Century Gothic"/>
      <family val="2"/>
    </font>
    <font>
      <sz val="11"/>
      <color theme="1"/>
      <name val="Century Gothic"/>
      <family val="2"/>
    </font>
    <font>
      <sz val="11"/>
      <color theme="1"/>
      <name val="Century Gothic"/>
      <family val="2"/>
    </font>
    <font>
      <sz val="8"/>
      <color theme="1"/>
      <name val="Century Gothic"/>
      <family val="2"/>
    </font>
    <font>
      <b/>
      <sz val="8"/>
      <color theme="1"/>
      <name val="Century Gothic"/>
      <family val="2"/>
    </font>
    <font>
      <b/>
      <sz val="11"/>
      <color theme="1"/>
      <name val="Century Gothic"/>
      <family val="2"/>
    </font>
    <font>
      <sz val="9"/>
      <color theme="1"/>
      <name val="Century Gothic"/>
      <family val="2"/>
    </font>
    <font>
      <b/>
      <sz val="9"/>
      <color theme="1"/>
      <name val="Century Gothic"/>
      <family val="2"/>
    </font>
    <font>
      <b/>
      <sz val="12"/>
      <color theme="1"/>
      <name val="Century Gothic"/>
      <family val="2"/>
    </font>
    <font>
      <sz val="12"/>
      <color theme="1"/>
      <name val="Century Gothic"/>
      <family val="2"/>
    </font>
    <font>
      <b/>
      <sz val="14"/>
      <color theme="1"/>
      <name val="Century Gothic"/>
      <family val="2"/>
    </font>
    <font>
      <sz val="10"/>
      <name val="Arial"/>
      <family val="2"/>
    </font>
    <font>
      <sz val="10"/>
      <color theme="1"/>
      <name val="Century Gothic"/>
      <family val="2"/>
    </font>
    <font>
      <b/>
      <sz val="10"/>
      <name val="Century Gothic"/>
      <family val="2"/>
    </font>
    <font>
      <b/>
      <sz val="8"/>
      <color theme="0"/>
      <name val="Century Gothic"/>
      <family val="2"/>
    </font>
    <font>
      <b/>
      <sz val="10"/>
      <color theme="1"/>
      <name val="Century Gothic"/>
      <family val="2"/>
    </font>
    <font>
      <b/>
      <sz val="11"/>
      <color theme="0"/>
      <name val="Century Gothic"/>
      <family val="2"/>
    </font>
    <font>
      <sz val="11"/>
      <color theme="1"/>
      <name val="Calibri"/>
      <family val="2"/>
      <scheme val="minor"/>
    </font>
    <font>
      <sz val="11"/>
      <color theme="1"/>
      <name val="Century Gothic"/>
      <family val="2"/>
    </font>
    <font>
      <sz val="16"/>
      <color theme="1"/>
      <name val="Century Gothic"/>
      <family val="2"/>
    </font>
    <font>
      <b/>
      <sz val="12"/>
      <color theme="0"/>
      <name val="Century Gothic"/>
      <family val="2"/>
    </font>
    <font>
      <sz val="8"/>
      <color theme="0"/>
      <name val="Century Gothic"/>
      <family val="2"/>
    </font>
    <font>
      <sz val="10"/>
      <color theme="1"/>
      <name val="Arial"/>
      <family val="2"/>
    </font>
    <font>
      <b/>
      <sz val="8"/>
      <name val="Century Gothic"/>
      <family val="2"/>
    </font>
    <font>
      <sz val="8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name val="Zurich BT"/>
    </font>
    <font>
      <sz val="8"/>
      <name val="Century Gothic"/>
      <family val="2"/>
    </font>
    <font>
      <b/>
      <sz val="18"/>
      <color theme="1"/>
      <name val="Century Gothic"/>
      <family val="2"/>
    </font>
    <font>
      <sz val="18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</font>
    <font>
      <sz val="11"/>
      <color theme="1"/>
      <name val="Arial"/>
      <family val="2"/>
    </font>
    <font>
      <sz val="10"/>
      <name val="Zurich BT"/>
      <family val="2"/>
    </font>
    <font>
      <sz val="11"/>
      <color rgb="FF000000"/>
      <name val="Calibri"/>
      <family val="2"/>
    </font>
    <font>
      <sz val="11"/>
      <color theme="0"/>
      <name val="Calibri"/>
      <family val="2"/>
      <scheme val="minor"/>
    </font>
    <font>
      <u/>
      <sz val="10"/>
      <color indexed="12"/>
      <name val="Arial"/>
      <family val="2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8"/>
      <color theme="3"/>
      <name val="Cambria"/>
      <family val="2"/>
      <scheme val="major"/>
    </font>
    <font>
      <u/>
      <sz val="14"/>
      <color theme="10"/>
      <name val="Century Gothic"/>
      <family val="2"/>
    </font>
    <font>
      <b/>
      <sz val="11"/>
      <color indexed="8"/>
      <name val="Calibri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8"/>
      <color indexed="62"/>
      <name val="Cambria"/>
      <family val="2"/>
    </font>
    <font>
      <u/>
      <sz val="16"/>
      <color theme="10"/>
      <name val="Century Gothic"/>
      <family val="2"/>
    </font>
    <font>
      <u/>
      <sz val="10"/>
      <color theme="10"/>
      <name val="Century Gothic"/>
      <family val="2"/>
    </font>
    <font>
      <sz val="12"/>
      <color theme="8" tint="-0.499984740745262"/>
      <name val="Century Gothic"/>
      <family val="2"/>
    </font>
    <font>
      <b/>
      <sz val="16"/>
      <color theme="8" tint="-0.499984740745262"/>
      <name val="Century Gothic"/>
      <family val="2"/>
    </font>
    <font>
      <sz val="10"/>
      <color theme="8" tint="-0.499984740745262"/>
      <name val="Century Gothic"/>
      <family val="2"/>
    </font>
    <font>
      <b/>
      <sz val="18"/>
      <color theme="8" tint="-0.499984740745262"/>
      <name val="Century Gothic"/>
      <family val="2"/>
    </font>
    <font>
      <b/>
      <sz val="14"/>
      <color theme="8" tint="-0.499984740745262"/>
      <name val="Century Gothic"/>
      <family val="2"/>
    </font>
    <font>
      <sz val="14"/>
      <color theme="8" tint="-0.499984740745262"/>
      <name val="Century Gothic"/>
      <family val="2"/>
    </font>
    <font>
      <sz val="8"/>
      <color theme="8" tint="-0.499984740745262"/>
      <name val="Century Gothic"/>
      <family val="2"/>
    </font>
    <font>
      <sz val="9"/>
      <color theme="8" tint="-0.499984740745262"/>
      <name val="Century Gothic"/>
      <family val="2"/>
    </font>
    <font>
      <b/>
      <sz val="8"/>
      <color theme="8" tint="-0.499984740745262"/>
      <name val="Century Gothic"/>
      <family val="2"/>
    </font>
    <font>
      <sz val="10"/>
      <name val="Arial"/>
      <family val="2"/>
    </font>
    <font>
      <b/>
      <sz val="10"/>
      <color theme="0"/>
      <name val="Century Gothic"/>
      <family val="2"/>
    </font>
    <font>
      <b/>
      <sz val="16"/>
      <color theme="0"/>
      <name val="Century Gothic"/>
      <family val="2"/>
    </font>
    <font>
      <sz val="1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4"/>
      <color rgb="FFFF0000"/>
      <name val="Century Gothic"/>
      <family val="2"/>
    </font>
    <font>
      <b/>
      <sz val="14"/>
      <color theme="2" tint="-0.499984740745262"/>
      <name val="Century Gothic"/>
      <family val="2"/>
    </font>
    <font>
      <b/>
      <sz val="11"/>
      <color rgb="FFFF0000"/>
      <name val="Century Gothic"/>
      <family val="2"/>
    </font>
    <font>
      <b/>
      <sz val="12"/>
      <color theme="8" tint="-0.499984740745262"/>
      <name val="Century Gothic"/>
      <family val="2"/>
    </font>
    <font>
      <sz val="12"/>
      <color theme="1"/>
      <name val="Calibri"/>
      <family val="2"/>
      <scheme val="minor"/>
    </font>
    <font>
      <sz val="11"/>
      <color rgb="FF006100"/>
      <name val="Century Gothic"/>
      <family val="2"/>
    </font>
    <font>
      <sz val="11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11"/>
      <color theme="0"/>
      <name val="Century Gothic"/>
      <family val="2"/>
    </font>
  </fonts>
  <fills count="72">
    <fill>
      <patternFill patternType="none"/>
    </fill>
    <fill>
      <patternFill patternType="gray125"/>
    </fill>
    <fill>
      <patternFill patternType="solid">
        <fgColor theme="2" tint="-9.9978637043366805E-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/>
        <bgColor theme="9"/>
      </patternFill>
    </fill>
    <fill>
      <patternFill patternType="solid">
        <fgColor rgb="FFFFC0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D58987"/>
        <bgColor indexed="64"/>
      </patternFill>
    </fill>
    <fill>
      <patternFill patternType="solid">
        <fgColor rgb="FFFF826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CCFF99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1" tint="4.9989318521683403E-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7"/>
        <bgColor indexed="47"/>
      </patternFill>
    </fill>
    <fill>
      <patternFill patternType="solid">
        <fgColor theme="5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AF3D6"/>
        <bgColor indexed="64"/>
      </patternFill>
    </fill>
    <fill>
      <patternFill patternType="solid">
        <fgColor rgb="FFC6EFCE"/>
      </patternFill>
    </fill>
  </fills>
  <borders count="9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4" tint="-0.24994659260841701"/>
      </left>
      <right/>
      <top style="thin">
        <color theme="4" tint="-0.24994659260841701"/>
      </top>
      <bottom style="thin">
        <color theme="4" tint="-0.24994659260841701"/>
      </bottom>
      <diagonal/>
    </border>
    <border>
      <left/>
      <right style="thin">
        <color theme="4" tint="-0.24994659260841701"/>
      </right>
      <top style="thin">
        <color theme="4" tint="-0.24994659260841701"/>
      </top>
      <bottom style="thin">
        <color theme="4" tint="-0.24994659260841701"/>
      </bottom>
      <diagonal/>
    </border>
    <border>
      <left style="thin">
        <color theme="8" tint="-0.24994659260841701"/>
      </left>
      <right/>
      <top style="thin">
        <color theme="8" tint="-0.24994659260841701"/>
      </top>
      <bottom/>
      <diagonal/>
    </border>
    <border>
      <left style="thin">
        <color theme="8" tint="-0.24994659260841701"/>
      </left>
      <right style="thin">
        <color theme="4" tint="-0.24994659260841701"/>
      </right>
      <top style="thin">
        <color theme="4" tint="-0.24994659260841701"/>
      </top>
      <bottom style="thin">
        <color theme="4" tint="-0.24994659260841701"/>
      </bottom>
      <diagonal/>
    </border>
    <border>
      <left/>
      <right/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/>
      <right/>
      <top style="thin">
        <color theme="0" tint="-0.14993743705557422"/>
      </top>
      <bottom/>
      <diagonal/>
    </border>
    <border>
      <left/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/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 style="thin">
        <color theme="0" tint="-0.14996795556505021"/>
      </left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/>
      <diagonal/>
    </border>
    <border>
      <left style="thin">
        <color theme="0" tint="-0.14996795556505021"/>
      </left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14996795556505021"/>
      </left>
      <right/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24994659260841701"/>
      </left>
      <right/>
      <top style="medium">
        <color theme="0" tint="-0.24994659260841701"/>
      </top>
      <bottom style="medium">
        <color theme="0" tint="-0.24994659260841701"/>
      </bottom>
      <diagonal/>
    </border>
    <border>
      <left/>
      <right/>
      <top style="medium">
        <color theme="0" tint="-0.24994659260841701"/>
      </top>
      <bottom style="medium">
        <color theme="0" tint="-0.24994659260841701"/>
      </bottom>
      <diagonal/>
    </border>
    <border>
      <left/>
      <right style="medium">
        <color theme="0" tint="-0.24994659260841701"/>
      </right>
      <top style="medium">
        <color theme="0" tint="-0.24994659260841701"/>
      </top>
      <bottom style="medium">
        <color theme="0" tint="-0.24994659260841701"/>
      </bottom>
      <diagonal/>
    </border>
    <border>
      <left style="thin">
        <color theme="0" tint="-0.14996795556505021"/>
      </left>
      <right style="thin">
        <color theme="0" tint="-0.14993743705557422"/>
      </right>
      <top/>
      <bottom style="thin">
        <color theme="0" tint="-0.14993743705557422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34998626667073579"/>
      </left>
      <right style="thin">
        <color theme="0" tint="-0.34998626667073579"/>
      </right>
      <top/>
      <bottom style="thin">
        <color theme="0" tint="-0.34998626667073579"/>
      </bottom>
      <diagonal/>
    </border>
    <border>
      <left style="medium">
        <color theme="0" tint="-0.34998626667073579"/>
      </left>
      <right/>
      <top style="medium">
        <color theme="0" tint="-0.34998626667073579"/>
      </top>
      <bottom/>
      <diagonal/>
    </border>
    <border>
      <left/>
      <right/>
      <top style="medium">
        <color theme="0" tint="-0.34998626667073579"/>
      </top>
      <bottom/>
      <diagonal/>
    </border>
    <border>
      <left/>
      <right style="medium">
        <color theme="0" tint="-0.34998626667073579"/>
      </right>
      <top style="medium">
        <color theme="0" tint="-0.34998626667073579"/>
      </top>
      <bottom/>
      <diagonal/>
    </border>
    <border>
      <left style="medium">
        <color theme="0" tint="-0.34998626667073579"/>
      </left>
      <right/>
      <top/>
      <bottom/>
      <diagonal/>
    </border>
    <border>
      <left/>
      <right style="medium">
        <color theme="0" tint="-0.34998626667073579"/>
      </right>
      <top/>
      <bottom/>
      <diagonal/>
    </border>
    <border>
      <left/>
      <right style="medium">
        <color theme="0" tint="-0.34998626667073579"/>
      </right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34998626667073579"/>
      </left>
      <right/>
      <top/>
      <bottom style="medium">
        <color theme="0" tint="-0.34998626667073579"/>
      </bottom>
      <diagonal/>
    </border>
    <border>
      <left/>
      <right/>
      <top/>
      <bottom style="medium">
        <color theme="0" tint="-0.34998626667073579"/>
      </bottom>
      <diagonal/>
    </border>
    <border>
      <left/>
      <right style="medium">
        <color theme="0" tint="-0.34998626667073579"/>
      </right>
      <top/>
      <bottom style="medium">
        <color theme="0" tint="-0.34998626667073579"/>
      </bottom>
      <diagonal/>
    </border>
    <border>
      <left style="thin">
        <color theme="0" tint="-0.34998626667073579"/>
      </left>
      <right/>
      <top/>
      <bottom/>
      <diagonal/>
    </border>
    <border>
      <left style="medium">
        <color theme="0" tint="-0.24994659260841701"/>
      </left>
      <right/>
      <top style="medium">
        <color theme="0" tint="-0.24994659260841701"/>
      </top>
      <bottom/>
      <diagonal/>
    </border>
    <border>
      <left/>
      <right/>
      <top style="medium">
        <color theme="0" tint="-0.24994659260841701"/>
      </top>
      <bottom/>
      <diagonal/>
    </border>
    <border>
      <left/>
      <right style="medium">
        <color theme="0" tint="-0.24994659260841701"/>
      </right>
      <top style="medium">
        <color theme="0" tint="-0.24994659260841701"/>
      </top>
      <bottom/>
      <diagonal/>
    </border>
    <border>
      <left style="medium">
        <color theme="0" tint="-0.24994659260841701"/>
      </left>
      <right/>
      <top/>
      <bottom/>
      <diagonal/>
    </border>
    <border>
      <left/>
      <right style="medium">
        <color theme="0" tint="-0.24994659260841701"/>
      </right>
      <top/>
      <bottom/>
      <diagonal/>
    </border>
    <border>
      <left style="medium">
        <color theme="0" tint="-0.24994659260841701"/>
      </left>
      <right/>
      <top/>
      <bottom style="medium">
        <color theme="0" tint="-0.24994659260841701"/>
      </bottom>
      <diagonal/>
    </border>
    <border>
      <left/>
      <right/>
      <top/>
      <bottom style="medium">
        <color theme="0" tint="-0.24994659260841701"/>
      </bottom>
      <diagonal/>
    </border>
    <border>
      <left/>
      <right style="medium">
        <color theme="0" tint="-0.24994659260841701"/>
      </right>
      <top/>
      <bottom style="medium">
        <color theme="0" tint="-0.24994659260841701"/>
      </bottom>
      <diagonal/>
    </border>
    <border>
      <left style="thin">
        <color theme="0" tint="-0.34998626667073579"/>
      </left>
      <right/>
      <top style="medium">
        <color theme="0" tint="-0.24994659260841701"/>
      </top>
      <bottom/>
      <diagonal/>
    </border>
    <border>
      <left/>
      <right/>
      <top style="thin">
        <color theme="8" tint="-0.24994659260841701"/>
      </top>
      <bottom/>
      <diagonal/>
    </border>
    <border>
      <left/>
      <right style="thin">
        <color theme="8" tint="-0.24994659260841701"/>
      </right>
      <top style="thin">
        <color theme="8" tint="-0.24994659260841701"/>
      </top>
      <bottom/>
      <diagonal/>
    </border>
    <border>
      <left style="thin">
        <color theme="4" tint="-0.24994659260841701"/>
      </left>
      <right style="thin">
        <color theme="8" tint="-0.24994659260841701"/>
      </right>
      <top style="thin">
        <color theme="4" tint="-0.24994659260841701"/>
      </top>
      <bottom style="thin">
        <color theme="4" tint="-0.24994659260841701"/>
      </bottom>
      <diagonal/>
    </border>
    <border>
      <left style="thin">
        <color theme="8" tint="-0.24994659260841701"/>
      </left>
      <right style="thin">
        <color theme="8" tint="-0.24994659260841701"/>
      </right>
      <top style="thin">
        <color theme="4" tint="-0.24994659260841701"/>
      </top>
      <bottom style="thin">
        <color theme="4" tint="-0.24994659260841701"/>
      </bottom>
      <diagonal/>
    </border>
    <border>
      <left/>
      <right style="thin">
        <color theme="8" tint="-0.24994659260841701"/>
      </right>
      <top style="thin">
        <color theme="4" tint="-0.24994659260841701"/>
      </top>
      <bottom style="thin">
        <color theme="4" tint="-0.24994659260841701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3743705557422"/>
      </top>
      <bottom style="thin">
        <color theme="0" tint="-0.14993743705557422"/>
      </bottom>
      <diagonal/>
    </border>
    <border>
      <left style="thin">
        <color theme="0" tint="-0.14993743705557422"/>
      </left>
      <right style="thin">
        <color theme="0" tint="-0.14993743705557422"/>
      </right>
      <top style="thin">
        <color theme="0" tint="-0.14993743705557422"/>
      </top>
      <bottom style="thin">
        <color theme="0" tint="-0.14993743705557422"/>
      </bottom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 tint="-0.14996795556505021"/>
      </left>
      <right/>
      <top style="thin">
        <color theme="0" tint="-0.14996795556505021"/>
      </top>
      <bottom style="thin">
        <color theme="0" tint="-0.14993743705557422"/>
      </bottom>
      <diagonal/>
    </border>
    <border>
      <left style="thin">
        <color theme="0" tint="-0.24994659260841701"/>
      </left>
      <right/>
      <top/>
      <bottom/>
      <diagonal/>
    </border>
    <border>
      <left/>
      <right style="thin">
        <color theme="0" tint="-0.24994659260841701"/>
      </right>
      <top/>
      <bottom/>
      <diagonal/>
    </border>
  </borders>
  <cellStyleXfs count="500">
    <xf numFmtId="0" fontId="0" fillId="0" borderId="0"/>
    <xf numFmtId="0" fontId="13" fillId="0" borderId="0"/>
    <xf numFmtId="0" fontId="19" fillId="0" borderId="0"/>
    <xf numFmtId="0" fontId="24" fillId="0" borderId="0"/>
    <xf numFmtId="0" fontId="27" fillId="0" borderId="0" applyNumberFormat="0" applyFill="0" applyBorder="0" applyAlignment="0" applyProtection="0"/>
    <xf numFmtId="44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19" fillId="0" borderId="0"/>
    <xf numFmtId="9" fontId="28" fillId="0" borderId="0" applyFont="0" applyFill="0" applyBorder="0" applyAlignment="0" applyProtection="0"/>
    <xf numFmtId="0" fontId="28" fillId="0" borderId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13" fillId="0" borderId="0"/>
    <xf numFmtId="169" fontId="13" fillId="0" borderId="0" applyFont="0" applyFill="0" applyBorder="0" applyAlignment="0" applyProtection="0"/>
    <xf numFmtId="170" fontId="13" fillId="0" borderId="0" applyFont="0" applyFill="0" applyBorder="0" applyAlignment="0" applyProtection="0"/>
    <xf numFmtId="170" fontId="13" fillId="0" borderId="0" applyFont="0" applyFill="0" applyBorder="0" applyAlignment="0" applyProtection="0"/>
    <xf numFmtId="16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9" fillId="0" borderId="0"/>
    <xf numFmtId="0" fontId="13" fillId="0" borderId="0"/>
    <xf numFmtId="0" fontId="19" fillId="0" borderId="0"/>
    <xf numFmtId="0" fontId="19" fillId="0" borderId="0"/>
    <xf numFmtId="170" fontId="13" fillId="0" borderId="0" applyFont="0" applyFill="0" applyBorder="0" applyAlignment="0" applyProtection="0"/>
    <xf numFmtId="170" fontId="13" fillId="0" borderId="0" applyFont="0" applyFill="0" applyBorder="0" applyAlignment="0" applyProtection="0"/>
    <xf numFmtId="16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168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166" fontId="13" fillId="0" borderId="0" applyFont="0" applyFill="0" applyBorder="0" applyAlignment="0" applyProtection="0"/>
    <xf numFmtId="172" fontId="13" fillId="0" borderId="0" applyFont="0" applyFill="0" applyBorder="0" applyAlignment="0" applyProtection="0"/>
    <xf numFmtId="173" fontId="13" fillId="0" borderId="0" applyFont="0" applyFill="0" applyBorder="0" applyAlignment="0" applyProtection="0"/>
    <xf numFmtId="171" fontId="13" fillId="0" borderId="0" applyFont="0" applyFill="0" applyBorder="0" applyAlignment="0" applyProtection="0"/>
    <xf numFmtId="0" fontId="19" fillId="0" borderId="0"/>
    <xf numFmtId="0" fontId="19" fillId="0" borderId="0"/>
    <xf numFmtId="43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19" fillId="0" borderId="0"/>
    <xf numFmtId="9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33" fillId="0" borderId="0" applyNumberFormat="0" applyFill="0" applyBorder="0" applyAlignment="0" applyProtection="0">
      <alignment vertical="top"/>
      <protection locked="0"/>
    </xf>
    <xf numFmtId="0" fontId="19" fillId="0" borderId="0"/>
    <xf numFmtId="0" fontId="34" fillId="0" borderId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9" fontId="35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35" fillId="0" borderId="0" applyFont="0" applyFill="0" applyBorder="0" applyAlignment="0" applyProtection="0"/>
    <xf numFmtId="9" fontId="19" fillId="0" borderId="0" applyFont="0" applyFill="0" applyBorder="0" applyAlignment="0" applyProtection="0"/>
    <xf numFmtId="174" fontId="34" fillId="0" borderId="0" applyFont="0" applyFill="0" applyBorder="0" applyAlignment="0" applyProtection="0"/>
    <xf numFmtId="168" fontId="34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19" fillId="0" borderId="0"/>
    <xf numFmtId="167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0" fontId="34" fillId="0" borderId="0"/>
    <xf numFmtId="0" fontId="19" fillId="0" borderId="0"/>
    <xf numFmtId="9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0" fontId="19" fillId="0" borderId="0"/>
    <xf numFmtId="168" fontId="34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36" fillId="0" borderId="0"/>
    <xf numFmtId="42" fontId="36" fillId="0" borderId="0" applyFont="0" applyFill="0" applyBorder="0" applyAlignment="0" applyProtection="0"/>
    <xf numFmtId="167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9" fontId="19" fillId="0" borderId="0" applyFont="0" applyFill="0" applyBorder="0" applyAlignment="0" applyProtection="0"/>
    <xf numFmtId="0" fontId="19" fillId="0" borderId="0"/>
    <xf numFmtId="43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3" fillId="0" borderId="0" applyFont="0" applyFill="0" applyBorder="0" applyAlignment="0" applyProtection="0"/>
    <xf numFmtId="168" fontId="19" fillId="0" borderId="0" applyFont="0" applyFill="0" applyBorder="0" applyAlignment="0" applyProtection="0"/>
    <xf numFmtId="0" fontId="19" fillId="0" borderId="0"/>
    <xf numFmtId="0" fontId="19" fillId="0" borderId="0"/>
    <xf numFmtId="164" fontId="13" fillId="0" borderId="0" applyFont="0" applyFill="0" applyBorder="0" applyAlignment="0" applyProtection="0"/>
    <xf numFmtId="16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9" fillId="0" borderId="0"/>
    <xf numFmtId="169" fontId="13" fillId="0" borderId="0" applyFont="0" applyFill="0" applyBorder="0" applyAlignment="0" applyProtection="0"/>
    <xf numFmtId="169" fontId="13" fillId="0" borderId="0" applyFont="0" applyFill="0" applyBorder="0" applyAlignment="0" applyProtection="0"/>
    <xf numFmtId="0" fontId="38" fillId="0" borderId="0" applyNumberFormat="0" applyFill="0" applyBorder="0" applyAlignment="0" applyProtection="0">
      <alignment vertical="top"/>
      <protection locked="0"/>
    </xf>
    <xf numFmtId="0" fontId="39" fillId="0" borderId="22" applyNumberFormat="0" applyFill="0" applyAlignment="0" applyProtection="0"/>
    <xf numFmtId="0" fontId="40" fillId="0" borderId="23" applyNumberFormat="0" applyFill="0" applyAlignment="0" applyProtection="0"/>
    <xf numFmtId="0" fontId="40" fillId="0" borderId="0" applyNumberFormat="0" applyFill="0" applyBorder="0" applyAlignment="0" applyProtection="0"/>
    <xf numFmtId="0" fontId="41" fillId="27" borderId="0" applyNumberFormat="0" applyBorder="0" applyAlignment="0" applyProtection="0"/>
    <xf numFmtId="0" fontId="42" fillId="28" borderId="0" applyNumberFormat="0" applyBorder="0" applyAlignment="0" applyProtection="0"/>
    <xf numFmtId="0" fontId="43" fillId="29" borderId="24" applyNumberFormat="0" applyAlignment="0" applyProtection="0"/>
    <xf numFmtId="0" fontId="44" fillId="30" borderId="25" applyNumberFormat="0" applyAlignment="0" applyProtection="0"/>
    <xf numFmtId="0" fontId="45" fillId="30" borderId="24" applyNumberFormat="0" applyAlignment="0" applyProtection="0"/>
    <xf numFmtId="0" fontId="46" fillId="0" borderId="26" applyNumberFormat="0" applyFill="0" applyAlignment="0" applyProtection="0"/>
    <xf numFmtId="0" fontId="47" fillId="31" borderId="27" applyNumberFormat="0" applyAlignment="0" applyProtection="0"/>
    <xf numFmtId="0" fontId="48" fillId="0" borderId="0" applyNumberFormat="0" applyFill="0" applyBorder="0" applyAlignment="0" applyProtection="0"/>
    <xf numFmtId="0" fontId="19" fillId="32" borderId="28" applyNumberFormat="0" applyFont="0" applyAlignment="0" applyProtection="0"/>
    <xf numFmtId="0" fontId="49" fillId="0" borderId="0" applyNumberFormat="0" applyFill="0" applyBorder="0" applyAlignment="0" applyProtection="0"/>
    <xf numFmtId="0" fontId="32" fillId="0" borderId="29" applyNumberFormat="0" applyFill="0" applyAlignment="0" applyProtection="0"/>
    <xf numFmtId="0" fontId="37" fillId="33" borderId="0" applyNumberFormat="0" applyBorder="0" applyAlignment="0" applyProtection="0"/>
    <xf numFmtId="0" fontId="19" fillId="34" borderId="0" applyNumberFormat="0" applyBorder="0" applyAlignment="0" applyProtection="0"/>
    <xf numFmtId="0" fontId="19" fillId="35" borderId="0" applyNumberFormat="0" applyBorder="0" applyAlignment="0" applyProtection="0"/>
    <xf numFmtId="0" fontId="37" fillId="36" borderId="0" applyNumberFormat="0" applyBorder="0" applyAlignment="0" applyProtection="0"/>
    <xf numFmtId="0" fontId="37" fillId="37" borderId="0" applyNumberFormat="0" applyBorder="0" applyAlignment="0" applyProtection="0"/>
    <xf numFmtId="0" fontId="19" fillId="38" borderId="0" applyNumberFormat="0" applyBorder="0" applyAlignment="0" applyProtection="0"/>
    <xf numFmtId="0" fontId="19" fillId="39" borderId="0" applyNumberFormat="0" applyBorder="0" applyAlignment="0" applyProtection="0"/>
    <xf numFmtId="0" fontId="37" fillId="40" borderId="0" applyNumberFormat="0" applyBorder="0" applyAlignment="0" applyProtection="0"/>
    <xf numFmtId="0" fontId="37" fillId="41" borderId="0" applyNumberFormat="0" applyBorder="0" applyAlignment="0" applyProtection="0"/>
    <xf numFmtId="0" fontId="19" fillId="42" borderId="0" applyNumberFormat="0" applyBorder="0" applyAlignment="0" applyProtection="0"/>
    <xf numFmtId="0" fontId="19" fillId="43" borderId="0" applyNumberFormat="0" applyBorder="0" applyAlignment="0" applyProtection="0"/>
    <xf numFmtId="0" fontId="37" fillId="44" borderId="0" applyNumberFormat="0" applyBorder="0" applyAlignment="0" applyProtection="0"/>
    <xf numFmtId="0" fontId="37" fillId="45" borderId="0" applyNumberFormat="0" applyBorder="0" applyAlignment="0" applyProtection="0"/>
    <xf numFmtId="0" fontId="19" fillId="46" borderId="0" applyNumberFormat="0" applyBorder="0" applyAlignment="0" applyProtection="0"/>
    <xf numFmtId="0" fontId="19" fillId="47" borderId="0" applyNumberFormat="0" applyBorder="0" applyAlignment="0" applyProtection="0"/>
    <xf numFmtId="0" fontId="37" fillId="48" borderId="0" applyNumberFormat="0" applyBorder="0" applyAlignment="0" applyProtection="0"/>
    <xf numFmtId="0" fontId="37" fillId="49" borderId="0" applyNumberFormat="0" applyBorder="0" applyAlignment="0" applyProtection="0"/>
    <xf numFmtId="0" fontId="19" fillId="50" borderId="0" applyNumberFormat="0" applyBorder="0" applyAlignment="0" applyProtection="0"/>
    <xf numFmtId="0" fontId="19" fillId="51" borderId="0" applyNumberFormat="0" applyBorder="0" applyAlignment="0" applyProtection="0"/>
    <xf numFmtId="0" fontId="37" fillId="52" borderId="0" applyNumberFormat="0" applyBorder="0" applyAlignment="0" applyProtection="0"/>
    <xf numFmtId="0" fontId="37" fillId="53" borderId="0" applyNumberFormat="0" applyBorder="0" applyAlignment="0" applyProtection="0"/>
    <xf numFmtId="0" fontId="19" fillId="54" borderId="0" applyNumberFormat="0" applyBorder="0" applyAlignment="0" applyProtection="0"/>
    <xf numFmtId="0" fontId="19" fillId="55" borderId="0" applyNumberFormat="0" applyBorder="0" applyAlignment="0" applyProtection="0"/>
    <xf numFmtId="0" fontId="37" fillId="56" borderId="0" applyNumberFormat="0" applyBorder="0" applyAlignment="0" applyProtection="0"/>
    <xf numFmtId="168" fontId="19" fillId="0" borderId="0" applyFont="0" applyFill="0" applyBorder="0" applyAlignment="0" applyProtection="0"/>
    <xf numFmtId="0" fontId="50" fillId="0" borderId="0" applyNumberForma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52" fillId="57" borderId="0" applyNumberFormat="0" applyBorder="0" applyAlignment="0" applyProtection="0"/>
    <xf numFmtId="0" fontId="52" fillId="58" borderId="0" applyNumberFormat="0" applyBorder="0" applyAlignment="0" applyProtection="0"/>
    <xf numFmtId="0" fontId="52" fillId="59" borderId="0" applyNumberFormat="0" applyBorder="0" applyAlignment="0" applyProtection="0"/>
    <xf numFmtId="0" fontId="53" fillId="60" borderId="0" applyNumberFormat="0" applyBorder="0" applyAlignment="0" applyProtection="0"/>
    <xf numFmtId="0" fontId="53" fillId="60" borderId="0" applyNumberFormat="0" applyBorder="0" applyAlignment="0" applyProtection="0"/>
    <xf numFmtId="0" fontId="54" fillId="61" borderId="0" applyNumberFormat="0" applyBorder="0" applyAlignment="0" applyProtection="0"/>
    <xf numFmtId="0" fontId="53" fillId="62" borderId="0" applyNumberFormat="0" applyBorder="0" applyAlignment="0" applyProtection="0"/>
    <xf numFmtId="0" fontId="53" fillId="63" borderId="0" applyNumberFormat="0" applyBorder="0" applyAlignment="0" applyProtection="0"/>
    <xf numFmtId="0" fontId="54" fillId="64" borderId="0" applyNumberFormat="0" applyBorder="0" applyAlignment="0" applyProtection="0"/>
    <xf numFmtId="0" fontId="53" fillId="62" borderId="0" applyNumberFormat="0" applyBorder="0" applyAlignment="0" applyProtection="0"/>
    <xf numFmtId="0" fontId="53" fillId="65" borderId="0" applyNumberFormat="0" applyBorder="0" applyAlignment="0" applyProtection="0"/>
    <xf numFmtId="0" fontId="54" fillId="63" borderId="0" applyNumberFormat="0" applyBorder="0" applyAlignment="0" applyProtection="0"/>
    <xf numFmtId="0" fontId="53" fillId="60" borderId="0" applyNumberFormat="0" applyBorder="0" applyAlignment="0" applyProtection="0"/>
    <xf numFmtId="0" fontId="53" fillId="63" borderId="0" applyNumberFormat="0" applyBorder="0" applyAlignment="0" applyProtection="0"/>
    <xf numFmtId="0" fontId="54" fillId="63" borderId="0" applyNumberFormat="0" applyBorder="0" applyAlignment="0" applyProtection="0"/>
    <xf numFmtId="0" fontId="53" fillId="66" borderId="0" applyNumberFormat="0" applyBorder="0" applyAlignment="0" applyProtection="0"/>
    <xf numFmtId="0" fontId="53" fillId="60" borderId="0" applyNumberFormat="0" applyBorder="0" applyAlignment="0" applyProtection="0"/>
    <xf numFmtId="0" fontId="54" fillId="61" borderId="0" applyNumberFormat="0" applyBorder="0" applyAlignment="0" applyProtection="0"/>
    <xf numFmtId="0" fontId="53" fillId="62" borderId="0" applyNumberFormat="0" applyBorder="0" applyAlignment="0" applyProtection="0"/>
    <xf numFmtId="0" fontId="53" fillId="67" borderId="0" applyNumberFormat="0" applyBorder="0" applyAlignment="0" applyProtection="0"/>
    <xf numFmtId="0" fontId="54" fillId="67" borderId="0" applyNumberFormat="0" applyBorder="0" applyAlignment="0" applyProtection="0"/>
    <xf numFmtId="175" fontId="13" fillId="0" borderId="0" applyFont="0" applyFill="0" applyBorder="0" applyAlignment="0" applyProtection="0"/>
    <xf numFmtId="0" fontId="13" fillId="0" borderId="0"/>
    <xf numFmtId="0" fontId="13" fillId="0" borderId="0"/>
    <xf numFmtId="0" fontId="55" fillId="0" borderId="0" applyNumberForma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9" fontId="13" fillId="0" borderId="0" applyFont="0" applyFill="0" applyBorder="0" applyAlignment="0" applyProtection="0"/>
    <xf numFmtId="0" fontId="67" fillId="0" borderId="0"/>
    <xf numFmtId="16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9" fontId="13" fillId="0" borderId="0" applyFont="0" applyFill="0" applyBorder="0" applyAlignment="0" applyProtection="0"/>
    <xf numFmtId="16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9" fontId="13" fillId="0" borderId="0" applyFont="0" applyFill="0" applyBorder="0" applyAlignment="0" applyProtection="0"/>
    <xf numFmtId="169" fontId="13" fillId="0" borderId="0" applyFont="0" applyFill="0" applyBorder="0" applyAlignment="0" applyProtection="0"/>
    <xf numFmtId="16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9" fontId="13" fillId="0" borderId="0" applyFont="0" applyFill="0" applyBorder="0" applyAlignment="0" applyProtection="0"/>
    <xf numFmtId="169" fontId="13" fillId="0" borderId="0" applyFont="0" applyFill="0" applyBorder="0" applyAlignment="0" applyProtection="0"/>
    <xf numFmtId="16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9" fontId="13" fillId="0" borderId="0" applyFont="0" applyFill="0" applyBorder="0" applyAlignment="0" applyProtection="0"/>
    <xf numFmtId="169" fontId="13" fillId="0" borderId="0" applyFont="0" applyFill="0" applyBorder="0" applyAlignment="0" applyProtection="0"/>
    <xf numFmtId="0" fontId="70" fillId="0" borderId="0"/>
    <xf numFmtId="0" fontId="70" fillId="0" borderId="0"/>
    <xf numFmtId="16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70" fillId="0" borderId="0"/>
    <xf numFmtId="0" fontId="70" fillId="0" borderId="0"/>
    <xf numFmtId="164" fontId="13" fillId="0" borderId="0" applyFont="0" applyFill="0" applyBorder="0" applyAlignment="0" applyProtection="0"/>
    <xf numFmtId="0" fontId="70" fillId="0" borderId="0"/>
    <xf numFmtId="164" fontId="13" fillId="0" borderId="0" applyFont="0" applyFill="0" applyBorder="0" applyAlignment="0" applyProtection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164" fontId="13" fillId="0" borderId="0" applyFont="0" applyFill="0" applyBorder="0" applyAlignment="0" applyProtection="0"/>
    <xf numFmtId="0" fontId="70" fillId="0" borderId="0"/>
    <xf numFmtId="0" fontId="70" fillId="0" borderId="0"/>
    <xf numFmtId="164" fontId="13" fillId="0" borderId="0" applyFont="0" applyFill="0" applyBorder="0" applyAlignment="0" applyProtection="0"/>
    <xf numFmtId="16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70" fillId="0" borderId="0"/>
    <xf numFmtId="164" fontId="13" fillId="0" borderId="0" applyFont="0" applyFill="0" applyBorder="0" applyAlignment="0" applyProtection="0"/>
    <xf numFmtId="0" fontId="70" fillId="0" borderId="0"/>
    <xf numFmtId="164" fontId="13" fillId="0" borderId="0" applyFont="0" applyFill="0" applyBorder="0" applyAlignment="0" applyProtection="0"/>
    <xf numFmtId="0" fontId="70" fillId="0" borderId="0"/>
    <xf numFmtId="164" fontId="13" fillId="0" borderId="0" applyFont="0" applyFill="0" applyBorder="0" applyAlignment="0" applyProtection="0"/>
    <xf numFmtId="169" fontId="13" fillId="0" borderId="0" applyFont="0" applyFill="0" applyBorder="0" applyAlignment="0" applyProtection="0"/>
    <xf numFmtId="169" fontId="13" fillId="0" borderId="0" applyFont="0" applyFill="0" applyBorder="0" applyAlignment="0" applyProtection="0"/>
    <xf numFmtId="0" fontId="70" fillId="0" borderId="0"/>
    <xf numFmtId="0" fontId="70" fillId="0" borderId="0"/>
    <xf numFmtId="164" fontId="13" fillId="0" borderId="0" applyFont="0" applyFill="0" applyBorder="0" applyAlignment="0" applyProtection="0"/>
    <xf numFmtId="0" fontId="70" fillId="0" borderId="0"/>
    <xf numFmtId="0" fontId="70" fillId="0" borderId="0"/>
    <xf numFmtId="0" fontId="70" fillId="0" borderId="0"/>
    <xf numFmtId="169" fontId="13" fillId="0" borderId="0" applyFont="0" applyFill="0" applyBorder="0" applyAlignment="0" applyProtection="0"/>
    <xf numFmtId="0" fontId="70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70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70" fillId="0" borderId="0"/>
    <xf numFmtId="0" fontId="70" fillId="0" borderId="0"/>
    <xf numFmtId="0" fontId="70" fillId="0" borderId="0"/>
    <xf numFmtId="0" fontId="70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70" fillId="0" borderId="0"/>
    <xf numFmtId="0" fontId="70" fillId="0" borderId="0"/>
    <xf numFmtId="0" fontId="70" fillId="0" borderId="0"/>
    <xf numFmtId="16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9" fontId="13" fillId="0" borderId="0" applyFont="0" applyFill="0" applyBorder="0" applyAlignment="0" applyProtection="0"/>
    <xf numFmtId="169" fontId="13" fillId="0" borderId="0" applyFont="0" applyFill="0" applyBorder="0" applyAlignment="0" applyProtection="0"/>
    <xf numFmtId="169" fontId="13" fillId="0" borderId="0" applyFont="0" applyFill="0" applyBorder="0" applyAlignment="0" applyProtection="0"/>
    <xf numFmtId="169" fontId="13" fillId="0" borderId="0" applyFont="0" applyFill="0" applyBorder="0" applyAlignment="0" applyProtection="0"/>
    <xf numFmtId="169" fontId="13" fillId="0" borderId="0" applyFont="0" applyFill="0" applyBorder="0" applyAlignment="0" applyProtection="0"/>
    <xf numFmtId="169" fontId="13" fillId="0" borderId="0" applyFont="0" applyFill="0" applyBorder="0" applyAlignment="0" applyProtection="0"/>
    <xf numFmtId="169" fontId="13" fillId="0" borderId="0" applyFont="0" applyFill="0" applyBorder="0" applyAlignment="0" applyProtection="0"/>
    <xf numFmtId="169" fontId="13" fillId="0" borderId="0" applyFont="0" applyFill="0" applyBorder="0" applyAlignment="0" applyProtection="0"/>
    <xf numFmtId="169" fontId="13" fillId="0" borderId="0" applyFont="0" applyFill="0" applyBorder="0" applyAlignment="0" applyProtection="0"/>
    <xf numFmtId="169" fontId="13" fillId="0" borderId="0" applyFont="0" applyFill="0" applyBorder="0" applyAlignment="0" applyProtection="0"/>
    <xf numFmtId="169" fontId="13" fillId="0" borderId="0" applyFont="0" applyFill="0" applyBorder="0" applyAlignment="0" applyProtection="0"/>
    <xf numFmtId="169" fontId="13" fillId="0" borderId="0" applyFont="0" applyFill="0" applyBorder="0" applyAlignment="0" applyProtection="0"/>
    <xf numFmtId="169" fontId="13" fillId="0" borderId="0" applyFont="0" applyFill="0" applyBorder="0" applyAlignment="0" applyProtection="0"/>
    <xf numFmtId="169" fontId="13" fillId="0" borderId="0" applyFont="0" applyFill="0" applyBorder="0" applyAlignment="0" applyProtection="0"/>
    <xf numFmtId="169" fontId="13" fillId="0" borderId="0" applyFont="0" applyFill="0" applyBorder="0" applyAlignment="0" applyProtection="0"/>
    <xf numFmtId="169" fontId="13" fillId="0" borderId="0" applyFont="0" applyFill="0" applyBorder="0" applyAlignment="0" applyProtection="0"/>
    <xf numFmtId="169" fontId="13" fillId="0" borderId="0" applyFont="0" applyFill="0" applyBorder="0" applyAlignment="0" applyProtection="0"/>
    <xf numFmtId="169" fontId="13" fillId="0" borderId="0" applyFont="0" applyFill="0" applyBorder="0" applyAlignment="0" applyProtection="0"/>
    <xf numFmtId="169" fontId="13" fillId="0" borderId="0" applyFont="0" applyFill="0" applyBorder="0" applyAlignment="0" applyProtection="0"/>
    <xf numFmtId="169" fontId="13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0" fontId="78" fillId="71" borderId="0" applyNumberFormat="0" applyBorder="0" applyAlignment="0" applyProtection="0"/>
    <xf numFmtId="0" fontId="3" fillId="0" borderId="0"/>
    <xf numFmtId="0" fontId="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2" fillId="0" borderId="0"/>
    <xf numFmtId="0" fontId="2" fillId="0" borderId="0"/>
    <xf numFmtId="0" fontId="2" fillId="0" borderId="0"/>
  </cellStyleXfs>
  <cellXfs count="552">
    <xf numFmtId="0" fontId="0" fillId="0" borderId="0" xfId="0"/>
    <xf numFmtId="0" fontId="5" fillId="0" borderId="0" xfId="0" applyFont="1"/>
    <xf numFmtId="0" fontId="5" fillId="0" borderId="0" xfId="0" applyFont="1" applyAlignment="1">
      <alignment horizontal="center"/>
    </xf>
    <xf numFmtId="0" fontId="8" fillId="9" borderId="10" xfId="0" applyFont="1" applyFill="1" applyBorder="1"/>
    <xf numFmtId="0" fontId="8" fillId="9" borderId="0" xfId="0" applyFont="1" applyFill="1" applyBorder="1"/>
    <xf numFmtId="0" fontId="8" fillId="9" borderId="11" xfId="0" applyFont="1" applyFill="1" applyBorder="1"/>
    <xf numFmtId="0" fontId="8" fillId="9" borderId="9" xfId="0" applyFont="1" applyFill="1" applyBorder="1"/>
    <xf numFmtId="0" fontId="8" fillId="9" borderId="7" xfId="0" applyFont="1" applyFill="1" applyBorder="1"/>
    <xf numFmtId="0" fontId="8" fillId="9" borderId="3" xfId="0" applyFont="1" applyFill="1" applyBorder="1"/>
    <xf numFmtId="0" fontId="8" fillId="0" borderId="0" xfId="0" applyFont="1"/>
    <xf numFmtId="0" fontId="8" fillId="9" borderId="12" xfId="0" applyFont="1" applyFill="1" applyBorder="1"/>
    <xf numFmtId="0" fontId="8" fillId="9" borderId="8" xfId="0" applyFont="1" applyFill="1" applyBorder="1"/>
    <xf numFmtId="0" fontId="5" fillId="9" borderId="0" xfId="0" applyFont="1" applyFill="1" applyBorder="1"/>
    <xf numFmtId="0" fontId="8" fillId="9" borderId="13" xfId="0" applyFont="1" applyFill="1" applyBorder="1"/>
    <xf numFmtId="0" fontId="8" fillId="9" borderId="14" xfId="0" applyFont="1" applyFill="1" applyBorder="1"/>
    <xf numFmtId="0" fontId="5" fillId="9" borderId="14" xfId="0" applyFont="1" applyFill="1" applyBorder="1"/>
    <xf numFmtId="0" fontId="5" fillId="9" borderId="15" xfId="0" applyFont="1" applyFill="1" applyBorder="1"/>
    <xf numFmtId="0" fontId="8" fillId="9" borderId="16" xfId="0" applyFont="1" applyFill="1" applyBorder="1"/>
    <xf numFmtId="0" fontId="5" fillId="9" borderId="17" xfId="0" applyFont="1" applyFill="1" applyBorder="1"/>
    <xf numFmtId="0" fontId="5" fillId="9" borderId="18" xfId="0" applyFont="1" applyFill="1" applyBorder="1"/>
    <xf numFmtId="0" fontId="5" fillId="9" borderId="19" xfId="0" applyFont="1" applyFill="1" applyBorder="1"/>
    <xf numFmtId="0" fontId="5" fillId="0" borderId="20" xfId="0" applyFont="1" applyBorder="1"/>
    <xf numFmtId="0" fontId="5" fillId="9" borderId="19" xfId="0" applyFont="1" applyFill="1" applyBorder="1" applyAlignment="1">
      <alignment horizontal="center"/>
    </xf>
    <xf numFmtId="0" fontId="8" fillId="0" borderId="0" xfId="0" applyFont="1" applyAlignment="1">
      <alignment horizontal="center" vertical="center" wrapText="1"/>
    </xf>
    <xf numFmtId="3" fontId="8" fillId="0" borderId="0" xfId="0" applyNumberFormat="1" applyFont="1"/>
    <xf numFmtId="0" fontId="8" fillId="9" borderId="15" xfId="0" applyFont="1" applyFill="1" applyBorder="1"/>
    <xf numFmtId="0" fontId="8" fillId="9" borderId="17" xfId="0" applyFont="1" applyFill="1" applyBorder="1"/>
    <xf numFmtId="0" fontId="8" fillId="9" borderId="18" xfId="0" applyFont="1" applyFill="1" applyBorder="1"/>
    <xf numFmtId="0" fontId="8" fillId="9" borderId="19" xfId="0" applyFont="1" applyFill="1" applyBorder="1"/>
    <xf numFmtId="0" fontId="8" fillId="9" borderId="20" xfId="0" applyFont="1" applyFill="1" applyBorder="1"/>
    <xf numFmtId="0" fontId="8" fillId="0" borderId="0" xfId="0" applyFont="1" applyAlignment="1">
      <alignment horizontal="center"/>
    </xf>
    <xf numFmtId="0" fontId="8" fillId="0" borderId="0" xfId="0" applyNumberFormat="1" applyFont="1" applyAlignment="1">
      <alignment horizontal="center"/>
    </xf>
    <xf numFmtId="0" fontId="8" fillId="14" borderId="0" xfId="0" applyFont="1" applyFill="1" applyAlignment="1">
      <alignment horizontal="center" vertical="center" wrapText="1"/>
    </xf>
    <xf numFmtId="0" fontId="14" fillId="0" borderId="0" xfId="0" applyFont="1"/>
    <xf numFmtId="0" fontId="14" fillId="9" borderId="0" xfId="0" applyFont="1" applyFill="1"/>
    <xf numFmtId="0" fontId="20" fillId="0" borderId="0" xfId="0" applyFont="1"/>
    <xf numFmtId="0" fontId="21" fillId="9" borderId="0" xfId="0" applyFont="1" applyFill="1" applyBorder="1"/>
    <xf numFmtId="0" fontId="5" fillId="9" borderId="7" xfId="0" applyFont="1" applyFill="1" applyBorder="1"/>
    <xf numFmtId="0" fontId="20" fillId="9" borderId="0" xfId="0" applyFont="1" applyFill="1" applyBorder="1"/>
    <xf numFmtId="0" fontId="20" fillId="9" borderId="10" xfId="0" applyFont="1" applyFill="1" applyBorder="1"/>
    <xf numFmtId="0" fontId="5" fillId="9" borderId="3" xfId="0" applyFont="1" applyFill="1" applyBorder="1"/>
    <xf numFmtId="0" fontId="5" fillId="9" borderId="11" xfId="0" applyFont="1" applyFill="1" applyBorder="1"/>
    <xf numFmtId="0" fontId="14" fillId="0" borderId="0" xfId="0" applyFont="1" applyBorder="1"/>
    <xf numFmtId="0" fontId="0" fillId="22" borderId="0" xfId="0" applyFill="1"/>
    <xf numFmtId="0" fontId="14" fillId="22" borderId="0" xfId="0" applyFont="1" applyFill="1"/>
    <xf numFmtId="0" fontId="6" fillId="9" borderId="1" xfId="0" applyFont="1" applyFill="1" applyBorder="1" applyAlignment="1">
      <alignment horizontal="center" vertical="center" wrapText="1"/>
    </xf>
    <xf numFmtId="0" fontId="9" fillId="9" borderId="1" xfId="0" applyFont="1" applyFill="1" applyBorder="1" applyAlignment="1">
      <alignment horizontal="center" vertical="center" wrapText="1"/>
    </xf>
    <xf numFmtId="0" fontId="6" fillId="9" borderId="1" xfId="0" quotePrefix="1" applyFont="1" applyFill="1" applyBorder="1" applyAlignment="1">
      <alignment horizontal="center" vertical="center" wrapText="1"/>
    </xf>
    <xf numFmtId="0" fontId="12" fillId="9" borderId="0" xfId="0" applyFont="1" applyFill="1" applyBorder="1" applyAlignment="1">
      <alignment horizontal="center"/>
    </xf>
    <xf numFmtId="0" fontId="12" fillId="9" borderId="11" xfId="0" applyFont="1" applyFill="1" applyBorder="1" applyAlignment="1">
      <alignment horizontal="center"/>
    </xf>
    <xf numFmtId="0" fontId="5" fillId="9" borderId="8" xfId="0" applyFont="1" applyFill="1" applyBorder="1"/>
    <xf numFmtId="0" fontId="0" fillId="9" borderId="7" xfId="0" applyFill="1" applyBorder="1"/>
    <xf numFmtId="0" fontId="0" fillId="9" borderId="3" xfId="0" applyFill="1" applyBorder="1"/>
    <xf numFmtId="0" fontId="0" fillId="9" borderId="0" xfId="0" applyFill="1" applyBorder="1"/>
    <xf numFmtId="0" fontId="0" fillId="9" borderId="11" xfId="0" applyFill="1" applyBorder="1"/>
    <xf numFmtId="0" fontId="0" fillId="9" borderId="8" xfId="0" applyFill="1" applyBorder="1"/>
    <xf numFmtId="0" fontId="0" fillId="9" borderId="2" xfId="0" applyFill="1" applyBorder="1"/>
    <xf numFmtId="0" fontId="12" fillId="9" borderId="0" xfId="0" applyFont="1" applyFill="1" applyBorder="1" applyAlignment="1">
      <alignment horizontal="center"/>
    </xf>
    <xf numFmtId="0" fontId="12" fillId="9" borderId="11" xfId="0" applyFont="1" applyFill="1" applyBorder="1" applyAlignment="1">
      <alignment horizontal="center"/>
    </xf>
    <xf numFmtId="0" fontId="0" fillId="24" borderId="6" xfId="0" applyFill="1" applyBorder="1"/>
    <xf numFmtId="0" fontId="0" fillId="24" borderId="21" xfId="0" applyFill="1" applyBorder="1"/>
    <xf numFmtId="0" fontId="0" fillId="24" borderId="5" xfId="0" applyFill="1" applyBorder="1"/>
    <xf numFmtId="0" fontId="12" fillId="9" borderId="0" xfId="0" applyFont="1" applyFill="1" applyBorder="1" applyAlignment="1"/>
    <xf numFmtId="0" fontId="12" fillId="9" borderId="11" xfId="0" applyFont="1" applyFill="1" applyBorder="1" applyAlignment="1"/>
    <xf numFmtId="0" fontId="30" fillId="9" borderId="0" xfId="0" applyFont="1" applyFill="1" applyBorder="1"/>
    <xf numFmtId="0" fontId="31" fillId="9" borderId="0" xfId="0" applyFont="1" applyFill="1" applyBorder="1"/>
    <xf numFmtId="0" fontId="0" fillId="0" borderId="0" xfId="0"/>
    <xf numFmtId="0" fontId="8" fillId="9" borderId="10" xfId="0" applyFont="1" applyFill="1" applyBorder="1"/>
    <xf numFmtId="0" fontId="8" fillId="9" borderId="0" xfId="0" applyFont="1" applyFill="1" applyBorder="1"/>
    <xf numFmtId="0" fontId="8" fillId="9" borderId="9" xfId="0" applyFont="1" applyFill="1" applyBorder="1"/>
    <xf numFmtId="0" fontId="8" fillId="9" borderId="7" xfId="0" applyFont="1" applyFill="1" applyBorder="1"/>
    <xf numFmtId="0" fontId="5" fillId="9" borderId="0" xfId="0" applyFont="1" applyFill="1" applyBorder="1"/>
    <xf numFmtId="0" fontId="5" fillId="9" borderId="7" xfId="0" applyFont="1" applyFill="1" applyBorder="1"/>
    <xf numFmtId="0" fontId="12" fillId="9" borderId="0" xfId="0" applyFont="1" applyFill="1" applyBorder="1" applyAlignment="1">
      <alignment horizontal="center"/>
    </xf>
    <xf numFmtId="0" fontId="12" fillId="9" borderId="10" xfId="0" applyFont="1" applyFill="1" applyBorder="1" applyAlignment="1">
      <alignment horizontal="center"/>
    </xf>
    <xf numFmtId="0" fontId="0" fillId="22" borderId="0" xfId="0" applyFill="1"/>
    <xf numFmtId="0" fontId="12" fillId="9" borderId="0" xfId="0" applyFont="1" applyFill="1" applyBorder="1" applyAlignment="1">
      <alignment horizontal="center"/>
    </xf>
    <xf numFmtId="0" fontId="0" fillId="9" borderId="0" xfId="0" applyFill="1"/>
    <xf numFmtId="0" fontId="12" fillId="9" borderId="0" xfId="0" applyFont="1" applyFill="1" applyBorder="1" applyAlignment="1">
      <alignment horizontal="center"/>
    </xf>
    <xf numFmtId="0" fontId="12" fillId="9" borderId="11" xfId="0" applyFont="1" applyFill="1" applyBorder="1" applyAlignment="1">
      <alignment horizontal="center"/>
    </xf>
    <xf numFmtId="0" fontId="8" fillId="9" borderId="0" xfId="0" applyFont="1" applyFill="1" applyBorder="1" applyAlignment="1">
      <alignment horizontal="left"/>
    </xf>
    <xf numFmtId="0" fontId="23" fillId="9" borderId="0" xfId="0" applyFont="1" applyFill="1" applyBorder="1" applyAlignment="1">
      <alignment horizontal="center"/>
    </xf>
    <xf numFmtId="0" fontId="5" fillId="9" borderId="0" xfId="0" applyFont="1" applyFill="1" applyBorder="1"/>
    <xf numFmtId="0" fontId="5" fillId="0" borderId="0" xfId="0" applyFont="1"/>
    <xf numFmtId="0" fontId="8" fillId="9" borderId="0" xfId="0" applyFont="1" applyFill="1" applyBorder="1"/>
    <xf numFmtId="0" fontId="37" fillId="9" borderId="0" xfId="0" applyFont="1" applyFill="1" applyBorder="1" applyAlignment="1">
      <alignment horizontal="center"/>
    </xf>
    <xf numFmtId="0" fontId="8" fillId="9" borderId="0" xfId="0" applyFont="1" applyFill="1" applyBorder="1"/>
    <xf numFmtId="0" fontId="12" fillId="9" borderId="0" xfId="0" applyFont="1" applyFill="1" applyBorder="1" applyAlignment="1">
      <alignment horizontal="center"/>
    </xf>
    <xf numFmtId="0" fontId="12" fillId="9" borderId="11" xfId="0" applyFont="1" applyFill="1" applyBorder="1" applyAlignment="1">
      <alignment horizontal="center"/>
    </xf>
    <xf numFmtId="0" fontId="12" fillId="9" borderId="0" xfId="0" applyFont="1" applyFill="1" applyBorder="1" applyAlignment="1">
      <alignment horizontal="center"/>
    </xf>
    <xf numFmtId="0" fontId="5" fillId="9" borderId="0" xfId="0" applyFont="1" applyFill="1"/>
    <xf numFmtId="0" fontId="11" fillId="0" borderId="0" xfId="0" applyFont="1"/>
    <xf numFmtId="0" fontId="11" fillId="9" borderId="10" xfId="0" applyFont="1" applyFill="1" applyBorder="1"/>
    <xf numFmtId="0" fontId="11" fillId="9" borderId="0" xfId="0" applyFont="1" applyFill="1" applyBorder="1"/>
    <xf numFmtId="0" fontId="11" fillId="9" borderId="11" xfId="0" applyFont="1" applyFill="1" applyBorder="1"/>
    <xf numFmtId="0" fontId="11" fillId="9" borderId="12" xfId="0" applyFont="1" applyFill="1" applyBorder="1"/>
    <xf numFmtId="0" fontId="11" fillId="9" borderId="8" xfId="0" applyFont="1" applyFill="1" applyBorder="1"/>
    <xf numFmtId="0" fontId="11" fillId="9" borderId="2" xfId="0" applyFont="1" applyFill="1" applyBorder="1"/>
    <xf numFmtId="0" fontId="58" fillId="9" borderId="0" xfId="0" applyFont="1" applyFill="1" applyBorder="1" applyAlignment="1">
      <alignment vertical="center"/>
    </xf>
    <xf numFmtId="0" fontId="62" fillId="9" borderId="10" xfId="0" applyFont="1" applyFill="1" applyBorder="1"/>
    <xf numFmtId="0" fontId="62" fillId="9" borderId="0" xfId="0" applyFont="1" applyFill="1" applyBorder="1"/>
    <xf numFmtId="0" fontId="62" fillId="9" borderId="11" xfId="0" applyFont="1" applyFill="1" applyBorder="1"/>
    <xf numFmtId="0" fontId="62" fillId="9" borderId="16" xfId="0" applyFont="1" applyFill="1" applyBorder="1"/>
    <xf numFmtId="0" fontId="30" fillId="9" borderId="0" xfId="0" applyFont="1" applyFill="1" applyBorder="1" applyAlignment="1"/>
    <xf numFmtId="0" fontId="30" fillId="9" borderId="11" xfId="0" applyFont="1" applyFill="1" applyBorder="1" applyAlignment="1"/>
    <xf numFmtId="0" fontId="62" fillId="9" borderId="0" xfId="0" applyFont="1" applyFill="1" applyBorder="1" applyAlignment="1"/>
    <xf numFmtId="0" fontId="62" fillId="9" borderId="17" xfId="0" applyFont="1" applyFill="1" applyBorder="1"/>
    <xf numFmtId="0" fontId="63" fillId="9" borderId="0" xfId="0" applyFont="1" applyFill="1" applyBorder="1"/>
    <xf numFmtId="0" fontId="64" fillId="9" borderId="0" xfId="0" applyFont="1" applyFill="1" applyBorder="1"/>
    <xf numFmtId="0" fontId="64" fillId="9" borderId="17" xfId="0" applyFont="1" applyFill="1" applyBorder="1"/>
    <xf numFmtId="0" fontId="65" fillId="9" borderId="16" xfId="0" applyFont="1" applyFill="1" applyBorder="1"/>
    <xf numFmtId="0" fontId="65" fillId="9" borderId="0" xfId="0" applyFont="1" applyFill="1" applyBorder="1"/>
    <xf numFmtId="0" fontId="65" fillId="9" borderId="17" xfId="0" applyFont="1" applyFill="1" applyBorder="1"/>
    <xf numFmtId="0" fontId="66" fillId="9" borderId="0" xfId="0" applyFont="1" applyFill="1" applyBorder="1"/>
    <xf numFmtId="0" fontId="60" fillId="0" borderId="33" xfId="0" applyFont="1" applyBorder="1" applyAlignment="1">
      <alignment vertical="center"/>
    </xf>
    <xf numFmtId="0" fontId="20" fillId="9" borderId="0" xfId="0" applyFont="1" applyFill="1" applyBorder="1" applyAlignment="1">
      <alignment horizontal="right"/>
    </xf>
    <xf numFmtId="7" fontId="29" fillId="0" borderId="0" xfId="187" applyNumberFormat="1" applyFont="1" applyBorder="1" applyAlignment="1">
      <alignment vertical="center"/>
    </xf>
    <xf numFmtId="0" fontId="5" fillId="0" borderId="0" xfId="0" applyFont="1" applyBorder="1"/>
    <xf numFmtId="0" fontId="25" fillId="0" borderId="0" xfId="187" applyFont="1" applyBorder="1"/>
    <xf numFmtId="179" fontId="25" fillId="0" borderId="0" xfId="188" applyNumberFormat="1" applyFont="1" applyBorder="1"/>
    <xf numFmtId="0" fontId="29" fillId="9" borderId="0" xfId="187" applyFont="1" applyFill="1" applyBorder="1"/>
    <xf numFmtId="0" fontId="29" fillId="0" borderId="0" xfId="187" applyFont="1" applyBorder="1" applyAlignment="1">
      <alignment horizontal="left"/>
    </xf>
    <xf numFmtId="0" fontId="5" fillId="9" borderId="10" xfId="0" applyFont="1" applyFill="1" applyBorder="1"/>
    <xf numFmtId="0" fontId="5" fillId="9" borderId="12" xfId="0" applyFont="1" applyFill="1" applyBorder="1"/>
    <xf numFmtId="0" fontId="5" fillId="9" borderId="2" xfId="0" applyFont="1" applyFill="1" applyBorder="1"/>
    <xf numFmtId="7" fontId="68" fillId="68" borderId="0" xfId="187" applyNumberFormat="1" applyFont="1" applyFill="1" applyBorder="1" applyAlignment="1">
      <alignment vertical="center"/>
    </xf>
    <xf numFmtId="0" fontId="68" fillId="68" borderId="0" xfId="187" applyFont="1" applyFill="1" applyBorder="1" applyAlignment="1">
      <alignment horizontal="center" vertical="center" wrapText="1"/>
    </xf>
    <xf numFmtId="0" fontId="5" fillId="68" borderId="0" xfId="0" quotePrefix="1" applyFont="1" applyFill="1" applyBorder="1" applyAlignment="1">
      <alignment horizontal="center" vertical="center" wrapText="1"/>
    </xf>
    <xf numFmtId="0" fontId="5" fillId="68" borderId="0" xfId="0" applyFont="1" applyFill="1" applyBorder="1" applyAlignment="1">
      <alignment horizontal="center" vertical="center" wrapText="1"/>
    </xf>
    <xf numFmtId="0" fontId="14" fillId="0" borderId="46" xfId="0" applyFont="1" applyBorder="1"/>
    <xf numFmtId="0" fontId="6" fillId="9" borderId="46" xfId="0" applyFont="1" applyFill="1" applyBorder="1" applyAlignment="1">
      <alignment horizontal="center" vertical="center" wrapText="1"/>
    </xf>
    <xf numFmtId="0" fontId="6" fillId="12" borderId="46" xfId="0" applyFont="1" applyFill="1" applyBorder="1" applyAlignment="1">
      <alignment horizontal="center" vertical="center" wrapText="1"/>
    </xf>
    <xf numFmtId="0" fontId="6" fillId="9" borderId="46" xfId="0" quotePrefix="1" applyFont="1" applyFill="1" applyBorder="1" applyAlignment="1">
      <alignment horizontal="center" vertical="center" wrapText="1"/>
    </xf>
    <xf numFmtId="0" fontId="0" fillId="0" borderId="46" xfId="0" applyBorder="1"/>
    <xf numFmtId="0" fontId="0" fillId="0" borderId="46" xfId="0" quotePrefix="1" applyBorder="1" applyAlignment="1">
      <alignment horizontal="center"/>
    </xf>
    <xf numFmtId="0" fontId="0" fillId="0" borderId="46" xfId="0" applyBorder="1" applyAlignment="1">
      <alignment horizontal="center"/>
    </xf>
    <xf numFmtId="0" fontId="0" fillId="12" borderId="46" xfId="0" applyFill="1" applyBorder="1"/>
    <xf numFmtId="4" fontId="0" fillId="0" borderId="46" xfId="0" applyNumberFormat="1" applyBorder="1"/>
    <xf numFmtId="0" fontId="0" fillId="0" borderId="46" xfId="0" applyFill="1" applyBorder="1"/>
    <xf numFmtId="0" fontId="9" fillId="22" borderId="4" xfId="0" applyFont="1" applyFill="1" applyBorder="1" applyAlignment="1">
      <alignment horizontal="center" vertical="center"/>
    </xf>
    <xf numFmtId="0" fontId="6" fillId="22" borderId="4" xfId="0" quotePrefix="1" applyFont="1" applyFill="1" applyBorder="1" applyAlignment="1">
      <alignment horizontal="center" vertical="center"/>
    </xf>
    <xf numFmtId="0" fontId="6" fillId="22" borderId="4" xfId="0" applyFont="1" applyFill="1" applyBorder="1" applyAlignment="1">
      <alignment horizontal="center" vertical="center"/>
    </xf>
    <xf numFmtId="0" fontId="9" fillId="9" borderId="46" xfId="0" applyFont="1" applyFill="1" applyBorder="1" applyAlignment="1">
      <alignment horizontal="center" vertical="center" wrapText="1"/>
    </xf>
    <xf numFmtId="0" fontId="9" fillId="12" borderId="46" xfId="0" applyFont="1" applyFill="1" applyBorder="1" applyAlignment="1">
      <alignment horizontal="center" vertical="center" wrapText="1"/>
    </xf>
    <xf numFmtId="0" fontId="9" fillId="25" borderId="46" xfId="0" applyFont="1" applyFill="1" applyBorder="1" applyAlignment="1">
      <alignment horizontal="center" vertical="center" wrapText="1"/>
    </xf>
    <xf numFmtId="0" fontId="6" fillId="4" borderId="46" xfId="0" quotePrefix="1" applyFont="1" applyFill="1" applyBorder="1" applyAlignment="1">
      <alignment horizontal="center" vertical="center" wrapText="1"/>
    </xf>
    <xf numFmtId="0" fontId="6" fillId="18" borderId="46" xfId="0" quotePrefix="1" applyFont="1" applyFill="1" applyBorder="1" applyAlignment="1">
      <alignment horizontal="center" vertical="center" wrapText="1"/>
    </xf>
    <xf numFmtId="0" fontId="14" fillId="0" borderId="46" xfId="0" applyFont="1" applyBorder="1" applyAlignment="1"/>
    <xf numFmtId="0" fontId="14" fillId="0" borderId="46" xfId="0" applyFont="1" applyBorder="1" applyAlignment="1">
      <alignment horizontal="center"/>
    </xf>
    <xf numFmtId="0" fontId="14" fillId="12" borderId="46" xfId="0" applyFont="1" applyFill="1" applyBorder="1" applyAlignment="1"/>
    <xf numFmtId="0" fontId="14" fillId="25" borderId="46" xfId="0" applyFont="1" applyFill="1" applyBorder="1" applyAlignment="1">
      <alignment horizontal="left"/>
    </xf>
    <xf numFmtId="10" fontId="14" fillId="0" borderId="46" xfId="6" applyNumberFormat="1" applyFont="1" applyBorder="1" applyAlignment="1">
      <alignment horizontal="center"/>
    </xf>
    <xf numFmtId="0" fontId="14" fillId="4" borderId="46" xfId="0" applyFont="1" applyFill="1" applyBorder="1" applyAlignment="1">
      <alignment horizontal="right"/>
    </xf>
    <xf numFmtId="4" fontId="14" fillId="4" borderId="46" xfId="0" applyNumberFormat="1" applyFont="1" applyFill="1" applyBorder="1" applyAlignment="1"/>
    <xf numFmtId="0" fontId="14" fillId="18" borderId="46" xfId="0" applyFont="1" applyFill="1" applyBorder="1" applyAlignment="1"/>
    <xf numFmtId="4" fontId="14" fillId="18" borderId="46" xfId="0" applyNumberFormat="1" applyFont="1" applyFill="1" applyBorder="1" applyAlignment="1"/>
    <xf numFmtId="0" fontId="14" fillId="0" borderId="46" xfId="0" applyFont="1" applyBorder="1" applyAlignment="1">
      <alignment horizontal="left"/>
    </xf>
    <xf numFmtId="3" fontId="14" fillId="0" borderId="46" xfId="0" applyNumberFormat="1" applyFont="1" applyBorder="1" applyAlignment="1"/>
    <xf numFmtId="0" fontId="14" fillId="12" borderId="46" xfId="0" applyFont="1" applyFill="1" applyBorder="1"/>
    <xf numFmtId="4" fontId="14" fillId="4" borderId="46" xfId="0" applyNumberFormat="1" applyFont="1" applyFill="1" applyBorder="1"/>
    <xf numFmtId="4" fontId="14" fillId="18" borderId="46" xfId="0" applyNumberFormat="1" applyFont="1" applyFill="1" applyBorder="1"/>
    <xf numFmtId="0" fontId="14" fillId="18" borderId="46" xfId="0" applyFont="1" applyFill="1" applyBorder="1"/>
    <xf numFmtId="0" fontId="5" fillId="9" borderId="46" xfId="0" applyFont="1" applyFill="1" applyBorder="1"/>
    <xf numFmtId="0" fontId="8" fillId="9" borderId="41" xfId="0" applyFont="1" applyFill="1" applyBorder="1"/>
    <xf numFmtId="0" fontId="8" fillId="9" borderId="36" xfId="0" applyFont="1" applyFill="1" applyBorder="1"/>
    <xf numFmtId="0" fontId="8" fillId="0" borderId="45" xfId="0" applyFont="1" applyBorder="1" applyAlignment="1">
      <alignment horizontal="center"/>
    </xf>
    <xf numFmtId="14" fontId="9" fillId="0" borderId="45" xfId="0" applyNumberFormat="1" applyFont="1" applyBorder="1" applyAlignment="1">
      <alignment horizontal="center"/>
    </xf>
    <xf numFmtId="0" fontId="8" fillId="16" borderId="45" xfId="0" applyFont="1" applyFill="1" applyBorder="1" applyAlignment="1">
      <alignment horizontal="center"/>
    </xf>
    <xf numFmtId="14" fontId="9" fillId="16" borderId="45" xfId="0" applyNumberFormat="1" applyFont="1" applyFill="1" applyBorder="1" applyAlignment="1">
      <alignment horizontal="center"/>
    </xf>
    <xf numFmtId="0" fontId="8" fillId="17" borderId="45" xfId="0" applyFont="1" applyFill="1" applyBorder="1" applyAlignment="1">
      <alignment horizontal="center"/>
    </xf>
    <xf numFmtId="14" fontId="9" fillId="17" borderId="45" xfId="0" applyNumberFormat="1" applyFont="1" applyFill="1" applyBorder="1" applyAlignment="1">
      <alignment horizontal="center"/>
    </xf>
    <xf numFmtId="0" fontId="16" fillId="15" borderId="45" xfId="0" applyFont="1" applyFill="1" applyBorder="1" applyAlignment="1">
      <alignment horizontal="center" vertical="center" wrapText="1"/>
    </xf>
    <xf numFmtId="0" fontId="17" fillId="0" borderId="45" xfId="0" applyFont="1" applyBorder="1" applyAlignment="1">
      <alignment horizontal="center"/>
    </xf>
    <xf numFmtId="0" fontId="6" fillId="0" borderId="45" xfId="0" applyFont="1" applyBorder="1"/>
    <xf numFmtId="3" fontId="5" fillId="0" borderId="45" xfId="0" applyNumberFormat="1" applyFont="1" applyBorder="1"/>
    <xf numFmtId="0" fontId="5" fillId="0" borderId="45" xfId="0" applyFont="1" applyBorder="1"/>
    <xf numFmtId="0" fontId="16" fillId="15" borderId="45" xfId="0" applyFont="1" applyFill="1" applyBorder="1"/>
    <xf numFmtId="3" fontId="16" fillId="15" borderId="45" xfId="0" applyNumberFormat="1" applyFont="1" applyFill="1" applyBorder="1"/>
    <xf numFmtId="0" fontId="6" fillId="11" borderId="45" xfId="0" applyFont="1" applyFill="1" applyBorder="1"/>
    <xf numFmtId="3" fontId="5" fillId="11" borderId="45" xfId="0" applyNumberFormat="1" applyFont="1" applyFill="1" applyBorder="1"/>
    <xf numFmtId="0" fontId="15" fillId="10" borderId="45" xfId="0" applyFont="1" applyFill="1" applyBorder="1" applyAlignment="1">
      <alignment horizontal="center" vertical="center" wrapText="1"/>
    </xf>
    <xf numFmtId="0" fontId="15" fillId="0" borderId="45" xfId="0" applyFont="1" applyFill="1" applyBorder="1" applyAlignment="1">
      <alignment horizontal="center" vertical="center" wrapText="1"/>
    </xf>
    <xf numFmtId="0" fontId="14" fillId="0" borderId="45" xfId="0" applyFont="1" applyBorder="1"/>
    <xf numFmtId="0" fontId="5" fillId="0" borderId="45" xfId="0" applyFont="1" applyBorder="1" applyAlignment="1">
      <alignment horizontal="center"/>
    </xf>
    <xf numFmtId="0" fontId="5" fillId="12" borderId="45" xfId="0" applyFont="1" applyFill="1" applyBorder="1"/>
    <xf numFmtId="3" fontId="5" fillId="8" borderId="45" xfId="0" applyNumberFormat="1" applyFont="1" applyFill="1" applyBorder="1"/>
    <xf numFmtId="3" fontId="5" fillId="4" borderId="45" xfId="0" applyNumberFormat="1" applyFont="1" applyFill="1" applyBorder="1"/>
    <xf numFmtId="165" fontId="23" fillId="26" borderId="45" xfId="0" applyNumberFormat="1" applyFont="1" applyFill="1" applyBorder="1"/>
    <xf numFmtId="165" fontId="5" fillId="0" borderId="45" xfId="0" applyNumberFormat="1" applyFont="1" applyBorder="1"/>
    <xf numFmtId="165" fontId="5" fillId="4" borderId="45" xfId="0" applyNumberFormat="1" applyFont="1" applyFill="1" applyBorder="1"/>
    <xf numFmtId="0" fontId="5" fillId="0" borderId="45" xfId="0" applyFont="1" applyBorder="1" applyAlignment="1">
      <alignment vertical="center"/>
    </xf>
    <xf numFmtId="0" fontId="14" fillId="9" borderId="0" xfId="0" applyFont="1" applyFill="1" applyBorder="1"/>
    <xf numFmtId="0" fontId="8" fillId="9" borderId="69" xfId="0" applyFont="1" applyFill="1" applyBorder="1"/>
    <xf numFmtId="0" fontId="8" fillId="9" borderId="66" xfId="0" applyFont="1" applyFill="1" applyBorder="1"/>
    <xf numFmtId="0" fontId="6" fillId="19" borderId="61" xfId="0" applyFont="1" applyFill="1" applyBorder="1" applyAlignment="1">
      <alignment horizontal="center" vertical="center" wrapText="1"/>
    </xf>
    <xf numFmtId="0" fontId="8" fillId="9" borderId="70" xfId="0" applyFont="1" applyFill="1" applyBorder="1"/>
    <xf numFmtId="0" fontId="8" fillId="9" borderId="63" xfId="0" applyFont="1" applyFill="1" applyBorder="1"/>
    <xf numFmtId="0" fontId="8" fillId="9" borderId="68" xfId="0" applyFont="1" applyFill="1" applyBorder="1"/>
    <xf numFmtId="0" fontId="8" fillId="9" borderId="65" xfId="0" applyFont="1" applyFill="1" applyBorder="1"/>
    <xf numFmtId="0" fontId="6" fillId="5" borderId="61" xfId="0" applyFont="1" applyFill="1" applyBorder="1" applyAlignment="1">
      <alignment horizontal="center" vertical="center" wrapText="1"/>
    </xf>
    <xf numFmtId="0" fontId="63" fillId="9" borderId="65" xfId="0" applyFont="1" applyFill="1" applyBorder="1"/>
    <xf numFmtId="0" fontId="21" fillId="9" borderId="65" xfId="0" applyFont="1" applyFill="1" applyBorder="1"/>
    <xf numFmtId="0" fontId="21" fillId="9" borderId="66" xfId="0" applyFont="1" applyFill="1" applyBorder="1"/>
    <xf numFmtId="0" fontId="8" fillId="9" borderId="62" xfId="0" applyFont="1" applyFill="1" applyBorder="1"/>
    <xf numFmtId="0" fontId="8" fillId="9" borderId="64" xfId="0" applyFont="1" applyFill="1" applyBorder="1"/>
    <xf numFmtId="0" fontId="63" fillId="9" borderId="66" xfId="0" applyFont="1" applyFill="1" applyBorder="1"/>
    <xf numFmtId="0" fontId="8" fillId="0" borderId="45" xfId="0" applyFont="1" applyBorder="1" applyAlignment="1">
      <alignment horizontal="center"/>
    </xf>
    <xf numFmtId="0" fontId="8" fillId="16" borderId="45" xfId="0" applyFont="1" applyFill="1" applyBorder="1" applyAlignment="1">
      <alignment horizontal="center"/>
    </xf>
    <xf numFmtId="0" fontId="8" fillId="17" borderId="45" xfId="0" applyFont="1" applyFill="1" applyBorder="1" applyAlignment="1">
      <alignment horizontal="center"/>
    </xf>
    <xf numFmtId="0" fontId="5" fillId="4" borderId="45" xfId="0" applyFont="1" applyFill="1" applyBorder="1"/>
    <xf numFmtId="0" fontId="5" fillId="9" borderId="71" xfId="0" applyFont="1" applyFill="1" applyBorder="1"/>
    <xf numFmtId="0" fontId="5" fillId="0" borderId="0" xfId="0" applyFont="1"/>
    <xf numFmtId="0" fontId="8" fillId="9" borderId="72" xfId="0" applyFont="1" applyFill="1" applyBorder="1"/>
    <xf numFmtId="0" fontId="8" fillId="9" borderId="73" xfId="0" applyFont="1" applyFill="1" applyBorder="1"/>
    <xf numFmtId="0" fontId="5" fillId="9" borderId="73" xfId="0" applyFont="1" applyFill="1" applyBorder="1"/>
    <xf numFmtId="0" fontId="8" fillId="9" borderId="75" xfId="0" applyFont="1" applyFill="1" applyBorder="1"/>
    <xf numFmtId="0" fontId="0" fillId="0" borderId="0" xfId="0" applyBorder="1"/>
    <xf numFmtId="0" fontId="5" fillId="9" borderId="74" xfId="0" applyFont="1" applyFill="1" applyBorder="1"/>
    <xf numFmtId="0" fontId="5" fillId="9" borderId="76" xfId="0" applyFont="1" applyFill="1" applyBorder="1"/>
    <xf numFmtId="0" fontId="12" fillId="9" borderId="75" xfId="0" applyFont="1" applyFill="1" applyBorder="1" applyAlignment="1">
      <alignment horizontal="center"/>
    </xf>
    <xf numFmtId="0" fontId="12" fillId="9" borderId="76" xfId="0" applyFont="1" applyFill="1" applyBorder="1" applyAlignment="1">
      <alignment horizontal="center"/>
    </xf>
    <xf numFmtId="0" fontId="12" fillId="9" borderId="77" xfId="0" applyFont="1" applyFill="1" applyBorder="1" applyAlignment="1">
      <alignment horizontal="center"/>
    </xf>
    <xf numFmtId="0" fontId="12" fillId="9" borderId="78" xfId="0" applyFont="1" applyFill="1" applyBorder="1" applyAlignment="1">
      <alignment horizontal="center"/>
    </xf>
    <xf numFmtId="165" fontId="5" fillId="0" borderId="0" xfId="0" applyNumberFormat="1" applyFont="1"/>
    <xf numFmtId="0" fontId="5" fillId="9" borderId="80" xfId="0" applyFont="1" applyFill="1" applyBorder="1"/>
    <xf numFmtId="0" fontId="0" fillId="0" borderId="0" xfId="0"/>
    <xf numFmtId="0" fontId="5" fillId="9" borderId="42" xfId="0" applyFont="1" applyFill="1" applyBorder="1" applyAlignment="1">
      <alignment horizontal="center"/>
    </xf>
    <xf numFmtId="3" fontId="5" fillId="8" borderId="42" xfId="0" applyNumberFormat="1" applyFont="1" applyFill="1" applyBorder="1"/>
    <xf numFmtId="165" fontId="5" fillId="8" borderId="42" xfId="0" applyNumberFormat="1" applyFont="1" applyFill="1" applyBorder="1"/>
    <xf numFmtId="165" fontId="5" fillId="9" borderId="42" xfId="0" applyNumberFormat="1" applyFont="1" applyFill="1" applyBorder="1"/>
    <xf numFmtId="0" fontId="6" fillId="0" borderId="42" xfId="0" applyFont="1" applyBorder="1" applyAlignment="1">
      <alignment horizontal="center" vertical="center" wrapText="1"/>
    </xf>
    <xf numFmtId="0" fontId="20" fillId="9" borderId="0" xfId="0" applyFont="1" applyFill="1" applyBorder="1" applyAlignment="1">
      <alignment horizontal="center"/>
    </xf>
    <xf numFmtId="10" fontId="20" fillId="9" borderId="0" xfId="6" applyNumberFormat="1" applyFont="1" applyFill="1" applyBorder="1" applyAlignment="1">
      <alignment horizontal="right"/>
    </xf>
    <xf numFmtId="6" fontId="69" fillId="9" borderId="0" xfId="0" applyNumberFormat="1" applyFont="1" applyFill="1" applyBorder="1" applyAlignment="1">
      <alignment horizontal="center" vertical="center" wrapText="1"/>
    </xf>
    <xf numFmtId="0" fontId="12" fillId="9" borderId="0" xfId="0" applyFont="1" applyFill="1" applyBorder="1" applyAlignment="1">
      <alignment horizontal="center"/>
    </xf>
    <xf numFmtId="0" fontId="5" fillId="0" borderId="0" xfId="0" applyFont="1"/>
    <xf numFmtId="7" fontId="5" fillId="9" borderId="0" xfId="0" applyNumberFormat="1" applyFont="1" applyFill="1" applyBorder="1"/>
    <xf numFmtId="0" fontId="59" fillId="9" borderId="75" xfId="0" applyFont="1" applyFill="1" applyBorder="1" applyAlignment="1"/>
    <xf numFmtId="0" fontId="59" fillId="9" borderId="0" xfId="0" applyFont="1" applyFill="1" applyBorder="1" applyAlignment="1"/>
    <xf numFmtId="0" fontId="59" fillId="9" borderId="76" xfId="0" applyFont="1" applyFill="1" applyBorder="1" applyAlignment="1"/>
    <xf numFmtId="0" fontId="9" fillId="9" borderId="0" xfId="0" applyFont="1" applyFill="1" applyBorder="1" applyAlignment="1">
      <alignment horizontal="left"/>
    </xf>
    <xf numFmtId="0" fontId="0" fillId="0" borderId="48" xfId="0" applyBorder="1"/>
    <xf numFmtId="0" fontId="57" fillId="24" borderId="83" xfId="4" applyFont="1" applyFill="1" applyBorder="1" applyAlignment="1">
      <alignment vertical="center"/>
    </xf>
    <xf numFmtId="0" fontId="76" fillId="0" borderId="84" xfId="0" applyFont="1" applyBorder="1" applyAlignment="1">
      <alignment horizontal="center" vertical="center"/>
    </xf>
    <xf numFmtId="0" fontId="76" fillId="0" borderId="31" xfId="0" applyFont="1" applyBorder="1" applyAlignment="1">
      <alignment horizontal="center" vertical="center"/>
    </xf>
    <xf numFmtId="0" fontId="14" fillId="24" borderId="83" xfId="0" applyFont="1" applyFill="1" applyBorder="1" applyAlignment="1">
      <alignment vertical="center"/>
    </xf>
    <xf numFmtId="0" fontId="60" fillId="0" borderId="84" xfId="0" applyFont="1" applyBorder="1" applyAlignment="1">
      <alignment vertical="center"/>
    </xf>
    <xf numFmtId="10" fontId="58" fillId="0" borderId="84" xfId="0" applyNumberFormat="1" applyFont="1" applyBorder="1" applyAlignment="1">
      <alignment vertical="center"/>
    </xf>
    <xf numFmtId="0" fontId="11" fillId="9" borderId="31" xfId="0" applyFont="1" applyFill="1" applyBorder="1" applyAlignment="1">
      <alignment vertical="center"/>
    </xf>
    <xf numFmtId="0" fontId="58" fillId="0" borderId="84" xfId="0" applyFont="1" applyBorder="1" applyAlignment="1">
      <alignment vertical="center"/>
    </xf>
    <xf numFmtId="0" fontId="60" fillId="0" borderId="85" xfId="0" applyFont="1" applyBorder="1" applyAlignment="1">
      <alignment vertical="center"/>
    </xf>
    <xf numFmtId="0" fontId="14" fillId="7" borderId="46" xfId="0" applyFont="1" applyFill="1" applyBorder="1" applyAlignment="1"/>
    <xf numFmtId="0" fontId="14" fillId="21" borderId="46" xfId="0" applyFont="1" applyFill="1" applyBorder="1" applyAlignment="1"/>
    <xf numFmtId="0" fontId="14" fillId="21" borderId="46" xfId="0" applyFont="1" applyFill="1" applyBorder="1"/>
    <xf numFmtId="0" fontId="0" fillId="2" borderId="46" xfId="0" applyNumberFormat="1" applyFill="1" applyBorder="1"/>
    <xf numFmtId="0" fontId="6" fillId="8" borderId="43" xfId="0" applyFont="1" applyFill="1" applyBorder="1" applyAlignment="1">
      <alignment horizontal="center" vertical="center" wrapText="1"/>
    </xf>
    <xf numFmtId="0" fontId="5" fillId="9" borderId="87" xfId="0" applyFont="1" applyFill="1" applyBorder="1" applyAlignment="1">
      <alignment horizontal="center"/>
    </xf>
    <xf numFmtId="3" fontId="5" fillId="8" borderId="87" xfId="0" applyNumberFormat="1" applyFont="1" applyFill="1" applyBorder="1"/>
    <xf numFmtId="165" fontId="5" fillId="8" borderId="87" xfId="0" applyNumberFormat="1" applyFont="1" applyFill="1" applyBorder="1"/>
    <xf numFmtId="3" fontId="5" fillId="9" borderId="87" xfId="0" applyNumberFormat="1" applyFont="1" applyFill="1" applyBorder="1"/>
    <xf numFmtId="165" fontId="5" fillId="9" borderId="87" xfId="0" applyNumberFormat="1" applyFont="1" applyFill="1" applyBorder="1"/>
    <xf numFmtId="176" fontId="5" fillId="9" borderId="87" xfId="0" applyNumberFormat="1" applyFont="1" applyFill="1" applyBorder="1"/>
    <xf numFmtId="0" fontId="5" fillId="9" borderId="87" xfId="0" applyFont="1" applyFill="1" applyBorder="1"/>
    <xf numFmtId="0" fontId="8" fillId="9" borderId="74" xfId="0" applyFont="1" applyFill="1" applyBorder="1"/>
    <xf numFmtId="0" fontId="8" fillId="9" borderId="76" xfId="0" applyFont="1" applyFill="1" applyBorder="1"/>
    <xf numFmtId="0" fontId="73" fillId="9" borderId="0" xfId="0" applyFont="1" applyFill="1" applyBorder="1" applyAlignment="1">
      <alignment horizontal="center"/>
    </xf>
    <xf numFmtId="44" fontId="7" fillId="9" borderId="0" xfId="5" applyFont="1" applyFill="1" applyBorder="1" applyAlignment="1">
      <alignment horizontal="center" vertical="center" wrapText="1"/>
    </xf>
    <xf numFmtId="0" fontId="6" fillId="0" borderId="43" xfId="0" applyFont="1" applyBorder="1" applyAlignment="1">
      <alignment horizontal="center" vertical="center" wrapText="1"/>
    </xf>
    <xf numFmtId="0" fontId="6" fillId="23" borderId="46" xfId="0" quotePrefix="1" applyFont="1" applyFill="1" applyBorder="1" applyAlignment="1">
      <alignment horizontal="center" vertical="center" wrapText="1"/>
    </xf>
    <xf numFmtId="4" fontId="0" fillId="23" borderId="46" xfId="0" applyNumberFormat="1" applyFill="1" applyBorder="1"/>
    <xf numFmtId="0" fontId="0" fillId="23" borderId="46" xfId="0" applyFill="1" applyBorder="1"/>
    <xf numFmtId="181" fontId="14" fillId="12" borderId="46" xfId="0" applyNumberFormat="1" applyFont="1" applyFill="1" applyBorder="1" applyAlignment="1"/>
    <xf numFmtId="3" fontId="14" fillId="4" borderId="46" xfId="0" applyNumberFormat="1" applyFont="1" applyFill="1" applyBorder="1" applyAlignment="1"/>
    <xf numFmtId="0" fontId="6" fillId="12" borderId="46" xfId="0" quotePrefix="1" applyFont="1" applyFill="1" applyBorder="1" applyAlignment="1">
      <alignment horizontal="center" vertical="center" wrapText="1"/>
    </xf>
    <xf numFmtId="4" fontId="0" fillId="12" borderId="46" xfId="0" applyNumberFormat="1" applyFill="1" applyBorder="1"/>
    <xf numFmtId="182" fontId="0" fillId="12" borderId="46" xfId="0" applyNumberFormat="1" applyFill="1" applyBorder="1"/>
    <xf numFmtId="0" fontId="6" fillId="20" borderId="46" xfId="0" quotePrefix="1" applyFont="1" applyFill="1" applyBorder="1" applyAlignment="1">
      <alignment horizontal="center" vertical="center" wrapText="1"/>
    </xf>
    <xf numFmtId="4" fontId="0" fillId="20" borderId="46" xfId="0" applyNumberFormat="1" applyFill="1" applyBorder="1"/>
    <xf numFmtId="0" fontId="0" fillId="20" borderId="46" xfId="0" applyFill="1" applyBorder="1"/>
    <xf numFmtId="0" fontId="6" fillId="5" borderId="46" xfId="0" quotePrefix="1" applyFont="1" applyFill="1" applyBorder="1" applyAlignment="1">
      <alignment horizontal="center" vertical="center" wrapText="1"/>
    </xf>
    <xf numFmtId="0" fontId="0" fillId="5" borderId="46" xfId="0" applyFill="1" applyBorder="1"/>
    <xf numFmtId="0" fontId="6" fillId="3" borderId="46" xfId="0" quotePrefix="1" applyFont="1" applyFill="1" applyBorder="1" applyAlignment="1">
      <alignment horizontal="center" vertical="center" wrapText="1"/>
    </xf>
    <xf numFmtId="182" fontId="0" fillId="3" borderId="46" xfId="0" applyNumberFormat="1" applyFill="1" applyBorder="1"/>
    <xf numFmtId="4" fontId="0" fillId="3" borderId="46" xfId="0" applyNumberFormat="1" applyFill="1" applyBorder="1"/>
    <xf numFmtId="0" fontId="0" fillId="3" borderId="46" xfId="0" applyFill="1" applyBorder="1"/>
    <xf numFmtId="0" fontId="6" fillId="21" borderId="46" xfId="0" quotePrefix="1" applyFont="1" applyFill="1" applyBorder="1" applyAlignment="1">
      <alignment horizontal="center" vertical="center" wrapText="1"/>
    </xf>
    <xf numFmtId="4" fontId="0" fillId="21" borderId="46" xfId="0" applyNumberFormat="1" applyFill="1" applyBorder="1"/>
    <xf numFmtId="0" fontId="0" fillId="21" borderId="46" xfId="0" applyFill="1" applyBorder="1"/>
    <xf numFmtId="0" fontId="6" fillId="70" borderId="46" xfId="0" quotePrefix="1" applyFont="1" applyFill="1" applyBorder="1" applyAlignment="1">
      <alignment horizontal="center" vertical="center" wrapText="1"/>
    </xf>
    <xf numFmtId="10" fontId="0" fillId="70" borderId="46" xfId="6" applyNumberFormat="1" applyFont="1" applyFill="1" applyBorder="1" applyAlignment="1">
      <alignment horizontal="center"/>
    </xf>
    <xf numFmtId="0" fontId="0" fillId="70" borderId="46" xfId="0" applyFill="1" applyBorder="1"/>
    <xf numFmtId="182" fontId="0" fillId="21" borderId="46" xfId="0" applyNumberFormat="1" applyFill="1" applyBorder="1"/>
    <xf numFmtId="182" fontId="0" fillId="20" borderId="46" xfId="0" applyNumberFormat="1" applyFill="1" applyBorder="1"/>
    <xf numFmtId="182" fontId="0" fillId="5" borderId="46" xfId="0" applyNumberFormat="1" applyFill="1" applyBorder="1"/>
    <xf numFmtId="0" fontId="6" fillId="11" borderId="46" xfId="0" quotePrefix="1" applyFont="1" applyFill="1" applyBorder="1" applyAlignment="1">
      <alignment horizontal="center" vertical="center" wrapText="1"/>
    </xf>
    <xf numFmtId="0" fontId="0" fillId="11" borderId="46" xfId="0" applyFill="1" applyBorder="1"/>
    <xf numFmtId="0" fontId="75" fillId="9" borderId="0" xfId="0" applyFont="1" applyFill="1" applyBorder="1" applyAlignment="1">
      <alignment horizontal="center"/>
    </xf>
    <xf numFmtId="182" fontId="0" fillId="0" borderId="46" xfId="0" applyNumberFormat="1" applyBorder="1"/>
    <xf numFmtId="165" fontId="5" fillId="7" borderId="45" xfId="0" applyNumberFormat="1" applyFont="1" applyFill="1" applyBorder="1"/>
    <xf numFmtId="165" fontId="5" fillId="5" borderId="45" xfId="0" applyNumberFormat="1" applyFont="1" applyFill="1" applyBorder="1"/>
    <xf numFmtId="165" fontId="5" fillId="9" borderId="0" xfId="0" applyNumberFormat="1" applyFont="1" applyFill="1" applyBorder="1"/>
    <xf numFmtId="0" fontId="6" fillId="9" borderId="43" xfId="0" applyFont="1" applyFill="1" applyBorder="1" applyAlignment="1">
      <alignment horizontal="center" vertical="center" wrapText="1"/>
    </xf>
    <xf numFmtId="165" fontId="5" fillId="9" borderId="45" xfId="0" applyNumberFormat="1" applyFont="1" applyFill="1" applyBorder="1"/>
    <xf numFmtId="10" fontId="14" fillId="69" borderId="46" xfId="6" applyNumberFormat="1" applyFont="1" applyFill="1" applyBorder="1" applyAlignment="1">
      <alignment horizontal="center"/>
    </xf>
    <xf numFmtId="0" fontId="14" fillId="9" borderId="0" xfId="0" applyFont="1" applyFill="1" applyBorder="1" applyAlignment="1"/>
    <xf numFmtId="0" fontId="14" fillId="9" borderId="0" xfId="0" applyFont="1" applyFill="1" applyBorder="1" applyAlignment="1">
      <alignment horizontal="center"/>
    </xf>
    <xf numFmtId="9" fontId="14" fillId="9" borderId="0" xfId="6" applyFont="1" applyFill="1" applyBorder="1" applyAlignment="1">
      <alignment horizontal="center"/>
    </xf>
    <xf numFmtId="0" fontId="7" fillId="8" borderId="43" xfId="0" applyFont="1" applyFill="1" applyBorder="1" applyAlignment="1">
      <alignment horizontal="center"/>
    </xf>
    <xf numFmtId="0" fontId="7" fillId="9" borderId="43" xfId="0" applyFont="1" applyFill="1" applyBorder="1" applyAlignment="1">
      <alignment horizontal="center"/>
    </xf>
    <xf numFmtId="182" fontId="0" fillId="11" borderId="46" xfId="0" applyNumberFormat="1" applyFill="1" applyBorder="1"/>
    <xf numFmtId="6" fontId="20" fillId="9" borderId="0" xfId="6" applyNumberFormat="1" applyFont="1" applyFill="1" applyBorder="1" applyAlignment="1"/>
    <xf numFmtId="10" fontId="20" fillId="9" borderId="0" xfId="6" applyNumberFormat="1" applyFont="1" applyFill="1" applyBorder="1" applyAlignment="1"/>
    <xf numFmtId="6" fontId="20" fillId="9" borderId="0" xfId="0" applyNumberFormat="1" applyFont="1" applyFill="1" applyBorder="1" applyAlignment="1">
      <alignment horizontal="right"/>
    </xf>
    <xf numFmtId="0" fontId="14" fillId="9" borderId="0" xfId="0" applyFont="1" applyFill="1" applyBorder="1" applyAlignment="1">
      <alignment horizontal="center"/>
    </xf>
    <xf numFmtId="0" fontId="77" fillId="23" borderId="46" xfId="0" applyFont="1" applyFill="1" applyBorder="1" applyAlignment="1">
      <alignment horizontal="center"/>
    </xf>
    <xf numFmtId="4" fontId="77" fillId="23" borderId="46" xfId="0" applyNumberFormat="1" applyFont="1" applyFill="1" applyBorder="1"/>
    <xf numFmtId="4" fontId="77" fillId="23" borderId="46" xfId="0" applyNumberFormat="1" applyFont="1" applyFill="1" applyBorder="1" applyAlignment="1">
      <alignment horizontal="center"/>
    </xf>
    <xf numFmtId="0" fontId="61" fillId="9" borderId="10" xfId="0" applyFont="1" applyFill="1" applyBorder="1" applyAlignment="1">
      <alignment horizontal="center"/>
    </xf>
    <xf numFmtId="0" fontId="61" fillId="9" borderId="0" xfId="0" applyFont="1" applyFill="1" applyBorder="1" applyAlignment="1">
      <alignment horizontal="center"/>
    </xf>
    <xf numFmtId="0" fontId="61" fillId="9" borderId="11" xfId="0" applyFont="1" applyFill="1" applyBorder="1" applyAlignment="1">
      <alignment horizontal="center"/>
    </xf>
    <xf numFmtId="0" fontId="79" fillId="0" borderId="1" xfId="0" applyFont="1" applyFill="1" applyBorder="1" applyAlignment="1">
      <alignment vertical="center" wrapText="1"/>
    </xf>
    <xf numFmtId="0" fontId="5" fillId="9" borderId="87" xfId="0" applyFont="1" applyFill="1" applyBorder="1" applyAlignment="1">
      <alignment wrapText="1"/>
    </xf>
    <xf numFmtId="0" fontId="5" fillId="9" borderId="87" xfId="0" applyFont="1" applyFill="1" applyBorder="1" applyAlignment="1">
      <alignment vertical="center" wrapText="1"/>
    </xf>
    <xf numFmtId="0" fontId="79" fillId="0" borderId="1" xfId="0" applyFont="1" applyFill="1" applyBorder="1" applyAlignment="1">
      <alignment horizontal="left" vertical="center" wrapText="1"/>
    </xf>
    <xf numFmtId="0" fontId="0" fillId="12" borderId="46" xfId="0" applyFill="1" applyBorder="1" applyAlignment="1">
      <alignment wrapText="1"/>
    </xf>
    <xf numFmtId="0" fontId="5" fillId="9" borderId="42" xfId="0" applyFont="1" applyFill="1" applyBorder="1" applyAlignment="1">
      <alignment vertical="center" wrapText="1"/>
    </xf>
    <xf numFmtId="0" fontId="79" fillId="0" borderId="1" xfId="0" applyFont="1" applyFill="1" applyBorder="1" applyAlignment="1" applyProtection="1">
      <alignment horizontal="left" vertical="center" wrapText="1"/>
      <protection locked="0" hidden="1"/>
    </xf>
    <xf numFmtId="16" fontId="79" fillId="0" borderId="1" xfId="0" applyNumberFormat="1" applyFont="1" applyFill="1" applyBorder="1" applyAlignment="1">
      <alignment vertical="center" wrapText="1"/>
    </xf>
    <xf numFmtId="0" fontId="79" fillId="0" borderId="1" xfId="0" quotePrefix="1" applyFont="1" applyFill="1" applyBorder="1" applyAlignment="1">
      <alignment horizontal="left" vertical="center" wrapText="1"/>
    </xf>
    <xf numFmtId="0" fontId="14" fillId="12" borderId="46" xfId="0" applyFont="1" applyFill="1" applyBorder="1" applyAlignment="1">
      <alignment wrapText="1"/>
    </xf>
    <xf numFmtId="0" fontId="79" fillId="0" borderId="1" xfId="4" applyFont="1" applyFill="1" applyBorder="1" applyAlignment="1">
      <alignment horizontal="left" vertical="center" wrapText="1"/>
    </xf>
    <xf numFmtId="0" fontId="79" fillId="0" borderId="1" xfId="0" quotePrefix="1" applyFont="1" applyFill="1" applyBorder="1" applyAlignment="1" applyProtection="1">
      <alignment horizontal="left" vertical="center" wrapText="1"/>
      <protection locked="0" hidden="1"/>
    </xf>
    <xf numFmtId="0" fontId="14" fillId="0" borderId="46" xfId="0" applyFont="1" applyBorder="1" applyAlignment="1"/>
    <xf numFmtId="0" fontId="5" fillId="9" borderId="86" xfId="0" applyFont="1" applyFill="1" applyBorder="1"/>
    <xf numFmtId="7" fontId="5" fillId="9" borderId="8" xfId="0" applyNumberFormat="1" applyFont="1" applyFill="1" applyBorder="1"/>
    <xf numFmtId="0" fontId="6" fillId="0" borderId="89" xfId="0" applyFont="1" applyBorder="1" applyAlignment="1">
      <alignment horizontal="center" vertical="center" wrapText="1"/>
    </xf>
    <xf numFmtId="0" fontId="7" fillId="9" borderId="42" xfId="0" applyFont="1" applyFill="1" applyBorder="1" applyAlignment="1">
      <alignment horizontal="center"/>
    </xf>
    <xf numFmtId="0" fontId="62" fillId="9" borderId="75" xfId="0" applyFont="1" applyFill="1" applyBorder="1" applyAlignment="1">
      <alignment horizontal="left"/>
    </xf>
    <xf numFmtId="0" fontId="62" fillId="9" borderId="0" xfId="0" applyFont="1" applyFill="1" applyBorder="1" applyAlignment="1">
      <alignment horizontal="left"/>
    </xf>
    <xf numFmtId="0" fontId="62" fillId="9" borderId="76" xfId="0" applyFont="1" applyFill="1" applyBorder="1" applyAlignment="1">
      <alignment horizontal="left"/>
    </xf>
    <xf numFmtId="183" fontId="8" fillId="0" borderId="45" xfId="0" applyNumberFormat="1" applyFont="1" applyBorder="1" applyAlignment="1">
      <alignment horizontal="center"/>
    </xf>
    <xf numFmtId="183" fontId="8" fillId="16" borderId="45" xfId="0" applyNumberFormat="1" applyFont="1" applyFill="1" applyBorder="1" applyAlignment="1">
      <alignment horizontal="center"/>
    </xf>
    <xf numFmtId="183" fontId="8" fillId="17" borderId="45" xfId="0" applyNumberFormat="1" applyFont="1" applyFill="1" applyBorder="1" applyAlignment="1">
      <alignment horizontal="center"/>
    </xf>
    <xf numFmtId="3" fontId="5" fillId="0" borderId="87" xfId="0" applyNumberFormat="1" applyFont="1" applyFill="1" applyBorder="1"/>
    <xf numFmtId="165" fontId="5" fillId="0" borderId="87" xfId="0" applyNumberFormat="1" applyFont="1" applyFill="1" applyBorder="1"/>
    <xf numFmtId="0" fontId="6" fillId="0" borderId="43" xfId="0" applyFont="1" applyFill="1" applyBorder="1" applyAlignment="1">
      <alignment horizontal="center" vertical="center" wrapText="1"/>
    </xf>
    <xf numFmtId="0" fontId="7" fillId="9" borderId="38" xfId="0" applyFont="1" applyFill="1" applyBorder="1" applyAlignment="1"/>
    <xf numFmtId="0" fontId="8" fillId="21" borderId="45" xfId="0" applyFont="1" applyFill="1" applyBorder="1" applyAlignment="1">
      <alignment horizontal="center"/>
    </xf>
    <xf numFmtId="0" fontId="5" fillId="8" borderId="87" xfId="0" applyFont="1" applyFill="1" applyBorder="1" applyAlignment="1">
      <alignment horizontal="center"/>
    </xf>
    <xf numFmtId="0" fontId="0" fillId="0" borderId="0" xfId="0"/>
    <xf numFmtId="0" fontId="5" fillId="0" borderId="0" xfId="0" applyFont="1"/>
    <xf numFmtId="0" fontId="8" fillId="9" borderId="0" xfId="0" applyFont="1" applyFill="1" applyBorder="1"/>
    <xf numFmtId="0" fontId="8" fillId="9" borderId="11" xfId="0" applyFont="1" applyFill="1" applyBorder="1"/>
    <xf numFmtId="0" fontId="8" fillId="9" borderId="7" xfId="0" applyFont="1" applyFill="1" applyBorder="1"/>
    <xf numFmtId="0" fontId="8" fillId="9" borderId="3" xfId="0" applyFont="1" applyFill="1" applyBorder="1"/>
    <xf numFmtId="0" fontId="8" fillId="0" borderId="0" xfId="0" applyFont="1"/>
    <xf numFmtId="0" fontId="5" fillId="9" borderId="0" xfId="0" applyFont="1" applyFill="1" applyBorder="1"/>
    <xf numFmtId="0" fontId="8" fillId="9" borderId="14" xfId="0" applyFont="1" applyFill="1" applyBorder="1"/>
    <xf numFmtId="0" fontId="8" fillId="0" borderId="0" xfId="0" applyFont="1" applyAlignment="1">
      <alignment horizontal="center" vertical="center" wrapText="1"/>
    </xf>
    <xf numFmtId="0" fontId="8" fillId="9" borderId="19" xfId="0" applyFont="1" applyFill="1" applyBorder="1"/>
    <xf numFmtId="0" fontId="8" fillId="0" borderId="0" xfId="0" applyFont="1" applyAlignment="1">
      <alignment horizontal="center"/>
    </xf>
    <xf numFmtId="0" fontId="8" fillId="0" borderId="0" xfId="0" applyNumberFormat="1" applyFont="1" applyAlignment="1">
      <alignment horizontal="center"/>
    </xf>
    <xf numFmtId="0" fontId="14" fillId="9" borderId="0" xfId="0" applyFont="1" applyFill="1"/>
    <xf numFmtId="0" fontId="2" fillId="0" borderId="0" xfId="0" applyFont="1"/>
    <xf numFmtId="0" fontId="2" fillId="9" borderId="0" xfId="0" applyFont="1" applyFill="1" applyBorder="1"/>
    <xf numFmtId="0" fontId="2" fillId="9" borderId="10" xfId="0" applyFont="1" applyFill="1" applyBorder="1"/>
    <xf numFmtId="0" fontId="5" fillId="9" borderId="11" xfId="0" applyFont="1" applyFill="1" applyBorder="1"/>
    <xf numFmtId="0" fontId="5" fillId="9" borderId="8" xfId="0" applyFont="1" applyFill="1" applyBorder="1"/>
    <xf numFmtId="0" fontId="0" fillId="9" borderId="0" xfId="0" applyFill="1" applyBorder="1"/>
    <xf numFmtId="0" fontId="56" fillId="9" borderId="0" xfId="4" applyFont="1" applyFill="1" applyBorder="1" applyAlignment="1">
      <alignment horizontal="center"/>
    </xf>
    <xf numFmtId="0" fontId="62" fillId="9" borderId="0" xfId="0" applyFont="1" applyFill="1" applyBorder="1"/>
    <xf numFmtId="0" fontId="62" fillId="9" borderId="11" xfId="0" applyFont="1" applyFill="1" applyBorder="1"/>
    <xf numFmtId="0" fontId="64" fillId="9" borderId="0" xfId="0" applyFont="1" applyFill="1" applyBorder="1"/>
    <xf numFmtId="0" fontId="65" fillId="9" borderId="0" xfId="0" applyFont="1" applyFill="1" applyBorder="1"/>
    <xf numFmtId="0" fontId="2" fillId="9" borderId="9" xfId="0" applyFont="1" applyFill="1" applyBorder="1"/>
    <xf numFmtId="0" fontId="5" fillId="9" borderId="10" xfId="0" applyFont="1" applyFill="1" applyBorder="1"/>
    <xf numFmtId="0" fontId="5" fillId="9" borderId="12" xfId="0" applyFont="1" applyFill="1" applyBorder="1"/>
    <xf numFmtId="0" fontId="5" fillId="9" borderId="2" xfId="0" applyFont="1" applyFill="1" applyBorder="1"/>
    <xf numFmtId="0" fontId="6" fillId="9" borderId="46" xfId="0" applyFont="1" applyFill="1" applyBorder="1" applyAlignment="1">
      <alignment horizontal="center" vertical="center" wrapText="1"/>
    </xf>
    <xf numFmtId="0" fontId="8" fillId="0" borderId="45" xfId="0" applyFont="1" applyBorder="1" applyAlignment="1">
      <alignment horizontal="center"/>
    </xf>
    <xf numFmtId="0" fontId="5" fillId="0" borderId="45" xfId="0" applyFont="1" applyBorder="1"/>
    <xf numFmtId="0" fontId="5" fillId="12" borderId="45" xfId="0" applyFont="1" applyFill="1" applyBorder="1"/>
    <xf numFmtId="0" fontId="5" fillId="2" borderId="45" xfId="0" applyFont="1" applyFill="1" applyBorder="1"/>
    <xf numFmtId="0" fontId="8" fillId="9" borderId="72" xfId="0" applyFont="1" applyFill="1" applyBorder="1"/>
    <xf numFmtId="0" fontId="8" fillId="9" borderId="73" xfId="0" applyFont="1" applyFill="1" applyBorder="1"/>
    <xf numFmtId="0" fontId="5" fillId="9" borderId="73" xfId="0" applyFont="1" applyFill="1" applyBorder="1"/>
    <xf numFmtId="0" fontId="8" fillId="9" borderId="75" xfId="0" applyFont="1" applyFill="1" applyBorder="1"/>
    <xf numFmtId="0" fontId="0" fillId="9" borderId="77" xfId="0" applyFill="1" applyBorder="1"/>
    <xf numFmtId="0" fontId="0" fillId="9" borderId="78" xfId="0" applyFill="1" applyBorder="1"/>
    <xf numFmtId="0" fontId="0" fillId="9" borderId="79" xfId="0" applyFill="1" applyBorder="1"/>
    <xf numFmtId="0" fontId="5" fillId="9" borderId="0" xfId="0" applyFont="1" applyFill="1" applyBorder="1" applyAlignment="1">
      <alignment horizontal="center"/>
    </xf>
    <xf numFmtId="3" fontId="5" fillId="9" borderId="42" xfId="0" applyNumberFormat="1" applyFont="1" applyFill="1" applyBorder="1"/>
    <xf numFmtId="0" fontId="5" fillId="9" borderId="42" xfId="0" applyFont="1" applyFill="1" applyBorder="1"/>
    <xf numFmtId="0" fontId="56" fillId="9" borderId="0" xfId="4" applyFont="1" applyFill="1" applyBorder="1" applyAlignment="1">
      <alignment horizontal="center"/>
    </xf>
    <xf numFmtId="0" fontId="62" fillId="9" borderId="75" xfId="0" applyFont="1" applyFill="1" applyBorder="1" applyAlignment="1">
      <alignment horizontal="left"/>
    </xf>
    <xf numFmtId="0" fontId="62" fillId="9" borderId="0" xfId="0" applyFont="1" applyFill="1" applyBorder="1" applyAlignment="1">
      <alignment horizontal="left"/>
    </xf>
    <xf numFmtId="0" fontId="62" fillId="9" borderId="76" xfId="0" applyFont="1" applyFill="1" applyBorder="1" applyAlignment="1">
      <alignment horizontal="left"/>
    </xf>
    <xf numFmtId="0" fontId="6" fillId="0" borderId="89" xfId="0" applyFont="1" applyBorder="1" applyAlignment="1">
      <alignment horizontal="center" vertical="center" wrapText="1"/>
    </xf>
    <xf numFmtId="0" fontId="6" fillId="0" borderId="61" xfId="0" applyFont="1" applyBorder="1" applyAlignment="1">
      <alignment horizontal="center" vertical="center" wrapText="1"/>
    </xf>
    <xf numFmtId="0" fontId="6" fillId="9" borderId="48" xfId="0" applyFont="1" applyFill="1" applyBorder="1" applyAlignment="1">
      <alignment horizontal="center" vertical="center" wrapText="1"/>
    </xf>
    <xf numFmtId="0" fontId="6" fillId="12" borderId="61" xfId="0" applyFont="1" applyFill="1" applyBorder="1" applyAlignment="1">
      <alignment horizontal="center" vertical="center" wrapText="1"/>
    </xf>
    <xf numFmtId="0" fontId="6" fillId="8" borderId="61" xfId="0" applyFont="1" applyFill="1" applyBorder="1" applyAlignment="1">
      <alignment horizontal="center" vertical="center" wrapText="1"/>
    </xf>
    <xf numFmtId="0" fontId="6" fillId="4" borderId="61" xfId="0" applyFont="1" applyFill="1" applyBorder="1" applyAlignment="1">
      <alignment horizontal="center" vertical="center" wrapText="1"/>
    </xf>
    <xf numFmtId="0" fontId="16" fillId="26" borderId="61" xfId="0" applyFont="1" applyFill="1" applyBorder="1" applyAlignment="1">
      <alignment horizontal="center" vertical="center" wrapText="1"/>
    </xf>
    <xf numFmtId="0" fontId="6" fillId="7" borderId="61" xfId="0" applyFont="1" applyFill="1" applyBorder="1" applyAlignment="1">
      <alignment horizontal="center" vertical="center" wrapText="1"/>
    </xf>
    <xf numFmtId="0" fontId="5" fillId="9" borderId="36" xfId="0" applyFont="1" applyFill="1" applyBorder="1"/>
    <xf numFmtId="0" fontId="37" fillId="9" borderId="36" xfId="0" applyFont="1" applyFill="1" applyBorder="1" applyAlignment="1">
      <alignment horizontal="center"/>
    </xf>
    <xf numFmtId="0" fontId="8" fillId="9" borderId="39" xfId="0" applyFont="1" applyFill="1" applyBorder="1"/>
    <xf numFmtId="0" fontId="5" fillId="9" borderId="39" xfId="0" applyFont="1" applyFill="1" applyBorder="1"/>
    <xf numFmtId="0" fontId="5" fillId="9" borderId="40" xfId="0" applyFont="1" applyFill="1" applyBorder="1"/>
    <xf numFmtId="0" fontId="5" fillId="9" borderId="34" xfId="0" applyFont="1" applyFill="1" applyBorder="1"/>
    <xf numFmtId="0" fontId="5" fillId="9" borderId="34" xfId="0" applyFont="1" applyFill="1" applyBorder="1" applyAlignment="1">
      <alignment horizontal="center"/>
    </xf>
    <xf numFmtId="0" fontId="29" fillId="0" borderId="45" xfId="0" applyFont="1" applyFill="1" applyBorder="1"/>
    <xf numFmtId="0" fontId="29" fillId="0" borderId="45" xfId="0" applyFont="1" applyFill="1" applyBorder="1" applyAlignment="1">
      <alignment horizontal="center"/>
    </xf>
    <xf numFmtId="3" fontId="29" fillId="0" borderId="45" xfId="0" applyNumberFormat="1" applyFont="1" applyFill="1" applyBorder="1" applyAlignment="1">
      <alignment horizontal="right"/>
    </xf>
    <xf numFmtId="3" fontId="29" fillId="0" borderId="45" xfId="0" applyNumberFormat="1" applyFont="1" applyFill="1" applyBorder="1" applyAlignment="1">
      <alignment horizontal="center"/>
    </xf>
    <xf numFmtId="0" fontId="62" fillId="9" borderId="75" xfId="0" applyFont="1" applyFill="1" applyBorder="1" applyAlignment="1"/>
    <xf numFmtId="0" fontId="62" fillId="9" borderId="76" xfId="0" applyFont="1" applyFill="1" applyBorder="1" applyAlignment="1"/>
    <xf numFmtId="0" fontId="74" fillId="9" borderId="75" xfId="0" applyFont="1" applyFill="1" applyBorder="1" applyAlignment="1"/>
    <xf numFmtId="0" fontId="74" fillId="9" borderId="0" xfId="0" applyFont="1" applyFill="1" applyBorder="1" applyAlignment="1"/>
    <xf numFmtId="0" fontId="74" fillId="9" borderId="76" xfId="0" applyFont="1" applyFill="1" applyBorder="1" applyAlignment="1"/>
    <xf numFmtId="3" fontId="5" fillId="8" borderId="42" xfId="0" applyNumberFormat="1" applyFont="1" applyFill="1" applyBorder="1" applyAlignment="1">
      <alignment horizontal="center" vertical="center"/>
    </xf>
    <xf numFmtId="3" fontId="5" fillId="8" borderId="42" xfId="0" applyNumberFormat="1" applyFont="1" applyFill="1" applyBorder="1" applyAlignment="1">
      <alignment horizontal="center"/>
    </xf>
    <xf numFmtId="3" fontId="5" fillId="0" borderId="42" xfId="0" applyNumberFormat="1" applyFont="1" applyFill="1" applyBorder="1" applyAlignment="1">
      <alignment horizontal="center" vertical="center"/>
    </xf>
    <xf numFmtId="3" fontId="5" fillId="9" borderId="42" xfId="0" applyNumberFormat="1" applyFont="1" applyFill="1" applyBorder="1" applyAlignment="1">
      <alignment horizontal="center"/>
    </xf>
    <xf numFmtId="3" fontId="5" fillId="8" borderId="87" xfId="0" applyNumberFormat="1" applyFont="1" applyFill="1" applyBorder="1" applyAlignment="1">
      <alignment horizontal="center"/>
    </xf>
    <xf numFmtId="3" fontId="5" fillId="9" borderId="87" xfId="0" applyNumberFormat="1" applyFont="1" applyFill="1" applyBorder="1" applyAlignment="1">
      <alignment horizontal="center"/>
    </xf>
    <xf numFmtId="165" fontId="7" fillId="9" borderId="38" xfId="0" applyNumberFormat="1" applyFont="1" applyFill="1" applyBorder="1" applyAlignment="1"/>
    <xf numFmtId="165" fontId="6" fillId="9" borderId="38" xfId="0" applyNumberFormat="1" applyFont="1" applyFill="1" applyBorder="1" applyAlignment="1"/>
    <xf numFmtId="3" fontId="6" fillId="9" borderId="87" xfId="0" applyNumberFormat="1" applyFont="1" applyFill="1" applyBorder="1" applyAlignment="1"/>
    <xf numFmtId="165" fontId="6" fillId="9" borderId="87" xfId="0" applyNumberFormat="1" applyFont="1" applyFill="1" applyBorder="1" applyAlignment="1"/>
    <xf numFmtId="0" fontId="6" fillId="21" borderId="50" xfId="339" applyFont="1" applyFill="1" applyBorder="1" applyAlignment="1">
      <alignment horizontal="center" vertical="center" wrapText="1"/>
    </xf>
    <xf numFmtId="0" fontId="6" fillId="8" borderId="50" xfId="339" applyFont="1" applyFill="1" applyBorder="1" applyAlignment="1">
      <alignment horizontal="center" vertical="center" wrapText="1"/>
    </xf>
    <xf numFmtId="185" fontId="5" fillId="9" borderId="46" xfId="0" applyNumberFormat="1" applyFont="1" applyFill="1" applyBorder="1"/>
    <xf numFmtId="165" fontId="5" fillId="9" borderId="46" xfId="0" applyNumberFormat="1" applyFont="1" applyFill="1" applyBorder="1"/>
    <xf numFmtId="0" fontId="26" fillId="9" borderId="0" xfId="0" applyFont="1" applyFill="1" applyBorder="1"/>
    <xf numFmtId="0" fontId="6" fillId="13" borderId="50" xfId="339" applyFont="1" applyFill="1" applyBorder="1" applyAlignment="1">
      <alignment horizontal="center" vertical="center" wrapText="1"/>
    </xf>
    <xf numFmtId="184" fontId="6" fillId="13" borderId="50" xfId="339" applyNumberFormat="1" applyFont="1" applyFill="1" applyBorder="1" applyAlignment="1">
      <alignment horizontal="center" vertical="center" wrapText="1"/>
    </xf>
    <xf numFmtId="0" fontId="16" fillId="68" borderId="55" xfId="339" applyFont="1" applyFill="1" applyBorder="1" applyAlignment="1">
      <alignment horizontal="center" vertical="center" wrapText="1"/>
    </xf>
    <xf numFmtId="165" fontId="16" fillId="68" borderId="44" xfId="339" applyNumberFormat="1" applyFont="1" applyFill="1" applyBorder="1" applyAlignment="1">
      <alignment horizontal="center" vertical="center" wrapText="1"/>
    </xf>
    <xf numFmtId="0" fontId="80" fillId="9" borderId="0" xfId="0" applyFont="1" applyFill="1" applyBorder="1"/>
    <xf numFmtId="0" fontId="6" fillId="9" borderId="37" xfId="0" applyFont="1" applyFill="1" applyBorder="1"/>
    <xf numFmtId="165" fontId="6" fillId="9" borderId="36" xfId="0" applyNumberFormat="1" applyFont="1" applyFill="1" applyBorder="1"/>
    <xf numFmtId="0" fontId="6" fillId="9" borderId="0" xfId="0" applyFont="1" applyFill="1" applyBorder="1"/>
    <xf numFmtId="165" fontId="6" fillId="9" borderId="0" xfId="0" applyNumberFormat="1" applyFont="1" applyFill="1" applyBorder="1"/>
    <xf numFmtId="0" fontId="6" fillId="12" borderId="43" xfId="0" applyFont="1" applyFill="1" applyBorder="1" applyAlignment="1">
      <alignment horizontal="center" vertical="center" wrapText="1"/>
    </xf>
    <xf numFmtId="165" fontId="5" fillId="12" borderId="87" xfId="0" applyNumberFormat="1" applyFont="1" applyFill="1" applyBorder="1"/>
    <xf numFmtId="165" fontId="0" fillId="9" borderId="79" xfId="0" applyNumberFormat="1" applyFill="1" applyBorder="1"/>
    <xf numFmtId="165" fontId="5" fillId="12" borderId="42" xfId="0" applyNumberFormat="1" applyFont="1" applyFill="1" applyBorder="1"/>
    <xf numFmtId="0" fontId="6" fillId="12" borderId="42" xfId="0" applyFont="1" applyFill="1" applyBorder="1" applyAlignment="1">
      <alignment horizontal="center" vertical="center" wrapText="1"/>
    </xf>
    <xf numFmtId="176" fontId="5" fillId="12" borderId="87" xfId="0" applyNumberFormat="1" applyFont="1" applyFill="1" applyBorder="1"/>
    <xf numFmtId="3" fontId="5" fillId="12" borderId="87" xfId="0" applyNumberFormat="1" applyFont="1" applyFill="1" applyBorder="1"/>
    <xf numFmtId="0" fontId="29" fillId="0" borderId="42" xfId="187" applyFont="1" applyBorder="1" applyAlignment="1">
      <alignment horizontal="left"/>
    </xf>
    <xf numFmtId="0" fontId="81" fillId="9" borderId="9" xfId="0" applyFont="1" applyFill="1" applyBorder="1"/>
    <xf numFmtId="165" fontId="16" fillId="9" borderId="0" xfId="0" applyNumberFormat="1" applyFont="1" applyFill="1" applyBorder="1"/>
    <xf numFmtId="0" fontId="37" fillId="0" borderId="0" xfId="0" applyFont="1" applyBorder="1"/>
    <xf numFmtId="0" fontId="37" fillId="9" borderId="0" xfId="0" applyFont="1" applyFill="1" applyBorder="1"/>
    <xf numFmtId="0" fontId="1" fillId="9" borderId="10" xfId="0" applyFont="1" applyFill="1" applyBorder="1"/>
    <xf numFmtId="0" fontId="5" fillId="0" borderId="87" xfId="0" applyFont="1" applyBorder="1"/>
    <xf numFmtId="0" fontId="5" fillId="9" borderId="45" xfId="0" applyFont="1" applyFill="1" applyBorder="1" applyAlignment="1">
      <alignment vertical="center" wrapText="1"/>
    </xf>
    <xf numFmtId="0" fontId="5" fillId="0" borderId="0" xfId="0" applyFont="1" applyBorder="1" applyAlignment="1">
      <alignment horizontal="center" vertical="center" wrapText="1"/>
    </xf>
    <xf numFmtId="180" fontId="25" fillId="0" borderId="0" xfId="187" applyNumberFormat="1" applyFont="1" applyBorder="1" applyAlignment="1">
      <alignment horizontal="center" vertical="center"/>
    </xf>
    <xf numFmtId="7" fontId="29" fillId="0" borderId="0" xfId="187" applyNumberFormat="1" applyFont="1" applyBorder="1" applyAlignment="1">
      <alignment horizontal="center" vertical="center"/>
    </xf>
    <xf numFmtId="0" fontId="61" fillId="9" borderId="10" xfId="0" applyFont="1" applyFill="1" applyBorder="1" applyAlignment="1">
      <alignment horizontal="center"/>
    </xf>
    <xf numFmtId="0" fontId="61" fillId="9" borderId="0" xfId="0" applyFont="1" applyFill="1" applyBorder="1" applyAlignment="1">
      <alignment horizontal="center"/>
    </xf>
    <xf numFmtId="0" fontId="61" fillId="9" borderId="11" xfId="0" applyFont="1" applyFill="1" applyBorder="1" applyAlignment="1">
      <alignment horizontal="center"/>
    </xf>
    <xf numFmtId="0" fontId="59" fillId="9" borderId="32" xfId="0" applyFont="1" applyFill="1" applyBorder="1" applyAlignment="1">
      <alignment horizontal="center"/>
    </xf>
    <xf numFmtId="0" fontId="59" fillId="9" borderId="81" xfId="0" applyFont="1" applyFill="1" applyBorder="1" applyAlignment="1">
      <alignment horizontal="center"/>
    </xf>
    <xf numFmtId="0" fontId="59" fillId="9" borderId="82" xfId="0" applyFont="1" applyFill="1" applyBorder="1" applyAlignment="1">
      <alignment horizontal="center"/>
    </xf>
    <xf numFmtId="0" fontId="51" fillId="9" borderId="30" xfId="4" applyFont="1" applyFill="1" applyBorder="1" applyAlignment="1">
      <alignment horizontal="left" vertical="center"/>
    </xf>
    <xf numFmtId="0" fontId="51" fillId="9" borderId="31" xfId="4" applyFont="1" applyFill="1" applyBorder="1" applyAlignment="1">
      <alignment horizontal="left" vertical="center"/>
    </xf>
    <xf numFmtId="0" fontId="58" fillId="0" borderId="30" xfId="0" applyFont="1" applyBorder="1" applyAlignment="1">
      <alignment horizontal="left" vertical="center" wrapText="1"/>
    </xf>
    <xf numFmtId="0" fontId="58" fillId="0" borderId="31" xfId="0" applyFont="1" applyBorder="1" applyAlignment="1">
      <alignment horizontal="left" vertical="center" wrapText="1"/>
    </xf>
    <xf numFmtId="0" fontId="68" fillId="68" borderId="0" xfId="187" applyFont="1" applyFill="1" applyBorder="1" applyAlignment="1">
      <alignment horizontal="center" vertical="center"/>
    </xf>
    <xf numFmtId="0" fontId="56" fillId="9" borderId="0" xfId="4" applyFont="1" applyFill="1" applyBorder="1" applyAlignment="1">
      <alignment horizontal="center"/>
    </xf>
    <xf numFmtId="0" fontId="62" fillId="9" borderId="10" xfId="0" applyFont="1" applyFill="1" applyBorder="1" applyAlignment="1">
      <alignment horizontal="center"/>
    </xf>
    <xf numFmtId="0" fontId="62" fillId="9" borderId="0" xfId="0" applyFont="1" applyFill="1" applyBorder="1" applyAlignment="1">
      <alignment horizontal="center"/>
    </xf>
    <xf numFmtId="0" fontId="62" fillId="9" borderId="11" xfId="0" applyFont="1" applyFill="1" applyBorder="1" applyAlignment="1">
      <alignment horizontal="center"/>
    </xf>
    <xf numFmtId="178" fontId="62" fillId="9" borderId="10" xfId="0" applyNumberFormat="1" applyFont="1" applyFill="1" applyBorder="1" applyAlignment="1">
      <alignment horizontal="center"/>
    </xf>
    <xf numFmtId="178" fontId="62" fillId="9" borderId="0" xfId="0" applyNumberFormat="1" applyFont="1" applyFill="1" applyBorder="1" applyAlignment="1">
      <alignment horizontal="center"/>
    </xf>
    <xf numFmtId="178" fontId="62" fillId="9" borderId="11" xfId="0" applyNumberFormat="1" applyFont="1" applyFill="1" applyBorder="1" applyAlignment="1">
      <alignment horizontal="center"/>
    </xf>
    <xf numFmtId="0" fontId="10" fillId="21" borderId="0" xfId="339" applyFont="1" applyFill="1" applyBorder="1" applyAlignment="1">
      <alignment horizontal="center" vertical="center" wrapText="1"/>
    </xf>
    <xf numFmtId="0" fontId="10" fillId="8" borderId="0" xfId="339" applyFont="1" applyFill="1" applyBorder="1" applyAlignment="1">
      <alignment horizontal="center" vertical="center" wrapText="1"/>
    </xf>
    <xf numFmtId="0" fontId="74" fillId="9" borderId="75" xfId="0" applyFont="1" applyFill="1" applyBorder="1" applyAlignment="1">
      <alignment horizontal="left"/>
    </xf>
    <xf numFmtId="0" fontId="74" fillId="9" borderId="0" xfId="0" applyFont="1" applyFill="1" applyBorder="1" applyAlignment="1">
      <alignment horizontal="left"/>
    </xf>
    <xf numFmtId="0" fontId="74" fillId="9" borderId="76" xfId="0" applyFont="1" applyFill="1" applyBorder="1" applyAlignment="1">
      <alignment horizontal="left"/>
    </xf>
    <xf numFmtId="0" fontId="62" fillId="9" borderId="75" xfId="0" applyFont="1" applyFill="1" applyBorder="1" applyAlignment="1">
      <alignment horizontal="left"/>
    </xf>
    <xf numFmtId="0" fontId="62" fillId="9" borderId="0" xfId="0" applyFont="1" applyFill="1" applyBorder="1" applyAlignment="1">
      <alignment horizontal="left"/>
    </xf>
    <xf numFmtId="0" fontId="62" fillId="9" borderId="76" xfId="0" applyFont="1" applyFill="1" applyBorder="1" applyAlignment="1">
      <alignment horizontal="left"/>
    </xf>
    <xf numFmtId="0" fontId="7" fillId="8" borderId="42" xfId="0" applyFont="1" applyFill="1" applyBorder="1" applyAlignment="1">
      <alignment horizontal="center"/>
    </xf>
    <xf numFmtId="0" fontId="7" fillId="9" borderId="42" xfId="0" applyFont="1" applyFill="1" applyBorder="1" applyAlignment="1">
      <alignment horizontal="center"/>
    </xf>
    <xf numFmtId="0" fontId="7" fillId="8" borderId="47" xfId="0" applyFont="1" applyFill="1" applyBorder="1" applyAlignment="1">
      <alignment horizontal="center"/>
    </xf>
    <xf numFmtId="0" fontId="7" fillId="8" borderId="35" xfId="0" applyFont="1" applyFill="1" applyBorder="1" applyAlignment="1">
      <alignment horizontal="center"/>
    </xf>
    <xf numFmtId="0" fontId="10" fillId="7" borderId="88" xfId="0" applyFont="1" applyFill="1" applyBorder="1" applyAlignment="1">
      <alignment horizontal="center"/>
    </xf>
    <xf numFmtId="0" fontId="10" fillId="6" borderId="46" xfId="0" applyFont="1" applyFill="1" applyBorder="1" applyAlignment="1">
      <alignment horizontal="center" vertical="center"/>
    </xf>
    <xf numFmtId="0" fontId="62" fillId="9" borderId="39" xfId="0" applyFont="1" applyFill="1" applyBorder="1" applyAlignment="1">
      <alignment horizontal="center"/>
    </xf>
    <xf numFmtId="0" fontId="17" fillId="4" borderId="46" xfId="0" applyFont="1" applyFill="1" applyBorder="1" applyAlignment="1">
      <alignment horizontal="center" vertical="center" wrapText="1"/>
    </xf>
    <xf numFmtId="0" fontId="9" fillId="4" borderId="46" xfId="0" applyFont="1" applyFill="1" applyBorder="1" applyAlignment="1">
      <alignment horizontal="center" vertical="center" wrapText="1"/>
    </xf>
    <xf numFmtId="0" fontId="17" fillId="8" borderId="51" xfId="0" applyFont="1" applyFill="1" applyBorder="1" applyAlignment="1">
      <alignment horizontal="center" vertical="center" wrapText="1"/>
    </xf>
    <xf numFmtId="0" fontId="17" fillId="8" borderId="60" xfId="0" applyFont="1" applyFill="1" applyBorder="1" applyAlignment="1">
      <alignment horizontal="center" vertical="center" wrapText="1"/>
    </xf>
    <xf numFmtId="0" fontId="17" fillId="8" borderId="49" xfId="0" applyFont="1" applyFill="1" applyBorder="1" applyAlignment="1">
      <alignment horizontal="center" vertical="center" wrapText="1"/>
    </xf>
    <xf numFmtId="0" fontId="17" fillId="12" borderId="90" xfId="0" applyFont="1" applyFill="1" applyBorder="1" applyAlignment="1">
      <alignment horizontal="center" vertical="center" wrapText="1"/>
    </xf>
    <xf numFmtId="0" fontId="17" fillId="12" borderId="0" xfId="0" applyFont="1" applyFill="1" applyBorder="1" applyAlignment="1">
      <alignment horizontal="center" vertical="center" wrapText="1"/>
    </xf>
    <xf numFmtId="0" fontId="17" fillId="12" borderId="91" xfId="0" applyFont="1" applyFill="1" applyBorder="1" applyAlignment="1">
      <alignment horizontal="center" vertical="center" wrapText="1"/>
    </xf>
    <xf numFmtId="177" fontId="9" fillId="12" borderId="39" xfId="6" applyNumberFormat="1" applyFont="1" applyFill="1" applyBorder="1" applyAlignment="1">
      <alignment horizontal="center"/>
    </xf>
    <xf numFmtId="177" fontId="9" fillId="12" borderId="0" xfId="6" applyNumberFormat="1" applyFont="1" applyFill="1" applyBorder="1" applyAlignment="1">
      <alignment horizontal="center"/>
    </xf>
    <xf numFmtId="0" fontId="10" fillId="5" borderId="88" xfId="0" applyFont="1" applyFill="1" applyBorder="1" applyAlignment="1">
      <alignment horizontal="center"/>
    </xf>
    <xf numFmtId="0" fontId="22" fillId="26" borderId="51" xfId="0" applyFont="1" applyFill="1" applyBorder="1" applyAlignment="1">
      <alignment horizontal="center" vertical="center"/>
    </xf>
    <xf numFmtId="0" fontId="22" fillId="26" borderId="60" xfId="0" applyFont="1" applyFill="1" applyBorder="1" applyAlignment="1">
      <alignment horizontal="center" vertical="center"/>
    </xf>
    <xf numFmtId="0" fontId="22" fillId="26" borderId="49" xfId="0" applyFont="1" applyFill="1" applyBorder="1" applyAlignment="1">
      <alignment horizontal="center" vertical="center"/>
    </xf>
    <xf numFmtId="0" fontId="10" fillId="18" borderId="5" xfId="0" applyFont="1" applyFill="1" applyBorder="1" applyAlignment="1">
      <alignment horizontal="center" vertical="center" wrapText="1"/>
    </xf>
    <xf numFmtId="0" fontId="10" fillId="18" borderId="6" xfId="0" applyFont="1" applyFill="1" applyBorder="1" applyAlignment="1">
      <alignment horizontal="center" vertical="center" wrapText="1"/>
    </xf>
    <xf numFmtId="0" fontId="10" fillId="18" borderId="21" xfId="0" applyFont="1" applyFill="1" applyBorder="1" applyAlignment="1">
      <alignment horizontal="center" vertical="center" wrapText="1"/>
    </xf>
    <xf numFmtId="0" fontId="10" fillId="4" borderId="5" xfId="0" applyFont="1" applyFill="1" applyBorder="1" applyAlignment="1">
      <alignment horizontal="center" vertical="center" wrapText="1"/>
    </xf>
    <xf numFmtId="0" fontId="10" fillId="4" borderId="6" xfId="0" applyFont="1" applyFill="1" applyBorder="1" applyAlignment="1">
      <alignment horizontal="center" vertical="center" wrapText="1"/>
    </xf>
    <xf numFmtId="0" fontId="10" fillId="4" borderId="21" xfId="0" applyFont="1" applyFill="1" applyBorder="1" applyAlignment="1">
      <alignment horizontal="center" vertical="center" wrapText="1"/>
    </xf>
    <xf numFmtId="0" fontId="14" fillId="9" borderId="0" xfId="0" applyFont="1" applyFill="1" applyBorder="1" applyAlignment="1">
      <alignment horizontal="center"/>
    </xf>
    <xf numFmtId="0" fontId="17" fillId="23" borderId="78" xfId="0" applyFont="1" applyFill="1" applyBorder="1" applyAlignment="1">
      <alignment horizontal="center" wrapText="1"/>
    </xf>
    <xf numFmtId="0" fontId="17" fillId="20" borderId="78" xfId="0" applyFont="1" applyFill="1" applyBorder="1" applyAlignment="1">
      <alignment horizontal="center"/>
    </xf>
    <xf numFmtId="0" fontId="59" fillId="9" borderId="75" xfId="0" applyFont="1" applyFill="1" applyBorder="1" applyAlignment="1">
      <alignment horizontal="center"/>
    </xf>
    <xf numFmtId="0" fontId="59" fillId="9" borderId="0" xfId="0" applyFont="1" applyFill="1" applyBorder="1" applyAlignment="1">
      <alignment horizontal="center"/>
    </xf>
    <xf numFmtId="0" fontId="59" fillId="9" borderId="76" xfId="0" applyFont="1" applyFill="1" applyBorder="1" applyAlignment="1">
      <alignment horizontal="center"/>
    </xf>
    <xf numFmtId="0" fontId="73" fillId="9" borderId="0" xfId="0" applyFont="1" applyFill="1" applyBorder="1" applyAlignment="1">
      <alignment horizontal="center"/>
    </xf>
    <xf numFmtId="0" fontId="17" fillId="21" borderId="78" xfId="0" applyFont="1" applyFill="1" applyBorder="1" applyAlignment="1">
      <alignment horizontal="center"/>
    </xf>
    <xf numFmtId="0" fontId="17" fillId="5" borderId="78" xfId="0" applyFont="1" applyFill="1" applyBorder="1" applyAlignment="1">
      <alignment horizontal="center"/>
    </xf>
    <xf numFmtId="0" fontId="17" fillId="3" borderId="78" xfId="0" applyFont="1" applyFill="1" applyBorder="1" applyAlignment="1">
      <alignment horizontal="center"/>
    </xf>
    <xf numFmtId="0" fontId="17" fillId="70" borderId="78" xfId="0" applyFont="1" applyFill="1" applyBorder="1" applyAlignment="1">
      <alignment horizontal="center"/>
    </xf>
    <xf numFmtId="0" fontId="17" fillId="12" borderId="78" xfId="0" applyFont="1" applyFill="1" applyBorder="1" applyAlignment="1">
      <alignment horizontal="center"/>
    </xf>
    <xf numFmtId="6" fontId="20" fillId="9" borderId="0" xfId="6" applyNumberFormat="1" applyFont="1" applyFill="1" applyBorder="1" applyAlignment="1">
      <alignment horizontal="center"/>
    </xf>
    <xf numFmtId="10" fontId="20" fillId="9" borderId="0" xfId="6" applyNumberFormat="1" applyFont="1" applyFill="1" applyBorder="1" applyAlignment="1">
      <alignment horizontal="center"/>
    </xf>
    <xf numFmtId="6" fontId="4" fillId="9" borderId="0" xfId="6" applyNumberFormat="1" applyFont="1" applyFill="1" applyBorder="1" applyAlignment="1">
      <alignment horizontal="center"/>
    </xf>
    <xf numFmtId="0" fontId="17" fillId="9" borderId="78" xfId="0" applyFont="1" applyFill="1" applyBorder="1" applyAlignment="1">
      <alignment horizontal="center"/>
    </xf>
    <xf numFmtId="0" fontId="17" fillId="9" borderId="79" xfId="0" applyFont="1" applyFill="1" applyBorder="1" applyAlignment="1">
      <alignment horizontal="center"/>
    </xf>
    <xf numFmtId="0" fontId="17" fillId="11" borderId="78" xfId="0" applyFont="1" applyFill="1" applyBorder="1" applyAlignment="1">
      <alignment horizontal="center"/>
    </xf>
    <xf numFmtId="0" fontId="14" fillId="9" borderId="45" xfId="0" applyFont="1" applyFill="1" applyBorder="1" applyAlignment="1">
      <alignment horizontal="center" vertical="center" wrapText="1"/>
    </xf>
    <xf numFmtId="0" fontId="6" fillId="13" borderId="52" xfId="0" applyFont="1" applyFill="1" applyBorder="1" applyAlignment="1">
      <alignment horizontal="center"/>
    </xf>
    <xf numFmtId="0" fontId="6" fillId="13" borderId="53" xfId="0" applyFont="1" applyFill="1" applyBorder="1" applyAlignment="1">
      <alignment horizontal="center"/>
    </xf>
    <xf numFmtId="0" fontId="6" fillId="13" borderId="54" xfId="0" applyFont="1" applyFill="1" applyBorder="1" applyAlignment="1">
      <alignment horizontal="center"/>
    </xf>
    <xf numFmtId="0" fontId="18" fillId="15" borderId="52" xfId="0" applyFont="1" applyFill="1" applyBorder="1" applyAlignment="1">
      <alignment horizontal="center"/>
    </xf>
    <xf numFmtId="0" fontId="18" fillId="15" borderId="53" xfId="0" applyFont="1" applyFill="1" applyBorder="1" applyAlignment="1">
      <alignment horizontal="center"/>
    </xf>
    <xf numFmtId="0" fontId="18" fillId="15" borderId="54" xfId="0" applyFont="1" applyFill="1" applyBorder="1" applyAlignment="1">
      <alignment horizontal="center"/>
    </xf>
    <xf numFmtId="0" fontId="6" fillId="0" borderId="45" xfId="0" applyFont="1" applyBorder="1" applyAlignment="1">
      <alignment horizontal="center" vertical="center" wrapText="1"/>
    </xf>
    <xf numFmtId="0" fontId="62" fillId="9" borderId="16" xfId="0" applyFont="1" applyFill="1" applyBorder="1" applyAlignment="1">
      <alignment horizontal="center"/>
    </xf>
    <xf numFmtId="0" fontId="62" fillId="9" borderId="17" xfId="0" applyFont="1" applyFill="1" applyBorder="1" applyAlignment="1">
      <alignment horizontal="center"/>
    </xf>
    <xf numFmtId="0" fontId="9" fillId="5" borderId="56" xfId="0" applyFont="1" applyFill="1" applyBorder="1" applyAlignment="1">
      <alignment horizontal="center" vertical="center" wrapText="1"/>
    </xf>
    <xf numFmtId="0" fontId="9" fillId="5" borderId="57" xfId="0" applyFont="1" applyFill="1" applyBorder="1" applyAlignment="1">
      <alignment horizontal="center" vertical="center" wrapText="1"/>
    </xf>
    <xf numFmtId="0" fontId="9" fillId="5" borderId="58" xfId="0" applyFont="1" applyFill="1" applyBorder="1" applyAlignment="1">
      <alignment horizontal="center" vertical="center" wrapText="1"/>
    </xf>
    <xf numFmtId="0" fontId="9" fillId="19" borderId="59" xfId="0" applyFont="1" applyFill="1" applyBorder="1" applyAlignment="1">
      <alignment horizontal="center" vertical="center" wrapText="1"/>
    </xf>
    <xf numFmtId="0" fontId="9" fillId="19" borderId="60" xfId="0" applyFont="1" applyFill="1" applyBorder="1" applyAlignment="1">
      <alignment horizontal="center" vertical="center" wrapText="1"/>
    </xf>
    <xf numFmtId="0" fontId="9" fillId="19" borderId="67" xfId="0" applyFont="1" applyFill="1" applyBorder="1" applyAlignment="1">
      <alignment horizontal="center" vertical="center" wrapText="1"/>
    </xf>
    <xf numFmtId="0" fontId="62" fillId="9" borderId="65" xfId="0" applyFont="1" applyFill="1" applyBorder="1" applyAlignment="1">
      <alignment horizontal="center"/>
    </xf>
    <xf numFmtId="0" fontId="62" fillId="9" borderId="66" xfId="0" applyFont="1" applyFill="1" applyBorder="1" applyAlignment="1">
      <alignment horizontal="center"/>
    </xf>
  </cellXfs>
  <cellStyles count="500">
    <cellStyle name="20% - Énfasis1" xfId="115" builtinId="30" customBuiltin="1"/>
    <cellStyle name="20% - Énfasis2" xfId="119" builtinId="34" customBuiltin="1"/>
    <cellStyle name="20% - Énfasis3" xfId="123" builtinId="38" customBuiltin="1"/>
    <cellStyle name="20% - Énfasis4" xfId="127" builtinId="42" customBuiltin="1"/>
    <cellStyle name="20% - Énfasis5" xfId="131" builtinId="46" customBuiltin="1"/>
    <cellStyle name="20% - Énfasis6" xfId="135" builtinId="50" customBuiltin="1"/>
    <cellStyle name="40% - Énfasis1" xfId="116" builtinId="31" customBuiltin="1"/>
    <cellStyle name="40% - Énfasis2" xfId="120" builtinId="35" customBuiltin="1"/>
    <cellStyle name="40% - Énfasis3" xfId="124" builtinId="39" customBuiltin="1"/>
    <cellStyle name="40% - Énfasis4" xfId="128" builtinId="43" customBuiltin="1"/>
    <cellStyle name="40% - Énfasis5" xfId="132" builtinId="47" customBuiltin="1"/>
    <cellStyle name="40% - Énfasis6" xfId="136" builtinId="51" customBuiltin="1"/>
    <cellStyle name="60% - Énfasis1" xfId="117" builtinId="32" customBuiltin="1"/>
    <cellStyle name="60% - Énfasis2" xfId="121" builtinId="36" customBuiltin="1"/>
    <cellStyle name="60% - Énfasis3" xfId="125" builtinId="40" customBuiltin="1"/>
    <cellStyle name="60% - Énfasis4" xfId="129" builtinId="44" customBuiltin="1"/>
    <cellStyle name="60% - Énfasis5" xfId="133" builtinId="48" customBuiltin="1"/>
    <cellStyle name="60% - Énfasis6" xfId="137" builtinId="52" customBuiltin="1"/>
    <cellStyle name="Buena" xfId="308"/>
    <cellStyle name="Cálculo" xfId="107" builtinId="22" customBuiltin="1"/>
    <cellStyle name="Celda de comprobación" xfId="109" builtinId="23" customBuiltin="1"/>
    <cellStyle name="Celda vinculada" xfId="108" builtinId="24" customBuiltin="1"/>
    <cellStyle name="Encabezado 4" xfId="102" builtinId="19" customBuiltin="1"/>
    <cellStyle name="Énfasis 1" xfId="152"/>
    <cellStyle name="Énfasis 2" xfId="153"/>
    <cellStyle name="Énfasis 3" xfId="154"/>
    <cellStyle name="Énfasis1" xfId="114" builtinId="29" customBuiltin="1"/>
    <cellStyle name="Énfasis1 - 20%" xfId="155"/>
    <cellStyle name="Énfasis1 - 40%" xfId="156"/>
    <cellStyle name="Énfasis1 - 60%" xfId="157"/>
    <cellStyle name="Énfasis2" xfId="118" builtinId="33" customBuiltin="1"/>
    <cellStyle name="Énfasis2 - 20%" xfId="158"/>
    <cellStyle name="Énfasis2 - 40%" xfId="159"/>
    <cellStyle name="Énfasis2 - 60%" xfId="160"/>
    <cellStyle name="Énfasis3" xfId="122" builtinId="37" customBuiltin="1"/>
    <cellStyle name="Énfasis3 - 20%" xfId="161"/>
    <cellStyle name="Énfasis3 - 40%" xfId="162"/>
    <cellStyle name="Énfasis3 - 60%" xfId="163"/>
    <cellStyle name="Énfasis4" xfId="126" builtinId="41" customBuiltin="1"/>
    <cellStyle name="Énfasis4 - 20%" xfId="164"/>
    <cellStyle name="Énfasis4 - 40%" xfId="165"/>
    <cellStyle name="Énfasis4 - 60%" xfId="166"/>
    <cellStyle name="Énfasis5" xfId="130" builtinId="45" customBuiltin="1"/>
    <cellStyle name="Énfasis5 - 20%" xfId="167"/>
    <cellStyle name="Énfasis5 - 40%" xfId="168"/>
    <cellStyle name="Énfasis5 - 60%" xfId="169"/>
    <cellStyle name="Énfasis6" xfId="134" builtinId="49" customBuiltin="1"/>
    <cellStyle name="Énfasis6 - 20%" xfId="170"/>
    <cellStyle name="Énfasis6 - 40%" xfId="171"/>
    <cellStyle name="Énfasis6 - 60%" xfId="172"/>
    <cellStyle name="Entrada" xfId="105" builtinId="20" customBuiltin="1"/>
    <cellStyle name="Euro" xfId="37"/>
    <cellStyle name="Euro 2" xfId="38"/>
    <cellStyle name="Euro 3" xfId="173"/>
    <cellStyle name="Hipervínculo" xfId="4" builtinId="8"/>
    <cellStyle name="Hipervínculo 2" xfId="99"/>
    <cellStyle name="Hipervínculo 3" xfId="49"/>
    <cellStyle name="Incorrecto" xfId="103" builtinId="27" customBuiltin="1"/>
    <cellStyle name="Millares" xfId="307"/>
    <cellStyle name="Millares [0] 2" xfId="86"/>
    <cellStyle name="Millares 10" xfId="84"/>
    <cellStyle name="Millares 11" xfId="13"/>
    <cellStyle name="Millares 12" xfId="87"/>
    <cellStyle name="Millares 13" xfId="61"/>
    <cellStyle name="Millares 14" xfId="88"/>
    <cellStyle name="Millares 15" xfId="98"/>
    <cellStyle name="Millares 16" xfId="97"/>
    <cellStyle name="Millares 17" xfId="94"/>
    <cellStyle name="Millares 18" xfId="138"/>
    <cellStyle name="Millares 19" xfId="141"/>
    <cellStyle name="Millares 2" xfId="14"/>
    <cellStyle name="Millares 2 2" xfId="15"/>
    <cellStyle name="Millares 2 2 2" xfId="26"/>
    <cellStyle name="Millares 2 2 9" xfId="59"/>
    <cellStyle name="Millares 2 3" xfId="25"/>
    <cellStyle name="Millares 2 4" xfId="54"/>
    <cellStyle name="Millares 2 4 2" xfId="71"/>
    <cellStyle name="Millares 2 5" xfId="90"/>
    <cellStyle name="Millares 2 6" xfId="147"/>
    <cellStyle name="Millares 2 7" xfId="145"/>
    <cellStyle name="Millares 2 8" xfId="148"/>
    <cellStyle name="Millares 20" xfId="140"/>
    <cellStyle name="Millares 21" xfId="142"/>
    <cellStyle name="Millares 22" xfId="144"/>
    <cellStyle name="Millares 23" xfId="186"/>
    <cellStyle name="Millares 24" xfId="188"/>
    <cellStyle name="Millares 25" xfId="206"/>
    <cellStyle name="Millares 26" xfId="201"/>
    <cellStyle name="Millares 27" xfId="197"/>
    <cellStyle name="Millares 28" xfId="207"/>
    <cellStyle name="Millares 29" xfId="196"/>
    <cellStyle name="Millares 3" xfId="16"/>
    <cellStyle name="Millares 3 2" xfId="27"/>
    <cellStyle name="Millares 30" xfId="202"/>
    <cellStyle name="Millares 31" xfId="210"/>
    <cellStyle name="Millares 32" xfId="211"/>
    <cellStyle name="Millares 33" xfId="192"/>
    <cellStyle name="Millares 34" xfId="200"/>
    <cellStyle name="Millares 35" xfId="208"/>
    <cellStyle name="Millares 36" xfId="214"/>
    <cellStyle name="Millares 37" xfId="245"/>
    <cellStyle name="Millares 38" xfId="252"/>
    <cellStyle name="Millares 39" xfId="236"/>
    <cellStyle name="Millares 4" xfId="34"/>
    <cellStyle name="Millares 40" xfId="244"/>
    <cellStyle name="Millares 41" xfId="272"/>
    <cellStyle name="Millares 42" xfId="274"/>
    <cellStyle name="Millares 43" xfId="276"/>
    <cellStyle name="Millares 44" xfId="278"/>
    <cellStyle name="Millares 45" xfId="280"/>
    <cellStyle name="Millares 46" xfId="282"/>
    <cellStyle name="Millares 47" xfId="283"/>
    <cellStyle name="Millares 48" xfId="284"/>
    <cellStyle name="Millares 49" xfId="285"/>
    <cellStyle name="Millares 5" xfId="36"/>
    <cellStyle name="Millares 50" xfId="286"/>
    <cellStyle name="Millares 51" xfId="287"/>
    <cellStyle name="Millares 52" xfId="288"/>
    <cellStyle name="Millares 53" xfId="289"/>
    <cellStyle name="Millares 54" xfId="290"/>
    <cellStyle name="Millares 55" xfId="291"/>
    <cellStyle name="Millares 56" xfId="292"/>
    <cellStyle name="Millares 57" xfId="293"/>
    <cellStyle name="Millares 58" xfId="294"/>
    <cellStyle name="Millares 59" xfId="295"/>
    <cellStyle name="Millares 6" xfId="42"/>
    <cellStyle name="Millares 60" xfId="296"/>
    <cellStyle name="Millares 61" xfId="297"/>
    <cellStyle name="Millares 62" xfId="298"/>
    <cellStyle name="Millares 63" xfId="299"/>
    <cellStyle name="Millares 64" xfId="300"/>
    <cellStyle name="Millares 65" xfId="301"/>
    <cellStyle name="Millares 66" xfId="302"/>
    <cellStyle name="Millares 67" xfId="304"/>
    <cellStyle name="Millares 68" xfId="305"/>
    <cellStyle name="Millares 69" xfId="303"/>
    <cellStyle name="Millares 7" xfId="46"/>
    <cellStyle name="Millares 7 2" xfId="58"/>
    <cellStyle name="Millares 70" xfId="306"/>
    <cellStyle name="Millares 8" xfId="10"/>
    <cellStyle name="Millares 8 2" xfId="73"/>
    <cellStyle name="Millares 9" xfId="67"/>
    <cellStyle name="Moneda" xfId="5" builtinId="4"/>
    <cellStyle name="Moneda [0] 2" xfId="76"/>
    <cellStyle name="Moneda 10" xfId="62"/>
    <cellStyle name="Moneda 11" xfId="95"/>
    <cellStyle name="Moneda 12" xfId="93"/>
    <cellStyle name="Moneda 13" xfId="89"/>
    <cellStyle name="Moneda 14" xfId="143"/>
    <cellStyle name="Moneda 15" xfId="146"/>
    <cellStyle name="Moneda 16" xfId="185"/>
    <cellStyle name="Moneda 17" xfId="189"/>
    <cellStyle name="Moneda 18" xfId="195"/>
    <cellStyle name="Moneda 19" xfId="209"/>
    <cellStyle name="Moneda 2" xfId="11"/>
    <cellStyle name="Moneda 2 2" xfId="28"/>
    <cellStyle name="Moneda 2 2 2" xfId="63"/>
    <cellStyle name="Moneda 2 3" xfId="64"/>
    <cellStyle name="Moneda 2 4" xfId="18"/>
    <cellStyle name="Moneda 20" xfId="205"/>
    <cellStyle name="Moneda 21" xfId="199"/>
    <cellStyle name="Moneda 22" xfId="194"/>
    <cellStyle name="Moneda 23" xfId="204"/>
    <cellStyle name="Moneda 24" xfId="191"/>
    <cellStyle name="Moneda 25" xfId="198"/>
    <cellStyle name="Moneda 26" xfId="203"/>
    <cellStyle name="Moneda 27" xfId="190"/>
    <cellStyle name="Moneda 28" xfId="193"/>
    <cellStyle name="Moneda 29" xfId="217"/>
    <cellStyle name="Moneda 3" xfId="39"/>
    <cellStyle name="Moneda 3 3" xfId="57"/>
    <cellStyle name="Moneda 30" xfId="220"/>
    <cellStyle name="Moneda 31" xfId="266"/>
    <cellStyle name="Moneda 32" xfId="255"/>
    <cellStyle name="Moneda 33" xfId="235"/>
    <cellStyle name="Moneda 34" xfId="216"/>
    <cellStyle name="Moneda 35" xfId="219"/>
    <cellStyle name="Moneda 36" xfId="232"/>
    <cellStyle name="Moneda 37" xfId="225"/>
    <cellStyle name="Moneda 38" xfId="223"/>
    <cellStyle name="Moneda 39" xfId="241"/>
    <cellStyle name="Moneda 4" xfId="43"/>
    <cellStyle name="Moneda 4 2" xfId="56"/>
    <cellStyle name="Moneda 40" xfId="268"/>
    <cellStyle name="Moneda 41" xfId="258"/>
    <cellStyle name="Moneda 42" xfId="237"/>
    <cellStyle name="Moneda 43" xfId="261"/>
    <cellStyle name="Moneda 44" xfId="239"/>
    <cellStyle name="Moneda 45" xfId="215"/>
    <cellStyle name="Moneda 46" xfId="257"/>
    <cellStyle name="Moneda 47" xfId="259"/>
    <cellStyle name="Moneda 48" xfId="260"/>
    <cellStyle name="Moneda 49" xfId="248"/>
    <cellStyle name="Moneda 5" xfId="53"/>
    <cellStyle name="Moneda 50" xfId="254"/>
    <cellStyle name="Moneda 51" xfId="267"/>
    <cellStyle name="Moneda 52" xfId="243"/>
    <cellStyle name="Moneda 53" xfId="218"/>
    <cellStyle name="Moneda 54" xfId="273"/>
    <cellStyle name="Moneda 55" xfId="275"/>
    <cellStyle name="Moneda 56" xfId="277"/>
    <cellStyle name="Moneda 57" xfId="279"/>
    <cellStyle name="Moneda 58" xfId="281"/>
    <cellStyle name="Moneda 6" xfId="66"/>
    <cellStyle name="Moneda 7" xfId="52"/>
    <cellStyle name="Moneda 8" xfId="77"/>
    <cellStyle name="Moneda 8 2" xfId="79"/>
    <cellStyle name="Moneda 9" xfId="17"/>
    <cellStyle name="Neutral" xfId="104" builtinId="28" customBuiltin="1"/>
    <cellStyle name="Normal" xfId="0" builtinId="0"/>
    <cellStyle name="Normal 10" xfId="47"/>
    <cellStyle name="Normal 10 2" xfId="51"/>
    <cellStyle name="Normal 10 3" xfId="184"/>
    <cellStyle name="Normal 11" xfId="48"/>
    <cellStyle name="Normal 12" xfId="65"/>
    <cellStyle name="Normal 13" xfId="69"/>
    <cellStyle name="Normal 14" xfId="72"/>
    <cellStyle name="Normal 14 2" xfId="2"/>
    <cellStyle name="Normal 15" xfId="80"/>
    <cellStyle name="Normal 16" xfId="81"/>
    <cellStyle name="Normal 17" xfId="83"/>
    <cellStyle name="Normal 18" xfId="12"/>
    <cellStyle name="Normal 19" xfId="187"/>
    <cellStyle name="Normal 19 2" xfId="339"/>
    <cellStyle name="Normal 19 3" xfId="428"/>
    <cellStyle name="Normal 19 4" xfId="397"/>
    <cellStyle name="Normal 19 5" xfId="466"/>
    <cellStyle name="Normal 19 6" xfId="373"/>
    <cellStyle name="Normal 19 7" xfId="325"/>
    <cellStyle name="Normal 2" xfId="1"/>
    <cellStyle name="Normal 2 2" xfId="22"/>
    <cellStyle name="Normal 2 2 2" xfId="179"/>
    <cellStyle name="Normal 2 3" xfId="91"/>
    <cellStyle name="Normal 2 3 2" xfId="75"/>
    <cellStyle name="Normal 2 3 3" xfId="174"/>
    <cellStyle name="Normal 2 9" xfId="50"/>
    <cellStyle name="Normal 2_TABLAS_UT_ALICOL_olga%20BOLSA%20NUEVA(1)" xfId="150"/>
    <cellStyle name="Normal 20" xfId="212"/>
    <cellStyle name="Normal 20 2" xfId="340"/>
    <cellStyle name="Normal 20 3" xfId="429"/>
    <cellStyle name="Normal 20 4" xfId="398"/>
    <cellStyle name="Normal 20 5" xfId="467"/>
    <cellStyle name="Normal 20 6" xfId="396"/>
    <cellStyle name="Normal 20 7" xfId="370"/>
    <cellStyle name="Normal 21" xfId="253"/>
    <cellStyle name="Normal 21 2" xfId="361"/>
    <cellStyle name="Normal 21 3" xfId="450"/>
    <cellStyle name="Normal 21 4" xfId="419"/>
    <cellStyle name="Normal 21 5" xfId="488"/>
    <cellStyle name="Normal 21 6" xfId="377"/>
    <cellStyle name="Normal 21 7" xfId="322"/>
    <cellStyle name="Normal 22" xfId="250"/>
    <cellStyle name="Normal 22 2" xfId="359"/>
    <cellStyle name="Normal 22 3" xfId="448"/>
    <cellStyle name="Normal 22 4" xfId="417"/>
    <cellStyle name="Normal 22 5" xfId="486"/>
    <cellStyle name="Normal 22 6" xfId="385"/>
    <cellStyle name="Normal 22 7" xfId="314"/>
    <cellStyle name="Normal 23" xfId="226"/>
    <cellStyle name="Normal 23 2" xfId="345"/>
    <cellStyle name="Normal 23 3" xfId="434"/>
    <cellStyle name="Normal 23 4" xfId="403"/>
    <cellStyle name="Normal 23 5" xfId="472"/>
    <cellStyle name="Normal 23 6" xfId="381"/>
    <cellStyle name="Normal 23 7" xfId="336"/>
    <cellStyle name="Normal 24" xfId="230"/>
    <cellStyle name="Normal 24 2" xfId="349"/>
    <cellStyle name="Normal 24 3" xfId="438"/>
    <cellStyle name="Normal 24 4" xfId="407"/>
    <cellStyle name="Normal 24 5" xfId="476"/>
    <cellStyle name="Normal 24 6" xfId="379"/>
    <cellStyle name="Normal 24 7" xfId="333"/>
    <cellStyle name="Normal 25" xfId="247"/>
    <cellStyle name="Normal 25 2" xfId="357"/>
    <cellStyle name="Normal 25 3" xfId="446"/>
    <cellStyle name="Normal 25 4" xfId="415"/>
    <cellStyle name="Normal 25 5" xfId="484"/>
    <cellStyle name="Normal 25 6" xfId="378"/>
    <cellStyle name="Normal 25 7" xfId="326"/>
    <cellStyle name="Normal 26" xfId="233"/>
    <cellStyle name="Normal 26 2" xfId="351"/>
    <cellStyle name="Normal 26 3" xfId="440"/>
    <cellStyle name="Normal 26 4" xfId="409"/>
    <cellStyle name="Normal 26 5" xfId="478"/>
    <cellStyle name="Normal 26 6" xfId="388"/>
    <cellStyle name="Normal 26 7" xfId="331"/>
    <cellStyle name="Normal 27" xfId="227"/>
    <cellStyle name="Normal 27 2" xfId="346"/>
    <cellStyle name="Normal 27 3" xfId="435"/>
    <cellStyle name="Normal 27 4" xfId="404"/>
    <cellStyle name="Normal 27 5" xfId="473"/>
    <cellStyle name="Normal 27 6" xfId="392"/>
    <cellStyle name="Normal 27 7" xfId="335"/>
    <cellStyle name="Normal 28" xfId="68"/>
    <cellStyle name="Normal 29" xfId="240"/>
    <cellStyle name="Normal 29 2" xfId="354"/>
    <cellStyle name="Normal 29 3" xfId="443"/>
    <cellStyle name="Normal 29 4" xfId="412"/>
    <cellStyle name="Normal 29 5" xfId="481"/>
    <cellStyle name="Normal 29 6" xfId="375"/>
    <cellStyle name="Normal 29 7" xfId="317"/>
    <cellStyle name="Normal 3" xfId="3"/>
    <cellStyle name="Normal 3 2" xfId="30"/>
    <cellStyle name="Normal 3 2 2" xfId="151"/>
    <cellStyle name="Normal 3 3" xfId="21"/>
    <cellStyle name="Normal 3 4" xfId="149"/>
    <cellStyle name="Normal 30" xfId="269"/>
    <cellStyle name="Normal 30 2" xfId="367"/>
    <cellStyle name="Normal 30 3" xfId="456"/>
    <cellStyle name="Normal 30 4" xfId="425"/>
    <cellStyle name="Normal 30 5" xfId="494"/>
    <cellStyle name="Normal 30 6" xfId="463"/>
    <cellStyle name="Normal 30 7" xfId="315"/>
    <cellStyle name="Normal 31" xfId="242"/>
    <cellStyle name="Normal 31 2" xfId="355"/>
    <cellStyle name="Normal 31 3" xfId="444"/>
    <cellStyle name="Normal 31 4" xfId="413"/>
    <cellStyle name="Normal 31 5" xfId="482"/>
    <cellStyle name="Normal 31 6" xfId="387"/>
    <cellStyle name="Normal 31 7" xfId="328"/>
    <cellStyle name="Normal 32" xfId="264"/>
    <cellStyle name="Normal 32 2" xfId="365"/>
    <cellStyle name="Normal 32 3" xfId="454"/>
    <cellStyle name="Normal 32 4" xfId="423"/>
    <cellStyle name="Normal 32 5" xfId="492"/>
    <cellStyle name="Normal 32 6" xfId="461"/>
    <cellStyle name="Normal 32 7" xfId="324"/>
    <cellStyle name="Normal 33" xfId="231"/>
    <cellStyle name="Normal 33 2" xfId="350"/>
    <cellStyle name="Normal 33 3" xfId="439"/>
    <cellStyle name="Normal 33 4" xfId="408"/>
    <cellStyle name="Normal 33 5" xfId="477"/>
    <cellStyle name="Normal 33 6" xfId="389"/>
    <cellStyle name="Normal 33 7" xfId="332"/>
    <cellStyle name="Normal 34" xfId="249"/>
    <cellStyle name="Normal 34 2" xfId="358"/>
    <cellStyle name="Normal 34 3" xfId="447"/>
    <cellStyle name="Normal 34 4" xfId="416"/>
    <cellStyle name="Normal 34 5" xfId="485"/>
    <cellStyle name="Normal 34 6" xfId="386"/>
    <cellStyle name="Normal 34 7" xfId="313"/>
    <cellStyle name="Normal 35" xfId="265"/>
    <cellStyle name="Normal 35 2" xfId="366"/>
    <cellStyle name="Normal 35 3" xfId="455"/>
    <cellStyle name="Normal 35 4" xfId="424"/>
    <cellStyle name="Normal 35 5" xfId="493"/>
    <cellStyle name="Normal 35 6" xfId="462"/>
    <cellStyle name="Normal 35 7" xfId="321"/>
    <cellStyle name="Normal 36" xfId="224"/>
    <cellStyle name="Normal 36 2" xfId="344"/>
    <cellStyle name="Normal 36 3" xfId="433"/>
    <cellStyle name="Normal 36 4" xfId="402"/>
    <cellStyle name="Normal 36 5" xfId="471"/>
    <cellStyle name="Normal 36 6" xfId="393"/>
    <cellStyle name="Normal 36 7" xfId="323"/>
    <cellStyle name="Normal 37" xfId="246"/>
    <cellStyle name="Normal 37 2" xfId="356"/>
    <cellStyle name="Normal 37 3" xfId="445"/>
    <cellStyle name="Normal 37 4" xfId="414"/>
    <cellStyle name="Normal 37 5" xfId="483"/>
    <cellStyle name="Normal 37 6" xfId="380"/>
    <cellStyle name="Normal 37 7" xfId="327"/>
    <cellStyle name="Normal 38" xfId="270"/>
    <cellStyle name="Normal 38 2" xfId="368"/>
    <cellStyle name="Normal 38 3" xfId="457"/>
    <cellStyle name="Normal 38 4" xfId="426"/>
    <cellStyle name="Normal 38 5" xfId="495"/>
    <cellStyle name="Normal 38 6" xfId="464"/>
    <cellStyle name="Normal 38 7" xfId="371"/>
    <cellStyle name="Normal 39" xfId="213"/>
    <cellStyle name="Normal 39 2" xfId="341"/>
    <cellStyle name="Normal 39 3" xfId="430"/>
    <cellStyle name="Normal 39 4" xfId="399"/>
    <cellStyle name="Normal 39 5" xfId="468"/>
    <cellStyle name="Normal 39 6" xfId="395"/>
    <cellStyle name="Normal 39 7" xfId="311"/>
    <cellStyle name="Normal 4" xfId="7"/>
    <cellStyle name="Normal 4 2" xfId="31"/>
    <cellStyle name="Normal 4 3" xfId="177"/>
    <cellStyle name="Normal 4 4 2" xfId="9"/>
    <cellStyle name="Normal 40" xfId="221"/>
    <cellStyle name="Normal 40 2" xfId="342"/>
    <cellStyle name="Normal 40 3" xfId="431"/>
    <cellStyle name="Normal 40 4" xfId="400"/>
    <cellStyle name="Normal 40 5" xfId="469"/>
    <cellStyle name="Normal 40 6" xfId="394"/>
    <cellStyle name="Normal 40 7" xfId="338"/>
    <cellStyle name="Normal 41" xfId="251"/>
    <cellStyle name="Normal 41 2" xfId="360"/>
    <cellStyle name="Normal 41 3" xfId="449"/>
    <cellStyle name="Normal 41 4" xfId="418"/>
    <cellStyle name="Normal 41 5" xfId="487"/>
    <cellStyle name="Normal 41 6" xfId="382"/>
    <cellStyle name="Normal 41 7" xfId="312"/>
    <cellStyle name="Normal 42" xfId="234"/>
    <cellStyle name="Normal 42 2" xfId="352"/>
    <cellStyle name="Normal 42 3" xfId="441"/>
    <cellStyle name="Normal 42 4" xfId="410"/>
    <cellStyle name="Normal 42 5" xfId="479"/>
    <cellStyle name="Normal 42 6" xfId="376"/>
    <cellStyle name="Normal 42 7" xfId="330"/>
    <cellStyle name="Normal 43" xfId="222"/>
    <cellStyle name="Normal 43 2" xfId="343"/>
    <cellStyle name="Normal 43 3" xfId="432"/>
    <cellStyle name="Normal 43 4" xfId="401"/>
    <cellStyle name="Normal 43 5" xfId="470"/>
    <cellStyle name="Normal 43 6" xfId="383"/>
    <cellStyle name="Normal 43 7" xfId="337"/>
    <cellStyle name="Normal 44" xfId="238"/>
    <cellStyle name="Normal 44 2" xfId="353"/>
    <cellStyle name="Normal 44 3" xfId="442"/>
    <cellStyle name="Normal 44 4" xfId="411"/>
    <cellStyle name="Normal 44 5" xfId="480"/>
    <cellStyle name="Normal 44 6" xfId="374"/>
    <cellStyle name="Normal 44 7" xfId="329"/>
    <cellStyle name="Normal 45" xfId="256"/>
    <cellStyle name="Normal 45 2" xfId="362"/>
    <cellStyle name="Normal 45 3" xfId="451"/>
    <cellStyle name="Normal 45 4" xfId="420"/>
    <cellStyle name="Normal 45 5" xfId="489"/>
    <cellStyle name="Normal 45 6" xfId="384"/>
    <cellStyle name="Normal 45 7" xfId="319"/>
    <cellStyle name="Normal 46" xfId="228"/>
    <cellStyle name="Normal 46 2" xfId="347"/>
    <cellStyle name="Normal 46 3" xfId="436"/>
    <cellStyle name="Normal 46 4" xfId="405"/>
    <cellStyle name="Normal 46 5" xfId="474"/>
    <cellStyle name="Normal 46 6" xfId="391"/>
    <cellStyle name="Normal 46 7" xfId="320"/>
    <cellStyle name="Normal 47" xfId="263"/>
    <cellStyle name="Normal 47 2" xfId="364"/>
    <cellStyle name="Normal 47 3" xfId="453"/>
    <cellStyle name="Normal 47 4" xfId="422"/>
    <cellStyle name="Normal 47 5" xfId="491"/>
    <cellStyle name="Normal 47 6" xfId="460"/>
    <cellStyle name="Normal 47 7" xfId="316"/>
    <cellStyle name="Normal 48" xfId="262"/>
    <cellStyle name="Normal 48 2" xfId="363"/>
    <cellStyle name="Normal 48 3" xfId="452"/>
    <cellStyle name="Normal 48 4" xfId="421"/>
    <cellStyle name="Normal 48 5" xfId="490"/>
    <cellStyle name="Normal 48 6" xfId="459"/>
    <cellStyle name="Normal 48 7" xfId="318"/>
    <cellStyle name="Normal 49" xfId="229"/>
    <cellStyle name="Normal 49 2" xfId="348"/>
    <cellStyle name="Normal 49 3" xfId="437"/>
    <cellStyle name="Normal 49 4" xfId="406"/>
    <cellStyle name="Normal 49 5" xfId="475"/>
    <cellStyle name="Normal 49 6" xfId="390"/>
    <cellStyle name="Normal 49 7" xfId="334"/>
    <cellStyle name="Normal 5" xfId="23"/>
    <cellStyle name="Normal 5 2" xfId="32"/>
    <cellStyle name="Normal 5 3" xfId="180"/>
    <cellStyle name="Normal 50" xfId="271"/>
    <cellStyle name="Normal 50 2" xfId="369"/>
    <cellStyle name="Normal 50 3" xfId="458"/>
    <cellStyle name="Normal 50 4" xfId="427"/>
    <cellStyle name="Normal 50 5" xfId="496"/>
    <cellStyle name="Normal 50 6" xfId="465"/>
    <cellStyle name="Normal 50 7" xfId="372"/>
    <cellStyle name="Normal 51" xfId="309"/>
    <cellStyle name="Normal 51 2" xfId="497"/>
    <cellStyle name="Normal 52" xfId="310"/>
    <cellStyle name="Normal 52 2" xfId="498"/>
    <cellStyle name="Normal 53" xfId="499"/>
    <cellStyle name="Normal 6" xfId="24"/>
    <cellStyle name="Normal 6 2" xfId="33"/>
    <cellStyle name="Normal 6 3" xfId="182"/>
    <cellStyle name="Normal 7" xfId="40"/>
    <cellStyle name="Normal 7 2" xfId="96"/>
    <cellStyle name="Normal 7 3" xfId="178"/>
    <cellStyle name="Normal 8" xfId="41"/>
    <cellStyle name="Normal 8 2" xfId="183"/>
    <cellStyle name="Normal 9" xfId="44"/>
    <cellStyle name="Normal 9 2" xfId="92"/>
    <cellStyle name="Normal 9 3" xfId="175"/>
    <cellStyle name="Notas" xfId="111" builtinId="10" customBuiltin="1"/>
    <cellStyle name="Porcentaje" xfId="6" builtinId="5"/>
    <cellStyle name="Porcentaje 2" xfId="70"/>
    <cellStyle name="Porcentaje 2 2" xfId="181"/>
    <cellStyle name="Porcentaje 3" xfId="74"/>
    <cellStyle name="Porcentaje 3 2" xfId="78"/>
    <cellStyle name="Porcentaje 4" xfId="82"/>
    <cellStyle name="Porcentaje 5" xfId="85"/>
    <cellStyle name="Porcentaje 6" xfId="19"/>
    <cellStyle name="Porcentual 2" xfId="20"/>
    <cellStyle name="Porcentual 2 2" xfId="29"/>
    <cellStyle name="Porcentual 2 2 2" xfId="55"/>
    <cellStyle name="Porcentual 2 3" xfId="45"/>
    <cellStyle name="Porcentual 2 3 2" xfId="60"/>
    <cellStyle name="Porcentual 3" xfId="35"/>
    <cellStyle name="Porcentual 5" xfId="8"/>
    <cellStyle name="Salida" xfId="106" builtinId="21" customBuiltin="1"/>
    <cellStyle name="Texto de advertencia" xfId="110" builtinId="11" customBuiltin="1"/>
    <cellStyle name="Texto explicativo" xfId="112" builtinId="53" customBuiltin="1"/>
    <cellStyle name="Título 2" xfId="100" builtinId="17" customBuiltin="1"/>
    <cellStyle name="Título 3" xfId="101" builtinId="18" customBuiltin="1"/>
    <cellStyle name="Título 4" xfId="139"/>
    <cellStyle name="Título de hoja" xfId="176"/>
    <cellStyle name="Total" xfId="113" builtinId="25" customBuiltin="1"/>
  </cellStyles>
  <dxfs count="61"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entury Gothic"/>
        <scheme val="none"/>
      </font>
      <numFmt numFmtId="3" formatCode="#,##0"/>
    </dxf>
    <dxf>
      <font>
        <strike val="0"/>
        <outline val="0"/>
        <shadow val="0"/>
        <u val="none"/>
        <vertAlign val="baseline"/>
        <sz val="9"/>
        <color theme="1"/>
        <name val="Century Gothic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entury Gothic"/>
        <scheme val="none"/>
      </font>
      <numFmt numFmtId="3" formatCode="#,##0"/>
    </dxf>
    <dxf>
      <font>
        <strike val="0"/>
        <outline val="0"/>
        <shadow val="0"/>
        <u val="none"/>
        <vertAlign val="baseline"/>
        <sz val="9"/>
        <color theme="1"/>
        <name val="Century Gothic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entury Gothic"/>
        <scheme val="none"/>
      </font>
      <numFmt numFmtId="3" formatCode="#,##0"/>
    </dxf>
    <dxf>
      <font>
        <strike val="0"/>
        <outline val="0"/>
        <shadow val="0"/>
        <u val="none"/>
        <vertAlign val="baseline"/>
        <sz val="9"/>
        <color theme="1"/>
        <name val="Century Gothic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entury Gothic"/>
        <scheme val="none"/>
      </font>
      <numFmt numFmtId="3" formatCode="#,##0"/>
    </dxf>
    <dxf>
      <font>
        <strike val="0"/>
        <outline val="0"/>
        <shadow val="0"/>
        <u val="none"/>
        <vertAlign val="baseline"/>
        <sz val="9"/>
        <color theme="1"/>
        <name val="Century Gothic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entury Gothic"/>
        <scheme val="none"/>
      </font>
      <numFmt numFmtId="3" formatCode="#,##0"/>
    </dxf>
    <dxf>
      <font>
        <strike val="0"/>
        <outline val="0"/>
        <shadow val="0"/>
        <u val="none"/>
        <vertAlign val="baseline"/>
        <sz val="9"/>
        <color theme="1"/>
        <name val="Century Gothic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entury Gothic"/>
        <scheme val="none"/>
      </font>
      <numFmt numFmtId="3" formatCode="#,##0"/>
    </dxf>
    <dxf>
      <font>
        <strike val="0"/>
        <outline val="0"/>
        <shadow val="0"/>
        <u val="none"/>
        <vertAlign val="baseline"/>
        <sz val="9"/>
        <color theme="1"/>
        <name val="Century Gothic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entury Gothic"/>
        <scheme val="none"/>
      </font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theme="1"/>
        <name val="Century Gothic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entury Gothic"/>
        <scheme val="none"/>
      </font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theme="1"/>
        <name val="Century Gothic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entury Gothic"/>
        <scheme val="none"/>
      </font>
    </dxf>
    <dxf>
      <font>
        <strike val="0"/>
        <outline val="0"/>
        <shadow val="0"/>
        <u val="none"/>
        <vertAlign val="baseline"/>
        <sz val="9"/>
        <color theme="1"/>
        <name val="Century Gothic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entury Gothic"/>
        <scheme val="none"/>
      </font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theme="1"/>
        <name val="Century Gothic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entury Gothic"/>
        <scheme val="none"/>
      </font>
    </dxf>
    <dxf>
      <font>
        <strike val="0"/>
        <outline val="0"/>
        <shadow val="0"/>
        <u val="none"/>
        <vertAlign val="baseline"/>
        <sz val="9"/>
        <color theme="1"/>
        <name val="Century Gothic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entury Gothic"/>
        <scheme val="none"/>
      </font>
    </dxf>
    <dxf>
      <font>
        <strike val="0"/>
        <outline val="0"/>
        <shadow val="0"/>
        <u val="none"/>
        <vertAlign val="baseline"/>
        <sz val="9"/>
        <color theme="1"/>
        <name val="Century Gothic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entury Gothic"/>
        <scheme val="none"/>
      </font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theme="1"/>
        <name val="Century Gothic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entury Gothic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entury Gothic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entury Gothic"/>
        <scheme val="none"/>
      </font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theme="1"/>
        <name val="Century Gothic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entury Gothic"/>
        <scheme val="none"/>
      </font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theme="1"/>
        <name val="Century Gothic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entury Gothic"/>
        <scheme val="none"/>
      </font>
      <numFmt numFmtId="0" formatCode="General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entury Gothic"/>
        <scheme val="none"/>
      </font>
      <numFmt numFmtId="0" formatCode="General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entury Gothic"/>
        <scheme val="none"/>
      </font>
      <numFmt numFmtId="0" formatCode="General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entury Gothic"/>
        <scheme val="none"/>
      </font>
      <numFmt numFmtId="0" formatCode="General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entury Gothic"/>
        <scheme val="none"/>
      </font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theme="1"/>
        <name val="Century Gothic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entury Gothic"/>
        <scheme val="none"/>
      </font>
    </dxf>
    <dxf>
      <font>
        <strike val="0"/>
        <outline val="0"/>
        <shadow val="0"/>
        <u val="none"/>
        <vertAlign val="baseline"/>
        <sz val="9"/>
        <color theme="1"/>
        <name val="Century Gothic"/>
        <scheme val="none"/>
      </font>
    </dxf>
    <dxf>
      <font>
        <strike val="0"/>
        <outline val="0"/>
        <shadow val="0"/>
        <u val="none"/>
        <vertAlign val="baseline"/>
        <sz val="9"/>
        <color theme="1"/>
        <name val="Century Gothic"/>
        <scheme val="none"/>
      </font>
    </dxf>
    <dxf>
      <font>
        <strike val="0"/>
        <outline val="0"/>
        <shadow val="0"/>
        <u val="none"/>
        <vertAlign val="baseline"/>
        <sz val="9"/>
        <color theme="1"/>
        <name val="Century Gothic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entury Gothic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entury Gothic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theme="0" tint="-0.34998626667073579"/>
        </left>
        <right/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entury Gothic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entury Gothic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entury Gothic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entury Gothic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entury Gothic"/>
        <scheme val="none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entury Gothic"/>
        <scheme val="none"/>
      </font>
      <fill>
        <patternFill patternType="none">
          <fgColor indexed="64"/>
          <bgColor indexed="65"/>
        </patternFill>
      </fill>
      <border diagonalUp="0" diagonalDown="0" outline="0">
        <left/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strike val="0"/>
        <outline val="0"/>
        <shadow val="0"/>
        <u val="none"/>
        <vertAlign val="baseline"/>
        <name val="Century Gothic"/>
        <scheme val="none"/>
      </font>
      <border diagonalUp="0" diagonalDown="0">
        <left style="thin">
          <color theme="0" tint="-0.34998626667073579"/>
        </left>
        <right style="thin">
          <color theme="0" tint="-0.34998626667073579"/>
        </right>
        <top/>
        <bottom/>
        <vertical style="thin">
          <color theme="0" tint="-0.34998626667073579"/>
        </vertical>
        <horizontal style="thin">
          <color theme="0" tint="-0.34998626667073579"/>
        </horizontal>
      </border>
    </dxf>
    <dxf>
      <font>
        <strike val="0"/>
        <outline val="0"/>
        <shadow val="0"/>
        <u val="none"/>
        <vertAlign val="baseline"/>
        <name val="Century Gothic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entury Gothic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theme="0" tint="-0.34998626667073579"/>
        </left>
        <right style="thin">
          <color theme="0" tint="-0.34998626667073579"/>
        </right>
        <top/>
        <bottom/>
        <vertical style="thin">
          <color theme="0" tint="-0.34998626667073579"/>
        </vertical>
        <horizontal style="thin">
          <color theme="0" tint="-0.34998626667073579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entury Gothic"/>
        <scheme val="none"/>
      </font>
      <numFmt numFmtId="179" formatCode="_ * #,##0_ ;_ * \-#,##0_ ;_ * &quot;-&quot;??_ ;_ @_ 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entury Gothic"/>
        <scheme val="none"/>
      </font>
      <numFmt numFmtId="179" formatCode="_ * #,##0_ ;_ * \-#,##0_ ;_ * &quot;-&quot;??_ ;_ @_ 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entury Gothic"/>
        <scheme val="none"/>
      </font>
      <numFmt numFmtId="179" formatCode="_ * #,##0_ ;_ * \-#,##0_ ;_ * &quot;-&quot;??_ ;_ @_ "/>
    </dxf>
    <dxf>
      <font>
        <b/>
        <strike val="0"/>
        <outline val="0"/>
        <shadow val="0"/>
        <vertAlign val="baseline"/>
        <sz val="8"/>
        <name val="Century Gothic"/>
        <scheme val="none"/>
      </font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entury Gothic"/>
        <scheme val="none"/>
      </font>
    </dxf>
    <dxf>
      <border>
        <bottom style="thin">
          <color rgb="FF000000"/>
        </bottom>
      </border>
    </dxf>
    <dxf>
      <font>
        <strike val="0"/>
        <outline val="0"/>
        <shadow val="0"/>
        <vertAlign val="baseline"/>
        <sz val="8"/>
        <name val="Century Gothic"/>
        <scheme val="none"/>
      </font>
      <fill>
        <patternFill patternType="solid">
          <fgColor indexed="64"/>
          <bgColor theme="5" tint="-0.249977111117893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</dxf>
  </dxfs>
  <tableStyles count="1" defaultTableStyle="TableStyleMedium2" defaultPivotStyle="PivotStyleLight16">
    <tableStyle name="Estilo de tabla 1" pivot="0" count="0"/>
  </tableStyles>
  <colors>
    <mruColors>
      <color rgb="FFFF8265"/>
      <color rgb="FFFAF3D6"/>
      <color rgb="FFCCFF99"/>
      <color rgb="FFE0CE4C"/>
      <color rgb="FFFF3300"/>
      <color rgb="FF647D33"/>
      <color rgb="FFD3D983"/>
      <color rgb="FFCCCCFF"/>
      <color rgb="FFD58987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wmf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wmf"/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wmf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wmf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wmf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wmf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wmf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wmf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wmf"/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wmf"/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wmf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7171764</xdr:colOff>
      <xdr:row>0</xdr:row>
      <xdr:rowOff>67235</xdr:rowOff>
    </xdr:from>
    <xdr:to>
      <xdr:col>5</xdr:col>
      <xdr:colOff>9023232</xdr:colOff>
      <xdr:row>6</xdr:row>
      <xdr:rowOff>55468</xdr:rowOff>
    </xdr:to>
    <xdr:pic>
      <xdr:nvPicPr>
        <xdr:cNvPr id="4" name="Imagen 2" descr="Captura de pantalla 2016-01-08 a las 1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9852" y="67235"/>
          <a:ext cx="1851468" cy="13665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44824</xdr:colOff>
      <xdr:row>0</xdr:row>
      <xdr:rowOff>33618</xdr:rowOff>
    </xdr:from>
    <xdr:to>
      <xdr:col>3</xdr:col>
      <xdr:colOff>930088</xdr:colOff>
      <xdr:row>6</xdr:row>
      <xdr:rowOff>221110</xdr:rowOff>
    </xdr:to>
    <xdr:pic>
      <xdr:nvPicPr>
        <xdr:cNvPr id="8" name="Imagen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824" y="33618"/>
          <a:ext cx="1882588" cy="18571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723902</xdr:colOff>
      <xdr:row>0</xdr:row>
      <xdr:rowOff>33618</xdr:rowOff>
    </xdr:from>
    <xdr:to>
      <xdr:col>15</xdr:col>
      <xdr:colOff>1195923</xdr:colOff>
      <xdr:row>6</xdr:row>
      <xdr:rowOff>52667</xdr:rowOff>
    </xdr:to>
    <xdr:pic>
      <xdr:nvPicPr>
        <xdr:cNvPr id="3" name="Imagen 2" descr="Captura de pantalla 2016-01-08 a las 1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61696" y="33618"/>
          <a:ext cx="1715874" cy="13749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24094</xdr:colOff>
      <xdr:row>0</xdr:row>
      <xdr:rowOff>33618</xdr:rowOff>
    </xdr:from>
    <xdr:to>
      <xdr:col>1</xdr:col>
      <xdr:colOff>1028701</xdr:colOff>
      <xdr:row>6</xdr:row>
      <xdr:rowOff>106376</xdr:rowOff>
    </xdr:to>
    <xdr:pic>
      <xdr:nvPicPr>
        <xdr:cNvPr id="4" name="Imagen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094" y="33618"/>
          <a:ext cx="1357032" cy="14443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400917</xdr:colOff>
      <xdr:row>0</xdr:row>
      <xdr:rowOff>28575</xdr:rowOff>
    </xdr:from>
    <xdr:to>
      <xdr:col>19</xdr:col>
      <xdr:colOff>723900</xdr:colOff>
      <xdr:row>6</xdr:row>
      <xdr:rowOff>33057</xdr:rowOff>
    </xdr:to>
    <xdr:pic>
      <xdr:nvPicPr>
        <xdr:cNvPr id="7" name="Imagen 2" descr="Captura de pantalla 2016-01-08 a las 1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45392" y="28575"/>
          <a:ext cx="1789833" cy="13951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0</xdr:row>
      <xdr:rowOff>38100</xdr:rowOff>
    </xdr:from>
    <xdr:to>
      <xdr:col>1</xdr:col>
      <xdr:colOff>11766</xdr:colOff>
      <xdr:row>6</xdr:row>
      <xdr:rowOff>213266</xdr:rowOff>
    </xdr:to>
    <xdr:pic>
      <xdr:nvPicPr>
        <xdr:cNvPr id="4" name="Imagen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38100"/>
          <a:ext cx="1602441" cy="15658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342900</xdr:colOff>
      <xdr:row>0</xdr:row>
      <xdr:rowOff>38100</xdr:rowOff>
    </xdr:from>
    <xdr:to>
      <xdr:col>6</xdr:col>
      <xdr:colOff>693337</xdr:colOff>
      <xdr:row>5</xdr:row>
      <xdr:rowOff>231961</xdr:rowOff>
    </xdr:to>
    <xdr:pic>
      <xdr:nvPicPr>
        <xdr:cNvPr id="4" name="Imagen 2" descr="Captura de pantalla 2016-01-08 a las 1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0425" y="38100"/>
          <a:ext cx="1826812" cy="13749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33132</xdr:colOff>
      <xdr:row>0</xdr:row>
      <xdr:rowOff>16566</xdr:rowOff>
    </xdr:from>
    <xdr:to>
      <xdr:col>1</xdr:col>
      <xdr:colOff>898421</xdr:colOff>
      <xdr:row>6</xdr:row>
      <xdr:rowOff>174339</xdr:rowOff>
    </xdr:to>
    <xdr:pic>
      <xdr:nvPicPr>
        <xdr:cNvPr id="7" name="Imagen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132" y="16566"/>
          <a:ext cx="1602441" cy="15658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57150</xdr:colOff>
      <xdr:row>0</xdr:row>
      <xdr:rowOff>19050</xdr:rowOff>
    </xdr:from>
    <xdr:to>
      <xdr:col>15</xdr:col>
      <xdr:colOff>693337</xdr:colOff>
      <xdr:row>5</xdr:row>
      <xdr:rowOff>212911</xdr:rowOff>
    </xdr:to>
    <xdr:pic>
      <xdr:nvPicPr>
        <xdr:cNvPr id="2" name="Imagen 2" descr="Captura de pantalla 2016-01-08 a las 1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25675" y="19050"/>
          <a:ext cx="1826812" cy="13749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38100</xdr:colOff>
      <xdr:row>0</xdr:row>
      <xdr:rowOff>28575</xdr:rowOff>
    </xdr:from>
    <xdr:to>
      <xdr:col>1</xdr:col>
      <xdr:colOff>1217714</xdr:colOff>
      <xdr:row>6</xdr:row>
      <xdr:rowOff>186348</xdr:rowOff>
    </xdr:to>
    <xdr:pic>
      <xdr:nvPicPr>
        <xdr:cNvPr id="3" name="Imagen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28575"/>
          <a:ext cx="1598714" cy="15769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19050</xdr:colOff>
      <xdr:row>0</xdr:row>
      <xdr:rowOff>28575</xdr:rowOff>
    </xdr:from>
    <xdr:to>
      <xdr:col>10</xdr:col>
      <xdr:colOff>455714</xdr:colOff>
      <xdr:row>7</xdr:row>
      <xdr:rowOff>5373</xdr:rowOff>
    </xdr:to>
    <xdr:pic>
      <xdr:nvPicPr>
        <xdr:cNvPr id="2" name="Imagen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91800" y="28575"/>
          <a:ext cx="1598714" cy="15769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676275</xdr:colOff>
      <xdr:row>0</xdr:row>
      <xdr:rowOff>47625</xdr:rowOff>
    </xdr:from>
    <xdr:to>
      <xdr:col>16</xdr:col>
      <xdr:colOff>769537</xdr:colOff>
      <xdr:row>6</xdr:row>
      <xdr:rowOff>50986</xdr:rowOff>
    </xdr:to>
    <xdr:pic>
      <xdr:nvPicPr>
        <xdr:cNvPr id="3" name="Imagen 2" descr="Captura de pantalla 2016-01-08 a las 10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963900" y="47625"/>
          <a:ext cx="1826812" cy="13749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260539</xdr:colOff>
      <xdr:row>0</xdr:row>
      <xdr:rowOff>35299</xdr:rowOff>
    </xdr:from>
    <xdr:to>
      <xdr:col>17</xdr:col>
      <xdr:colOff>549904</xdr:colOff>
      <xdr:row>6</xdr:row>
      <xdr:rowOff>9525</xdr:rowOff>
    </xdr:to>
    <xdr:pic>
      <xdr:nvPicPr>
        <xdr:cNvPr id="6" name="Imagen 2" descr="Captura de pantalla 2016-01-08 a las 1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995839" y="35299"/>
          <a:ext cx="1803840" cy="13839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</xdr:colOff>
      <xdr:row>0</xdr:row>
      <xdr:rowOff>28575</xdr:rowOff>
    </xdr:from>
    <xdr:to>
      <xdr:col>2</xdr:col>
      <xdr:colOff>202266</xdr:colOff>
      <xdr:row>6</xdr:row>
      <xdr:rowOff>184691</xdr:rowOff>
    </xdr:to>
    <xdr:pic>
      <xdr:nvPicPr>
        <xdr:cNvPr id="7" name="Imagen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8575"/>
          <a:ext cx="1602441" cy="15658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4465920</xdr:colOff>
      <xdr:row>0</xdr:row>
      <xdr:rowOff>67235</xdr:rowOff>
    </xdr:from>
    <xdr:to>
      <xdr:col>12</xdr:col>
      <xdr:colOff>381309</xdr:colOff>
      <xdr:row>5</xdr:row>
      <xdr:rowOff>107096</xdr:rowOff>
    </xdr:to>
    <xdr:pic>
      <xdr:nvPicPr>
        <xdr:cNvPr id="5" name="Imagen 2" descr="Captura de pantalla 2016-01-08 a las 1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01655" y="67235"/>
          <a:ext cx="1787272" cy="13733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33618</xdr:colOff>
      <xdr:row>0</xdr:row>
      <xdr:rowOff>33618</xdr:rowOff>
    </xdr:from>
    <xdr:to>
      <xdr:col>0</xdr:col>
      <xdr:colOff>1636059</xdr:colOff>
      <xdr:row>5</xdr:row>
      <xdr:rowOff>265934</xdr:rowOff>
    </xdr:to>
    <xdr:pic>
      <xdr:nvPicPr>
        <xdr:cNvPr id="4" name="Imagen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618" y="33618"/>
          <a:ext cx="1602441" cy="15658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78189</xdr:colOff>
      <xdr:row>0</xdr:row>
      <xdr:rowOff>67235</xdr:rowOff>
    </xdr:from>
    <xdr:to>
      <xdr:col>28</xdr:col>
      <xdr:colOff>963707</xdr:colOff>
      <xdr:row>6</xdr:row>
      <xdr:rowOff>187137</xdr:rowOff>
    </xdr:to>
    <xdr:pic>
      <xdr:nvPicPr>
        <xdr:cNvPr id="6" name="Imagen 2" descr="Captura de pantalla 2016-01-08 a las 1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040042" y="67235"/>
          <a:ext cx="2924989" cy="14646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56030</xdr:colOff>
      <xdr:row>0</xdr:row>
      <xdr:rowOff>56028</xdr:rowOff>
    </xdr:from>
    <xdr:to>
      <xdr:col>0</xdr:col>
      <xdr:colOff>1658471</xdr:colOff>
      <xdr:row>7</xdr:row>
      <xdr:rowOff>19403</xdr:rowOff>
    </xdr:to>
    <xdr:pic>
      <xdr:nvPicPr>
        <xdr:cNvPr id="8" name="Imagen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030" y="56028"/>
          <a:ext cx="1602441" cy="15658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1118654</xdr:colOff>
      <xdr:row>0</xdr:row>
      <xdr:rowOff>47625</xdr:rowOff>
    </xdr:from>
    <xdr:to>
      <xdr:col>7</xdr:col>
      <xdr:colOff>3057525</xdr:colOff>
      <xdr:row>6</xdr:row>
      <xdr:rowOff>66675</xdr:rowOff>
    </xdr:to>
    <xdr:pic>
      <xdr:nvPicPr>
        <xdr:cNvPr id="5" name="Imagen 2" descr="Captura de pantalla 2016-01-08 a las 1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1454" y="47625"/>
          <a:ext cx="1938871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66676</xdr:colOff>
      <xdr:row>0</xdr:row>
      <xdr:rowOff>47625</xdr:rowOff>
    </xdr:from>
    <xdr:to>
      <xdr:col>0</xdr:col>
      <xdr:colOff>1457326</xdr:colOff>
      <xdr:row>5</xdr:row>
      <xdr:rowOff>143370</xdr:rowOff>
    </xdr:to>
    <xdr:pic>
      <xdr:nvPicPr>
        <xdr:cNvPr id="6" name="Imagen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6" y="47625"/>
          <a:ext cx="1390650" cy="12387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158574</xdr:colOff>
      <xdr:row>0</xdr:row>
      <xdr:rowOff>50987</xdr:rowOff>
    </xdr:from>
    <xdr:to>
      <xdr:col>16</xdr:col>
      <xdr:colOff>1986507</xdr:colOff>
      <xdr:row>6</xdr:row>
      <xdr:rowOff>70037</xdr:rowOff>
    </xdr:to>
    <xdr:pic>
      <xdr:nvPicPr>
        <xdr:cNvPr id="5" name="Imagen 2" descr="Captura de pantalla 2016-01-08 a las 1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22174" y="50987"/>
          <a:ext cx="1827933" cy="142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0</xdr:row>
      <xdr:rowOff>28575</xdr:rowOff>
    </xdr:from>
    <xdr:to>
      <xdr:col>1</xdr:col>
      <xdr:colOff>192741</xdr:colOff>
      <xdr:row>6</xdr:row>
      <xdr:rowOff>184691</xdr:rowOff>
    </xdr:to>
    <xdr:pic>
      <xdr:nvPicPr>
        <xdr:cNvPr id="6" name="Imagen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8575"/>
          <a:ext cx="1602441" cy="15658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ables/table1.xml><?xml version="1.0" encoding="utf-8"?>
<table xmlns="http://schemas.openxmlformats.org/spreadsheetml/2006/main" id="5" name="Tabla36" displayName="Tabla36" ref="B11:E15" totalsRowShown="0" headerRowDxfId="60" dataDxfId="58" headerRowBorderDxfId="59" tableBorderDxfId="57" dataCellStyle="Millares 24">
  <autoFilter ref="B11:E15"/>
  <tableColumns count="4">
    <tableColumn id="1" name="DETALLE" dataDxfId="56" dataCellStyle="Normal 19"/>
    <tableColumn id="2" name="PRIMERA ENTREGA" dataDxfId="55" dataCellStyle="Millares 24"/>
    <tableColumn id="3" name="SEGUNDA ENTREGA LAV" dataDxfId="54" dataCellStyle="Millares 24"/>
    <tableColumn id="4" name="SEGUNDA ENTREGA FDS" dataDxfId="53" dataCellStyle="Millares 24"/>
  </tableColumns>
  <tableStyleInfo name="TableStyleMedium17" showFirstColumn="0" showLastColumn="0" showRowStripes="1" showColumnStripes="0"/>
</table>
</file>

<file path=xl/tables/table2.xml><?xml version="1.0" encoding="utf-8"?>
<table xmlns="http://schemas.openxmlformats.org/spreadsheetml/2006/main" id="7" name="FRE_FRECUENCIAS" displayName="FRE_FRECUENCIAS" ref="B13:E62" totalsRowCount="1" headerRowDxfId="52" dataDxfId="51" totalsRowDxfId="50">
  <tableColumns count="4">
    <tableColumn id="1" name="CODIGO MENU" dataDxfId="49" totalsRowDxfId="48"/>
    <tableColumn id="2" name="ESTIMADO DEL NUMERO DE DIAS  A ENTREGAR EL MENÚ" totalsRowFunction="sum" dataDxfId="47" totalsRowDxfId="46">
      <calculatedColumnFormula>COUNTIF(CAL_SEGUNDA_ENTREGA_FDS,B14)</calculatedColumnFormula>
    </tableColumn>
    <tableColumn id="3" name="VOLUMEN ESTIMADO DE SUMINISTROS DIARIOS" dataDxfId="45" totalsRowDxfId="44">
      <calculatedColumnFormula>VLOOKUP("S_FDS",FRE_CANTIDADES_DIARIAS_SUMINISTROS,9,FALSE)</calculatedColumnFormula>
    </tableColumn>
    <tableColumn id="4" name="VOLUMEN ESTIMADO DE SUMINISTROS VIGENCIA 2017" totalsRowFunction="sum" dataDxfId="43" totalsRowDxfId="42">
      <calculatedColumnFormula>D14*C14</calculatedColumnFormula>
    </tableColumn>
  </tableColumns>
  <tableStyleInfo name="TableStyleLight14" showFirstColumn="0" showLastColumn="0" showRowStripes="1" showColumnStripes="0"/>
</table>
</file>

<file path=xl/tables/table3.xml><?xml version="1.0" encoding="utf-8"?>
<table xmlns="http://schemas.openxmlformats.org/spreadsheetml/2006/main" id="1" name="VOL_VOLUMEN_SUMINISTROS" displayName="VOL_VOLUMEN_SUMINISTROS" ref="A13:T1917" totalsRowCount="1" headerRowDxfId="41" dataDxfId="40">
  <tableColumns count="20">
    <tableColumn id="1" name="Proveedor del Suministro" totalsRowLabel="TOTALES" dataDxfId="39" totalsRowDxfId="38"/>
    <tableColumn id="2" name="N° Contrato" dataDxfId="37" totalsRowDxfId="36"/>
    <tableColumn id="18" name="Columna1" dataDxfId="35" totalsRowDxfId="34">
      <calculatedColumnFormula>CONCATENATE(VOL_VOLUMEN_SUMINISTROS[[#This Row],[Proyecto]],VOL_VOLUMEN_SUMINISTROS[[#This Row],[J]],VOL_VOLUMEN_SUMINISTROS[[#This Row],[FIN DE SEMANA]])</calculatedColumnFormula>
    </tableColumn>
    <tableColumn id="20" name="Columna2" dataDxfId="33" totalsRowDxfId="32">
      <calculatedColumnFormula>CONCATENATE(VOL_VOLUMEN_SUMINISTROS[[#This Row],[Grupo]],VOL_VOLUMEN_SUMINISTROS[[#This Row],[Proyecto]],VOL_VOLUMEN_SUMINISTROS[[#This Row],[FIN DE SEMANA]])</calculatedColumnFormula>
    </tableColumn>
    <tableColumn id="3" name="Proyecto" dataDxfId="31" totalsRowDxfId="30"/>
    <tableColumn id="4" name="Modalidad" dataDxfId="29" totalsRowDxfId="28"/>
    <tableColumn id="19" name="Grupo" dataDxfId="27" totalsRowDxfId="26"/>
    <tableColumn id="5" name="Loc." dataDxfId="25" totalsRowDxfId="24"/>
    <tableColumn id="6" name="Localidad" dataDxfId="23" totalsRowDxfId="22"/>
    <tableColumn id="7" name="Nombre IDE" dataDxfId="21" totalsRowDxfId="20"/>
    <tableColumn id="8" name="Sede" dataDxfId="19" totalsRowDxfId="18"/>
    <tableColumn id="9" name="Nombre Sede" dataDxfId="17" totalsRowDxfId="16"/>
    <tableColumn id="10" name="FIN DE SEMANA" dataDxfId="15" totalsRowDxfId="14"/>
    <tableColumn id="11" name="J" dataDxfId="13" totalsRowDxfId="12"/>
    <tableColumn id="12" name="TIPO A" totalsRowFunction="sum" dataDxfId="11" totalsRowDxfId="10"/>
    <tableColumn id="13" name="TIPO B" totalsRowFunction="sum" dataDxfId="9" totalsRowDxfId="8"/>
    <tableColumn id="14" name="TIPO C" totalsRowFunction="sum" dataDxfId="7" totalsRowDxfId="6"/>
    <tableColumn id="15" name="TIPO M" totalsRowFunction="sum" dataDxfId="5" totalsRowDxfId="4"/>
    <tableColumn id="16" name="TIPO H" totalsRowFunction="sum" dataDxfId="3" totalsRowDxfId="2"/>
    <tableColumn id="17" name="TOTAL" totalsRowFunction="sum" dataDxfId="1" totalsRowDxfId="0"/>
  </tableColumns>
  <tableStyleInfo name="TableStyleMedium3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1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G274"/>
  <sheetViews>
    <sheetView tabSelected="1" zoomScale="85" zoomScaleNormal="85" workbookViewId="0">
      <pane ySplit="8" topLeftCell="A9" activePane="bottomLeft" state="frozen"/>
      <selection pane="bottomLeft" activeCell="C109" sqref="C109:D109"/>
    </sheetView>
  </sheetViews>
  <sheetFormatPr baseColWidth="10" defaultColWidth="0" defaultRowHeight="17.25" zeroHeight="1" outlineLevelRow="2"/>
  <cols>
    <col min="1" max="1" width="4.140625" style="91" customWidth="1"/>
    <col min="2" max="2" width="4.42578125" style="91" customWidth="1"/>
    <col min="3" max="3" width="6.42578125" style="91" customWidth="1"/>
    <col min="4" max="4" width="42.42578125" style="91" customWidth="1"/>
    <col min="5" max="5" width="59.5703125" style="91" customWidth="1"/>
    <col min="6" max="6" width="135.7109375" style="91" customWidth="1"/>
    <col min="7" max="7" width="2" style="91" customWidth="1"/>
    <col min="8" max="16384" width="11" style="91" hidden="1"/>
  </cols>
  <sheetData>
    <row r="1" spans="1:7" s="35" customFormat="1" ht="16.5">
      <c r="A1" s="69"/>
      <c r="B1" s="70"/>
      <c r="C1" s="70"/>
      <c r="D1" s="70"/>
      <c r="E1" s="70"/>
      <c r="F1" s="70"/>
      <c r="G1" s="8"/>
    </row>
    <row r="2" spans="1:7" s="35" customFormat="1" ht="22.5">
      <c r="A2" s="463" t="s">
        <v>1968</v>
      </c>
      <c r="B2" s="464"/>
      <c r="C2" s="464"/>
      <c r="D2" s="464"/>
      <c r="E2" s="464"/>
      <c r="F2" s="464"/>
      <c r="G2" s="465"/>
    </row>
    <row r="3" spans="1:7" s="35" customFormat="1" ht="22.5">
      <c r="A3" s="463" t="s">
        <v>1969</v>
      </c>
      <c r="B3" s="464"/>
      <c r="C3" s="464"/>
      <c r="D3" s="464"/>
      <c r="E3" s="464"/>
      <c r="F3" s="464"/>
      <c r="G3" s="465"/>
    </row>
    <row r="4" spans="1:7" s="35" customFormat="1" ht="22.5">
      <c r="A4" s="463" t="s">
        <v>1970</v>
      </c>
      <c r="B4" s="464"/>
      <c r="C4" s="464"/>
      <c r="D4" s="464"/>
      <c r="E4" s="464"/>
      <c r="F4" s="464"/>
      <c r="G4" s="465"/>
    </row>
    <row r="5" spans="1:7" s="35" customFormat="1" ht="22.5">
      <c r="A5" s="317"/>
      <c r="B5" s="318"/>
      <c r="C5" s="318"/>
      <c r="D5" s="318"/>
      <c r="E5" s="318"/>
      <c r="F5" s="318"/>
      <c r="G5" s="319"/>
    </row>
    <row r="6" spans="1:7" s="35" customFormat="1" ht="22.5">
      <c r="A6" s="463" t="str">
        <f>CONCATENATE("ÍNDICE MODELO DE COSTOS"," : ",RES_RESUMEN_PRESUPUESTO_2!A1)</f>
        <v>ÍNDICE MODELO DE COSTOS : CEREAL EMPACADO</v>
      </c>
      <c r="B6" s="464"/>
      <c r="C6" s="464"/>
      <c r="D6" s="464"/>
      <c r="E6" s="464"/>
      <c r="F6" s="464"/>
      <c r="G6" s="465"/>
    </row>
    <row r="7" spans="1:7">
      <c r="A7" s="92"/>
      <c r="B7" s="93"/>
      <c r="C7" s="93"/>
      <c r="D7" s="93"/>
      <c r="E7" s="93"/>
      <c r="F7" s="93"/>
      <c r="G7" s="94"/>
    </row>
    <row r="8" spans="1:7" ht="20.25">
      <c r="A8" s="92"/>
      <c r="B8" s="93"/>
      <c r="C8" s="93"/>
      <c r="D8" s="466" t="s">
        <v>1687</v>
      </c>
      <c r="E8" s="467"/>
      <c r="F8" s="468"/>
      <c r="G8" s="94"/>
    </row>
    <row r="9" spans="1:7" ht="42.75" customHeight="1">
      <c r="A9" s="92"/>
      <c r="B9" s="98">
        <v>1</v>
      </c>
      <c r="C9" s="469" t="s">
        <v>1658</v>
      </c>
      <c r="D9" s="470"/>
      <c r="E9" s="471" t="s">
        <v>1561</v>
      </c>
      <c r="F9" s="472"/>
      <c r="G9" s="94"/>
    </row>
    <row r="10" spans="1:7" ht="42.75" customHeight="1">
      <c r="A10" s="92"/>
      <c r="B10" s="98">
        <v>2</v>
      </c>
      <c r="C10" s="469" t="s">
        <v>1499</v>
      </c>
      <c r="D10" s="470"/>
      <c r="E10" s="471" t="s">
        <v>1656</v>
      </c>
      <c r="F10" s="472"/>
      <c r="G10" s="94"/>
    </row>
    <row r="11" spans="1:7" ht="42.75" hidden="1" customHeight="1" outlineLevel="1">
      <c r="A11" s="92"/>
      <c r="B11" s="98"/>
      <c r="C11" s="242"/>
      <c r="D11" s="243" t="s">
        <v>1546</v>
      </c>
      <c r="E11" s="243" t="s">
        <v>1547</v>
      </c>
      <c r="F11" s="244" t="s">
        <v>1688</v>
      </c>
      <c r="G11" s="94"/>
    </row>
    <row r="12" spans="1:7" ht="42.75" hidden="1" customHeight="1" outlineLevel="1">
      <c r="A12" s="92"/>
      <c r="B12" s="98"/>
      <c r="C12" s="245">
        <v>1</v>
      </c>
      <c r="D12" s="246" t="s">
        <v>1517</v>
      </c>
      <c r="E12" s="247" t="s">
        <v>2377</v>
      </c>
      <c r="F12" s="248"/>
      <c r="G12" s="94"/>
    </row>
    <row r="13" spans="1:7" ht="42.75" hidden="1" customHeight="1" outlineLevel="1">
      <c r="A13" s="92"/>
      <c r="B13" s="98"/>
      <c r="C13" s="245">
        <v>2</v>
      </c>
      <c r="D13" s="246" t="s">
        <v>1518</v>
      </c>
      <c r="E13" s="247" t="s">
        <v>2378</v>
      </c>
      <c r="F13" s="248"/>
      <c r="G13" s="94"/>
    </row>
    <row r="14" spans="1:7" ht="42.75" hidden="1" customHeight="1" outlineLevel="1">
      <c r="A14" s="92"/>
      <c r="B14" s="98"/>
      <c r="C14" s="245">
        <v>3</v>
      </c>
      <c r="D14" s="246" t="s">
        <v>1519</v>
      </c>
      <c r="E14" s="247" t="s">
        <v>2379</v>
      </c>
      <c r="F14" s="248"/>
      <c r="G14" s="94"/>
    </row>
    <row r="15" spans="1:7" ht="42.75" hidden="1" customHeight="1" outlineLevel="1">
      <c r="A15" s="92"/>
      <c r="B15" s="98"/>
      <c r="C15" s="245">
        <v>4</v>
      </c>
      <c r="D15" s="246" t="s">
        <v>1520</v>
      </c>
      <c r="E15" s="247" t="s">
        <v>2380</v>
      </c>
      <c r="F15" s="248"/>
      <c r="G15" s="94"/>
    </row>
    <row r="16" spans="1:7" ht="42.75" hidden="1" customHeight="1" outlineLevel="1">
      <c r="A16" s="92"/>
      <c r="B16" s="98"/>
      <c r="C16" s="245">
        <v>5</v>
      </c>
      <c r="D16" s="246" t="s">
        <v>1521</v>
      </c>
      <c r="E16" s="247" t="s">
        <v>2381</v>
      </c>
      <c r="F16" s="248"/>
      <c r="G16" s="94"/>
    </row>
    <row r="17" spans="1:7" ht="42.75" hidden="1" customHeight="1" outlineLevel="1">
      <c r="A17" s="92"/>
      <c r="B17" s="98"/>
      <c r="C17" s="245">
        <v>6</v>
      </c>
      <c r="D17" s="246" t="s">
        <v>1522</v>
      </c>
      <c r="E17" s="247" t="s">
        <v>2382</v>
      </c>
      <c r="F17" s="248"/>
      <c r="G17" s="94"/>
    </row>
    <row r="18" spans="1:7" ht="42.75" hidden="1" customHeight="1" outlineLevel="1">
      <c r="A18" s="92"/>
      <c r="B18" s="98"/>
      <c r="C18" s="245">
        <v>7</v>
      </c>
      <c r="D18" s="246" t="s">
        <v>1523</v>
      </c>
      <c r="E18" s="247" t="s">
        <v>2383</v>
      </c>
      <c r="F18" s="248"/>
      <c r="G18" s="94"/>
    </row>
    <row r="19" spans="1:7" ht="42.75" hidden="1" customHeight="1" outlineLevel="1">
      <c r="A19" s="92"/>
      <c r="B19" s="98"/>
      <c r="C19" s="245">
        <v>8</v>
      </c>
      <c r="D19" s="246" t="s">
        <v>1524</v>
      </c>
      <c r="E19" s="247" t="s">
        <v>2384</v>
      </c>
      <c r="F19" s="248"/>
      <c r="G19" s="94"/>
    </row>
    <row r="20" spans="1:7" ht="42.75" hidden="1" customHeight="1" outlineLevel="1">
      <c r="A20" s="92"/>
      <c r="B20" s="98"/>
      <c r="C20" s="245">
        <v>9</v>
      </c>
      <c r="D20" s="246" t="s">
        <v>1677</v>
      </c>
      <c r="E20" s="247" t="s">
        <v>2385</v>
      </c>
      <c r="F20" s="248"/>
      <c r="G20" s="94"/>
    </row>
    <row r="21" spans="1:7" ht="42.75" hidden="1" customHeight="1" outlineLevel="1">
      <c r="A21" s="92"/>
      <c r="B21" s="98"/>
      <c r="C21" s="245">
        <v>10</v>
      </c>
      <c r="D21" s="246" t="s">
        <v>1678</v>
      </c>
      <c r="E21" s="247" t="s">
        <v>2386</v>
      </c>
      <c r="F21" s="248"/>
      <c r="G21" s="94"/>
    </row>
    <row r="22" spans="1:7" ht="42.75" hidden="1" customHeight="1" outlineLevel="1">
      <c r="A22" s="92"/>
      <c r="B22" s="98"/>
      <c r="C22" s="245">
        <v>11</v>
      </c>
      <c r="D22" s="246" t="s">
        <v>2297</v>
      </c>
      <c r="E22" s="247" t="s">
        <v>2387</v>
      </c>
      <c r="F22" s="248"/>
      <c r="G22" s="94"/>
    </row>
    <row r="23" spans="1:7" ht="42.75" hidden="1" customHeight="1" outlineLevel="1">
      <c r="A23" s="92"/>
      <c r="B23" s="98"/>
      <c r="C23" s="245">
        <v>12</v>
      </c>
      <c r="D23" s="246" t="s">
        <v>2298</v>
      </c>
      <c r="E23" s="247" t="s">
        <v>2388</v>
      </c>
      <c r="F23" s="248"/>
      <c r="G23" s="94"/>
    </row>
    <row r="24" spans="1:7" ht="42.75" hidden="1" customHeight="1" outlineLevel="1">
      <c r="A24" s="92"/>
      <c r="B24" s="98"/>
      <c r="C24" s="245">
        <v>13</v>
      </c>
      <c r="D24" s="246" t="s">
        <v>2299</v>
      </c>
      <c r="E24" s="247" t="s">
        <v>2389</v>
      </c>
      <c r="F24" s="248"/>
      <c r="G24" s="94"/>
    </row>
    <row r="25" spans="1:7" ht="42.75" hidden="1" customHeight="1" outlineLevel="1">
      <c r="A25" s="92"/>
      <c r="B25" s="98"/>
      <c r="C25" s="245">
        <v>14</v>
      </c>
      <c r="D25" s="246" t="s">
        <v>2300</v>
      </c>
      <c r="E25" s="247" t="s">
        <v>2390</v>
      </c>
      <c r="F25" s="248"/>
      <c r="G25" s="94"/>
    </row>
    <row r="26" spans="1:7" ht="42.75" hidden="1" customHeight="1" outlineLevel="1">
      <c r="A26" s="92"/>
      <c r="B26" s="98"/>
      <c r="C26" s="245">
        <v>15</v>
      </c>
      <c r="D26" s="246" t="s">
        <v>2301</v>
      </c>
      <c r="E26" s="247" t="s">
        <v>2391</v>
      </c>
      <c r="F26" s="248"/>
      <c r="G26" s="94"/>
    </row>
    <row r="27" spans="1:7" ht="42.75" hidden="1" customHeight="1" outlineLevel="1">
      <c r="A27" s="92"/>
      <c r="B27" s="98"/>
      <c r="C27" s="245">
        <v>16</v>
      </c>
      <c r="D27" s="246" t="s">
        <v>2302</v>
      </c>
      <c r="E27" s="247" t="s">
        <v>2392</v>
      </c>
      <c r="F27" s="248"/>
      <c r="G27" s="94"/>
    </row>
    <row r="28" spans="1:7" ht="42.75" hidden="1" customHeight="1" outlineLevel="1">
      <c r="A28" s="92"/>
      <c r="B28" s="98"/>
      <c r="C28" s="245">
        <v>17</v>
      </c>
      <c r="D28" s="246" t="s">
        <v>2303</v>
      </c>
      <c r="E28" s="247" t="s">
        <v>2393</v>
      </c>
      <c r="F28" s="248"/>
      <c r="G28" s="94"/>
    </row>
    <row r="29" spans="1:7" ht="42.75" hidden="1" customHeight="1" outlineLevel="1">
      <c r="A29" s="92"/>
      <c r="B29" s="98"/>
      <c r="C29" s="245">
        <v>18</v>
      </c>
      <c r="D29" s="246" t="s">
        <v>2304</v>
      </c>
      <c r="E29" s="247" t="s">
        <v>2394</v>
      </c>
      <c r="F29" s="248"/>
      <c r="G29" s="94"/>
    </row>
    <row r="30" spans="1:7" ht="42.75" hidden="1" customHeight="1" outlineLevel="1">
      <c r="A30" s="92"/>
      <c r="B30" s="98"/>
      <c r="C30" s="245">
        <v>19</v>
      </c>
      <c r="D30" s="246" t="s">
        <v>2305</v>
      </c>
      <c r="E30" s="247" t="s">
        <v>2395</v>
      </c>
      <c r="F30" s="248"/>
      <c r="G30" s="94"/>
    </row>
    <row r="31" spans="1:7" ht="42.75" hidden="1" customHeight="1" outlineLevel="1">
      <c r="A31" s="92"/>
      <c r="B31" s="98"/>
      <c r="C31" s="245">
        <v>20</v>
      </c>
      <c r="D31" s="246" t="s">
        <v>2306</v>
      </c>
      <c r="E31" s="247" t="s">
        <v>2396</v>
      </c>
      <c r="F31" s="248"/>
      <c r="G31" s="94"/>
    </row>
    <row r="32" spans="1:7" ht="42.75" hidden="1" customHeight="1" outlineLevel="1">
      <c r="A32" s="92"/>
      <c r="B32" s="98"/>
      <c r="C32" s="245">
        <v>21</v>
      </c>
      <c r="D32" s="246" t="s">
        <v>2307</v>
      </c>
      <c r="E32" s="247" t="s">
        <v>2397</v>
      </c>
      <c r="F32" s="248"/>
      <c r="G32" s="94"/>
    </row>
    <row r="33" spans="1:7" ht="42.75" hidden="1" customHeight="1" outlineLevel="1">
      <c r="A33" s="92"/>
      <c r="B33" s="98"/>
      <c r="C33" s="245">
        <v>22</v>
      </c>
      <c r="D33" s="246" t="s">
        <v>2308</v>
      </c>
      <c r="E33" s="247" t="s">
        <v>2398</v>
      </c>
      <c r="F33" s="248"/>
      <c r="G33" s="94"/>
    </row>
    <row r="34" spans="1:7" ht="42.75" hidden="1" customHeight="1" outlineLevel="1">
      <c r="A34" s="92"/>
      <c r="B34" s="98"/>
      <c r="C34" s="245">
        <v>23</v>
      </c>
      <c r="D34" s="246" t="s">
        <v>2309</v>
      </c>
      <c r="E34" s="247" t="s">
        <v>2399</v>
      </c>
      <c r="F34" s="248"/>
      <c r="G34" s="94"/>
    </row>
    <row r="35" spans="1:7" ht="42.75" hidden="1" customHeight="1" outlineLevel="1">
      <c r="A35" s="92"/>
      <c r="B35" s="98"/>
      <c r="C35" s="245">
        <v>24</v>
      </c>
      <c r="D35" s="246" t="s">
        <v>2310</v>
      </c>
      <c r="E35" s="247" t="s">
        <v>2400</v>
      </c>
      <c r="F35" s="248"/>
      <c r="G35" s="94"/>
    </row>
    <row r="36" spans="1:7" ht="42.75" hidden="1" customHeight="1" outlineLevel="1">
      <c r="A36" s="92"/>
      <c r="B36" s="98"/>
      <c r="C36" s="245">
        <v>25</v>
      </c>
      <c r="D36" s="246" t="s">
        <v>2311</v>
      </c>
      <c r="E36" s="247" t="s">
        <v>2401</v>
      </c>
      <c r="F36" s="248"/>
      <c r="G36" s="94"/>
    </row>
    <row r="37" spans="1:7" ht="42.75" hidden="1" customHeight="1" outlineLevel="1">
      <c r="A37" s="92"/>
      <c r="B37" s="98"/>
      <c r="C37" s="245">
        <v>26</v>
      </c>
      <c r="D37" s="246" t="s">
        <v>2312</v>
      </c>
      <c r="E37" s="247" t="s">
        <v>2402</v>
      </c>
      <c r="F37" s="248"/>
      <c r="G37" s="94"/>
    </row>
    <row r="38" spans="1:7" ht="42.75" hidden="1" customHeight="1" outlineLevel="1">
      <c r="A38" s="92"/>
      <c r="B38" s="98"/>
      <c r="C38" s="245">
        <v>27</v>
      </c>
      <c r="D38" s="246" t="s">
        <v>2313</v>
      </c>
      <c r="E38" s="247" t="s">
        <v>2403</v>
      </c>
      <c r="F38" s="248"/>
      <c r="G38" s="94"/>
    </row>
    <row r="39" spans="1:7" ht="42.75" hidden="1" customHeight="1" outlineLevel="1">
      <c r="A39" s="92"/>
      <c r="B39" s="98"/>
      <c r="C39" s="245">
        <v>28</v>
      </c>
      <c r="D39" s="246" t="s">
        <v>2314</v>
      </c>
      <c r="E39" s="247" t="s">
        <v>2404</v>
      </c>
      <c r="F39" s="248"/>
      <c r="G39" s="94"/>
    </row>
    <row r="40" spans="1:7" ht="42.75" hidden="1" customHeight="1" outlineLevel="1">
      <c r="A40" s="92"/>
      <c r="B40" s="98"/>
      <c r="C40" s="245">
        <v>29</v>
      </c>
      <c r="D40" s="246" t="s">
        <v>2315</v>
      </c>
      <c r="E40" s="247" t="s">
        <v>2405</v>
      </c>
      <c r="F40" s="248"/>
      <c r="G40" s="94"/>
    </row>
    <row r="41" spans="1:7" ht="42.75" hidden="1" customHeight="1" outlineLevel="1">
      <c r="A41" s="92"/>
      <c r="B41" s="98"/>
      <c r="C41" s="245">
        <v>30</v>
      </c>
      <c r="D41" s="246" t="s">
        <v>2316</v>
      </c>
      <c r="E41" s="247" t="s">
        <v>2406</v>
      </c>
      <c r="F41" s="248"/>
      <c r="G41" s="94"/>
    </row>
    <row r="42" spans="1:7" ht="42.75" hidden="1" customHeight="1" outlineLevel="1">
      <c r="A42" s="92"/>
      <c r="B42" s="98"/>
      <c r="C42" s="245">
        <v>31</v>
      </c>
      <c r="D42" s="246" t="s">
        <v>2317</v>
      </c>
      <c r="E42" s="247" t="s">
        <v>2407</v>
      </c>
      <c r="F42" s="248"/>
      <c r="G42" s="94"/>
    </row>
    <row r="43" spans="1:7" ht="42.75" hidden="1" customHeight="1" outlineLevel="1">
      <c r="A43" s="92"/>
      <c r="B43" s="98"/>
      <c r="C43" s="245">
        <v>32</v>
      </c>
      <c r="D43" s="246" t="s">
        <v>2318</v>
      </c>
      <c r="E43" s="247" t="s">
        <v>2408</v>
      </c>
      <c r="F43" s="248"/>
      <c r="G43" s="94"/>
    </row>
    <row r="44" spans="1:7" ht="42.75" hidden="1" customHeight="1" outlineLevel="1">
      <c r="A44" s="92"/>
      <c r="B44" s="98"/>
      <c r="C44" s="245">
        <v>33</v>
      </c>
      <c r="D44" s="246" t="s">
        <v>2319</v>
      </c>
      <c r="E44" s="247" t="s">
        <v>2409</v>
      </c>
      <c r="F44" s="248"/>
      <c r="G44" s="94"/>
    </row>
    <row r="45" spans="1:7" ht="42.75" hidden="1" customHeight="1" outlineLevel="1">
      <c r="A45" s="92"/>
      <c r="B45" s="98"/>
      <c r="C45" s="245">
        <v>34</v>
      </c>
      <c r="D45" s="246" t="s">
        <v>2320</v>
      </c>
      <c r="E45" s="247" t="s">
        <v>2410</v>
      </c>
      <c r="F45" s="248"/>
      <c r="G45" s="94"/>
    </row>
    <row r="46" spans="1:7" ht="42.75" hidden="1" customHeight="1" outlineLevel="1">
      <c r="A46" s="92"/>
      <c r="B46" s="98"/>
      <c r="C46" s="245">
        <v>35</v>
      </c>
      <c r="D46" s="246" t="s">
        <v>2321</v>
      </c>
      <c r="E46" s="247" t="s">
        <v>2411</v>
      </c>
      <c r="F46" s="248"/>
      <c r="G46" s="94"/>
    </row>
    <row r="47" spans="1:7" ht="42.75" hidden="1" customHeight="1" outlineLevel="1">
      <c r="A47" s="92"/>
      <c r="B47" s="98"/>
      <c r="C47" s="245">
        <v>36</v>
      </c>
      <c r="D47" s="246" t="s">
        <v>2322</v>
      </c>
      <c r="E47" s="247" t="s">
        <v>2412</v>
      </c>
      <c r="F47" s="248"/>
      <c r="G47" s="94"/>
    </row>
    <row r="48" spans="1:7" ht="42.75" hidden="1" customHeight="1" outlineLevel="1">
      <c r="A48" s="92"/>
      <c r="B48" s="98"/>
      <c r="C48" s="245">
        <v>37</v>
      </c>
      <c r="D48" s="246" t="s">
        <v>2323</v>
      </c>
      <c r="E48" s="247" t="s">
        <v>2413</v>
      </c>
      <c r="F48" s="248"/>
      <c r="G48" s="94"/>
    </row>
    <row r="49" spans="1:7" ht="42.75" hidden="1" customHeight="1" outlineLevel="1">
      <c r="A49" s="92"/>
      <c r="B49" s="98"/>
      <c r="C49" s="245">
        <v>38</v>
      </c>
      <c r="D49" s="246" t="s">
        <v>2324</v>
      </c>
      <c r="E49" s="247" t="s">
        <v>2414</v>
      </c>
      <c r="F49" s="248"/>
      <c r="G49" s="94"/>
    </row>
    <row r="50" spans="1:7" ht="42.75" hidden="1" customHeight="1" outlineLevel="1">
      <c r="A50" s="92"/>
      <c r="B50" s="98"/>
      <c r="C50" s="245">
        <v>39</v>
      </c>
      <c r="D50" s="246" t="s">
        <v>2325</v>
      </c>
      <c r="E50" s="247" t="s">
        <v>2415</v>
      </c>
      <c r="F50" s="248"/>
      <c r="G50" s="94"/>
    </row>
    <row r="51" spans="1:7" ht="42.75" hidden="1" customHeight="1" outlineLevel="1">
      <c r="A51" s="92"/>
      <c r="B51" s="98"/>
      <c r="C51" s="245">
        <v>40</v>
      </c>
      <c r="D51" s="246" t="s">
        <v>2326</v>
      </c>
      <c r="E51" s="247" t="s">
        <v>2416</v>
      </c>
      <c r="F51" s="248"/>
      <c r="G51" s="94"/>
    </row>
    <row r="52" spans="1:7" ht="42.75" hidden="1" customHeight="1" outlineLevel="1">
      <c r="A52" s="92"/>
      <c r="B52" s="98"/>
      <c r="C52" s="245">
        <v>41</v>
      </c>
      <c r="D52" s="246" t="s">
        <v>2327</v>
      </c>
      <c r="E52" s="247" t="s">
        <v>2417</v>
      </c>
      <c r="F52" s="248"/>
      <c r="G52" s="94"/>
    </row>
    <row r="53" spans="1:7" ht="42.75" hidden="1" customHeight="1" outlineLevel="1">
      <c r="A53" s="92"/>
      <c r="B53" s="98"/>
      <c r="C53" s="245">
        <v>42</v>
      </c>
      <c r="D53" s="246" t="s">
        <v>2328</v>
      </c>
      <c r="E53" s="247" t="s">
        <v>2418</v>
      </c>
      <c r="F53" s="248"/>
      <c r="G53" s="94"/>
    </row>
    <row r="54" spans="1:7" ht="42.75" hidden="1" customHeight="1" outlineLevel="2">
      <c r="A54" s="92"/>
      <c r="B54" s="98"/>
      <c r="C54" s="245">
        <v>43</v>
      </c>
      <c r="D54" s="246" t="s">
        <v>2329</v>
      </c>
      <c r="E54" s="249" t="s">
        <v>2419</v>
      </c>
      <c r="F54" s="248"/>
      <c r="G54" s="94"/>
    </row>
    <row r="55" spans="1:7" ht="42.75" hidden="1" customHeight="1" outlineLevel="2">
      <c r="A55" s="92"/>
      <c r="B55" s="98"/>
      <c r="C55" s="245">
        <v>44</v>
      </c>
      <c r="D55" s="246" t="s">
        <v>2330</v>
      </c>
      <c r="E55" s="249" t="s">
        <v>2420</v>
      </c>
      <c r="F55" s="248"/>
      <c r="G55" s="94"/>
    </row>
    <row r="56" spans="1:7" ht="42.75" hidden="1" customHeight="1" outlineLevel="2">
      <c r="A56" s="92"/>
      <c r="B56" s="98"/>
      <c r="C56" s="245">
        <v>45</v>
      </c>
      <c r="D56" s="246" t="s">
        <v>2331</v>
      </c>
      <c r="E56" s="249" t="s">
        <v>2421</v>
      </c>
      <c r="F56" s="248"/>
      <c r="G56" s="94"/>
    </row>
    <row r="57" spans="1:7" ht="42.75" hidden="1" customHeight="1" outlineLevel="2">
      <c r="A57" s="92"/>
      <c r="B57" s="98"/>
      <c r="C57" s="245">
        <v>46</v>
      </c>
      <c r="D57" s="246" t="s">
        <v>2332</v>
      </c>
      <c r="E57" s="249" t="s">
        <v>2422</v>
      </c>
      <c r="F57" s="248"/>
      <c r="G57" s="94"/>
    </row>
    <row r="58" spans="1:7" ht="42.75" hidden="1" customHeight="1" outlineLevel="2">
      <c r="A58" s="92"/>
      <c r="B58" s="98"/>
      <c r="C58" s="245">
        <v>47</v>
      </c>
      <c r="D58" s="246" t="s">
        <v>2333</v>
      </c>
      <c r="E58" s="249" t="s">
        <v>2423</v>
      </c>
      <c r="F58" s="248"/>
      <c r="G58" s="94"/>
    </row>
    <row r="59" spans="1:7" ht="42.75" hidden="1" customHeight="1" outlineLevel="2">
      <c r="A59" s="92"/>
      <c r="B59" s="98"/>
      <c r="C59" s="245">
        <v>48</v>
      </c>
      <c r="D59" s="246" t="s">
        <v>2334</v>
      </c>
      <c r="E59" s="249" t="s">
        <v>2424</v>
      </c>
      <c r="F59" s="248"/>
      <c r="G59" s="94"/>
    </row>
    <row r="60" spans="1:7" ht="42.75" hidden="1" customHeight="1" outlineLevel="2">
      <c r="A60" s="92"/>
      <c r="B60" s="98"/>
      <c r="C60" s="245">
        <v>49</v>
      </c>
      <c r="D60" s="246" t="s">
        <v>2335</v>
      </c>
      <c r="E60" s="249" t="s">
        <v>2425</v>
      </c>
      <c r="F60" s="248"/>
      <c r="G60" s="94"/>
    </row>
    <row r="61" spans="1:7" ht="42.75" hidden="1" customHeight="1" outlineLevel="2">
      <c r="A61" s="92"/>
      <c r="B61" s="98"/>
      <c r="C61" s="245">
        <v>50</v>
      </c>
      <c r="D61" s="246" t="s">
        <v>2336</v>
      </c>
      <c r="E61" s="249" t="s">
        <v>2426</v>
      </c>
      <c r="F61" s="248"/>
      <c r="G61" s="94"/>
    </row>
    <row r="62" spans="1:7" ht="42.75" hidden="1" customHeight="1" outlineLevel="2">
      <c r="A62" s="92"/>
      <c r="B62" s="98"/>
      <c r="C62" s="245">
        <v>51</v>
      </c>
      <c r="D62" s="246" t="s">
        <v>2337</v>
      </c>
      <c r="E62" s="249" t="s">
        <v>2427</v>
      </c>
      <c r="F62" s="248"/>
      <c r="G62" s="94"/>
    </row>
    <row r="63" spans="1:7" ht="42.75" hidden="1" customHeight="1" outlineLevel="2">
      <c r="A63" s="92"/>
      <c r="B63" s="98"/>
      <c r="C63" s="245">
        <v>52</v>
      </c>
      <c r="D63" s="246" t="s">
        <v>2338</v>
      </c>
      <c r="E63" s="249" t="s">
        <v>2428</v>
      </c>
      <c r="F63" s="248"/>
      <c r="G63" s="94"/>
    </row>
    <row r="64" spans="1:7" ht="42.75" hidden="1" customHeight="1" outlineLevel="2">
      <c r="A64" s="92"/>
      <c r="B64" s="98"/>
      <c r="C64" s="245">
        <v>53</v>
      </c>
      <c r="D64" s="246" t="s">
        <v>1525</v>
      </c>
      <c r="E64" s="249" t="s">
        <v>2429</v>
      </c>
      <c r="F64" s="248"/>
      <c r="G64" s="94"/>
    </row>
    <row r="65" spans="1:7" ht="42.75" hidden="1" customHeight="1" outlineLevel="2">
      <c r="A65" s="92"/>
      <c r="B65" s="98"/>
      <c r="C65" s="245">
        <v>54</v>
      </c>
      <c r="D65" s="246" t="s">
        <v>1526</v>
      </c>
      <c r="E65" s="249" t="s">
        <v>2430</v>
      </c>
      <c r="F65" s="248"/>
      <c r="G65" s="94"/>
    </row>
    <row r="66" spans="1:7" ht="42.75" hidden="1" customHeight="1" outlineLevel="2">
      <c r="A66" s="92"/>
      <c r="B66" s="98"/>
      <c r="C66" s="245">
        <v>55</v>
      </c>
      <c r="D66" s="246" t="s">
        <v>1527</v>
      </c>
      <c r="E66" s="249" t="s">
        <v>2431</v>
      </c>
      <c r="F66" s="248"/>
      <c r="G66" s="94"/>
    </row>
    <row r="67" spans="1:7" ht="42.75" hidden="1" customHeight="1" outlineLevel="2">
      <c r="A67" s="92"/>
      <c r="B67" s="98"/>
      <c r="C67" s="245">
        <v>56</v>
      </c>
      <c r="D67" s="246" t="s">
        <v>1528</v>
      </c>
      <c r="E67" s="249" t="s">
        <v>2432</v>
      </c>
      <c r="F67" s="248"/>
      <c r="G67" s="94"/>
    </row>
    <row r="68" spans="1:7" ht="42.75" hidden="1" customHeight="1" outlineLevel="2">
      <c r="A68" s="92"/>
      <c r="B68" s="98"/>
      <c r="C68" s="245">
        <v>57</v>
      </c>
      <c r="D68" s="246" t="s">
        <v>1679</v>
      </c>
      <c r="E68" s="249" t="s">
        <v>2433</v>
      </c>
      <c r="F68" s="248"/>
      <c r="G68" s="94"/>
    </row>
    <row r="69" spans="1:7" ht="42.75" hidden="1" customHeight="1" outlineLevel="2">
      <c r="A69" s="92"/>
      <c r="B69" s="98"/>
      <c r="C69" s="245">
        <v>58</v>
      </c>
      <c r="D69" s="246" t="s">
        <v>1680</v>
      </c>
      <c r="E69" s="249" t="s">
        <v>2434</v>
      </c>
      <c r="F69" s="248"/>
      <c r="G69" s="94"/>
    </row>
    <row r="70" spans="1:7" ht="42.75" hidden="1" customHeight="1" outlineLevel="2">
      <c r="A70" s="92"/>
      <c r="B70" s="98"/>
      <c r="C70" s="245">
        <v>59</v>
      </c>
      <c r="D70" s="246" t="s">
        <v>2339</v>
      </c>
      <c r="E70" s="249" t="s">
        <v>2435</v>
      </c>
      <c r="F70" s="248"/>
      <c r="G70" s="94"/>
    </row>
    <row r="71" spans="1:7" ht="42.75" hidden="1" customHeight="1" outlineLevel="2">
      <c r="A71" s="92"/>
      <c r="B71" s="98"/>
      <c r="C71" s="245">
        <v>60</v>
      </c>
      <c r="D71" s="246" t="s">
        <v>2340</v>
      </c>
      <c r="E71" s="249" t="s">
        <v>2436</v>
      </c>
      <c r="F71" s="248"/>
      <c r="G71" s="94"/>
    </row>
    <row r="72" spans="1:7" ht="42.75" hidden="1" customHeight="1" outlineLevel="2">
      <c r="A72" s="92"/>
      <c r="B72" s="98"/>
      <c r="C72" s="245">
        <v>61</v>
      </c>
      <c r="D72" s="246" t="s">
        <v>2341</v>
      </c>
      <c r="E72" s="249" t="s">
        <v>2437</v>
      </c>
      <c r="F72" s="248"/>
      <c r="G72" s="94"/>
    </row>
    <row r="73" spans="1:7" ht="42.75" hidden="1" customHeight="1" outlineLevel="2">
      <c r="A73" s="92"/>
      <c r="B73" s="98"/>
      <c r="C73" s="245">
        <v>62</v>
      </c>
      <c r="D73" s="246" t="s">
        <v>2342</v>
      </c>
      <c r="E73" s="249" t="s">
        <v>2438</v>
      </c>
      <c r="F73" s="248"/>
      <c r="G73" s="94"/>
    </row>
    <row r="74" spans="1:7" ht="42.75" hidden="1" customHeight="1" outlineLevel="2">
      <c r="A74" s="92"/>
      <c r="B74" s="98"/>
      <c r="C74" s="245">
        <v>63</v>
      </c>
      <c r="D74" s="246" t="s">
        <v>2343</v>
      </c>
      <c r="E74" s="249" t="s">
        <v>2439</v>
      </c>
      <c r="F74" s="248"/>
      <c r="G74" s="94"/>
    </row>
    <row r="75" spans="1:7" ht="42.75" hidden="1" customHeight="1" outlineLevel="2">
      <c r="A75" s="92"/>
      <c r="B75" s="98"/>
      <c r="C75" s="245">
        <v>64</v>
      </c>
      <c r="D75" s="246" t="s">
        <v>1529</v>
      </c>
      <c r="E75" s="249" t="s">
        <v>2440</v>
      </c>
      <c r="F75" s="248"/>
      <c r="G75" s="94"/>
    </row>
    <row r="76" spans="1:7" ht="42.75" hidden="1" customHeight="1" outlineLevel="2">
      <c r="A76" s="92"/>
      <c r="B76" s="98"/>
      <c r="C76" s="245">
        <v>65</v>
      </c>
      <c r="D76" s="246" t="s">
        <v>1530</v>
      </c>
      <c r="E76" s="249" t="s">
        <v>2441</v>
      </c>
      <c r="F76" s="248"/>
      <c r="G76" s="94"/>
    </row>
    <row r="77" spans="1:7" ht="42.75" hidden="1" customHeight="1" outlineLevel="2">
      <c r="A77" s="92"/>
      <c r="B77" s="98"/>
      <c r="C77" s="245">
        <v>66</v>
      </c>
      <c r="D77" s="246" t="s">
        <v>1531</v>
      </c>
      <c r="E77" s="249" t="s">
        <v>2442</v>
      </c>
      <c r="F77" s="248"/>
      <c r="G77" s="94"/>
    </row>
    <row r="78" spans="1:7" ht="42.75" hidden="1" customHeight="1" outlineLevel="2">
      <c r="A78" s="92"/>
      <c r="B78" s="98"/>
      <c r="C78" s="245">
        <v>67</v>
      </c>
      <c r="D78" s="246" t="s">
        <v>1681</v>
      </c>
      <c r="E78" s="249" t="s">
        <v>2443</v>
      </c>
      <c r="F78" s="248"/>
      <c r="G78" s="94"/>
    </row>
    <row r="79" spans="1:7" ht="42.75" hidden="1" customHeight="1" outlineLevel="2">
      <c r="A79" s="92"/>
      <c r="B79" s="98"/>
      <c r="C79" s="245">
        <v>68</v>
      </c>
      <c r="D79" s="246" t="s">
        <v>1532</v>
      </c>
      <c r="E79" s="249" t="s">
        <v>2444</v>
      </c>
      <c r="F79" s="248"/>
      <c r="G79" s="94"/>
    </row>
    <row r="80" spans="1:7" ht="42.75" hidden="1" customHeight="1" outlineLevel="2">
      <c r="A80" s="92"/>
      <c r="B80" s="98"/>
      <c r="C80" s="245">
        <v>69</v>
      </c>
      <c r="D80" s="246" t="s">
        <v>1533</v>
      </c>
      <c r="E80" s="249" t="s">
        <v>2445</v>
      </c>
      <c r="F80" s="248"/>
      <c r="G80" s="94"/>
    </row>
    <row r="81" spans="1:7" ht="42.75" hidden="1" customHeight="1" outlineLevel="2">
      <c r="A81" s="92"/>
      <c r="B81" s="98"/>
      <c r="C81" s="245">
        <v>70</v>
      </c>
      <c r="D81" s="246" t="s">
        <v>1682</v>
      </c>
      <c r="E81" s="249" t="s">
        <v>2446</v>
      </c>
      <c r="F81" s="248"/>
      <c r="G81" s="94"/>
    </row>
    <row r="82" spans="1:7" ht="42.75" hidden="1" customHeight="1" outlineLevel="2">
      <c r="A82" s="92"/>
      <c r="B82" s="98"/>
      <c r="C82" s="245">
        <v>71</v>
      </c>
      <c r="D82" s="246" t="s">
        <v>1683</v>
      </c>
      <c r="E82" s="249" t="s">
        <v>2447</v>
      </c>
      <c r="F82" s="248"/>
      <c r="G82" s="94"/>
    </row>
    <row r="83" spans="1:7" ht="42.75" hidden="1" customHeight="1" outlineLevel="2">
      <c r="A83" s="92"/>
      <c r="B83" s="98"/>
      <c r="C83" s="245">
        <v>72</v>
      </c>
      <c r="D83" s="246" t="s">
        <v>1684</v>
      </c>
      <c r="E83" s="249" t="s">
        <v>2448</v>
      </c>
      <c r="F83" s="248"/>
      <c r="G83" s="94"/>
    </row>
    <row r="84" spans="1:7" ht="42.75" hidden="1" customHeight="1" outlineLevel="2">
      <c r="A84" s="92"/>
      <c r="B84" s="98"/>
      <c r="C84" s="245">
        <v>73</v>
      </c>
      <c r="D84" s="246" t="s">
        <v>1685</v>
      </c>
      <c r="E84" s="249" t="s">
        <v>2449</v>
      </c>
      <c r="F84" s="248"/>
      <c r="G84" s="94"/>
    </row>
    <row r="85" spans="1:7" ht="42.75" hidden="1" customHeight="1" outlineLevel="2">
      <c r="A85" s="92"/>
      <c r="B85" s="98"/>
      <c r="C85" s="245">
        <v>74</v>
      </c>
      <c r="D85" s="246" t="s">
        <v>1686</v>
      </c>
      <c r="E85" s="249" t="s">
        <v>2450</v>
      </c>
      <c r="F85" s="248"/>
      <c r="G85" s="94"/>
    </row>
    <row r="86" spans="1:7" ht="42.75" customHeight="1" collapsed="1">
      <c r="A86" s="92"/>
      <c r="B86" s="98">
        <v>3</v>
      </c>
      <c r="C86" s="469" t="s">
        <v>1500</v>
      </c>
      <c r="D86" s="470"/>
      <c r="E86" s="471" t="s">
        <v>2007</v>
      </c>
      <c r="F86" s="472"/>
      <c r="G86" s="94"/>
    </row>
    <row r="87" spans="1:7" ht="42.75" hidden="1" customHeight="1" outlineLevel="1">
      <c r="A87" s="92"/>
      <c r="B87" s="98"/>
      <c r="C87" s="242"/>
      <c r="D87" s="243" t="s">
        <v>1546</v>
      </c>
      <c r="E87" s="243" t="s">
        <v>1547</v>
      </c>
      <c r="F87" s="244" t="s">
        <v>1688</v>
      </c>
      <c r="G87" s="94"/>
    </row>
    <row r="88" spans="1:7" ht="42.75" hidden="1" customHeight="1" outlineLevel="1">
      <c r="A88" s="92"/>
      <c r="B88" s="98"/>
      <c r="C88" s="245">
        <v>1</v>
      </c>
      <c r="D88" s="246" t="s">
        <v>1509</v>
      </c>
      <c r="E88" s="249" t="s">
        <v>2363</v>
      </c>
      <c r="F88" s="248"/>
      <c r="G88" s="94"/>
    </row>
    <row r="89" spans="1:7" ht="42.75" hidden="1" customHeight="1" outlineLevel="1">
      <c r="A89" s="92"/>
      <c r="B89" s="98"/>
      <c r="C89" s="245">
        <v>2</v>
      </c>
      <c r="D89" s="246" t="s">
        <v>1510</v>
      </c>
      <c r="E89" s="249" t="s">
        <v>2364</v>
      </c>
      <c r="F89" s="248"/>
      <c r="G89" s="94"/>
    </row>
    <row r="90" spans="1:7" ht="42.75" hidden="1" customHeight="1" outlineLevel="1">
      <c r="A90" s="92"/>
      <c r="B90" s="98"/>
      <c r="C90" s="245">
        <v>3</v>
      </c>
      <c r="D90" s="246" t="s">
        <v>1511</v>
      </c>
      <c r="E90" s="249" t="s">
        <v>2365</v>
      </c>
      <c r="F90" s="248"/>
      <c r="G90" s="94"/>
    </row>
    <row r="91" spans="1:7" ht="42.75" hidden="1" customHeight="1" outlineLevel="1">
      <c r="A91" s="92"/>
      <c r="B91" s="98"/>
      <c r="C91" s="245">
        <v>4</v>
      </c>
      <c r="D91" s="246" t="s">
        <v>1512</v>
      </c>
      <c r="E91" s="249" t="s">
        <v>2366</v>
      </c>
      <c r="F91" s="248"/>
      <c r="G91" s="94"/>
    </row>
    <row r="92" spans="1:7" ht="42.75" hidden="1" customHeight="1" outlineLevel="2">
      <c r="A92" s="92"/>
      <c r="B92" s="98"/>
      <c r="C92" s="245">
        <v>5</v>
      </c>
      <c r="D92" s="246" t="s">
        <v>2293</v>
      </c>
      <c r="E92" s="249" t="s">
        <v>2370</v>
      </c>
      <c r="F92" s="248"/>
      <c r="G92" s="94"/>
    </row>
    <row r="93" spans="1:7" ht="42.75" hidden="1" customHeight="1" outlineLevel="2">
      <c r="A93" s="92"/>
      <c r="B93" s="98"/>
      <c r="C93" s="245">
        <v>6</v>
      </c>
      <c r="D93" s="246" t="s">
        <v>2294</v>
      </c>
      <c r="E93" s="249" t="s">
        <v>2371</v>
      </c>
      <c r="F93" s="248"/>
      <c r="G93" s="94"/>
    </row>
    <row r="94" spans="1:7" ht="42.75" hidden="1" customHeight="1" outlineLevel="2">
      <c r="A94" s="92"/>
      <c r="B94" s="98"/>
      <c r="C94" s="245">
        <v>7</v>
      </c>
      <c r="D94" s="246" t="s">
        <v>2295</v>
      </c>
      <c r="E94" s="249" t="s">
        <v>2372</v>
      </c>
      <c r="F94" s="248"/>
      <c r="G94" s="94"/>
    </row>
    <row r="95" spans="1:7" ht="42.75" hidden="1" customHeight="1" outlineLevel="2">
      <c r="A95" s="92"/>
      <c r="B95" s="98"/>
      <c r="C95" s="245">
        <v>8</v>
      </c>
      <c r="D95" s="246" t="s">
        <v>2296</v>
      </c>
      <c r="E95" s="247" t="s">
        <v>2373</v>
      </c>
      <c r="F95" s="248"/>
      <c r="G95" s="94"/>
    </row>
    <row r="96" spans="1:7" ht="42.75" customHeight="1" collapsed="1">
      <c r="A96" s="92"/>
      <c r="B96" s="98">
        <v>4</v>
      </c>
      <c r="C96" s="469" t="s">
        <v>1501</v>
      </c>
      <c r="D96" s="470"/>
      <c r="E96" s="471" t="s">
        <v>2006</v>
      </c>
      <c r="F96" s="472"/>
      <c r="G96" s="94"/>
    </row>
    <row r="97" spans="1:7" ht="42.75" hidden="1" customHeight="1" outlineLevel="1">
      <c r="A97" s="92"/>
      <c r="B97" s="98"/>
      <c r="C97" s="242"/>
      <c r="D97" s="243" t="s">
        <v>1546</v>
      </c>
      <c r="E97" s="243" t="s">
        <v>1547</v>
      </c>
      <c r="F97" s="244" t="s">
        <v>1688</v>
      </c>
      <c r="G97" s="94"/>
    </row>
    <row r="98" spans="1:7" ht="42.75" hidden="1" customHeight="1" outlineLevel="1">
      <c r="A98" s="92"/>
      <c r="B98" s="98"/>
      <c r="C98" s="245">
        <v>1</v>
      </c>
      <c r="D98" s="246" t="s">
        <v>1513</v>
      </c>
      <c r="E98" s="247" t="s">
        <v>2367</v>
      </c>
      <c r="F98" s="248"/>
      <c r="G98" s="94"/>
    </row>
    <row r="99" spans="1:7" ht="42.75" hidden="1" customHeight="1" outlineLevel="1">
      <c r="A99" s="92"/>
      <c r="B99" s="98"/>
      <c r="C99" s="245">
        <v>2</v>
      </c>
      <c r="D99" s="246" t="s">
        <v>1514</v>
      </c>
      <c r="E99" s="249" t="s">
        <v>2368</v>
      </c>
      <c r="F99" s="248"/>
      <c r="G99" s="94"/>
    </row>
    <row r="100" spans="1:7" ht="42.75" hidden="1" customHeight="1" outlineLevel="1">
      <c r="A100" s="92"/>
      <c r="B100" s="98"/>
      <c r="C100" s="245">
        <v>3</v>
      </c>
      <c r="D100" s="246" t="s">
        <v>1515</v>
      </c>
      <c r="E100" s="249" t="s">
        <v>2369</v>
      </c>
      <c r="F100" s="248"/>
      <c r="G100" s="94"/>
    </row>
    <row r="101" spans="1:7" ht="42.75" customHeight="1" collapsed="1">
      <c r="A101" s="92"/>
      <c r="B101" s="98">
        <v>5</v>
      </c>
      <c r="C101" s="469" t="s">
        <v>1660</v>
      </c>
      <c r="D101" s="470"/>
      <c r="E101" s="471" t="s">
        <v>2452</v>
      </c>
      <c r="F101" s="472"/>
      <c r="G101" s="94"/>
    </row>
    <row r="102" spans="1:7" ht="42.75" hidden="1" customHeight="1" outlineLevel="1">
      <c r="A102" s="92"/>
      <c r="B102" s="98"/>
      <c r="C102" s="242"/>
      <c r="D102" s="243" t="s">
        <v>1546</v>
      </c>
      <c r="E102" s="243" t="s">
        <v>1547</v>
      </c>
      <c r="F102" s="244" t="s">
        <v>1688</v>
      </c>
      <c r="G102" s="94"/>
    </row>
    <row r="103" spans="1:7" ht="42.75" hidden="1" customHeight="1" outlineLevel="1">
      <c r="A103" s="92"/>
      <c r="B103" s="98"/>
      <c r="C103" s="245">
        <v>1</v>
      </c>
      <c r="D103" s="246" t="s">
        <v>1665</v>
      </c>
      <c r="E103" s="249" t="s">
        <v>2353</v>
      </c>
      <c r="F103" s="248"/>
      <c r="G103" s="94"/>
    </row>
    <row r="104" spans="1:7" ht="42.75" hidden="1" customHeight="1" outlineLevel="1">
      <c r="A104" s="92"/>
      <c r="B104" s="98"/>
      <c r="C104" s="245">
        <v>2</v>
      </c>
      <c r="D104" s="246" t="s">
        <v>1666</v>
      </c>
      <c r="E104" s="249" t="s">
        <v>2354</v>
      </c>
      <c r="F104" s="248"/>
      <c r="G104" s="94"/>
    </row>
    <row r="105" spans="1:7" ht="42.75" hidden="1" customHeight="1" outlineLevel="1">
      <c r="A105" s="92"/>
      <c r="B105" s="98"/>
      <c r="C105" s="245">
        <v>3</v>
      </c>
      <c r="D105" s="246" t="s">
        <v>1667</v>
      </c>
      <c r="E105" s="249" t="s">
        <v>2355</v>
      </c>
      <c r="F105" s="248"/>
      <c r="G105" s="94"/>
    </row>
    <row r="106" spans="1:7" ht="42.75" hidden="1" customHeight="1" outlineLevel="1">
      <c r="A106" s="92"/>
      <c r="B106" s="98"/>
      <c r="C106" s="245">
        <v>4</v>
      </c>
      <c r="D106" s="246" t="s">
        <v>1668</v>
      </c>
      <c r="E106" s="249" t="s">
        <v>2356</v>
      </c>
      <c r="F106" s="248"/>
      <c r="G106" s="94"/>
    </row>
    <row r="107" spans="1:7" ht="42.75" hidden="1" customHeight="1" outlineLevel="1">
      <c r="A107" s="92"/>
      <c r="B107" s="98"/>
      <c r="C107" s="245">
        <v>5</v>
      </c>
      <c r="D107" s="246" t="s">
        <v>1669</v>
      </c>
      <c r="E107" s="249" t="s">
        <v>2357</v>
      </c>
      <c r="F107" s="248"/>
      <c r="G107" s="94"/>
    </row>
    <row r="108" spans="1:7" ht="42.75" hidden="1" customHeight="1" outlineLevel="1">
      <c r="A108" s="92"/>
      <c r="B108" s="98"/>
      <c r="C108" s="245">
        <v>6</v>
      </c>
      <c r="D108" s="246" t="s">
        <v>1670</v>
      </c>
      <c r="E108" s="249" t="s">
        <v>2358</v>
      </c>
      <c r="F108" s="248"/>
      <c r="G108" s="94"/>
    </row>
    <row r="109" spans="1:7" ht="42.75" customHeight="1" collapsed="1">
      <c r="A109" s="92"/>
      <c r="B109" s="98">
        <v>6</v>
      </c>
      <c r="C109" s="469" t="s">
        <v>1661</v>
      </c>
      <c r="D109" s="470"/>
      <c r="E109" s="471" t="s">
        <v>2453</v>
      </c>
      <c r="F109" s="472"/>
      <c r="G109" s="94"/>
    </row>
    <row r="110" spans="1:7" ht="42.75" hidden="1" customHeight="1" outlineLevel="1">
      <c r="A110" s="92"/>
      <c r="B110" s="98"/>
      <c r="C110" s="242"/>
      <c r="D110" s="243" t="s">
        <v>1546</v>
      </c>
      <c r="E110" s="243" t="s">
        <v>1547</v>
      </c>
      <c r="F110" s="244" t="s">
        <v>1688</v>
      </c>
      <c r="G110" s="94"/>
    </row>
    <row r="111" spans="1:7" ht="42.75" hidden="1" customHeight="1" outlineLevel="1">
      <c r="A111" s="92"/>
      <c r="B111" s="98"/>
      <c r="C111" s="245">
        <v>1</v>
      </c>
      <c r="D111" s="246" t="s">
        <v>1671</v>
      </c>
      <c r="E111" s="249" t="s">
        <v>2359</v>
      </c>
      <c r="F111" s="248"/>
      <c r="G111" s="94"/>
    </row>
    <row r="112" spans="1:7" ht="42.75" hidden="1" customHeight="1" outlineLevel="1">
      <c r="A112" s="92"/>
      <c r="B112" s="98"/>
      <c r="C112" s="245">
        <v>2</v>
      </c>
      <c r="D112" s="246" t="s">
        <v>1672</v>
      </c>
      <c r="E112" s="249" t="s">
        <v>2360</v>
      </c>
      <c r="F112" s="248"/>
      <c r="G112" s="94"/>
    </row>
    <row r="113" spans="1:7" ht="42.75" hidden="1" customHeight="1" outlineLevel="1">
      <c r="A113" s="92"/>
      <c r="B113" s="98"/>
      <c r="C113" s="245">
        <v>3</v>
      </c>
      <c r="D113" s="246" t="s">
        <v>1673</v>
      </c>
      <c r="E113" s="249" t="s">
        <v>2361</v>
      </c>
      <c r="F113" s="248"/>
      <c r="G113" s="94"/>
    </row>
    <row r="114" spans="1:7" ht="42.75" hidden="1" customHeight="1" outlineLevel="1">
      <c r="A114" s="92"/>
      <c r="B114" s="98"/>
      <c r="C114" s="245">
        <v>4</v>
      </c>
      <c r="D114" s="246" t="s">
        <v>1674</v>
      </c>
      <c r="E114" s="249" t="s">
        <v>2362</v>
      </c>
      <c r="F114" s="248"/>
      <c r="G114" s="94"/>
    </row>
    <row r="115" spans="1:7" ht="42.75" customHeight="1" collapsed="1">
      <c r="A115" s="92"/>
      <c r="B115" s="98">
        <v>7</v>
      </c>
      <c r="C115" s="469" t="s">
        <v>1498</v>
      </c>
      <c r="D115" s="470"/>
      <c r="E115" s="471" t="s">
        <v>2454</v>
      </c>
      <c r="F115" s="472"/>
      <c r="G115" s="94"/>
    </row>
    <row r="116" spans="1:7" ht="42.75" customHeight="1">
      <c r="A116" s="92"/>
      <c r="B116" s="98">
        <v>8</v>
      </c>
      <c r="C116" s="469" t="s">
        <v>1495</v>
      </c>
      <c r="D116" s="470"/>
      <c r="E116" s="471" t="s">
        <v>2005</v>
      </c>
      <c r="F116" s="472"/>
      <c r="G116" s="94"/>
    </row>
    <row r="117" spans="1:7" ht="42.75" hidden="1" customHeight="1" outlineLevel="1">
      <c r="A117" s="92"/>
      <c r="B117" s="98"/>
      <c r="C117" s="242"/>
      <c r="D117" s="243" t="s">
        <v>1546</v>
      </c>
      <c r="E117" s="243" t="s">
        <v>1547</v>
      </c>
      <c r="F117" s="244" t="s">
        <v>1688</v>
      </c>
      <c r="G117" s="94"/>
    </row>
    <row r="118" spans="1:7" ht="42.75" hidden="1" customHeight="1" outlineLevel="1">
      <c r="A118" s="92"/>
      <c r="B118" s="98"/>
      <c r="C118" s="245">
        <v>1</v>
      </c>
      <c r="D118" s="114" t="s">
        <v>1503</v>
      </c>
      <c r="E118" s="250" t="s">
        <v>2344</v>
      </c>
      <c r="F118" s="248"/>
      <c r="G118" s="94"/>
    </row>
    <row r="119" spans="1:7" ht="42.75" hidden="1" customHeight="1" outlineLevel="1">
      <c r="A119" s="92"/>
      <c r="B119" s="98"/>
      <c r="C119" s="245">
        <v>2</v>
      </c>
      <c r="D119" s="114" t="s">
        <v>1504</v>
      </c>
      <c r="E119" s="250" t="s">
        <v>2345</v>
      </c>
      <c r="F119" s="248"/>
      <c r="G119" s="94"/>
    </row>
    <row r="120" spans="1:7" ht="42.75" hidden="1" customHeight="1" outlineLevel="1">
      <c r="A120" s="92"/>
      <c r="B120" s="98"/>
      <c r="C120" s="245">
        <v>3</v>
      </c>
      <c r="D120" s="114" t="s">
        <v>1505</v>
      </c>
      <c r="E120" s="250" t="s">
        <v>2346</v>
      </c>
      <c r="F120" s="248"/>
      <c r="G120" s="94"/>
    </row>
    <row r="121" spans="1:7" ht="42.75" hidden="1" customHeight="1" outlineLevel="1">
      <c r="A121" s="92"/>
      <c r="B121" s="98"/>
      <c r="C121" s="245">
        <v>4</v>
      </c>
      <c r="D121" s="114" t="s">
        <v>1506</v>
      </c>
      <c r="E121" s="250" t="s">
        <v>2347</v>
      </c>
      <c r="F121" s="248"/>
      <c r="G121" s="94"/>
    </row>
    <row r="122" spans="1:7" ht="42.75" hidden="1" customHeight="1" outlineLevel="1">
      <c r="A122" s="92"/>
      <c r="B122" s="98"/>
      <c r="C122" s="245">
        <v>5</v>
      </c>
      <c r="D122" s="114" t="s">
        <v>1662</v>
      </c>
      <c r="E122" s="250" t="s">
        <v>2348</v>
      </c>
      <c r="F122" s="248"/>
      <c r="G122" s="94"/>
    </row>
    <row r="123" spans="1:7" ht="42.75" hidden="1" customHeight="1" outlineLevel="1">
      <c r="A123" s="92"/>
      <c r="B123" s="98"/>
      <c r="C123" s="245">
        <v>6</v>
      </c>
      <c r="D123" s="114" t="s">
        <v>1507</v>
      </c>
      <c r="E123" s="250" t="s">
        <v>2349</v>
      </c>
      <c r="F123" s="248"/>
      <c r="G123" s="94"/>
    </row>
    <row r="124" spans="1:7" ht="42.75" hidden="1" customHeight="1" outlineLevel="1">
      <c r="A124" s="92"/>
      <c r="B124" s="98"/>
      <c r="C124" s="245">
        <v>7</v>
      </c>
      <c r="D124" s="114" t="s">
        <v>1663</v>
      </c>
      <c r="E124" s="250" t="s">
        <v>2350</v>
      </c>
      <c r="F124" s="248"/>
      <c r="G124" s="94"/>
    </row>
    <row r="125" spans="1:7" ht="42.75" hidden="1" customHeight="1" outlineLevel="1">
      <c r="A125" s="92"/>
      <c r="B125" s="98"/>
      <c r="C125" s="245">
        <v>8</v>
      </c>
      <c r="D125" s="114" t="s">
        <v>1508</v>
      </c>
      <c r="E125" s="250" t="s">
        <v>2351</v>
      </c>
      <c r="F125" s="248"/>
      <c r="G125" s="94"/>
    </row>
    <row r="126" spans="1:7" ht="42.75" hidden="1" customHeight="1" outlineLevel="1">
      <c r="A126" s="92"/>
      <c r="B126" s="98"/>
      <c r="C126" s="245">
        <v>9</v>
      </c>
      <c r="D126" s="114" t="s">
        <v>1664</v>
      </c>
      <c r="E126" s="250" t="s">
        <v>2352</v>
      </c>
      <c r="F126" s="248"/>
      <c r="G126" s="94"/>
    </row>
    <row r="127" spans="1:7" ht="42.75" customHeight="1" collapsed="1">
      <c r="A127" s="92"/>
      <c r="B127" s="98">
        <v>9</v>
      </c>
      <c r="C127" s="469" t="s">
        <v>1496</v>
      </c>
      <c r="D127" s="470"/>
      <c r="E127" s="471" t="s">
        <v>2292</v>
      </c>
      <c r="F127" s="472"/>
      <c r="G127" s="94"/>
    </row>
    <row r="128" spans="1:7" ht="42.75" hidden="1" customHeight="1" outlineLevel="1">
      <c r="A128" s="92"/>
      <c r="B128" s="98"/>
      <c r="C128" s="242"/>
      <c r="D128" s="243" t="s">
        <v>1546</v>
      </c>
      <c r="E128" s="243" t="s">
        <v>1547</v>
      </c>
      <c r="F128" s="244" t="s">
        <v>1688</v>
      </c>
      <c r="G128" s="94"/>
    </row>
    <row r="129" spans="1:7" ht="42.75" hidden="1" customHeight="1" outlineLevel="1">
      <c r="A129" s="92"/>
      <c r="B129" s="98"/>
      <c r="C129" s="245">
        <v>1</v>
      </c>
      <c r="D129" s="246" t="s">
        <v>1516</v>
      </c>
      <c r="E129" s="246" t="s">
        <v>2374</v>
      </c>
      <c r="F129" s="248"/>
      <c r="G129" s="94"/>
    </row>
    <row r="130" spans="1:7" ht="42.75" hidden="1" customHeight="1" outlineLevel="1">
      <c r="A130" s="92"/>
      <c r="B130" s="98"/>
      <c r="C130" s="245">
        <v>2</v>
      </c>
      <c r="D130" s="246" t="s">
        <v>1675</v>
      </c>
      <c r="E130" s="246" t="s">
        <v>2375</v>
      </c>
      <c r="F130" s="248"/>
      <c r="G130" s="94"/>
    </row>
    <row r="131" spans="1:7" ht="42.75" hidden="1" customHeight="1" outlineLevel="1">
      <c r="A131" s="92"/>
      <c r="B131" s="98"/>
      <c r="C131" s="245">
        <v>3</v>
      </c>
      <c r="D131" s="246" t="s">
        <v>1676</v>
      </c>
      <c r="E131" s="246" t="s">
        <v>2376</v>
      </c>
      <c r="F131" s="248"/>
      <c r="G131" s="94"/>
    </row>
    <row r="132" spans="1:7" ht="42.75" customHeight="1" collapsed="1">
      <c r="A132" s="92"/>
      <c r="B132" s="98">
        <v>10</v>
      </c>
      <c r="C132" s="469" t="s">
        <v>1497</v>
      </c>
      <c r="D132" s="470"/>
      <c r="E132" s="471" t="s">
        <v>2291</v>
      </c>
      <c r="F132" s="472"/>
      <c r="G132" s="94"/>
    </row>
    <row r="133" spans="1:7" ht="42.75" hidden="1" customHeight="1" outlineLevel="1">
      <c r="A133" s="92"/>
      <c r="B133" s="98"/>
      <c r="C133" s="242"/>
      <c r="D133" s="243" t="s">
        <v>1546</v>
      </c>
      <c r="E133" s="243" t="s">
        <v>1547</v>
      </c>
      <c r="F133" s="244" t="s">
        <v>1688</v>
      </c>
      <c r="G133" s="94"/>
    </row>
    <row r="134" spans="1:7" ht="42.75" hidden="1" customHeight="1" outlineLevel="1">
      <c r="A134" s="92"/>
      <c r="B134" s="98"/>
      <c r="C134" s="245">
        <v>1</v>
      </c>
      <c r="D134" s="114" t="s">
        <v>1534</v>
      </c>
      <c r="E134" s="250" t="s">
        <v>1540</v>
      </c>
      <c r="F134" s="248"/>
      <c r="G134" s="94"/>
    </row>
    <row r="135" spans="1:7" ht="42.75" hidden="1" customHeight="1" outlineLevel="1">
      <c r="A135" s="92"/>
      <c r="B135" s="98"/>
      <c r="C135" s="245">
        <v>2</v>
      </c>
      <c r="D135" s="114" t="s">
        <v>1535</v>
      </c>
      <c r="E135" s="250" t="s">
        <v>1541</v>
      </c>
      <c r="F135" s="248"/>
      <c r="G135" s="94"/>
    </row>
    <row r="136" spans="1:7" ht="42.75" hidden="1" customHeight="1" outlineLevel="1">
      <c r="A136" s="92"/>
      <c r="B136" s="98"/>
      <c r="C136" s="245">
        <v>3</v>
      </c>
      <c r="D136" s="114" t="s">
        <v>1536</v>
      </c>
      <c r="E136" s="250" t="s">
        <v>1542</v>
      </c>
      <c r="F136" s="248"/>
      <c r="G136" s="94"/>
    </row>
    <row r="137" spans="1:7" ht="42.75" hidden="1" customHeight="1" outlineLevel="1">
      <c r="A137" s="92"/>
      <c r="B137" s="98"/>
      <c r="C137" s="245">
        <v>4</v>
      </c>
      <c r="D137" s="114" t="s">
        <v>1537</v>
      </c>
      <c r="E137" s="250" t="s">
        <v>1543</v>
      </c>
      <c r="F137" s="248"/>
      <c r="G137" s="94"/>
    </row>
    <row r="138" spans="1:7" ht="42.75" hidden="1" customHeight="1" outlineLevel="1">
      <c r="A138" s="92"/>
      <c r="B138" s="98"/>
      <c r="C138" s="245">
        <v>5</v>
      </c>
      <c r="D138" s="114" t="s">
        <v>1538</v>
      </c>
      <c r="E138" s="250" t="s">
        <v>1544</v>
      </c>
      <c r="F138" s="248"/>
      <c r="G138" s="94"/>
    </row>
    <row r="139" spans="1:7" ht="42.75" hidden="1" customHeight="1" outlineLevel="1">
      <c r="A139" s="92"/>
      <c r="B139" s="98"/>
      <c r="C139" s="245">
        <v>6</v>
      </c>
      <c r="D139" s="114" t="s">
        <v>1539</v>
      </c>
      <c r="E139" s="250" t="s">
        <v>1545</v>
      </c>
      <c r="F139" s="248"/>
      <c r="G139" s="94"/>
    </row>
    <row r="140" spans="1:7" ht="24.75" customHeight="1" collapsed="1">
      <c r="A140" s="92"/>
      <c r="B140" s="93"/>
      <c r="C140" s="93"/>
      <c r="D140" s="93"/>
      <c r="E140" s="93"/>
      <c r="F140" s="93"/>
      <c r="G140" s="94"/>
    </row>
    <row r="141" spans="1:7">
      <c r="A141" s="95"/>
      <c r="B141" s="96"/>
      <c r="C141" s="96"/>
      <c r="D141" s="96"/>
      <c r="E141" s="96"/>
      <c r="F141" s="96"/>
      <c r="G141" s="97"/>
    </row>
    <row r="142" spans="1:7" hidden="1"/>
    <row r="143" spans="1:7" hidden="1"/>
    <row r="144" spans="1:7" hidden="1"/>
    <row r="145" hidden="1"/>
    <row r="146" hidden="1"/>
    <row r="147" hidden="1"/>
    <row r="148" hidden="1"/>
    <row r="149" hidden="1"/>
    <row r="150" hidden="1"/>
    <row r="151" hidden="1"/>
    <row r="152" hidden="1"/>
    <row r="153" hidden="1"/>
    <row r="154" hidden="1"/>
    <row r="155" hidden="1"/>
    <row r="156" hidden="1"/>
    <row r="157" hidden="1"/>
    <row r="158" hidden="1"/>
    <row r="159" hidden="1"/>
    <row r="160" hidden="1"/>
    <row r="161" hidden="1"/>
    <row r="162" hidden="1"/>
    <row r="163" hidden="1"/>
    <row r="164" hidden="1"/>
    <row r="165" hidden="1"/>
    <row r="166" hidden="1"/>
    <row r="167" hidden="1"/>
    <row r="168" hidden="1"/>
    <row r="169" hidden="1"/>
    <row r="170" hidden="1"/>
    <row r="171" hidden="1"/>
    <row r="172" hidden="1"/>
    <row r="173" hidden="1"/>
    <row r="174" hidden="1"/>
    <row r="175" hidden="1"/>
    <row r="176" hidden="1"/>
    <row r="177" hidden="1"/>
    <row r="178" hidden="1"/>
    <row r="179" hidden="1"/>
    <row r="180" hidden="1"/>
    <row r="181" hidden="1"/>
    <row r="182" hidden="1"/>
    <row r="183" hidden="1"/>
    <row r="184" hidden="1"/>
    <row r="185" hidden="1"/>
    <row r="186" hidden="1"/>
    <row r="187" hidden="1"/>
    <row r="188" hidden="1"/>
    <row r="189" hidden="1"/>
    <row r="190" hidden="1"/>
    <row r="191" hidden="1"/>
    <row r="192" hidden="1"/>
    <row r="193" hidden="1"/>
    <row r="194" hidden="1"/>
    <row r="195" hidden="1"/>
    <row r="196" hidden="1"/>
    <row r="197" hidden="1"/>
    <row r="198" hidden="1"/>
    <row r="199" hidden="1"/>
    <row r="200" hidden="1"/>
    <row r="201" hidden="1"/>
    <row r="202" hidden="1"/>
    <row r="203" hidden="1"/>
    <row r="204" hidden="1"/>
    <row r="205" hidden="1"/>
    <row r="206" hidden="1"/>
    <row r="207" hidden="1"/>
    <row r="208" hidden="1"/>
    <row r="209" hidden="1"/>
    <row r="210" hidden="1"/>
    <row r="211" hidden="1"/>
    <row r="212" hidden="1"/>
    <row r="213" hidden="1"/>
    <row r="214" hidden="1"/>
    <row r="215" hidden="1"/>
    <row r="216" hidden="1"/>
    <row r="217" hidden="1"/>
    <row r="218" hidden="1"/>
    <row r="219" hidden="1"/>
    <row r="220" hidden="1"/>
    <row r="221" hidden="1"/>
    <row r="222" hidden="1"/>
    <row r="223" hidden="1"/>
    <row r="224" hidden="1"/>
    <row r="225" hidden="1"/>
    <row r="226" hidden="1"/>
    <row r="227" hidden="1"/>
    <row r="228" hidden="1"/>
    <row r="229" hidden="1"/>
    <row r="230"/>
    <row r="231"/>
    <row r="232"/>
    <row r="233"/>
    <row r="234"/>
    <row r="235"/>
    <row r="236"/>
    <row r="237"/>
    <row r="238"/>
    <row r="239"/>
    <row r="240"/>
    <row r="241"/>
    <row r="242"/>
    <row r="243"/>
    <row r="244"/>
    <row r="245"/>
    <row r="246"/>
    <row r="247"/>
    <row r="248"/>
    <row r="249"/>
    <row r="250"/>
    <row r="251"/>
    <row r="252"/>
    <row r="253"/>
    <row r="254"/>
    <row r="255"/>
    <row r="256"/>
    <row r="257"/>
    <row r="258"/>
    <row r="259"/>
    <row r="260"/>
    <row r="261"/>
    <row r="262"/>
    <row r="263"/>
    <row r="264"/>
    <row r="265"/>
    <row r="266"/>
    <row r="267"/>
    <row r="268"/>
    <row r="269"/>
    <row r="270"/>
    <row r="271"/>
    <row r="272"/>
    <row r="273"/>
    <row r="274"/>
  </sheetData>
  <mergeCells count="25">
    <mergeCell ref="C116:D116"/>
    <mergeCell ref="C127:D127"/>
    <mergeCell ref="C132:D132"/>
    <mergeCell ref="C115:D115"/>
    <mergeCell ref="E86:F86"/>
    <mergeCell ref="E96:F96"/>
    <mergeCell ref="C96:D96"/>
    <mergeCell ref="C86:D86"/>
    <mergeCell ref="E109:F109"/>
    <mergeCell ref="E132:F132"/>
    <mergeCell ref="E115:F115"/>
    <mergeCell ref="E116:F116"/>
    <mergeCell ref="E127:F127"/>
    <mergeCell ref="C101:D101"/>
    <mergeCell ref="C109:D109"/>
    <mergeCell ref="E101:F101"/>
    <mergeCell ref="A2:G2"/>
    <mergeCell ref="A3:G3"/>
    <mergeCell ref="A6:G6"/>
    <mergeCell ref="D8:F8"/>
    <mergeCell ref="C10:D10"/>
    <mergeCell ref="C9:D9"/>
    <mergeCell ref="E9:F9"/>
    <mergeCell ref="E10:F10"/>
    <mergeCell ref="A4:G4"/>
  </mergeCells>
  <hyperlinks>
    <hyperlink ref="C10" location="MNU_BD_MENUS!A1" display="MNU_BD_MENUS"/>
    <hyperlink ref="C86" location="COT_BASE_COTIZACIONES!A1" display="COT_BASE_COTIZACIONES"/>
    <hyperlink ref="C96" location="COT_PRECALCULOS!A1" display="COT_PRECALCULOS"/>
    <hyperlink ref="C115" location="PRO_BASE_PROVEEDORES!A1" display="PRO_BASE_PROVEEDORES"/>
    <hyperlink ref="C116" location="CAL_CALENDARIO_CICLOS!A1" display="CAL_CALENDARIO_CICLOS"/>
    <hyperlink ref="C127" location="FRE_FRECUENCIAS!A1" display="FRE_FRECUENCIAS"/>
    <hyperlink ref="C132" location="VOL_VOLUMEN_SUMINISTROS!A1" display="VOL_VOLUMEN_SUMINISTROS"/>
    <hyperlink ref="C9" location="CON_CONSOLIDADO_PE!A1" display="CON_CONSOLIDADO_PE"/>
    <hyperlink ref="C9:D9" location="RES_RESUMEN_PRESUPUESTO_2!A1" display="RES_RESUMEN_PRESUPUESTO_2"/>
    <hyperlink ref="C101:D101" location="COSTPE_G_ALIMENTOS_GRUPOS!A1" display="COSTPE_A_ALIMENTOS"/>
    <hyperlink ref="C109:D109" location="COSTSE_G_ALIMENTOS_GRUPOS!A1" display="COSTSE_A_ALIMENTOS"/>
  </hyperlinks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9"/>
  <dimension ref="A1:H599"/>
  <sheetViews>
    <sheetView zoomScaleNormal="100" workbookViewId="0"/>
  </sheetViews>
  <sheetFormatPr baseColWidth="10" defaultColWidth="0" defaultRowHeight="15" zeroHeight="1"/>
  <cols>
    <col min="1" max="1" width="36.7109375" customWidth="1"/>
    <col min="2" max="2" width="26.28515625" customWidth="1"/>
    <col min="3" max="3" width="22.85546875" customWidth="1"/>
    <col min="4" max="4" width="19.85546875" customWidth="1"/>
    <col min="5" max="5" width="35.42578125" bestFit="1" customWidth="1"/>
    <col min="6" max="6" width="41.28515625" customWidth="1"/>
    <col min="7" max="7" width="24" customWidth="1"/>
    <col min="8" max="8" width="46.28515625" customWidth="1"/>
    <col min="9" max="16384" width="11.42578125" hidden="1"/>
  </cols>
  <sheetData>
    <row r="1" spans="1:8" ht="15.75">
      <c r="A1" s="6"/>
      <c r="B1" s="7"/>
      <c r="C1" s="7"/>
      <c r="D1" s="7"/>
      <c r="E1" s="7"/>
      <c r="F1" s="7"/>
      <c r="G1" s="7"/>
      <c r="H1" s="7"/>
    </row>
    <row r="2" spans="1:8" ht="20.25">
      <c r="A2" s="3"/>
      <c r="B2" s="474" t="s">
        <v>1971</v>
      </c>
      <c r="C2" s="474"/>
      <c r="F2" s="4"/>
      <c r="G2" s="4"/>
      <c r="H2" s="4"/>
    </row>
    <row r="3" spans="1:8" ht="18">
      <c r="A3" s="475" t="s">
        <v>1968</v>
      </c>
      <c r="B3" s="476"/>
      <c r="C3" s="476"/>
      <c r="D3" s="476"/>
      <c r="E3" s="476"/>
      <c r="F3" s="476"/>
      <c r="G3" s="476"/>
      <c r="H3" s="476"/>
    </row>
    <row r="4" spans="1:8" ht="18">
      <c r="A4" s="475" t="s">
        <v>1969</v>
      </c>
      <c r="B4" s="476"/>
      <c r="C4" s="476"/>
      <c r="D4" s="476"/>
      <c r="E4" s="476"/>
      <c r="F4" s="476"/>
      <c r="G4" s="476"/>
      <c r="H4" s="476"/>
    </row>
    <row r="5" spans="1:8" ht="18">
      <c r="A5" s="475" t="s">
        <v>1970</v>
      </c>
      <c r="B5" s="476"/>
      <c r="C5" s="476"/>
      <c r="D5" s="476"/>
      <c r="E5" s="476"/>
      <c r="F5" s="476"/>
      <c r="G5" s="476"/>
      <c r="H5" s="476"/>
    </row>
    <row r="6" spans="1:8" ht="18">
      <c r="A6" s="99"/>
      <c r="B6" s="100"/>
      <c r="C6" s="100"/>
      <c r="D6" s="100"/>
      <c r="E6" s="100"/>
      <c r="F6" s="100"/>
      <c r="G6" s="100"/>
      <c r="H6" s="100"/>
    </row>
    <row r="7" spans="1:8" ht="18">
      <c r="A7" s="475" t="s">
        <v>1371</v>
      </c>
      <c r="B7" s="476"/>
      <c r="C7" s="476"/>
      <c r="D7" s="476"/>
      <c r="E7" s="476"/>
      <c r="F7" s="476"/>
      <c r="G7" s="476"/>
      <c r="H7" s="476"/>
    </row>
    <row r="8" spans="1:8" ht="15.75">
      <c r="A8" s="3"/>
      <c r="B8" s="4"/>
      <c r="C8" s="4"/>
      <c r="D8" s="4"/>
      <c r="E8" s="4"/>
      <c r="F8" s="4"/>
      <c r="G8" s="4"/>
      <c r="H8" s="4"/>
    </row>
    <row r="9" spans="1:8" ht="27.75" customHeight="1">
      <c r="A9" s="46" t="s">
        <v>1987</v>
      </c>
      <c r="B9" s="45" t="s">
        <v>1975</v>
      </c>
      <c r="C9" s="47" t="s">
        <v>1373</v>
      </c>
      <c r="D9" s="45" t="s">
        <v>1988</v>
      </c>
      <c r="E9" s="47" t="s">
        <v>1374</v>
      </c>
      <c r="F9" s="47" t="s">
        <v>1375</v>
      </c>
      <c r="G9" s="47" t="s">
        <v>1376</v>
      </c>
      <c r="H9" s="47" t="s">
        <v>1377</v>
      </c>
    </row>
    <row r="10" spans="1:8" ht="30">
      <c r="A10" s="320" t="s">
        <v>2054</v>
      </c>
      <c r="B10" s="328" t="s">
        <v>1607</v>
      </c>
      <c r="C10" s="323" t="s">
        <v>2055</v>
      </c>
      <c r="D10" s="327"/>
      <c r="E10" s="320" t="s">
        <v>2056</v>
      </c>
      <c r="F10" s="320" t="s">
        <v>2057</v>
      </c>
      <c r="G10" s="328" t="s">
        <v>2058</v>
      </c>
      <c r="H10" s="328" t="s">
        <v>2062</v>
      </c>
    </row>
    <row r="11" spans="1:8">
      <c r="A11" s="320" t="s">
        <v>2063</v>
      </c>
      <c r="B11" s="328" t="s">
        <v>1607</v>
      </c>
      <c r="C11" s="323"/>
      <c r="D11" s="327"/>
      <c r="E11" s="320" t="s">
        <v>2064</v>
      </c>
      <c r="F11" s="320" t="s">
        <v>2019</v>
      </c>
      <c r="G11" s="323" t="s">
        <v>2065</v>
      </c>
      <c r="H11" s="320" t="s">
        <v>2066</v>
      </c>
    </row>
    <row r="12" spans="1:8">
      <c r="A12" s="320" t="s">
        <v>2044</v>
      </c>
      <c r="B12" s="328" t="s">
        <v>1607</v>
      </c>
      <c r="C12" s="323" t="s">
        <v>2045</v>
      </c>
      <c r="D12" s="327"/>
      <c r="E12" s="320" t="s">
        <v>2046</v>
      </c>
      <c r="F12" s="320" t="s">
        <v>2047</v>
      </c>
      <c r="G12" s="323" t="s">
        <v>2048</v>
      </c>
      <c r="H12" s="323" t="s">
        <v>2049</v>
      </c>
    </row>
    <row r="13" spans="1:8">
      <c r="A13" s="320" t="s">
        <v>2067</v>
      </c>
      <c r="B13" s="328" t="s">
        <v>1607</v>
      </c>
      <c r="C13" s="323"/>
      <c r="D13" s="327"/>
      <c r="E13" s="320" t="s">
        <v>2068</v>
      </c>
      <c r="F13" s="320" t="s">
        <v>2019</v>
      </c>
      <c r="G13" s="323" t="s">
        <v>2069</v>
      </c>
      <c r="H13" s="320" t="s">
        <v>2070</v>
      </c>
    </row>
    <row r="14" spans="1:8">
      <c r="A14" s="320" t="s">
        <v>2071</v>
      </c>
      <c r="B14" s="328" t="s">
        <v>1607</v>
      </c>
      <c r="C14" s="323"/>
      <c r="D14" s="327"/>
      <c r="E14" s="320" t="s">
        <v>2072</v>
      </c>
      <c r="F14" s="320" t="s">
        <v>2047</v>
      </c>
      <c r="G14" s="323">
        <v>4909622</v>
      </c>
      <c r="H14" s="320" t="s">
        <v>2073</v>
      </c>
    </row>
    <row r="15" spans="1:8" ht="30">
      <c r="A15" s="320" t="s">
        <v>2074</v>
      </c>
      <c r="B15" s="328" t="s">
        <v>1607</v>
      </c>
      <c r="C15" s="323"/>
      <c r="D15" s="327"/>
      <c r="E15" s="320" t="s">
        <v>2075</v>
      </c>
      <c r="F15" s="320" t="s">
        <v>2019</v>
      </c>
      <c r="G15" s="323" t="s">
        <v>2076</v>
      </c>
      <c r="H15" s="320" t="s">
        <v>2077</v>
      </c>
    </row>
    <row r="16" spans="1:8" ht="30">
      <c r="A16" s="320" t="s">
        <v>2078</v>
      </c>
      <c r="B16" s="328" t="s">
        <v>1607</v>
      </c>
      <c r="C16" s="323"/>
      <c r="D16" s="327"/>
      <c r="E16" s="320" t="s">
        <v>2079</v>
      </c>
      <c r="F16" s="320" t="s">
        <v>2019</v>
      </c>
      <c r="G16" s="323" t="s">
        <v>2080</v>
      </c>
      <c r="H16" s="320" t="s">
        <v>2081</v>
      </c>
    </row>
    <row r="17" spans="1:8">
      <c r="A17" s="328" t="s">
        <v>2082</v>
      </c>
      <c r="B17" s="328" t="s">
        <v>1607</v>
      </c>
      <c r="C17" s="328" t="s">
        <v>2083</v>
      </c>
      <c r="D17" s="327"/>
      <c r="E17" s="320" t="s">
        <v>2084</v>
      </c>
      <c r="F17" s="320" t="s">
        <v>2085</v>
      </c>
      <c r="G17" s="328" t="s">
        <v>2086</v>
      </c>
      <c r="H17" s="320" t="s">
        <v>2087</v>
      </c>
    </row>
    <row r="18" spans="1:8">
      <c r="A18" s="320" t="s">
        <v>2088</v>
      </c>
      <c r="B18" s="328" t="s">
        <v>1607</v>
      </c>
      <c r="C18" s="323" t="s">
        <v>2089</v>
      </c>
      <c r="D18" s="327"/>
      <c r="E18" s="320" t="s">
        <v>2090</v>
      </c>
      <c r="F18" s="320" t="s">
        <v>2091</v>
      </c>
      <c r="G18" s="328" t="s">
        <v>2092</v>
      </c>
      <c r="H18" s="320" t="s">
        <v>2093</v>
      </c>
    </row>
    <row r="19" spans="1:8">
      <c r="A19" s="320" t="s">
        <v>2094</v>
      </c>
      <c r="B19" s="328" t="s">
        <v>1607</v>
      </c>
      <c r="C19" s="323"/>
      <c r="D19" s="327"/>
      <c r="E19" s="320" t="s">
        <v>2095</v>
      </c>
      <c r="F19" s="320" t="s">
        <v>2061</v>
      </c>
      <c r="G19" s="323" t="s">
        <v>2096</v>
      </c>
      <c r="H19" s="320" t="s">
        <v>2097</v>
      </c>
    </row>
    <row r="20" spans="1:8">
      <c r="A20" s="320" t="s">
        <v>2012</v>
      </c>
      <c r="B20" s="328" t="s">
        <v>1607</v>
      </c>
      <c r="C20" s="323" t="s">
        <v>2013</v>
      </c>
      <c r="D20" s="327"/>
      <c r="E20" s="320" t="s">
        <v>2014</v>
      </c>
      <c r="F20" s="320" t="s">
        <v>2015</v>
      </c>
      <c r="G20" s="323" t="s">
        <v>2016</v>
      </c>
      <c r="H20" s="328" t="s">
        <v>2017</v>
      </c>
    </row>
    <row r="21" spans="1:8" ht="30">
      <c r="A21" s="328" t="s">
        <v>1571</v>
      </c>
      <c r="B21" s="328" t="s">
        <v>1607</v>
      </c>
      <c r="C21" s="326" t="s">
        <v>2098</v>
      </c>
      <c r="D21" s="327"/>
      <c r="E21" s="320" t="s">
        <v>2099</v>
      </c>
      <c r="F21" s="320" t="s">
        <v>2100</v>
      </c>
      <c r="G21" s="323" t="s">
        <v>2101</v>
      </c>
      <c r="H21" s="320" t="s">
        <v>2102</v>
      </c>
    </row>
    <row r="22" spans="1:8" ht="30">
      <c r="A22" s="328" t="s">
        <v>1962</v>
      </c>
      <c r="B22" s="328" t="s">
        <v>1607</v>
      </c>
      <c r="C22" s="331" t="s">
        <v>2103</v>
      </c>
      <c r="D22" s="327"/>
      <c r="E22" s="328" t="s">
        <v>2104</v>
      </c>
      <c r="F22" s="328" t="s">
        <v>2105</v>
      </c>
      <c r="G22" s="323">
        <v>4220000</v>
      </c>
      <c r="H22" s="328" t="s">
        <v>2106</v>
      </c>
    </row>
    <row r="23" spans="1:8">
      <c r="A23" s="323" t="s">
        <v>2107</v>
      </c>
      <c r="B23" s="328" t="s">
        <v>1607</v>
      </c>
      <c r="C23" s="323" t="s">
        <v>2108</v>
      </c>
      <c r="D23" s="327"/>
      <c r="E23" s="320" t="s">
        <v>2109</v>
      </c>
      <c r="F23" s="320" t="s">
        <v>2019</v>
      </c>
      <c r="G23" s="323">
        <v>8260295</v>
      </c>
      <c r="H23" s="320" t="s">
        <v>2110</v>
      </c>
    </row>
    <row r="24" spans="1:8">
      <c r="A24" s="323" t="s">
        <v>2107</v>
      </c>
      <c r="B24" s="328" t="s">
        <v>1607</v>
      </c>
      <c r="C24" s="323" t="s">
        <v>2108</v>
      </c>
      <c r="D24" s="327">
        <v>42674</v>
      </c>
      <c r="E24" s="323" t="s">
        <v>2111</v>
      </c>
      <c r="F24" s="323" t="s">
        <v>2112</v>
      </c>
      <c r="G24" s="323" t="s">
        <v>2113</v>
      </c>
      <c r="H24" s="320" t="s">
        <v>2114</v>
      </c>
    </row>
    <row r="25" spans="1:8">
      <c r="A25" s="323" t="s">
        <v>2107</v>
      </c>
      <c r="B25" s="328" t="s">
        <v>1607</v>
      </c>
      <c r="C25" s="323" t="s">
        <v>2108</v>
      </c>
      <c r="D25" s="327">
        <v>42682</v>
      </c>
      <c r="E25" s="323" t="s">
        <v>2111</v>
      </c>
      <c r="F25" s="323" t="s">
        <v>2112</v>
      </c>
      <c r="G25" s="323" t="s">
        <v>2113</v>
      </c>
      <c r="H25" s="330" t="s">
        <v>2114</v>
      </c>
    </row>
    <row r="26" spans="1:8">
      <c r="A26" s="320" t="s">
        <v>2115</v>
      </c>
      <c r="B26" s="328" t="s">
        <v>1607</v>
      </c>
      <c r="C26" s="323"/>
      <c r="D26" s="327"/>
      <c r="E26" s="320" t="s">
        <v>2116</v>
      </c>
      <c r="F26" s="320" t="s">
        <v>2019</v>
      </c>
      <c r="G26" s="323" t="s">
        <v>2117</v>
      </c>
      <c r="H26" s="320" t="s">
        <v>2118</v>
      </c>
    </row>
    <row r="27" spans="1:8">
      <c r="A27" s="328" t="s">
        <v>2119</v>
      </c>
      <c r="B27" s="328" t="s">
        <v>1607</v>
      </c>
      <c r="C27" s="323"/>
      <c r="D27" s="327"/>
      <c r="E27" s="323" t="s">
        <v>2120</v>
      </c>
      <c r="F27" s="323" t="s">
        <v>2121</v>
      </c>
      <c r="G27" s="323">
        <v>7442862</v>
      </c>
      <c r="H27" s="320" t="s">
        <v>2122</v>
      </c>
    </row>
    <row r="28" spans="1:8" ht="30">
      <c r="A28" s="323" t="s">
        <v>2123</v>
      </c>
      <c r="B28" s="328" t="s">
        <v>1607</v>
      </c>
      <c r="C28" s="323">
        <v>8300145771</v>
      </c>
      <c r="D28" s="327"/>
      <c r="E28" s="320" t="s">
        <v>2124</v>
      </c>
      <c r="F28" s="323" t="s">
        <v>2010</v>
      </c>
      <c r="G28" s="323" t="s">
        <v>2125</v>
      </c>
      <c r="H28" s="320" t="s">
        <v>2126</v>
      </c>
    </row>
    <row r="29" spans="1:8">
      <c r="A29" s="320" t="s">
        <v>2127</v>
      </c>
      <c r="B29" s="328" t="s">
        <v>1607</v>
      </c>
      <c r="C29" s="323"/>
      <c r="D29" s="327"/>
      <c r="E29" s="320" t="s">
        <v>2128</v>
      </c>
      <c r="F29" s="320" t="s">
        <v>2100</v>
      </c>
      <c r="G29" s="323" t="s">
        <v>2129</v>
      </c>
      <c r="H29" s="320" t="s">
        <v>2130</v>
      </c>
    </row>
    <row r="30" spans="1:8" ht="30">
      <c r="A30" s="320" t="s">
        <v>2131</v>
      </c>
      <c r="B30" s="328" t="s">
        <v>1607</v>
      </c>
      <c r="C30" s="323"/>
      <c r="D30" s="327"/>
      <c r="E30" s="320" t="s">
        <v>2132</v>
      </c>
      <c r="F30" s="320" t="s">
        <v>2019</v>
      </c>
      <c r="G30" s="323" t="s">
        <v>2133</v>
      </c>
      <c r="H30" s="320" t="s">
        <v>2134</v>
      </c>
    </row>
    <row r="31" spans="1:8" ht="30">
      <c r="A31" s="320" t="s">
        <v>2135</v>
      </c>
      <c r="B31" s="328" t="s">
        <v>1607</v>
      </c>
      <c r="C31" s="323"/>
      <c r="D31" s="327"/>
      <c r="E31" s="320" t="s">
        <v>2136</v>
      </c>
      <c r="F31" s="320" t="s">
        <v>2059</v>
      </c>
      <c r="G31" s="323" t="s">
        <v>2137</v>
      </c>
      <c r="H31" s="320" t="s">
        <v>2138</v>
      </c>
    </row>
    <row r="32" spans="1:8">
      <c r="A32" s="320" t="s">
        <v>2139</v>
      </c>
      <c r="B32" s="328" t="s">
        <v>1607</v>
      </c>
      <c r="C32" s="323"/>
      <c r="D32" s="327"/>
      <c r="E32" s="320" t="s">
        <v>2140</v>
      </c>
      <c r="F32" s="320" t="s">
        <v>2019</v>
      </c>
      <c r="G32" s="323" t="s">
        <v>2141</v>
      </c>
      <c r="H32" s="320" t="s">
        <v>2142</v>
      </c>
    </row>
    <row r="33" spans="1:8" ht="45">
      <c r="A33" s="320" t="s">
        <v>2027</v>
      </c>
      <c r="B33" s="328" t="s">
        <v>1607</v>
      </c>
      <c r="C33" s="323" t="s">
        <v>2028</v>
      </c>
      <c r="D33" s="327"/>
      <c r="E33" s="320" t="s">
        <v>2029</v>
      </c>
      <c r="F33" s="323" t="s">
        <v>2143</v>
      </c>
      <c r="G33" s="328" t="s">
        <v>2030</v>
      </c>
      <c r="H33" s="323" t="s">
        <v>2144</v>
      </c>
    </row>
    <row r="34" spans="1:8" ht="30">
      <c r="A34" s="320" t="s">
        <v>2145</v>
      </c>
      <c r="B34" s="328" t="s">
        <v>1607</v>
      </c>
      <c r="C34" s="323"/>
      <c r="D34" s="327"/>
      <c r="E34" s="320" t="s">
        <v>2146</v>
      </c>
      <c r="F34" s="320" t="s">
        <v>2019</v>
      </c>
      <c r="G34" s="323" t="s">
        <v>2147</v>
      </c>
      <c r="H34" s="320" t="s">
        <v>2148</v>
      </c>
    </row>
    <row r="35" spans="1:8" ht="30">
      <c r="A35" s="328" t="s">
        <v>2033</v>
      </c>
      <c r="B35" s="328" t="s">
        <v>1607</v>
      </c>
      <c r="C35" s="323">
        <v>830131226</v>
      </c>
      <c r="D35" s="327"/>
      <c r="E35" s="328" t="s">
        <v>2034</v>
      </c>
      <c r="F35" s="328" t="s">
        <v>2035</v>
      </c>
      <c r="G35" s="323" t="s">
        <v>2036</v>
      </c>
      <c r="H35" s="328" t="s">
        <v>2037</v>
      </c>
    </row>
    <row r="36" spans="1:8">
      <c r="A36" s="320" t="s">
        <v>1967</v>
      </c>
      <c r="B36" s="328" t="s">
        <v>1607</v>
      </c>
      <c r="C36" s="323" t="s">
        <v>2149</v>
      </c>
      <c r="D36" s="327"/>
      <c r="E36" s="320" t="s">
        <v>2150</v>
      </c>
      <c r="F36" s="320" t="s">
        <v>2151</v>
      </c>
      <c r="G36" s="323">
        <v>3102408099</v>
      </c>
      <c r="H36" s="320" t="s">
        <v>2152</v>
      </c>
    </row>
    <row r="37" spans="1:8" ht="30">
      <c r="A37" s="320" t="s">
        <v>1488</v>
      </c>
      <c r="B37" s="328" t="s">
        <v>1607</v>
      </c>
      <c r="C37" s="323" t="s">
        <v>2153</v>
      </c>
      <c r="D37" s="327"/>
      <c r="E37" s="320" t="s">
        <v>2154</v>
      </c>
      <c r="F37" s="320" t="s">
        <v>2100</v>
      </c>
      <c r="G37" s="323" t="s">
        <v>2155</v>
      </c>
      <c r="H37" s="320" t="s">
        <v>2156</v>
      </c>
    </row>
    <row r="38" spans="1:8">
      <c r="A38" s="320" t="s">
        <v>2157</v>
      </c>
      <c r="B38" s="328" t="s">
        <v>1607</v>
      </c>
      <c r="C38" s="323"/>
      <c r="D38" s="327"/>
      <c r="E38" s="320" t="s">
        <v>2158</v>
      </c>
      <c r="F38" s="320" t="s">
        <v>2091</v>
      </c>
      <c r="G38" s="323">
        <v>2507847</v>
      </c>
      <c r="H38" s="320" t="s">
        <v>2159</v>
      </c>
    </row>
    <row r="39" spans="1:8" ht="30">
      <c r="A39" s="320" t="s">
        <v>2160</v>
      </c>
      <c r="B39" s="328" t="s">
        <v>1607</v>
      </c>
      <c r="C39" s="323" t="s">
        <v>2161</v>
      </c>
      <c r="D39" s="327"/>
      <c r="E39" s="320" t="s">
        <v>2162</v>
      </c>
      <c r="F39" s="320" t="s">
        <v>2100</v>
      </c>
      <c r="G39" s="323" t="s">
        <v>2163</v>
      </c>
      <c r="H39" s="320" t="s">
        <v>2164</v>
      </c>
    </row>
    <row r="40" spans="1:8">
      <c r="A40" s="320" t="s">
        <v>2165</v>
      </c>
      <c r="B40" s="328" t="s">
        <v>1607</v>
      </c>
      <c r="C40" s="323" t="s">
        <v>2166</v>
      </c>
      <c r="D40" s="327"/>
      <c r="E40" s="320" t="s">
        <v>2167</v>
      </c>
      <c r="F40" s="320" t="s">
        <v>2100</v>
      </c>
      <c r="G40" s="323">
        <v>4902222</v>
      </c>
      <c r="H40" s="320" t="s">
        <v>2168</v>
      </c>
    </row>
    <row r="41" spans="1:8" ht="30">
      <c r="A41" s="320" t="s">
        <v>2169</v>
      </c>
      <c r="B41" s="328" t="s">
        <v>1607</v>
      </c>
      <c r="C41" s="323"/>
      <c r="D41" s="327"/>
      <c r="E41" s="320" t="s">
        <v>2170</v>
      </c>
      <c r="F41" s="320" t="s">
        <v>2011</v>
      </c>
      <c r="G41" s="323" t="s">
        <v>2171</v>
      </c>
      <c r="H41" s="320" t="s">
        <v>2172</v>
      </c>
    </row>
    <row r="42" spans="1:8">
      <c r="A42" s="320" t="s">
        <v>2173</v>
      </c>
      <c r="B42" s="328" t="s">
        <v>1607</v>
      </c>
      <c r="C42" s="323" t="s">
        <v>2174</v>
      </c>
      <c r="D42" s="327"/>
      <c r="E42" s="320" t="s">
        <v>2175</v>
      </c>
      <c r="F42" s="320" t="s">
        <v>2019</v>
      </c>
      <c r="G42" s="323">
        <v>4652343</v>
      </c>
      <c r="H42" s="320" t="s">
        <v>2176</v>
      </c>
    </row>
    <row r="43" spans="1:8" ht="30">
      <c r="A43" s="320" t="s">
        <v>2038</v>
      </c>
      <c r="B43" s="328" t="s">
        <v>1607</v>
      </c>
      <c r="C43" s="323" t="s">
        <v>2039</v>
      </c>
      <c r="D43" s="327"/>
      <c r="E43" s="320" t="s">
        <v>2040</v>
      </c>
      <c r="F43" s="320" t="s">
        <v>2041</v>
      </c>
      <c r="G43" s="328" t="s">
        <v>2042</v>
      </c>
      <c r="H43" s="323" t="s">
        <v>2043</v>
      </c>
    </row>
    <row r="44" spans="1:8" ht="30">
      <c r="A44" s="320" t="s">
        <v>1487</v>
      </c>
      <c r="B44" s="328" t="s">
        <v>1607</v>
      </c>
      <c r="C44" s="323" t="s">
        <v>2177</v>
      </c>
      <c r="D44" s="327"/>
      <c r="E44" s="320" t="s">
        <v>2178</v>
      </c>
      <c r="F44" s="320" t="s">
        <v>2019</v>
      </c>
      <c r="G44" s="323" t="s">
        <v>2179</v>
      </c>
      <c r="H44" s="320" t="s">
        <v>2180</v>
      </c>
    </row>
    <row r="45" spans="1:8" ht="30">
      <c r="A45" s="323" t="s">
        <v>2181</v>
      </c>
      <c r="B45" s="328" t="s">
        <v>1607</v>
      </c>
      <c r="C45" s="323"/>
      <c r="D45" s="327"/>
      <c r="E45" s="323" t="s">
        <v>2162</v>
      </c>
      <c r="F45" s="323" t="s">
        <v>2010</v>
      </c>
      <c r="G45" s="323" t="s">
        <v>2163</v>
      </c>
      <c r="H45" s="320" t="s">
        <v>2164</v>
      </c>
    </row>
    <row r="46" spans="1:8">
      <c r="A46" s="323" t="s">
        <v>2182</v>
      </c>
      <c r="B46" s="328" t="s">
        <v>1607</v>
      </c>
      <c r="C46" s="323">
        <v>8000641266</v>
      </c>
      <c r="D46" s="327">
        <v>42684</v>
      </c>
      <c r="E46" s="323" t="s">
        <v>2183</v>
      </c>
      <c r="F46" s="323" t="s">
        <v>2010</v>
      </c>
      <c r="G46" s="323">
        <v>6780150</v>
      </c>
      <c r="H46" s="330" t="s">
        <v>2184</v>
      </c>
    </row>
    <row r="47" spans="1:8">
      <c r="A47" s="328" t="s">
        <v>2185</v>
      </c>
      <c r="B47" s="328" t="s">
        <v>1607</v>
      </c>
      <c r="C47" s="323"/>
      <c r="D47" s="327"/>
      <c r="E47" s="323" t="s">
        <v>2167</v>
      </c>
      <c r="F47" s="323" t="s">
        <v>2010</v>
      </c>
      <c r="G47" s="323">
        <v>4902222</v>
      </c>
      <c r="H47" s="320" t="s">
        <v>2168</v>
      </c>
    </row>
    <row r="48" spans="1:8" ht="30">
      <c r="A48" s="323" t="s">
        <v>1649</v>
      </c>
      <c r="B48" s="328" t="s">
        <v>1607</v>
      </c>
      <c r="C48" s="323" t="s">
        <v>2186</v>
      </c>
      <c r="D48" s="327" t="s">
        <v>2187</v>
      </c>
      <c r="E48" s="323" t="s">
        <v>2188</v>
      </c>
      <c r="F48" s="323" t="s">
        <v>2189</v>
      </c>
      <c r="G48" s="323">
        <v>7454590</v>
      </c>
      <c r="H48" s="320" t="s">
        <v>2190</v>
      </c>
    </row>
    <row r="49" spans="1:8">
      <c r="A49" s="320" t="s">
        <v>2191</v>
      </c>
      <c r="B49" s="328" t="s">
        <v>1607</v>
      </c>
      <c r="C49" s="323" t="s">
        <v>2192</v>
      </c>
      <c r="D49" s="327"/>
      <c r="E49" s="320" t="s">
        <v>2193</v>
      </c>
      <c r="F49" s="320" t="s">
        <v>2019</v>
      </c>
      <c r="G49" s="323" t="s">
        <v>2194</v>
      </c>
      <c r="H49" s="320" t="s">
        <v>2195</v>
      </c>
    </row>
    <row r="50" spans="1:8">
      <c r="A50" s="323" t="s">
        <v>1445</v>
      </c>
      <c r="B50" s="328" t="s">
        <v>1607</v>
      </c>
      <c r="C50" s="323"/>
      <c r="D50" s="327"/>
      <c r="E50" s="320" t="s">
        <v>2018</v>
      </c>
      <c r="F50" s="320" t="s">
        <v>2019</v>
      </c>
      <c r="G50" s="323">
        <v>7561414</v>
      </c>
      <c r="H50" s="320" t="s">
        <v>2020</v>
      </c>
    </row>
    <row r="51" spans="1:8">
      <c r="A51" s="323" t="s">
        <v>1445</v>
      </c>
      <c r="B51" s="328" t="s">
        <v>1607</v>
      </c>
      <c r="C51" s="323"/>
      <c r="D51" s="327"/>
      <c r="E51" s="320" t="s">
        <v>2018</v>
      </c>
      <c r="F51" s="320" t="s">
        <v>2019</v>
      </c>
      <c r="G51" s="323">
        <v>7561414</v>
      </c>
      <c r="H51" s="320" t="s">
        <v>2020</v>
      </c>
    </row>
    <row r="52" spans="1:8" ht="30">
      <c r="A52" s="320" t="s">
        <v>1396</v>
      </c>
      <c r="B52" s="328" t="s">
        <v>1607</v>
      </c>
      <c r="C52" s="323" t="s">
        <v>2050</v>
      </c>
      <c r="D52" s="327">
        <v>42682</v>
      </c>
      <c r="E52" s="320" t="s">
        <v>2051</v>
      </c>
      <c r="F52" s="323" t="s">
        <v>2196</v>
      </c>
      <c r="G52" s="323" t="s">
        <v>2052</v>
      </c>
      <c r="H52" s="320" t="s">
        <v>2053</v>
      </c>
    </row>
    <row r="53" spans="1:8">
      <c r="A53" s="320" t="s">
        <v>2197</v>
      </c>
      <c r="B53" s="328" t="s">
        <v>1607</v>
      </c>
      <c r="C53" s="323"/>
      <c r="D53" s="327"/>
      <c r="E53" s="320" t="s">
        <v>2198</v>
      </c>
      <c r="F53" s="320" t="s">
        <v>2199</v>
      </c>
      <c r="G53" s="323">
        <v>3115314549</v>
      </c>
      <c r="H53" s="320" t="s">
        <v>2200</v>
      </c>
    </row>
    <row r="54" spans="1:8">
      <c r="A54" s="320" t="s">
        <v>1397</v>
      </c>
      <c r="B54" s="328" t="s">
        <v>1607</v>
      </c>
      <c r="C54" s="323" t="s">
        <v>2201</v>
      </c>
      <c r="D54" s="327"/>
      <c r="E54" s="320" t="s">
        <v>2202</v>
      </c>
      <c r="F54" s="320" t="s">
        <v>2060</v>
      </c>
      <c r="G54" s="323" t="s">
        <v>2203</v>
      </c>
      <c r="H54" s="320" t="s">
        <v>2204</v>
      </c>
    </row>
    <row r="55" spans="1:8" ht="60">
      <c r="A55" s="323" t="s">
        <v>2205</v>
      </c>
      <c r="B55" s="328" t="s">
        <v>1607</v>
      </c>
      <c r="C55" s="323" t="s">
        <v>2206</v>
      </c>
      <c r="D55" s="327">
        <v>42668</v>
      </c>
      <c r="E55" s="323" t="s">
        <v>2207</v>
      </c>
      <c r="F55" s="323" t="s">
        <v>2208</v>
      </c>
      <c r="G55" s="323" t="s">
        <v>2209</v>
      </c>
      <c r="H55" s="320" t="s">
        <v>2210</v>
      </c>
    </row>
    <row r="56" spans="1:8">
      <c r="A56" s="320" t="s">
        <v>2211</v>
      </c>
      <c r="B56" s="328" t="s">
        <v>1607</v>
      </c>
      <c r="C56" s="323"/>
      <c r="D56" s="327"/>
      <c r="E56" s="320" t="s">
        <v>2212</v>
      </c>
      <c r="F56" s="320" t="s">
        <v>2100</v>
      </c>
      <c r="G56" s="323" t="s">
        <v>2213</v>
      </c>
      <c r="H56" s="320" t="s">
        <v>2214</v>
      </c>
    </row>
    <row r="57" spans="1:8">
      <c r="A57" s="320" t="s">
        <v>2215</v>
      </c>
      <c r="B57" s="328" t="s">
        <v>1607</v>
      </c>
      <c r="C57" s="323"/>
      <c r="D57" s="327"/>
      <c r="E57" s="320" t="s">
        <v>2216</v>
      </c>
      <c r="F57" s="320" t="s">
        <v>2019</v>
      </c>
      <c r="G57" s="323" t="s">
        <v>2217</v>
      </c>
      <c r="H57" s="320" t="s">
        <v>2218</v>
      </c>
    </row>
    <row r="58" spans="1:8">
      <c r="A58" s="320" t="s">
        <v>2219</v>
      </c>
      <c r="B58" s="328" t="s">
        <v>1607</v>
      </c>
      <c r="C58" s="323"/>
      <c r="D58" s="327"/>
      <c r="E58" s="320" t="s">
        <v>2220</v>
      </c>
      <c r="F58" s="320" t="s">
        <v>2019</v>
      </c>
      <c r="G58" s="323" t="s">
        <v>2221</v>
      </c>
      <c r="H58" s="320" t="s">
        <v>2222</v>
      </c>
    </row>
    <row r="59" spans="1:8">
      <c r="A59" s="320" t="s">
        <v>2223</v>
      </c>
      <c r="B59" s="328" t="s">
        <v>1607</v>
      </c>
      <c r="C59" s="323"/>
      <c r="D59" s="327"/>
      <c r="E59" s="320" t="s">
        <v>2224</v>
      </c>
      <c r="F59" s="320" t="s">
        <v>2225</v>
      </c>
      <c r="G59" s="328" t="s">
        <v>2226</v>
      </c>
      <c r="H59" s="320" t="s">
        <v>2227</v>
      </c>
    </row>
    <row r="60" spans="1:8" ht="30">
      <c r="A60" s="323" t="s">
        <v>2228</v>
      </c>
      <c r="B60" s="328" t="s">
        <v>1607</v>
      </c>
      <c r="C60" s="323"/>
      <c r="D60" s="327"/>
      <c r="E60" s="323" t="s">
        <v>2229</v>
      </c>
      <c r="F60" s="323" t="s">
        <v>2230</v>
      </c>
      <c r="G60" s="323" t="s">
        <v>2231</v>
      </c>
      <c r="H60" s="320" t="s">
        <v>2232</v>
      </c>
    </row>
    <row r="61" spans="1:8">
      <c r="A61" s="320" t="s">
        <v>1448</v>
      </c>
      <c r="B61" s="328" t="s">
        <v>1607</v>
      </c>
      <c r="C61" s="323" t="s">
        <v>2233</v>
      </c>
      <c r="D61" s="327"/>
      <c r="E61" s="320" t="s">
        <v>2234</v>
      </c>
      <c r="F61" s="320" t="s">
        <v>2031</v>
      </c>
      <c r="G61" s="323" t="s">
        <v>2235</v>
      </c>
      <c r="H61" s="320" t="s">
        <v>2236</v>
      </c>
    </row>
    <row r="62" spans="1:8" ht="30">
      <c r="A62" s="323" t="s">
        <v>2237</v>
      </c>
      <c r="B62" s="328" t="s">
        <v>1607</v>
      </c>
      <c r="C62" s="323" t="s">
        <v>2238</v>
      </c>
      <c r="D62" s="327">
        <v>42690</v>
      </c>
      <c r="E62" s="323" t="s">
        <v>2239</v>
      </c>
      <c r="F62" s="323" t="s">
        <v>2240</v>
      </c>
      <c r="G62" s="323" t="s">
        <v>2241</v>
      </c>
      <c r="H62" s="330" t="s">
        <v>2242</v>
      </c>
    </row>
    <row r="63" spans="1:8" ht="30">
      <c r="A63" s="320" t="s">
        <v>1395</v>
      </c>
      <c r="B63" s="328" t="s">
        <v>1607</v>
      </c>
      <c r="C63" s="323" t="s">
        <v>2243</v>
      </c>
      <c r="D63" s="327"/>
      <c r="E63" s="320" t="s">
        <v>2244</v>
      </c>
      <c r="F63" s="320" t="s">
        <v>2032</v>
      </c>
      <c r="G63" s="323" t="s">
        <v>2245</v>
      </c>
      <c r="H63" s="320" t="s">
        <v>2246</v>
      </c>
    </row>
    <row r="64" spans="1:8" ht="30">
      <c r="A64" s="320" t="s">
        <v>2247</v>
      </c>
      <c r="B64" s="328" t="s">
        <v>1607</v>
      </c>
      <c r="C64" s="323" t="s">
        <v>2248</v>
      </c>
      <c r="D64" s="327"/>
      <c r="E64" s="320" t="s">
        <v>2249</v>
      </c>
      <c r="F64" s="320" t="s">
        <v>2019</v>
      </c>
      <c r="G64" s="323" t="s">
        <v>2250</v>
      </c>
      <c r="H64" s="320" t="s">
        <v>2251</v>
      </c>
    </row>
    <row r="65" spans="1:8">
      <c r="A65" s="328" t="s">
        <v>2252</v>
      </c>
      <c r="B65" s="328" t="s">
        <v>1607</v>
      </c>
      <c r="C65" s="323"/>
      <c r="D65" s="327"/>
      <c r="E65" s="320" t="s">
        <v>2253</v>
      </c>
      <c r="F65" s="320" t="s">
        <v>2100</v>
      </c>
      <c r="G65" s="323">
        <v>7427200</v>
      </c>
      <c r="H65" s="320" t="s">
        <v>2254</v>
      </c>
    </row>
    <row r="66" spans="1:8">
      <c r="A66" s="323" t="s">
        <v>2021</v>
      </c>
      <c r="B66" s="328" t="s">
        <v>1607</v>
      </c>
      <c r="C66" s="323" t="s">
        <v>2022</v>
      </c>
      <c r="D66" s="327"/>
      <c r="E66" s="323" t="s">
        <v>2023</v>
      </c>
      <c r="F66" s="328" t="s">
        <v>2024</v>
      </c>
      <c r="G66" s="328" t="s">
        <v>2025</v>
      </c>
      <c r="H66" s="320" t="s">
        <v>2026</v>
      </c>
    </row>
    <row r="67" spans="1:8" ht="30">
      <c r="A67" s="323" t="s">
        <v>2255</v>
      </c>
      <c r="B67" s="328" t="s">
        <v>1607</v>
      </c>
      <c r="C67" s="323"/>
      <c r="D67" s="327"/>
      <c r="E67" s="323" t="s">
        <v>2256</v>
      </c>
      <c r="F67" s="323" t="s">
        <v>2257</v>
      </c>
      <c r="G67" s="323" t="s">
        <v>2258</v>
      </c>
      <c r="H67" s="320" t="s">
        <v>2259</v>
      </c>
    </row>
    <row r="68" spans="1:8">
      <c r="A68" s="323" t="s">
        <v>2260</v>
      </c>
      <c r="B68" s="328" t="s">
        <v>1607</v>
      </c>
      <c r="C68" s="323"/>
      <c r="D68" s="327"/>
      <c r="E68" s="323" t="s">
        <v>2261</v>
      </c>
      <c r="F68" s="323" t="s">
        <v>2011</v>
      </c>
      <c r="G68" s="323" t="s">
        <v>2262</v>
      </c>
      <c r="H68" s="320" t="s">
        <v>2263</v>
      </c>
    </row>
    <row r="69" spans="1:8" ht="30">
      <c r="A69" s="320" t="s">
        <v>2264</v>
      </c>
      <c r="B69" s="328" t="s">
        <v>1607</v>
      </c>
      <c r="C69" s="323" t="s">
        <v>2265</v>
      </c>
      <c r="D69" s="327"/>
      <c r="E69" s="320" t="s">
        <v>2266</v>
      </c>
      <c r="F69" s="320" t="s">
        <v>2100</v>
      </c>
      <c r="G69" s="323" t="s">
        <v>2258</v>
      </c>
      <c r="H69" s="320" t="s">
        <v>2267</v>
      </c>
    </row>
    <row r="70" spans="1:8">
      <c r="A70" s="320" t="s">
        <v>1691</v>
      </c>
      <c r="B70" s="328" t="s">
        <v>1607</v>
      </c>
      <c r="C70" s="323" t="s">
        <v>2268</v>
      </c>
      <c r="D70" s="327"/>
      <c r="E70" s="320" t="s">
        <v>2269</v>
      </c>
      <c r="F70" s="320" t="s">
        <v>2019</v>
      </c>
      <c r="G70" s="323" t="s">
        <v>2270</v>
      </c>
      <c r="H70" s="320" t="s">
        <v>2271</v>
      </c>
    </row>
    <row r="71" spans="1:8">
      <c r="A71" s="320" t="s">
        <v>2272</v>
      </c>
      <c r="B71" s="328" t="s">
        <v>1607</v>
      </c>
      <c r="C71" s="323">
        <v>8000641266</v>
      </c>
      <c r="D71" s="327"/>
      <c r="E71" s="320" t="s">
        <v>2273</v>
      </c>
      <c r="F71" s="320" t="s">
        <v>2100</v>
      </c>
      <c r="G71" s="323">
        <v>6780150</v>
      </c>
      <c r="H71" s="320" t="s">
        <v>2184</v>
      </c>
    </row>
    <row r="72" spans="1:8" ht="30">
      <c r="A72" s="320" t="s">
        <v>2274</v>
      </c>
      <c r="B72" s="328" t="s">
        <v>1607</v>
      </c>
      <c r="C72" s="323"/>
      <c r="D72" s="327"/>
      <c r="E72" s="320" t="s">
        <v>2275</v>
      </c>
      <c r="F72" s="320" t="s">
        <v>2100</v>
      </c>
      <c r="G72" s="323" t="s">
        <v>2276</v>
      </c>
      <c r="H72" s="320" t="s">
        <v>2277</v>
      </c>
    </row>
    <row r="73" spans="1:8">
      <c r="A73" s="320" t="s">
        <v>2278</v>
      </c>
      <c r="B73" s="328" t="s">
        <v>1607</v>
      </c>
      <c r="C73" s="323" t="s">
        <v>2279</v>
      </c>
      <c r="D73" s="327"/>
      <c r="E73" s="320" t="s">
        <v>2280</v>
      </c>
      <c r="F73" s="320" t="s">
        <v>2019</v>
      </c>
      <c r="G73" s="323" t="s">
        <v>2281</v>
      </c>
      <c r="H73" s="320" t="s">
        <v>2282</v>
      </c>
    </row>
    <row r="74" spans="1:8">
      <c r="A74" s="320" t="s">
        <v>1485</v>
      </c>
      <c r="B74" s="328" t="s">
        <v>1607</v>
      </c>
      <c r="C74" s="323" t="s">
        <v>2283</v>
      </c>
      <c r="D74" s="327"/>
      <c r="E74" s="320" t="s">
        <v>2284</v>
      </c>
      <c r="F74" s="320" t="s">
        <v>2019</v>
      </c>
      <c r="G74" s="323">
        <v>4104546</v>
      </c>
      <c r="H74" s="320" t="s">
        <v>2285</v>
      </c>
    </row>
    <row r="75" spans="1:8" ht="30">
      <c r="A75" s="320" t="s">
        <v>2115</v>
      </c>
      <c r="B75" s="328" t="s">
        <v>1607</v>
      </c>
      <c r="C75" s="323"/>
      <c r="D75" s="327"/>
      <c r="E75" s="323" t="s">
        <v>2286</v>
      </c>
      <c r="F75" s="323" t="s">
        <v>2287</v>
      </c>
      <c r="G75" s="323" t="s">
        <v>2288</v>
      </c>
      <c r="H75" s="320" t="s">
        <v>2289</v>
      </c>
    </row>
    <row r="76" spans="1:8" ht="30">
      <c r="A76" s="320" t="s">
        <v>2115</v>
      </c>
      <c r="B76" s="328" t="s">
        <v>1607</v>
      </c>
      <c r="C76" s="323" t="s">
        <v>2290</v>
      </c>
      <c r="D76" s="327">
        <v>42684</v>
      </c>
      <c r="E76" s="323" t="s">
        <v>2286</v>
      </c>
      <c r="F76" s="323" t="s">
        <v>2287</v>
      </c>
      <c r="G76" s="323" t="s">
        <v>2288</v>
      </c>
      <c r="H76" s="330" t="s">
        <v>2289</v>
      </c>
    </row>
    <row r="77" spans="1:8" ht="30">
      <c r="A77" s="328" t="s">
        <v>2033</v>
      </c>
      <c r="B77" s="328" t="s">
        <v>1607</v>
      </c>
      <c r="C77" s="323">
        <v>830131226</v>
      </c>
      <c r="D77" s="327">
        <v>42657</v>
      </c>
      <c r="E77" s="328" t="s">
        <v>2034</v>
      </c>
      <c r="F77" s="328" t="s">
        <v>2035</v>
      </c>
      <c r="G77" s="323" t="s">
        <v>2036</v>
      </c>
      <c r="H77" s="328" t="s">
        <v>2037</v>
      </c>
    </row>
    <row r="78" spans="1:8" hidden="1"/>
    <row r="79" spans="1:8" hidden="1"/>
    <row r="80" spans="1:8" hidden="1"/>
    <row r="81" hidden="1"/>
    <row r="82" hidden="1"/>
    <row r="83" hidden="1"/>
    <row r="84" hidden="1"/>
    <row r="85" hidden="1"/>
    <row r="86" hidden="1"/>
    <row r="87" hidden="1"/>
    <row r="88" hidden="1"/>
    <row r="89" hidden="1"/>
    <row r="90" hidden="1"/>
    <row r="91" hidden="1"/>
    <row r="92" hidden="1"/>
    <row r="93" hidden="1"/>
    <row r="94" hidden="1"/>
    <row r="95" hidden="1"/>
    <row r="96" hidden="1"/>
    <row r="97" hidden="1"/>
    <row r="98" hidden="1"/>
    <row r="99" hidden="1"/>
    <row r="100" hidden="1"/>
    <row r="101" hidden="1"/>
    <row r="102" hidden="1"/>
    <row r="103" hidden="1"/>
    <row r="104" hidden="1"/>
    <row r="105" hidden="1"/>
    <row r="106" hidden="1"/>
    <row r="107" hidden="1"/>
    <row r="108" hidden="1"/>
    <row r="109" hidden="1"/>
    <row r="110" hidden="1"/>
    <row r="111" hidden="1"/>
    <row r="112" hidden="1"/>
    <row r="113" hidden="1"/>
    <row r="114" hidden="1"/>
    <row r="115" hidden="1"/>
    <row r="116" hidden="1"/>
    <row r="117" hidden="1"/>
    <row r="118" hidden="1"/>
    <row r="119" hidden="1"/>
    <row r="120" hidden="1"/>
    <row r="121" hidden="1"/>
    <row r="122" hidden="1"/>
    <row r="123" hidden="1"/>
    <row r="124" hidden="1"/>
    <row r="125" hidden="1"/>
    <row r="126" hidden="1"/>
    <row r="127" hidden="1"/>
    <row r="128" hidden="1"/>
    <row r="129" hidden="1"/>
    <row r="130" hidden="1"/>
    <row r="131" hidden="1"/>
    <row r="132" hidden="1"/>
    <row r="133" hidden="1"/>
    <row r="134" hidden="1"/>
    <row r="135" hidden="1"/>
    <row r="136" hidden="1"/>
    <row r="137" hidden="1"/>
    <row r="138" hidden="1"/>
    <row r="139" hidden="1"/>
    <row r="140" hidden="1"/>
    <row r="141" hidden="1"/>
    <row r="142" hidden="1"/>
    <row r="143" hidden="1"/>
    <row r="144" hidden="1"/>
    <row r="145" hidden="1"/>
    <row r="146" hidden="1"/>
    <row r="147" hidden="1"/>
    <row r="148" hidden="1"/>
    <row r="149" hidden="1"/>
    <row r="150" hidden="1"/>
    <row r="151" hidden="1"/>
    <row r="152" hidden="1"/>
    <row r="153" hidden="1"/>
    <row r="154" hidden="1"/>
    <row r="155" hidden="1"/>
    <row r="156" hidden="1"/>
    <row r="157" hidden="1"/>
    <row r="158" hidden="1"/>
    <row r="159" hidden="1"/>
    <row r="160" hidden="1"/>
    <row r="161" hidden="1"/>
    <row r="162" hidden="1"/>
    <row r="163" hidden="1"/>
    <row r="164" hidden="1"/>
    <row r="165" hidden="1"/>
    <row r="166" hidden="1"/>
    <row r="167" hidden="1"/>
    <row r="168" hidden="1"/>
    <row r="169" hidden="1"/>
    <row r="170" hidden="1"/>
    <row r="171" hidden="1"/>
    <row r="172" hidden="1"/>
    <row r="173" hidden="1"/>
    <row r="174" hidden="1"/>
    <row r="175" hidden="1"/>
    <row r="176" hidden="1"/>
    <row r="177" hidden="1"/>
    <row r="178" hidden="1"/>
    <row r="179" hidden="1"/>
    <row r="180" hidden="1"/>
    <row r="181" hidden="1"/>
    <row r="182" hidden="1"/>
    <row r="183" hidden="1"/>
    <row r="184" hidden="1"/>
    <row r="185" hidden="1"/>
    <row r="186" hidden="1"/>
    <row r="187" hidden="1"/>
    <row r="188" hidden="1"/>
    <row r="189" hidden="1"/>
    <row r="190" hidden="1"/>
    <row r="191" hidden="1"/>
    <row r="192" hidden="1"/>
    <row r="193" hidden="1"/>
    <row r="194" hidden="1"/>
    <row r="195" hidden="1"/>
    <row r="196" hidden="1"/>
    <row r="197" hidden="1"/>
    <row r="198" hidden="1"/>
    <row r="199" hidden="1"/>
    <row r="200" hidden="1"/>
    <row r="201" hidden="1"/>
    <row r="202" hidden="1"/>
    <row r="203" hidden="1"/>
    <row r="204" hidden="1"/>
    <row r="205" hidden="1"/>
    <row r="206" hidden="1"/>
    <row r="207" hidden="1"/>
    <row r="208" hidden="1"/>
    <row r="209" hidden="1"/>
    <row r="210" hidden="1"/>
    <row r="211" hidden="1"/>
    <row r="212" hidden="1"/>
    <row r="213" hidden="1"/>
    <row r="214" hidden="1"/>
    <row r="215" hidden="1"/>
    <row r="216" hidden="1"/>
    <row r="217" hidden="1"/>
    <row r="218" hidden="1"/>
    <row r="219" hidden="1"/>
    <row r="220" hidden="1"/>
    <row r="221" hidden="1"/>
    <row r="222" hidden="1"/>
    <row r="223" hidden="1"/>
    <row r="224" hidden="1"/>
    <row r="225" hidden="1"/>
    <row r="226" hidden="1"/>
    <row r="227" hidden="1"/>
    <row r="228" hidden="1"/>
    <row r="229" hidden="1"/>
    <row r="230" hidden="1"/>
    <row r="231" hidden="1"/>
    <row r="232" hidden="1"/>
    <row r="233" hidden="1"/>
    <row r="234" hidden="1"/>
    <row r="235" hidden="1"/>
    <row r="236" hidden="1"/>
    <row r="237" hidden="1"/>
    <row r="238"/>
    <row r="239"/>
    <row r="240"/>
    <row r="241"/>
    <row r="242"/>
    <row r="243"/>
    <row r="244"/>
    <row r="245"/>
    <row r="246"/>
    <row r="247"/>
    <row r="248"/>
    <row r="249"/>
    <row r="250"/>
    <row r="251"/>
    <row r="252"/>
    <row r="253"/>
    <row r="254"/>
    <row r="255"/>
    <row r="256"/>
    <row r="257"/>
    <row r="258"/>
    <row r="259"/>
    <row r="260"/>
    <row r="261"/>
    <row r="262"/>
    <row r="263"/>
    <row r="264"/>
    <row r="265"/>
    <row r="266"/>
    <row r="267"/>
    <row r="268"/>
    <row r="269"/>
    <row r="270"/>
    <row r="271"/>
    <row r="272"/>
    <row r="273"/>
    <row r="274"/>
    <row r="275"/>
    <row r="276"/>
    <row r="277"/>
    <row r="278"/>
    <row r="279"/>
    <row r="280"/>
    <row r="281"/>
    <row r="282"/>
    <row r="283"/>
    <row r="284"/>
    <row r="285"/>
    <row r="286"/>
    <row r="287"/>
    <row r="288"/>
    <row r="289"/>
    <row r="290"/>
    <row r="291"/>
    <row r="292"/>
    <row r="293"/>
    <row r="294"/>
    <row r="295"/>
    <row r="296"/>
    <row r="297"/>
    <row r="298"/>
    <row r="299"/>
    <row r="300"/>
    <row r="301"/>
    <row r="302"/>
    <row r="303"/>
    <row r="304"/>
    <row r="305"/>
    <row r="306"/>
    <row r="307"/>
    <row r="308"/>
    <row r="309"/>
    <row r="310"/>
    <row r="311"/>
    <row r="312"/>
    <row r="313"/>
    <row r="314"/>
    <row r="315"/>
    <row r="316"/>
    <row r="317"/>
    <row r="318"/>
    <row r="319"/>
    <row r="320"/>
    <row r="321"/>
    <row r="322"/>
    <row r="323"/>
    <row r="324"/>
    <row r="325"/>
    <row r="326"/>
    <row r="327"/>
    <row r="328"/>
    <row r="329"/>
    <row r="330"/>
    <row r="331"/>
    <row r="332"/>
    <row r="333"/>
    <row r="334"/>
    <row r="335"/>
    <row r="336"/>
    <row r="337"/>
    <row r="338"/>
    <row r="339"/>
    <row r="340"/>
    <row r="341"/>
    <row r="342"/>
    <row r="343"/>
    <row r="344"/>
    <row r="345"/>
    <row r="346"/>
    <row r="347"/>
    <row r="348"/>
    <row r="349"/>
    <row r="350"/>
    <row r="351"/>
    <row r="352"/>
    <row r="353"/>
    <row r="354"/>
    <row r="355"/>
    <row r="356"/>
    <row r="357"/>
    <row r="358"/>
    <row r="359"/>
    <row r="360"/>
    <row r="361"/>
    <row r="362"/>
    <row r="363"/>
    <row r="364"/>
    <row r="365"/>
    <row r="366"/>
    <row r="367"/>
    <row r="368"/>
    <row r="369"/>
    <row r="370"/>
    <row r="371"/>
    <row r="372"/>
    <row r="373"/>
    <row r="374"/>
    <row r="375"/>
    <row r="376"/>
    <row r="377"/>
    <row r="378"/>
    <row r="379"/>
    <row r="380"/>
    <row r="381"/>
    <row r="382"/>
    <row r="383"/>
    <row r="384"/>
    <row r="385"/>
    <row r="386"/>
    <row r="387"/>
    <row r="388"/>
    <row r="389"/>
    <row r="390"/>
    <row r="391"/>
    <row r="392"/>
    <row r="393"/>
    <row r="394"/>
    <row r="395"/>
    <row r="396"/>
    <row r="397"/>
    <row r="398"/>
    <row r="399"/>
    <row r="400"/>
    <row r="401"/>
    <row r="402"/>
    <row r="403"/>
    <row r="404"/>
    <row r="405"/>
    <row r="406"/>
    <row r="407"/>
    <row r="408"/>
    <row r="409"/>
    <row r="410"/>
    <row r="411"/>
    <row r="412"/>
    <row r="413"/>
    <row r="414"/>
    <row r="415"/>
    <row r="416"/>
    <row r="417"/>
    <row r="418"/>
    <row r="419"/>
    <row r="420"/>
    <row r="421"/>
    <row r="422"/>
    <row r="423"/>
    <row r="424"/>
    <row r="425"/>
    <row r="426"/>
    <row r="427"/>
    <row r="428"/>
    <row r="429"/>
    <row r="430"/>
    <row r="431"/>
    <row r="432"/>
    <row r="433"/>
    <row r="434"/>
    <row r="435"/>
    <row r="436"/>
    <row r="437"/>
    <row r="438"/>
    <row r="439"/>
    <row r="440"/>
    <row r="441"/>
    <row r="442"/>
    <row r="443"/>
    <row r="444"/>
    <row r="445"/>
    <row r="446"/>
    <row r="447"/>
    <row r="448"/>
    <row r="449"/>
    <row r="450"/>
    <row r="451"/>
    <row r="452"/>
    <row r="453"/>
    <row r="454"/>
    <row r="455"/>
    <row r="456"/>
    <row r="457"/>
    <row r="458"/>
    <row r="459"/>
    <row r="460"/>
    <row r="461"/>
    <row r="462"/>
    <row r="463"/>
    <row r="464"/>
    <row r="465"/>
    <row r="466"/>
    <row r="467"/>
    <row r="468"/>
    <row r="469"/>
    <row r="470"/>
    <row r="471"/>
    <row r="472"/>
    <row r="473"/>
    <row r="474"/>
    <row r="475"/>
    <row r="476"/>
    <row r="477"/>
    <row r="478"/>
    <row r="479"/>
    <row r="480"/>
    <row r="481"/>
    <row r="482"/>
    <row r="483"/>
    <row r="484"/>
    <row r="485"/>
    <row r="486"/>
    <row r="487"/>
    <row r="488"/>
    <row r="489"/>
    <row r="490"/>
    <row r="491"/>
    <row r="492"/>
    <row r="493"/>
    <row r="494"/>
    <row r="495"/>
    <row r="496"/>
    <row r="497"/>
    <row r="498"/>
    <row r="499"/>
    <row r="500"/>
    <row r="501"/>
    <row r="502"/>
    <row r="503"/>
    <row r="504"/>
    <row r="505"/>
    <row r="506"/>
    <row r="507"/>
    <row r="508"/>
    <row r="509"/>
    <row r="510"/>
    <row r="511"/>
    <row r="512"/>
    <row r="513"/>
    <row r="514"/>
    <row r="515"/>
    <row r="516"/>
    <row r="517"/>
    <row r="518"/>
    <row r="519"/>
    <row r="520"/>
    <row r="521"/>
    <row r="522"/>
    <row r="523"/>
    <row r="524"/>
    <row r="525"/>
    <row r="526"/>
    <row r="527"/>
    <row r="528"/>
    <row r="529"/>
    <row r="530"/>
    <row r="531"/>
    <row r="532"/>
    <row r="533"/>
    <row r="534"/>
    <row r="535"/>
    <row r="536"/>
    <row r="537"/>
    <row r="538"/>
    <row r="539"/>
    <row r="540"/>
    <row r="541"/>
    <row r="542"/>
    <row r="543"/>
    <row r="544"/>
    <row r="545"/>
    <row r="546"/>
    <row r="547"/>
    <row r="548"/>
    <row r="549"/>
    <row r="550"/>
    <row r="551"/>
    <row r="552"/>
    <row r="553"/>
    <row r="554"/>
    <row r="555"/>
    <row r="556"/>
    <row r="557"/>
    <row r="558"/>
    <row r="559"/>
    <row r="560"/>
    <row r="561"/>
    <row r="562"/>
    <row r="563"/>
    <row r="564"/>
    <row r="565"/>
    <row r="566"/>
    <row r="567"/>
    <row r="568"/>
    <row r="569"/>
    <row r="570"/>
    <row r="571"/>
    <row r="572"/>
    <row r="573"/>
    <row r="574"/>
    <row r="575"/>
    <row r="576"/>
    <row r="577"/>
    <row r="578"/>
    <row r="579"/>
    <row r="580"/>
    <row r="581"/>
    <row r="582"/>
    <row r="583"/>
    <row r="584"/>
    <row r="585"/>
    <row r="586"/>
    <row r="587"/>
    <row r="588"/>
    <row r="589"/>
    <row r="590"/>
    <row r="591"/>
    <row r="592"/>
    <row r="593"/>
    <row r="594"/>
    <row r="595"/>
    <row r="596"/>
    <row r="597"/>
    <row r="598"/>
    <row r="599"/>
  </sheetData>
  <sortState ref="A10:H438">
    <sortCondition ref="B10:B438"/>
  </sortState>
  <mergeCells count="5">
    <mergeCell ref="A3:H3"/>
    <mergeCell ref="A4:H4"/>
    <mergeCell ref="A7:H7"/>
    <mergeCell ref="B2:C2"/>
    <mergeCell ref="A5:H5"/>
  </mergeCells>
  <hyperlinks>
    <hyperlink ref="B2:C2" location="'INDICE_ MODELO'!C132" display="Ir a Índice"/>
  </hyperlinks>
  <pageMargins left="0.7" right="0.7" top="0.75" bottom="0.75" header="0.3" footer="0.3"/>
  <pageSetup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Q110"/>
  <sheetViews>
    <sheetView zoomScaleNormal="100" workbookViewId="0"/>
  </sheetViews>
  <sheetFormatPr baseColWidth="10" defaultColWidth="0" defaultRowHeight="15" zeroHeight="1"/>
  <cols>
    <col min="1" max="1" width="21.5703125" customWidth="1"/>
    <col min="2" max="2" width="8.140625" customWidth="1"/>
    <col min="3" max="3" width="21.85546875" customWidth="1"/>
    <col min="4" max="4" width="20.85546875" customWidth="1"/>
    <col min="5" max="5" width="21.140625" customWidth="1"/>
    <col min="6" max="6" width="1.28515625" customWidth="1"/>
    <col min="7" max="7" width="5.85546875" customWidth="1"/>
    <col min="8" max="8" width="17.140625" customWidth="1"/>
    <col min="9" max="9" width="18.140625" customWidth="1"/>
    <col min="10" max="15" width="9.42578125" customWidth="1"/>
    <col min="16" max="16" width="10.85546875" customWidth="1"/>
    <col min="17" max="17" width="30" customWidth="1"/>
    <col min="18" max="16384" width="11" hidden="1"/>
  </cols>
  <sheetData>
    <row r="1" spans="1:17" ht="15.75">
      <c r="A1" s="13"/>
      <c r="B1" s="14"/>
      <c r="C1" s="14"/>
      <c r="D1" s="14"/>
      <c r="E1" s="14"/>
      <c r="F1" s="14"/>
      <c r="G1" s="14"/>
      <c r="H1" s="14"/>
      <c r="I1" s="15"/>
      <c r="J1" s="15"/>
      <c r="K1" s="15"/>
      <c r="L1" s="15"/>
      <c r="M1" s="15"/>
      <c r="N1" s="15"/>
      <c r="O1" s="15"/>
      <c r="P1" s="15"/>
      <c r="Q1" s="16"/>
    </row>
    <row r="2" spans="1:17" ht="20.25">
      <c r="A2" s="17"/>
      <c r="B2" s="474" t="s">
        <v>1502</v>
      </c>
      <c r="C2" s="474"/>
      <c r="D2" s="4"/>
      <c r="E2" s="4"/>
      <c r="F2" s="4"/>
      <c r="G2" s="4"/>
      <c r="H2" s="4"/>
      <c r="I2" s="12"/>
      <c r="J2" s="12"/>
      <c r="K2" s="12"/>
      <c r="L2" s="12"/>
      <c r="M2" s="12"/>
      <c r="N2" s="12"/>
      <c r="O2" s="12"/>
      <c r="P2" s="12"/>
      <c r="Q2" s="18"/>
    </row>
    <row r="3" spans="1:17" ht="18.75" customHeight="1">
      <c r="A3" s="542" t="s">
        <v>1968</v>
      </c>
      <c r="B3" s="476"/>
      <c r="C3" s="476"/>
      <c r="D3" s="476"/>
      <c r="E3" s="476"/>
      <c r="F3" s="476"/>
      <c r="G3" s="476"/>
      <c r="H3" s="476"/>
      <c r="I3" s="476"/>
      <c r="J3" s="476"/>
      <c r="K3" s="476"/>
      <c r="L3" s="476"/>
      <c r="M3" s="476"/>
      <c r="N3" s="476"/>
      <c r="O3" s="476"/>
      <c r="P3" s="476"/>
      <c r="Q3" s="543"/>
    </row>
    <row r="4" spans="1:17" ht="18.75" customHeight="1">
      <c r="A4" s="542" t="s">
        <v>1969</v>
      </c>
      <c r="B4" s="476"/>
      <c r="C4" s="476"/>
      <c r="D4" s="476"/>
      <c r="E4" s="476"/>
      <c r="F4" s="476"/>
      <c r="G4" s="476"/>
      <c r="H4" s="476"/>
      <c r="I4" s="476"/>
      <c r="J4" s="476"/>
      <c r="K4" s="476"/>
      <c r="L4" s="476"/>
      <c r="M4" s="476"/>
      <c r="N4" s="476"/>
      <c r="O4" s="476"/>
      <c r="P4" s="476"/>
      <c r="Q4" s="543"/>
    </row>
    <row r="5" spans="1:17" s="225" customFormat="1" ht="18.75" customHeight="1">
      <c r="A5" s="542" t="s">
        <v>1970</v>
      </c>
      <c r="B5" s="476"/>
      <c r="C5" s="476"/>
      <c r="D5" s="476"/>
      <c r="E5" s="476"/>
      <c r="F5" s="476"/>
      <c r="G5" s="476"/>
      <c r="H5" s="476"/>
      <c r="I5" s="476"/>
      <c r="J5" s="476"/>
      <c r="K5" s="476"/>
      <c r="L5" s="476"/>
      <c r="M5" s="476"/>
      <c r="N5" s="476"/>
      <c r="O5" s="476"/>
      <c r="P5" s="476"/>
      <c r="Q5" s="543"/>
    </row>
    <row r="6" spans="1:17" ht="18.75">
      <c r="A6" s="102"/>
      <c r="B6" s="100"/>
      <c r="C6" s="100"/>
      <c r="D6" s="100"/>
      <c r="E6" s="100"/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9"/>
    </row>
    <row r="7" spans="1:17" ht="18.75" customHeight="1">
      <c r="A7" s="542" t="s">
        <v>1997</v>
      </c>
      <c r="B7" s="476"/>
      <c r="C7" s="476"/>
      <c r="D7" s="476"/>
      <c r="E7" s="476"/>
      <c r="F7" s="476"/>
      <c r="G7" s="476"/>
      <c r="H7" s="476"/>
      <c r="I7" s="476"/>
      <c r="J7" s="476"/>
      <c r="K7" s="476"/>
      <c r="L7" s="476"/>
      <c r="M7" s="476"/>
      <c r="N7" s="476"/>
      <c r="O7" s="476"/>
      <c r="P7" s="476"/>
      <c r="Q7" s="543"/>
    </row>
    <row r="8" spans="1:17" ht="15.75">
      <c r="A8" s="17"/>
      <c r="B8" s="4"/>
      <c r="C8" s="4"/>
      <c r="D8" s="4"/>
      <c r="E8" s="4"/>
      <c r="F8" s="4"/>
      <c r="G8" s="4"/>
      <c r="H8" s="4"/>
      <c r="I8" s="12"/>
      <c r="J8" s="12"/>
      <c r="K8" s="12"/>
      <c r="L8" s="12"/>
      <c r="M8" s="12"/>
      <c r="N8" s="12"/>
      <c r="O8" s="12"/>
      <c r="P8" s="12"/>
      <c r="Q8" s="18"/>
    </row>
    <row r="9" spans="1:17" ht="16.5" thickBot="1">
      <c r="A9" s="19"/>
      <c r="B9" s="20"/>
      <c r="C9" s="20"/>
      <c r="D9" s="20"/>
      <c r="E9" s="20"/>
      <c r="F9" s="20"/>
      <c r="G9" s="20"/>
      <c r="H9" s="20"/>
      <c r="I9" s="20"/>
      <c r="J9" s="20"/>
      <c r="K9" s="22"/>
      <c r="L9" s="22"/>
      <c r="M9" s="22"/>
      <c r="N9" s="22"/>
      <c r="O9" s="22"/>
      <c r="P9" s="22"/>
      <c r="Q9" s="21"/>
    </row>
    <row r="10" spans="1:17" ht="5.25" customHeight="1" thickBot="1">
      <c r="A10" s="44"/>
      <c r="B10" s="44"/>
      <c r="C10" s="44"/>
      <c r="D10" s="44"/>
      <c r="E10" s="44"/>
      <c r="F10" s="44"/>
      <c r="G10" s="44"/>
      <c r="H10" s="44"/>
      <c r="I10" s="44"/>
      <c r="J10" s="44"/>
      <c r="K10" s="44"/>
      <c r="L10" s="44"/>
      <c r="M10" s="44"/>
      <c r="N10" s="44"/>
      <c r="O10" s="44"/>
      <c r="P10" s="44"/>
      <c r="Q10" s="44"/>
    </row>
    <row r="11" spans="1:17" ht="15.75" thickBot="1">
      <c r="A11" s="535" t="s">
        <v>1998</v>
      </c>
      <c r="B11" s="536"/>
      <c r="C11" s="536"/>
      <c r="D11" s="536"/>
      <c r="E11" s="537"/>
      <c r="F11" s="33"/>
      <c r="G11" s="538" t="s">
        <v>1986</v>
      </c>
      <c r="H11" s="539"/>
      <c r="I11" s="539"/>
      <c r="J11" s="539"/>
      <c r="K11" s="539"/>
      <c r="L11" s="539"/>
      <c r="M11" s="539"/>
      <c r="N11" s="539"/>
      <c r="O11" s="539"/>
      <c r="P11" s="539"/>
      <c r="Q11" s="540"/>
    </row>
    <row r="12" spans="1:17" ht="6.75" customHeight="1">
      <c r="A12" s="34"/>
      <c r="B12" s="34"/>
      <c r="C12" s="34"/>
      <c r="D12" s="34"/>
      <c r="E12" s="34"/>
      <c r="F12" s="34"/>
      <c r="G12" s="34"/>
      <c r="H12" s="34"/>
      <c r="I12" s="34"/>
      <c r="J12" s="34"/>
      <c r="K12" s="34"/>
      <c r="L12" s="34"/>
      <c r="M12" s="34"/>
      <c r="N12" s="34"/>
      <c r="O12" s="34"/>
      <c r="P12" s="34"/>
      <c r="Q12" s="34"/>
    </row>
    <row r="13" spans="1:17" ht="42" customHeight="1">
      <c r="A13" s="180" t="s">
        <v>99</v>
      </c>
      <c r="B13" s="181" t="s">
        <v>126</v>
      </c>
      <c r="C13" s="181" t="s">
        <v>1999</v>
      </c>
      <c r="D13" s="181" t="s">
        <v>1335</v>
      </c>
      <c r="E13" s="181" t="s">
        <v>1336</v>
      </c>
      <c r="F13" s="34"/>
      <c r="G13" s="171" t="s">
        <v>104</v>
      </c>
      <c r="H13" s="171" t="s">
        <v>99</v>
      </c>
      <c r="I13" s="171" t="s">
        <v>109</v>
      </c>
      <c r="J13" s="171" t="s">
        <v>113</v>
      </c>
      <c r="K13" s="171" t="s">
        <v>114</v>
      </c>
      <c r="L13" s="171" t="s">
        <v>115</v>
      </c>
      <c r="M13" s="171" t="s">
        <v>106</v>
      </c>
      <c r="N13" s="171" t="s">
        <v>107</v>
      </c>
      <c r="O13" s="171" t="s">
        <v>112</v>
      </c>
      <c r="P13" s="171" t="s">
        <v>1333</v>
      </c>
      <c r="Q13" s="171" t="s">
        <v>108</v>
      </c>
    </row>
    <row r="14" spans="1:17" ht="13.5" customHeight="1">
      <c r="A14" s="534" t="s">
        <v>2000</v>
      </c>
      <c r="B14" s="412" t="s">
        <v>23</v>
      </c>
      <c r="C14" s="413">
        <f t="shared" ref="C14:C31" si="0">COUNTIF(CAL_PRIMERA_ENTREGA,B14)</f>
        <v>17</v>
      </c>
      <c r="D14" s="414">
        <f>$O$17</f>
        <v>629438</v>
      </c>
      <c r="E14" s="414">
        <f>D14*C14</f>
        <v>10700446</v>
      </c>
      <c r="F14" s="34"/>
      <c r="G14" s="172"/>
      <c r="H14" s="541" t="s">
        <v>116</v>
      </c>
      <c r="I14" s="173" t="s">
        <v>110</v>
      </c>
      <c r="J14" s="174">
        <f>SUMIF(VOL_JORNADA,"1052-1MNO",VOL_TIPOA)</f>
        <v>93582</v>
      </c>
      <c r="K14" s="174">
        <f>SUMIF(VOL_JORNADA,"1052-1MNO",VOL_TIPOB)</f>
        <v>123906</v>
      </c>
      <c r="L14" s="174">
        <f>SUMIF(VOL_JORNADA,"1052-1MNO",VOL_TIPOC)</f>
        <v>142985</v>
      </c>
      <c r="M14" s="174">
        <f>SUMIF(VOL_JORNADA,"1052-1MNO",VOL_TIPOM)</f>
        <v>0</v>
      </c>
      <c r="N14" s="174">
        <f>SUMIF(VOL_JORNADA,"1052-1MNO",VOL_TIPOH)</f>
        <v>0</v>
      </c>
      <c r="O14" s="174">
        <f>SUM(J14:N14)</f>
        <v>360473</v>
      </c>
      <c r="P14" s="174">
        <f>COUNTIF(VOL_JORNADA,"1052-1MNO")</f>
        <v>713</v>
      </c>
      <c r="Q14" s="175"/>
    </row>
    <row r="15" spans="1:17" ht="12.75" customHeight="1">
      <c r="A15" s="534"/>
      <c r="B15" s="412" t="s">
        <v>24</v>
      </c>
      <c r="C15" s="413">
        <f t="shared" si="0"/>
        <v>16</v>
      </c>
      <c r="D15" s="414">
        <f>$O$17</f>
        <v>629438</v>
      </c>
      <c r="E15" s="414">
        <f t="shared" ref="E15:E61" si="1">D15*C15</f>
        <v>10071008</v>
      </c>
      <c r="F15" s="34"/>
      <c r="G15" s="172"/>
      <c r="H15" s="541"/>
      <c r="I15" s="173" t="s">
        <v>111</v>
      </c>
      <c r="J15" s="174">
        <f>SUMIF(VOL_JORNADA,"1052-1TNO",VOL_TIPOA)</f>
        <v>69746</v>
      </c>
      <c r="K15" s="174">
        <f>SUMIF(VOL_JORNADA,"1052-1TNO",VOL_TIPOB)</f>
        <v>94011</v>
      </c>
      <c r="L15" s="174">
        <f>SUMIF(VOL_JORNADA,"1052-1TNO",VOL_TIPOC)</f>
        <v>90096</v>
      </c>
      <c r="M15" s="174">
        <f>SUMIF(VOL_JORNADA,"1052-1TNO",VOL_TIPOM)</f>
        <v>0</v>
      </c>
      <c r="N15" s="174">
        <f>SUMIF(VOL_JORNADA,"1052-1TNO",VOL_TIPOH)</f>
        <v>0</v>
      </c>
      <c r="O15" s="174">
        <f>SUM(J15:N15)</f>
        <v>253853</v>
      </c>
      <c r="P15" s="174">
        <f>COUNTIF(VOL_JORNADA,"1052-1TNO")</f>
        <v>541</v>
      </c>
      <c r="Q15" s="175"/>
    </row>
    <row r="16" spans="1:17" ht="12.75" customHeight="1">
      <c r="A16" s="534"/>
      <c r="B16" s="412" t="s">
        <v>25</v>
      </c>
      <c r="C16" s="413">
        <f t="shared" si="0"/>
        <v>17</v>
      </c>
      <c r="D16" s="414">
        <f t="shared" ref="D16:D31" si="2">$O$17</f>
        <v>629438</v>
      </c>
      <c r="E16" s="414">
        <f t="shared" si="1"/>
        <v>10700446</v>
      </c>
      <c r="F16" s="34"/>
      <c r="G16" s="172"/>
      <c r="H16" s="541"/>
      <c r="I16" s="173" t="s">
        <v>1332</v>
      </c>
      <c r="J16" s="174">
        <f>SUMIF(VOL_JORNADA,"1052-1NNO",VOL_TIPOA)</f>
        <v>0</v>
      </c>
      <c r="K16" s="174">
        <f>SUMIF(VOL_JORNADA,"1052-1NNO",VOL_TIPOB)</f>
        <v>0</v>
      </c>
      <c r="L16" s="174">
        <f>SUMIF(VOL_JORNADA,"1052-1NNO",VOL_TIPOC)</f>
        <v>0</v>
      </c>
      <c r="M16" s="174">
        <f>SUMIF(VOL_JORNADA,"1052-1NNO",VOL_TIPOM)</f>
        <v>7582</v>
      </c>
      <c r="N16" s="174">
        <f>SUMIF(VOL_JORNADA,"1052-1NNO",VOL_TIPOH)</f>
        <v>7530</v>
      </c>
      <c r="O16" s="174">
        <f>SUM(J16:N16)</f>
        <v>15112</v>
      </c>
      <c r="P16" s="174">
        <f>COUNTIF(VOL_JORNADA,"1052-1NNO")</f>
        <v>57</v>
      </c>
      <c r="Q16" s="175"/>
    </row>
    <row r="17" spans="1:17" ht="12.75" customHeight="1">
      <c r="A17" s="534"/>
      <c r="B17" s="412" t="s">
        <v>26</v>
      </c>
      <c r="C17" s="413">
        <f t="shared" si="0"/>
        <v>17</v>
      </c>
      <c r="D17" s="414">
        <f t="shared" si="2"/>
        <v>629438</v>
      </c>
      <c r="E17" s="414">
        <f t="shared" si="1"/>
        <v>10700446</v>
      </c>
      <c r="F17" s="34"/>
      <c r="G17" s="172" t="s">
        <v>100</v>
      </c>
      <c r="H17" s="541"/>
      <c r="I17" s="176" t="s">
        <v>102</v>
      </c>
      <c r="J17" s="177">
        <f t="shared" ref="J17:O17" si="3">SUM(J14:J16)</f>
        <v>163328</v>
      </c>
      <c r="K17" s="177">
        <f t="shared" si="3"/>
        <v>217917</v>
      </c>
      <c r="L17" s="177">
        <f t="shared" si="3"/>
        <v>233081</v>
      </c>
      <c r="M17" s="177">
        <f t="shared" si="3"/>
        <v>7582</v>
      </c>
      <c r="N17" s="177">
        <f t="shared" si="3"/>
        <v>7530</v>
      </c>
      <c r="O17" s="177">
        <f t="shared" si="3"/>
        <v>629438</v>
      </c>
      <c r="P17" s="177"/>
      <c r="Q17" s="176"/>
    </row>
    <row r="18" spans="1:17" ht="12.75" customHeight="1">
      <c r="A18" s="534"/>
      <c r="B18" s="412" t="s">
        <v>27</v>
      </c>
      <c r="C18" s="413">
        <f t="shared" si="0"/>
        <v>16</v>
      </c>
      <c r="D18" s="414">
        <f t="shared" si="2"/>
        <v>629438</v>
      </c>
      <c r="E18" s="414">
        <f t="shared" ref="E18:E31" si="4">D18*C18</f>
        <v>10071008</v>
      </c>
      <c r="F18" s="34"/>
      <c r="G18" s="172"/>
      <c r="H18" s="541" t="s">
        <v>117</v>
      </c>
      <c r="I18" s="173" t="s">
        <v>110</v>
      </c>
      <c r="J18" s="174">
        <f>SUMIF(VOL_JORNADA,"1052-2MNO",VOL_TIPOA)</f>
        <v>11847</v>
      </c>
      <c r="K18" s="174">
        <f>SUMIF(VOL_JORNADA,"1052-2MNO",VOL_TIPOB)</f>
        <v>8595</v>
      </c>
      <c r="L18" s="174">
        <f>SUMIF(VOL_JORNADA,"1052-2MNO",VOL_TIPOC)</f>
        <v>16626</v>
      </c>
      <c r="M18" s="174">
        <f>SUMIF(VOL_JORNADA,"1052-2MNO",VOL_TIPOM)</f>
        <v>0</v>
      </c>
      <c r="N18" s="174">
        <f>SUMIF(VOL_JORNADA,"1052-2MNO",VOL_TIPOH)</f>
        <v>0</v>
      </c>
      <c r="O18" s="174">
        <f>SUM(J18:N18)</f>
        <v>37068</v>
      </c>
      <c r="P18" s="174">
        <f>COUNTIF(VOL_JORNADA,"1052-2MNO")</f>
        <v>231</v>
      </c>
      <c r="Q18" s="175"/>
    </row>
    <row r="19" spans="1:17" ht="12.75" customHeight="1">
      <c r="A19" s="534"/>
      <c r="B19" s="412" t="s">
        <v>28</v>
      </c>
      <c r="C19" s="413">
        <f t="shared" si="0"/>
        <v>17</v>
      </c>
      <c r="D19" s="414">
        <f t="shared" si="2"/>
        <v>629438</v>
      </c>
      <c r="E19" s="414">
        <f t="shared" si="4"/>
        <v>10700446</v>
      </c>
      <c r="F19" s="34"/>
      <c r="G19" s="172"/>
      <c r="H19" s="541"/>
      <c r="I19" s="173" t="s">
        <v>1331</v>
      </c>
      <c r="J19" s="174">
        <f>SUMIF(VOL_JORNADA,"1052-2M1NO",VOL_TIPOA)</f>
        <v>6798</v>
      </c>
      <c r="K19" s="174">
        <f>SUMIF(VOL_JORNADA,"1052-2M1NO",VOL_TIPOB)</f>
        <v>15642</v>
      </c>
      <c r="L19" s="174">
        <f>SUMIF(VOL_JORNADA,"1052-2M1NO",VOL_TIPOC)</f>
        <v>12861</v>
      </c>
      <c r="M19" s="174">
        <f>SUMIF(VOL_JORNADA,"1052-2M1NO",VOL_TIPOM)</f>
        <v>0</v>
      </c>
      <c r="N19" s="174">
        <f>SUMIF(VOL_JORNADA,"1052-2M1NO",VOL_TIPOH)</f>
        <v>0</v>
      </c>
      <c r="O19" s="174">
        <f>SUM(J19:N19)</f>
        <v>35301</v>
      </c>
      <c r="P19" s="174">
        <f>COUNTIF(VOL_JORNADA,"1052-2M1NO")</f>
        <v>119</v>
      </c>
      <c r="Q19" s="175"/>
    </row>
    <row r="20" spans="1:17" ht="12.75" customHeight="1">
      <c r="A20" s="534"/>
      <c r="B20" s="412" t="s">
        <v>29</v>
      </c>
      <c r="C20" s="413">
        <f t="shared" si="0"/>
        <v>15</v>
      </c>
      <c r="D20" s="414">
        <f t="shared" si="2"/>
        <v>629438</v>
      </c>
      <c r="E20" s="414">
        <f t="shared" si="4"/>
        <v>9441570</v>
      </c>
      <c r="F20" s="34"/>
      <c r="G20" s="172"/>
      <c r="H20" s="541"/>
      <c r="I20" s="173" t="s">
        <v>111</v>
      </c>
      <c r="J20" s="174">
        <f>SUMIF(VOL_JORNADA,"1052-2TNO",VOL_TIPOA)</f>
        <v>9408</v>
      </c>
      <c r="K20" s="174">
        <f>SUMIF(VOL_JORNADA,"1052-2TNO",VOL_TIPOB)</f>
        <v>7040</v>
      </c>
      <c r="L20" s="174">
        <f>SUMIF(VOL_JORNADA,"1052-2TNO",VOL_TIPOC)</f>
        <v>16982</v>
      </c>
      <c r="M20" s="174">
        <f>SUMIF(VOL_JORNADA,"1052-2TNO",VOL_TIPOM)</f>
        <v>0</v>
      </c>
      <c r="N20" s="174">
        <f>SUMIF(VOL_JORNADA,"1052-2TNO",VOL_TIPOH)</f>
        <v>0</v>
      </c>
      <c r="O20" s="174">
        <f>SUM(J20:N20)</f>
        <v>33430</v>
      </c>
      <c r="P20" s="174">
        <f>COUNTIF(VOL_JORNADA,"1052-2TNO")</f>
        <v>239</v>
      </c>
      <c r="Q20" s="175"/>
    </row>
    <row r="21" spans="1:17" ht="12.75" customHeight="1">
      <c r="A21" s="534"/>
      <c r="B21" s="412" t="s">
        <v>30</v>
      </c>
      <c r="C21" s="413">
        <f t="shared" si="0"/>
        <v>15</v>
      </c>
      <c r="D21" s="414">
        <f t="shared" si="2"/>
        <v>629438</v>
      </c>
      <c r="E21" s="414">
        <f t="shared" si="4"/>
        <v>9441570</v>
      </c>
      <c r="F21" s="34"/>
      <c r="G21" s="172" t="s">
        <v>101</v>
      </c>
      <c r="H21" s="541"/>
      <c r="I21" s="176" t="s">
        <v>102</v>
      </c>
      <c r="J21" s="177">
        <f t="shared" ref="J21:O21" si="5">SUM(J18:J20)</f>
        <v>28053</v>
      </c>
      <c r="K21" s="177">
        <f t="shared" si="5"/>
        <v>31277</v>
      </c>
      <c r="L21" s="177">
        <f t="shared" si="5"/>
        <v>46469</v>
      </c>
      <c r="M21" s="177">
        <f t="shared" si="5"/>
        <v>0</v>
      </c>
      <c r="N21" s="177">
        <f t="shared" si="5"/>
        <v>0</v>
      </c>
      <c r="O21" s="177">
        <f t="shared" si="5"/>
        <v>105799</v>
      </c>
      <c r="P21" s="177"/>
      <c r="Q21" s="176"/>
    </row>
    <row r="22" spans="1:17" ht="12.75" customHeight="1">
      <c r="A22" s="534"/>
      <c r="B22" s="412" t="s">
        <v>31</v>
      </c>
      <c r="C22" s="413">
        <f t="shared" si="0"/>
        <v>17</v>
      </c>
      <c r="D22" s="414">
        <f t="shared" si="2"/>
        <v>629438</v>
      </c>
      <c r="E22" s="414">
        <f t="shared" si="4"/>
        <v>10700446</v>
      </c>
      <c r="F22" s="34"/>
      <c r="G22" s="172" t="s">
        <v>125</v>
      </c>
      <c r="H22" s="541"/>
      <c r="I22" s="178" t="s">
        <v>137</v>
      </c>
      <c r="J22" s="179">
        <f>SUMIF(VOL_JORNADA,"1052-2MSI",VOL_TIPOA)</f>
        <v>74</v>
      </c>
      <c r="K22" s="179">
        <f>SUMIF(VOL_JORNADA,"1052-2MSI",VOL_TIPOB)</f>
        <v>433</v>
      </c>
      <c r="L22" s="179">
        <f>SUMIF(VOL_JORNADA,"1052-2MSI",VOL_TIPOC)</f>
        <v>683</v>
      </c>
      <c r="M22" s="179">
        <f>SUMIF(VOL_JORNADA,"1052-2MSI",VOL_TIPOM)</f>
        <v>0</v>
      </c>
      <c r="N22" s="179">
        <f>SUMIF(VOL_JORNADA,"1052-2MSI",VOL_TIPOH)</f>
        <v>0</v>
      </c>
      <c r="O22" s="179">
        <f>SUM(J22:N22)</f>
        <v>1190</v>
      </c>
      <c r="P22" s="179">
        <f>COUNTIF(VOL_JORNADA,"1052-2MSI")</f>
        <v>3</v>
      </c>
      <c r="Q22" s="178"/>
    </row>
    <row r="23" spans="1:17" ht="12.75" customHeight="1">
      <c r="A23" s="534"/>
      <c r="B23" s="412" t="s">
        <v>32</v>
      </c>
      <c r="C23" s="413">
        <f t="shared" si="0"/>
        <v>16</v>
      </c>
      <c r="D23" s="414">
        <f t="shared" si="2"/>
        <v>629438</v>
      </c>
      <c r="E23" s="414">
        <f t="shared" si="4"/>
        <v>10071008</v>
      </c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</row>
    <row r="24" spans="1:17" ht="12.75" customHeight="1">
      <c r="A24" s="534"/>
      <c r="B24" s="412" t="s">
        <v>33</v>
      </c>
      <c r="C24" s="413">
        <f t="shared" si="0"/>
        <v>15</v>
      </c>
      <c r="D24" s="414">
        <f t="shared" si="2"/>
        <v>629438</v>
      </c>
      <c r="E24" s="414">
        <f t="shared" si="4"/>
        <v>9441570</v>
      </c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</row>
    <row r="25" spans="1:17" ht="12.75" customHeight="1">
      <c r="A25" s="534"/>
      <c r="B25" s="412" t="s">
        <v>34</v>
      </c>
      <c r="C25" s="413">
        <f t="shared" si="0"/>
        <v>17</v>
      </c>
      <c r="D25" s="414">
        <f t="shared" si="2"/>
        <v>629438</v>
      </c>
      <c r="E25" s="414">
        <f t="shared" si="4"/>
        <v>10700446</v>
      </c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</row>
    <row r="26" spans="1:17" ht="12.75" customHeight="1">
      <c r="A26" s="534"/>
      <c r="B26" s="412" t="s">
        <v>35</v>
      </c>
      <c r="C26" s="413">
        <f t="shared" si="0"/>
        <v>17</v>
      </c>
      <c r="D26" s="414">
        <f t="shared" si="2"/>
        <v>629438</v>
      </c>
      <c r="E26" s="414">
        <f t="shared" si="4"/>
        <v>10700446</v>
      </c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</row>
    <row r="27" spans="1:17" ht="12.75" customHeight="1">
      <c r="A27" s="534"/>
      <c r="B27" s="412" t="s">
        <v>36</v>
      </c>
      <c r="C27" s="413">
        <f t="shared" si="0"/>
        <v>15</v>
      </c>
      <c r="D27" s="414">
        <f t="shared" si="2"/>
        <v>629438</v>
      </c>
      <c r="E27" s="414">
        <f t="shared" si="4"/>
        <v>9441570</v>
      </c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</row>
    <row r="28" spans="1:17" ht="12.75" customHeight="1">
      <c r="A28" s="534"/>
      <c r="B28" s="412" t="s">
        <v>37</v>
      </c>
      <c r="C28" s="413">
        <f t="shared" si="0"/>
        <v>15</v>
      </c>
      <c r="D28" s="414">
        <f t="shared" si="2"/>
        <v>629438</v>
      </c>
      <c r="E28" s="414">
        <f t="shared" si="4"/>
        <v>9441570</v>
      </c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</row>
    <row r="29" spans="1:17" ht="12.75" customHeight="1">
      <c r="A29" s="534"/>
      <c r="B29" s="412" t="s">
        <v>18</v>
      </c>
      <c r="C29" s="413">
        <f t="shared" si="0"/>
        <v>6</v>
      </c>
      <c r="D29" s="414">
        <f t="shared" si="2"/>
        <v>629438</v>
      </c>
      <c r="E29" s="414">
        <f t="shared" si="4"/>
        <v>3776628</v>
      </c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</row>
    <row r="30" spans="1:17" ht="12.75" customHeight="1">
      <c r="A30" s="534"/>
      <c r="B30" s="412" t="s">
        <v>21</v>
      </c>
      <c r="C30" s="413">
        <f t="shared" si="0"/>
        <v>6</v>
      </c>
      <c r="D30" s="414">
        <f t="shared" si="2"/>
        <v>629438</v>
      </c>
      <c r="E30" s="414">
        <f t="shared" si="4"/>
        <v>3776628</v>
      </c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</row>
    <row r="31" spans="1:17" ht="12.75" customHeight="1">
      <c r="A31" s="534"/>
      <c r="B31" s="412" t="s">
        <v>22</v>
      </c>
      <c r="C31" s="413">
        <f t="shared" si="0"/>
        <v>5</v>
      </c>
      <c r="D31" s="414">
        <f t="shared" si="2"/>
        <v>629438</v>
      </c>
      <c r="E31" s="414">
        <f t="shared" si="4"/>
        <v>3147190</v>
      </c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</row>
    <row r="32" spans="1:17" ht="12.75" customHeight="1">
      <c r="A32" s="534" t="s">
        <v>2001</v>
      </c>
      <c r="B32" s="412" t="s">
        <v>38</v>
      </c>
      <c r="C32" s="413">
        <f>COUNTIF(CAL_SEGUNDA_ENTREGA_LAV,B32)</f>
        <v>12</v>
      </c>
      <c r="D32" s="414">
        <f>$O$21</f>
        <v>105799</v>
      </c>
      <c r="E32" s="414">
        <f t="shared" ref="E32:E57" si="6">D32*C32</f>
        <v>1269588</v>
      </c>
      <c r="F32" s="34"/>
      <c r="G32" s="34"/>
      <c r="H32" s="362"/>
      <c r="I32" s="34"/>
      <c r="J32" s="34"/>
      <c r="K32" s="34"/>
      <c r="L32" s="34"/>
      <c r="M32" s="34"/>
      <c r="N32" s="34"/>
      <c r="O32" s="34"/>
      <c r="P32" s="34"/>
      <c r="Q32" s="34"/>
    </row>
    <row r="33" spans="1:17" ht="12.75" customHeight="1">
      <c r="A33" s="534"/>
      <c r="B33" s="412" t="s">
        <v>40</v>
      </c>
      <c r="C33" s="413">
        <f t="shared" ref="C33:C45" si="7">COUNTIF(CAL_SEGUNDA_ENTREGA_LAV,B33)</f>
        <v>19</v>
      </c>
      <c r="D33" s="414">
        <f t="shared" ref="D33:D46" si="8">$O$21</f>
        <v>105799</v>
      </c>
      <c r="E33" s="414">
        <f t="shared" si="6"/>
        <v>2010181</v>
      </c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</row>
    <row r="34" spans="1:17" ht="12.75" customHeight="1">
      <c r="A34" s="534"/>
      <c r="B34" s="412" t="s">
        <v>41</v>
      </c>
      <c r="C34" s="413">
        <f t="shared" si="7"/>
        <v>22</v>
      </c>
      <c r="D34" s="414">
        <f t="shared" si="8"/>
        <v>105799</v>
      </c>
      <c r="E34" s="414">
        <f t="shared" si="6"/>
        <v>2327578</v>
      </c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</row>
    <row r="35" spans="1:17" ht="12.75" customHeight="1">
      <c r="A35" s="534"/>
      <c r="B35" s="412" t="s">
        <v>42</v>
      </c>
      <c r="C35" s="413">
        <f t="shared" si="7"/>
        <v>11</v>
      </c>
      <c r="D35" s="414">
        <f t="shared" si="8"/>
        <v>105799</v>
      </c>
      <c r="E35" s="414">
        <f t="shared" si="6"/>
        <v>1163789</v>
      </c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</row>
    <row r="36" spans="1:17" ht="12.75" customHeight="1">
      <c r="A36" s="534"/>
      <c r="B36" s="412" t="s">
        <v>43</v>
      </c>
      <c r="C36" s="413">
        <f t="shared" si="7"/>
        <v>20</v>
      </c>
      <c r="D36" s="414">
        <f t="shared" si="8"/>
        <v>105799</v>
      </c>
      <c r="E36" s="414">
        <f t="shared" si="6"/>
        <v>2115980</v>
      </c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</row>
    <row r="37" spans="1:17" ht="12.75" customHeight="1">
      <c r="A37" s="534"/>
      <c r="B37" s="412" t="s">
        <v>44</v>
      </c>
      <c r="C37" s="413">
        <f t="shared" si="7"/>
        <v>22</v>
      </c>
      <c r="D37" s="414">
        <f t="shared" si="8"/>
        <v>105799</v>
      </c>
      <c r="E37" s="414">
        <f t="shared" si="6"/>
        <v>2327578</v>
      </c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</row>
    <row r="38" spans="1:17" ht="12.75" customHeight="1">
      <c r="A38" s="534"/>
      <c r="B38" s="412" t="s">
        <v>45</v>
      </c>
      <c r="C38" s="413">
        <f t="shared" si="7"/>
        <v>11</v>
      </c>
      <c r="D38" s="414">
        <f t="shared" si="8"/>
        <v>105799</v>
      </c>
      <c r="E38" s="414">
        <f t="shared" si="6"/>
        <v>1163789</v>
      </c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</row>
    <row r="39" spans="1:17" ht="12.75" customHeight="1">
      <c r="A39" s="534"/>
      <c r="B39" s="412" t="s">
        <v>46</v>
      </c>
      <c r="C39" s="413">
        <f t="shared" si="7"/>
        <v>20</v>
      </c>
      <c r="D39" s="414">
        <f t="shared" si="8"/>
        <v>105799</v>
      </c>
      <c r="E39" s="414">
        <f t="shared" si="6"/>
        <v>2115980</v>
      </c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</row>
    <row r="40" spans="1:17" ht="12.75" customHeight="1">
      <c r="A40" s="534"/>
      <c r="B40" s="412" t="s">
        <v>47</v>
      </c>
      <c r="C40" s="413">
        <f t="shared" si="7"/>
        <v>22</v>
      </c>
      <c r="D40" s="414">
        <f t="shared" si="8"/>
        <v>105799</v>
      </c>
      <c r="E40" s="414">
        <f t="shared" si="6"/>
        <v>2327578</v>
      </c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</row>
    <row r="41" spans="1:17" ht="12.75" customHeight="1">
      <c r="A41" s="534"/>
      <c r="B41" s="412" t="s">
        <v>50</v>
      </c>
      <c r="C41" s="413">
        <f t="shared" si="7"/>
        <v>11</v>
      </c>
      <c r="D41" s="414">
        <f t="shared" si="8"/>
        <v>105799</v>
      </c>
      <c r="E41" s="414">
        <f t="shared" si="6"/>
        <v>1163789</v>
      </c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</row>
    <row r="42" spans="1:17" ht="12.75" customHeight="1">
      <c r="A42" s="534"/>
      <c r="B42" s="412" t="s">
        <v>51</v>
      </c>
      <c r="C42" s="413">
        <f t="shared" si="7"/>
        <v>18</v>
      </c>
      <c r="D42" s="414">
        <f t="shared" si="8"/>
        <v>105799</v>
      </c>
      <c r="E42" s="414">
        <f t="shared" si="6"/>
        <v>1904382</v>
      </c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</row>
    <row r="43" spans="1:17" ht="12.75" customHeight="1">
      <c r="A43" s="534"/>
      <c r="B43" s="412" t="s">
        <v>53</v>
      </c>
      <c r="C43" s="413">
        <f t="shared" si="7"/>
        <v>21</v>
      </c>
      <c r="D43" s="414">
        <f t="shared" si="8"/>
        <v>105799</v>
      </c>
      <c r="E43" s="414">
        <f t="shared" si="6"/>
        <v>2221779</v>
      </c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</row>
    <row r="44" spans="1:17" ht="12.75" customHeight="1">
      <c r="A44" s="534"/>
      <c r="B44" s="412" t="s">
        <v>54</v>
      </c>
      <c r="C44" s="413">
        <f t="shared" si="7"/>
        <v>11</v>
      </c>
      <c r="D44" s="414">
        <f t="shared" si="8"/>
        <v>105799</v>
      </c>
      <c r="E44" s="414">
        <f t="shared" si="6"/>
        <v>1163789</v>
      </c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</row>
    <row r="45" spans="1:17" ht="12.75" customHeight="1">
      <c r="A45" s="534"/>
      <c r="B45" s="412" t="s">
        <v>55</v>
      </c>
      <c r="C45" s="413">
        <f t="shared" si="7"/>
        <v>19</v>
      </c>
      <c r="D45" s="414">
        <f t="shared" si="8"/>
        <v>105799</v>
      </c>
      <c r="E45" s="414">
        <f t="shared" si="6"/>
        <v>2010181</v>
      </c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</row>
    <row r="46" spans="1:17" ht="12.75" customHeight="1">
      <c r="A46" s="534"/>
      <c r="B46" s="412" t="s">
        <v>58</v>
      </c>
      <c r="C46" s="413">
        <f>COUNTIF(CAL_SEGUNDA_ENTREGA_LAV,B46)</f>
        <v>20</v>
      </c>
      <c r="D46" s="414">
        <f t="shared" si="8"/>
        <v>105799</v>
      </c>
      <c r="E46" s="414">
        <f t="shared" si="6"/>
        <v>2115980</v>
      </c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</row>
    <row r="47" spans="1:17" ht="12.75" customHeight="1">
      <c r="A47" s="534" t="s">
        <v>2002</v>
      </c>
      <c r="B47" s="412" t="s">
        <v>38</v>
      </c>
      <c r="C47" s="413">
        <f t="shared" ref="C47:C56" si="9">COUNTIF(CAL_SEGUNDA_ENTREGA_FDS,B47)</f>
        <v>10</v>
      </c>
      <c r="D47" s="414">
        <f>$O$22</f>
        <v>1190</v>
      </c>
      <c r="E47" s="414">
        <f t="shared" si="6"/>
        <v>11900</v>
      </c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</row>
    <row r="48" spans="1:17" ht="12.75" customHeight="1">
      <c r="A48" s="534"/>
      <c r="B48" s="412" t="s">
        <v>40</v>
      </c>
      <c r="C48" s="413">
        <f t="shared" si="9"/>
        <v>0</v>
      </c>
      <c r="D48" s="414">
        <f t="shared" ref="D48:D61" si="10">$O$22</f>
        <v>1190</v>
      </c>
      <c r="E48" s="414">
        <f t="shared" si="6"/>
        <v>0</v>
      </c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</row>
    <row r="49" spans="1:17" ht="12.75" customHeight="1">
      <c r="A49" s="534"/>
      <c r="B49" s="412" t="s">
        <v>41</v>
      </c>
      <c r="C49" s="413">
        <f t="shared" si="9"/>
        <v>0</v>
      </c>
      <c r="D49" s="414">
        <f t="shared" si="10"/>
        <v>1190</v>
      </c>
      <c r="E49" s="414">
        <f t="shared" si="6"/>
        <v>0</v>
      </c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</row>
    <row r="50" spans="1:17" ht="12.75" customHeight="1">
      <c r="A50" s="534"/>
      <c r="B50" s="412" t="s">
        <v>42</v>
      </c>
      <c r="C50" s="413">
        <f t="shared" si="9"/>
        <v>11</v>
      </c>
      <c r="D50" s="414">
        <f t="shared" si="10"/>
        <v>1190</v>
      </c>
      <c r="E50" s="414">
        <f t="shared" si="6"/>
        <v>13090</v>
      </c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</row>
    <row r="51" spans="1:17" ht="12.75" customHeight="1">
      <c r="A51" s="534"/>
      <c r="B51" s="412" t="s">
        <v>43</v>
      </c>
      <c r="C51" s="413">
        <f t="shared" si="9"/>
        <v>0</v>
      </c>
      <c r="D51" s="414">
        <f t="shared" si="10"/>
        <v>1190</v>
      </c>
      <c r="E51" s="414">
        <f t="shared" si="6"/>
        <v>0</v>
      </c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</row>
    <row r="52" spans="1:17" ht="12.75" customHeight="1">
      <c r="A52" s="534"/>
      <c r="B52" s="412" t="s">
        <v>44</v>
      </c>
      <c r="C52" s="413">
        <f t="shared" si="9"/>
        <v>0</v>
      </c>
      <c r="D52" s="414">
        <f t="shared" si="10"/>
        <v>1190</v>
      </c>
      <c r="E52" s="414">
        <f t="shared" si="6"/>
        <v>0</v>
      </c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</row>
    <row r="53" spans="1:17" ht="12.75" customHeight="1">
      <c r="A53" s="534"/>
      <c r="B53" s="412" t="s">
        <v>45</v>
      </c>
      <c r="C53" s="413">
        <f t="shared" si="9"/>
        <v>11</v>
      </c>
      <c r="D53" s="414">
        <f t="shared" si="10"/>
        <v>1190</v>
      </c>
      <c r="E53" s="414">
        <f t="shared" si="6"/>
        <v>13090</v>
      </c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</row>
    <row r="54" spans="1:17" ht="12.75" customHeight="1">
      <c r="A54" s="534"/>
      <c r="B54" s="412" t="s">
        <v>46</v>
      </c>
      <c r="C54" s="413">
        <f t="shared" si="9"/>
        <v>0</v>
      </c>
      <c r="D54" s="414">
        <f t="shared" si="10"/>
        <v>1190</v>
      </c>
      <c r="E54" s="414">
        <f t="shared" si="6"/>
        <v>0</v>
      </c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</row>
    <row r="55" spans="1:17" ht="12.75" customHeight="1">
      <c r="A55" s="534"/>
      <c r="B55" s="412" t="s">
        <v>47</v>
      </c>
      <c r="C55" s="413">
        <f t="shared" si="9"/>
        <v>0</v>
      </c>
      <c r="D55" s="414">
        <f t="shared" si="10"/>
        <v>1190</v>
      </c>
      <c r="E55" s="414">
        <f t="shared" si="6"/>
        <v>0</v>
      </c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</row>
    <row r="56" spans="1:17" ht="12.75" customHeight="1">
      <c r="A56" s="534"/>
      <c r="B56" s="412" t="s">
        <v>50</v>
      </c>
      <c r="C56" s="413">
        <f t="shared" si="9"/>
        <v>11</v>
      </c>
      <c r="D56" s="414">
        <f t="shared" si="10"/>
        <v>1190</v>
      </c>
      <c r="E56" s="414">
        <f t="shared" si="6"/>
        <v>13090</v>
      </c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</row>
    <row r="57" spans="1:17" ht="12.75" customHeight="1">
      <c r="A57" s="534"/>
      <c r="B57" s="412" t="s">
        <v>51</v>
      </c>
      <c r="C57" s="413">
        <f t="shared" ref="C57:C61" si="11">COUNTIF(CAL_SEGUNDA_ENTREGA_FDS,B57)</f>
        <v>0</v>
      </c>
      <c r="D57" s="414">
        <f t="shared" si="10"/>
        <v>1190</v>
      </c>
      <c r="E57" s="414">
        <f t="shared" si="6"/>
        <v>0</v>
      </c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</row>
    <row r="58" spans="1:17" ht="12.75" customHeight="1">
      <c r="A58" s="534"/>
      <c r="B58" s="412" t="s">
        <v>53</v>
      </c>
      <c r="C58" s="413">
        <f t="shared" si="11"/>
        <v>0</v>
      </c>
      <c r="D58" s="414">
        <f t="shared" si="10"/>
        <v>1190</v>
      </c>
      <c r="E58" s="414">
        <f t="shared" si="1"/>
        <v>0</v>
      </c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</row>
    <row r="59" spans="1:17" ht="12.75" customHeight="1">
      <c r="A59" s="534"/>
      <c r="B59" s="412" t="s">
        <v>54</v>
      </c>
      <c r="C59" s="413">
        <f t="shared" si="11"/>
        <v>10</v>
      </c>
      <c r="D59" s="414">
        <f t="shared" si="10"/>
        <v>1190</v>
      </c>
      <c r="E59" s="414">
        <f t="shared" si="1"/>
        <v>11900</v>
      </c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</row>
    <row r="60" spans="1:17" ht="12.75" customHeight="1">
      <c r="A60" s="534"/>
      <c r="B60" s="412" t="s">
        <v>55</v>
      </c>
      <c r="C60" s="413">
        <f t="shared" si="11"/>
        <v>0</v>
      </c>
      <c r="D60" s="414">
        <f t="shared" si="10"/>
        <v>1190</v>
      </c>
      <c r="E60" s="414">
        <f t="shared" si="1"/>
        <v>0</v>
      </c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</row>
    <row r="61" spans="1:17" ht="12.75" customHeight="1">
      <c r="A61" s="534"/>
      <c r="B61" s="412" t="s">
        <v>58</v>
      </c>
      <c r="C61" s="413">
        <f t="shared" si="11"/>
        <v>0</v>
      </c>
      <c r="D61" s="414">
        <f t="shared" si="10"/>
        <v>1190</v>
      </c>
      <c r="E61" s="414">
        <f t="shared" si="1"/>
        <v>0</v>
      </c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</row>
    <row r="62" spans="1:17" ht="15.75">
      <c r="A62" s="182" t="s">
        <v>127</v>
      </c>
      <c r="B62" s="412"/>
      <c r="C62" s="415">
        <f>SUBTOTAL(109,FRE_FRECUENCIAS[ESTIMADO DEL NUMERO DE DIAS  A ENTREGAR EL MENÚ])</f>
        <v>571</v>
      </c>
      <c r="D62" s="414"/>
      <c r="E62" s="414">
        <f>SUBTOTAL(109,FRE_FRECUENCIAS[VOLUMEN ESTIMADO DE SUMINISTROS VIGENCIA 2017])</f>
        <v>190489453</v>
      </c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</row>
    <row r="63" spans="1:17">
      <c r="A63" s="34"/>
      <c r="B63" s="34"/>
      <c r="C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</row>
    <row r="64" spans="1:17" hidden="1"/>
    <row r="65" hidden="1"/>
    <row r="66" hidden="1"/>
    <row r="67" hidden="1"/>
    <row r="68" hidden="1"/>
    <row r="69" hidden="1"/>
    <row r="70" hidden="1"/>
    <row r="71" hidden="1"/>
    <row r="72" hidden="1"/>
    <row r="73" hidden="1"/>
    <row r="74" ht="12.75" hidden="1" customHeight="1"/>
    <row r="75" hidden="1"/>
    <row r="76" hidden="1"/>
    <row r="77" hidden="1"/>
    <row r="78" hidden="1"/>
    <row r="79" hidden="1"/>
    <row r="80" hidden="1"/>
    <row r="81" hidden="1"/>
    <row r="82" hidden="1"/>
    <row r="83" hidden="1"/>
    <row r="84" hidden="1"/>
    <row r="85" hidden="1"/>
    <row r="86" hidden="1"/>
    <row r="87" hidden="1"/>
    <row r="88" hidden="1"/>
    <row r="89" hidden="1"/>
    <row r="90" hidden="1"/>
    <row r="91" hidden="1"/>
    <row r="92" hidden="1"/>
    <row r="93" ht="12.75" hidden="1" customHeight="1"/>
    <row r="94" hidden="1"/>
    <row r="95" hidden="1"/>
    <row r="96" hidden="1"/>
    <row r="97" hidden="1"/>
    <row r="98" hidden="1"/>
    <row r="99" hidden="1"/>
    <row r="100" hidden="1"/>
    <row r="101" hidden="1"/>
    <row r="102" hidden="1"/>
    <row r="103" hidden="1"/>
    <row r="104" hidden="1"/>
    <row r="105" hidden="1"/>
    <row r="106" hidden="1"/>
    <row r="107" hidden="1"/>
    <row r="108" hidden="1"/>
    <row r="109" ht="12.75" hidden="1" customHeight="1"/>
    <row r="110"/>
  </sheetData>
  <mergeCells count="12">
    <mergeCell ref="B2:C2"/>
    <mergeCell ref="A3:Q3"/>
    <mergeCell ref="A4:Q4"/>
    <mergeCell ref="A7:Q7"/>
    <mergeCell ref="A14:A31"/>
    <mergeCell ref="A5:Q5"/>
    <mergeCell ref="A32:A46"/>
    <mergeCell ref="A47:A61"/>
    <mergeCell ref="A11:E11"/>
    <mergeCell ref="G11:Q11"/>
    <mergeCell ref="H14:H17"/>
    <mergeCell ref="H18:H22"/>
  </mergeCells>
  <hyperlinks>
    <hyperlink ref="B2:C2" location="'INDICE_ MODELO'!C144" display="Ir a Indice"/>
  </hyperlinks>
  <pageMargins left="0.7" right="0.7" top="0.75" bottom="0.75" header="0.3" footer="0.3"/>
  <pageSetup orientation="portrait" r:id="rId1"/>
  <ignoredErrors>
    <ignoredError sqref="C14:C17" calculatedColumn="1"/>
  </ignoredErrors>
  <drawing r:id="rId2"/>
  <tableParts count="1">
    <tablePart r:id="rId3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1:P503"/>
  <sheetViews>
    <sheetView zoomScaleNormal="100" workbookViewId="0"/>
  </sheetViews>
  <sheetFormatPr baseColWidth="10" defaultColWidth="0" defaultRowHeight="15" zeroHeight="1"/>
  <cols>
    <col min="1" max="1" width="5.28515625" customWidth="1"/>
    <col min="2" max="2" width="19.140625" customWidth="1"/>
    <col min="3" max="3" width="15.28515625" customWidth="1"/>
    <col min="4" max="4" width="3.140625" bestFit="1" customWidth="1"/>
    <col min="5" max="5" width="12.85546875" customWidth="1"/>
    <col min="6" max="6" width="10" customWidth="1"/>
    <col min="7" max="7" width="6.85546875" customWidth="1"/>
    <col min="8" max="8" width="20.42578125" customWidth="1"/>
    <col min="9" max="9" width="14.28515625" customWidth="1"/>
    <col min="10" max="10" width="10.7109375" customWidth="1"/>
    <col min="11" max="11" width="10" customWidth="1"/>
    <col min="12" max="12" width="8.85546875" customWidth="1"/>
    <col min="13" max="13" width="22.140625" customWidth="1"/>
    <col min="14" max="16" width="18.5703125" customWidth="1"/>
    <col min="17" max="16384" width="11" hidden="1"/>
  </cols>
  <sheetData>
    <row r="1" spans="1:16" ht="15.75">
      <c r="A1" s="203"/>
      <c r="B1" s="196"/>
      <c r="C1" s="196"/>
      <c r="D1" s="196"/>
      <c r="E1" s="196"/>
      <c r="F1" s="196"/>
      <c r="G1" s="196"/>
      <c r="H1" s="196"/>
      <c r="I1" s="196"/>
      <c r="J1" s="196"/>
      <c r="K1" s="196"/>
      <c r="L1" s="196"/>
      <c r="M1" s="196"/>
      <c r="N1" s="196"/>
      <c r="O1" s="196"/>
      <c r="P1" s="204"/>
    </row>
    <row r="2" spans="1:16" ht="20.25">
      <c r="A2" s="198"/>
      <c r="B2" s="474" t="s">
        <v>1502</v>
      </c>
      <c r="C2" s="474"/>
      <c r="D2" s="474"/>
      <c r="E2" s="474"/>
      <c r="F2" s="474"/>
      <c r="G2" s="86"/>
      <c r="H2" s="86"/>
      <c r="I2" s="86"/>
      <c r="J2" s="86"/>
      <c r="K2" s="86"/>
      <c r="L2" s="86"/>
      <c r="M2" s="86"/>
      <c r="N2" s="86"/>
      <c r="O2" s="86"/>
      <c r="P2" s="193"/>
    </row>
    <row r="3" spans="1:16" ht="18">
      <c r="A3" s="550" t="s">
        <v>1968</v>
      </c>
      <c r="B3" s="476"/>
      <c r="C3" s="476"/>
      <c r="D3" s="476"/>
      <c r="E3" s="476"/>
      <c r="F3" s="476"/>
      <c r="G3" s="476"/>
      <c r="H3" s="476"/>
      <c r="I3" s="476"/>
      <c r="J3" s="476"/>
      <c r="K3" s="476"/>
      <c r="L3" s="476"/>
      <c r="M3" s="476"/>
      <c r="N3" s="476"/>
      <c r="O3" s="476"/>
      <c r="P3" s="551"/>
    </row>
    <row r="4" spans="1:16" ht="18">
      <c r="A4" s="550" t="s">
        <v>1969</v>
      </c>
      <c r="B4" s="476"/>
      <c r="C4" s="476"/>
      <c r="D4" s="476"/>
      <c r="E4" s="476"/>
      <c r="F4" s="476"/>
      <c r="G4" s="476"/>
      <c r="H4" s="476"/>
      <c r="I4" s="476"/>
      <c r="J4" s="476"/>
      <c r="K4" s="476"/>
      <c r="L4" s="476"/>
      <c r="M4" s="476"/>
      <c r="N4" s="476"/>
      <c r="O4" s="476"/>
      <c r="P4" s="551"/>
    </row>
    <row r="5" spans="1:16" ht="18">
      <c r="A5" s="550" t="s">
        <v>1970</v>
      </c>
      <c r="B5" s="476"/>
      <c r="C5" s="476"/>
      <c r="D5" s="476"/>
      <c r="E5" s="476"/>
      <c r="F5" s="476"/>
      <c r="G5" s="476"/>
      <c r="H5" s="476"/>
      <c r="I5" s="476"/>
      <c r="J5" s="476"/>
      <c r="K5" s="476"/>
      <c r="L5" s="476"/>
      <c r="M5" s="476"/>
      <c r="N5" s="476"/>
      <c r="O5" s="476"/>
      <c r="P5" s="551"/>
    </row>
    <row r="6" spans="1:16" ht="18">
      <c r="A6" s="200"/>
      <c r="B6" s="107"/>
      <c r="C6" s="107"/>
      <c r="D6" s="107"/>
      <c r="E6" s="107"/>
      <c r="F6" s="107"/>
      <c r="G6" s="107"/>
      <c r="H6" s="107"/>
      <c r="I6" s="107"/>
      <c r="J6" s="107"/>
      <c r="K6" s="107"/>
      <c r="L6" s="107"/>
      <c r="M6" s="107"/>
      <c r="N6" s="107"/>
      <c r="O6" s="107"/>
      <c r="P6" s="205"/>
    </row>
    <row r="7" spans="1:16" ht="18">
      <c r="A7" s="550" t="s">
        <v>1989</v>
      </c>
      <c r="B7" s="476"/>
      <c r="C7" s="476"/>
      <c r="D7" s="476"/>
      <c r="E7" s="476"/>
      <c r="F7" s="476"/>
      <c r="G7" s="476"/>
      <c r="H7" s="476"/>
      <c r="I7" s="476"/>
      <c r="J7" s="476"/>
      <c r="K7" s="476"/>
      <c r="L7" s="476"/>
      <c r="M7" s="476"/>
      <c r="N7" s="476"/>
      <c r="O7" s="476"/>
      <c r="P7" s="551"/>
    </row>
    <row r="8" spans="1:16" ht="19.5">
      <c r="A8" s="201"/>
      <c r="B8" s="36"/>
      <c r="C8" s="36"/>
      <c r="D8" s="36"/>
      <c r="E8" s="36"/>
      <c r="F8" s="36"/>
      <c r="G8" s="36"/>
      <c r="H8" s="36"/>
      <c r="I8" s="36"/>
      <c r="J8" s="36"/>
      <c r="K8" s="36"/>
      <c r="L8" s="36"/>
      <c r="M8" s="36"/>
      <c r="N8" s="36"/>
      <c r="O8" s="36"/>
      <c r="P8" s="202"/>
    </row>
    <row r="9" spans="1:16" ht="15.75">
      <c r="A9" s="198"/>
      <c r="B9" s="86"/>
      <c r="C9" s="86"/>
      <c r="D9" s="86"/>
      <c r="E9" s="86"/>
      <c r="F9" s="86"/>
      <c r="G9" s="86"/>
      <c r="H9" s="86"/>
      <c r="I9" s="86"/>
      <c r="J9" s="86"/>
      <c r="K9" s="86"/>
      <c r="L9" s="86"/>
      <c r="M9" s="86"/>
      <c r="N9" s="86"/>
      <c r="O9" s="86"/>
      <c r="P9" s="193"/>
    </row>
    <row r="10" spans="1:16" ht="15.75">
      <c r="A10" s="198"/>
      <c r="B10" s="86"/>
      <c r="C10" s="86"/>
      <c r="D10" s="86"/>
      <c r="E10" s="86"/>
      <c r="F10" s="86"/>
      <c r="G10" s="86"/>
      <c r="H10" s="86"/>
      <c r="I10" s="86"/>
      <c r="J10" s="86"/>
      <c r="K10" s="86"/>
      <c r="L10" s="86"/>
      <c r="M10" s="86"/>
      <c r="N10" s="86"/>
      <c r="O10" s="86"/>
      <c r="P10" s="193"/>
    </row>
    <row r="11" spans="1:16" ht="15.75">
      <c r="A11" s="198"/>
      <c r="B11" s="108" t="s">
        <v>2517</v>
      </c>
      <c r="C11" s="86"/>
      <c r="D11" s="86"/>
      <c r="E11" s="86"/>
      <c r="F11" s="86"/>
      <c r="G11" s="86"/>
      <c r="H11" s="86"/>
      <c r="I11" s="86"/>
      <c r="J11" s="86"/>
      <c r="K11" s="86"/>
      <c r="L11" s="86"/>
      <c r="M11" s="86"/>
      <c r="N11" s="86"/>
      <c r="O11" s="86"/>
      <c r="P11" s="193"/>
    </row>
    <row r="12" spans="1:16" ht="15.75">
      <c r="A12" s="198"/>
      <c r="B12" s="108"/>
      <c r="C12" s="86"/>
      <c r="D12" s="86"/>
      <c r="E12" s="86"/>
      <c r="F12" s="86"/>
      <c r="G12" s="86"/>
      <c r="H12" s="86"/>
      <c r="I12" s="86"/>
      <c r="J12" s="86"/>
      <c r="K12" s="86"/>
      <c r="L12" s="86"/>
      <c r="M12" s="86"/>
      <c r="N12" s="86"/>
      <c r="O12" s="86"/>
      <c r="P12" s="193"/>
    </row>
    <row r="13" spans="1:16" ht="15.75">
      <c r="A13" s="198"/>
      <c r="B13" s="108" t="s">
        <v>2518</v>
      </c>
      <c r="C13" s="86"/>
      <c r="D13" s="86"/>
      <c r="E13" s="86"/>
      <c r="F13" s="86"/>
      <c r="G13" s="86"/>
      <c r="H13" s="86"/>
      <c r="I13" s="86"/>
      <c r="J13" s="86"/>
      <c r="K13" s="86"/>
      <c r="L13" s="86"/>
      <c r="M13" s="86"/>
      <c r="N13" s="86"/>
      <c r="O13" s="86"/>
      <c r="P13" s="193"/>
    </row>
    <row r="14" spans="1:16" ht="15.75">
      <c r="A14" s="198"/>
      <c r="B14" s="108" t="s">
        <v>118</v>
      </c>
      <c r="C14" s="86"/>
      <c r="D14" s="86"/>
      <c r="E14" s="86"/>
      <c r="F14" s="86"/>
      <c r="G14" s="86"/>
      <c r="H14" s="86"/>
      <c r="I14" s="86"/>
      <c r="J14" s="86"/>
      <c r="K14" s="86"/>
      <c r="L14" s="86"/>
      <c r="M14" s="86"/>
      <c r="N14" s="86"/>
      <c r="O14" s="86"/>
      <c r="P14" s="193"/>
    </row>
    <row r="15" spans="1:16" ht="15.75">
      <c r="A15" s="198"/>
      <c r="B15" s="82"/>
      <c r="C15" s="86"/>
      <c r="D15" s="86"/>
      <c r="E15" s="86"/>
      <c r="F15" s="86"/>
      <c r="G15" s="86"/>
      <c r="H15" s="86"/>
      <c r="I15" s="86"/>
      <c r="J15" s="86"/>
      <c r="K15" s="86"/>
      <c r="L15" s="86"/>
      <c r="M15" s="86"/>
      <c r="N15" s="86"/>
      <c r="O15" s="86"/>
      <c r="P15" s="193"/>
    </row>
    <row r="16" spans="1:16" ht="14.25" customHeight="1">
      <c r="A16" s="198"/>
      <c r="B16" s="82"/>
      <c r="C16" s="86"/>
      <c r="D16" s="86"/>
      <c r="E16" s="86"/>
      <c r="F16" s="544" t="s">
        <v>1990</v>
      </c>
      <c r="G16" s="545"/>
      <c r="H16" s="545"/>
      <c r="I16" s="546"/>
      <c r="J16" s="547" t="s">
        <v>1991</v>
      </c>
      <c r="K16" s="548"/>
      <c r="L16" s="548"/>
      <c r="M16" s="548"/>
      <c r="N16" s="548"/>
      <c r="O16" s="548"/>
      <c r="P16" s="549"/>
    </row>
    <row r="17" spans="1:16" ht="16.5" thickBot="1">
      <c r="A17" s="197"/>
      <c r="B17" s="192"/>
      <c r="C17" s="192"/>
      <c r="D17" s="192"/>
      <c r="E17" s="192"/>
      <c r="F17" s="192"/>
      <c r="G17" s="192"/>
      <c r="H17" s="192"/>
      <c r="I17" s="192"/>
      <c r="J17" s="192"/>
      <c r="K17" s="192"/>
      <c r="L17" s="192"/>
      <c r="M17" s="192"/>
      <c r="N17" s="192"/>
      <c r="O17" s="192"/>
      <c r="P17" s="195"/>
    </row>
    <row r="18" spans="1:16" ht="51">
      <c r="A18" s="199" t="s">
        <v>74</v>
      </c>
      <c r="B18" s="199" t="s">
        <v>75</v>
      </c>
      <c r="C18" s="199" t="s">
        <v>76</v>
      </c>
      <c r="D18" s="199" t="s">
        <v>77</v>
      </c>
      <c r="E18" s="199" t="s">
        <v>78</v>
      </c>
      <c r="F18" s="199" t="s">
        <v>1353</v>
      </c>
      <c r="G18" s="199" t="s">
        <v>1352</v>
      </c>
      <c r="H18" s="199" t="s">
        <v>1992</v>
      </c>
      <c r="I18" s="199" t="s">
        <v>1993</v>
      </c>
      <c r="J18" s="194" t="s">
        <v>1355</v>
      </c>
      <c r="K18" s="194" t="s">
        <v>1356</v>
      </c>
      <c r="L18" s="194" t="s">
        <v>1352</v>
      </c>
      <c r="M18" s="194" t="s">
        <v>1994</v>
      </c>
      <c r="N18" s="194" t="s">
        <v>1995</v>
      </c>
      <c r="O18" s="194" t="s">
        <v>1354</v>
      </c>
      <c r="P18" s="194" t="s">
        <v>1996</v>
      </c>
    </row>
    <row r="19" spans="1:16" ht="15.75">
      <c r="A19" s="165">
        <v>1</v>
      </c>
      <c r="B19" s="340">
        <v>42767</v>
      </c>
      <c r="C19" s="166" t="s">
        <v>79</v>
      </c>
      <c r="D19" s="165">
        <f>WEEKDAY(B19,2)</f>
        <v>3</v>
      </c>
      <c r="E19" s="165" t="s">
        <v>80</v>
      </c>
      <c r="F19" s="206" t="s">
        <v>84</v>
      </c>
      <c r="G19" s="165"/>
      <c r="H19" s="165"/>
      <c r="I19" s="165"/>
      <c r="J19" s="206" t="s">
        <v>84</v>
      </c>
      <c r="K19" s="206" t="s">
        <v>84</v>
      </c>
      <c r="L19" s="165"/>
      <c r="M19" s="165"/>
      <c r="N19" s="206"/>
      <c r="O19" s="165"/>
      <c r="P19" s="206"/>
    </row>
    <row r="20" spans="1:16" ht="15.75">
      <c r="A20" s="165">
        <v>2</v>
      </c>
      <c r="B20" s="340">
        <v>42768</v>
      </c>
      <c r="C20" s="166" t="s">
        <v>79</v>
      </c>
      <c r="D20" s="165">
        <f t="shared" ref="D20:D83" si="0">WEEKDAY(B20,2)</f>
        <v>4</v>
      </c>
      <c r="E20" s="165" t="s">
        <v>81</v>
      </c>
      <c r="F20" s="206" t="s">
        <v>84</v>
      </c>
      <c r="G20" s="165"/>
      <c r="H20" s="165"/>
      <c r="I20" s="165"/>
      <c r="J20" s="206" t="s">
        <v>84</v>
      </c>
      <c r="K20" s="206" t="s">
        <v>84</v>
      </c>
      <c r="L20" s="165"/>
      <c r="M20" s="165"/>
      <c r="N20" s="206"/>
      <c r="O20" s="165"/>
      <c r="P20" s="206"/>
    </row>
    <row r="21" spans="1:16" ht="15.75">
      <c r="A21" s="165">
        <v>3</v>
      </c>
      <c r="B21" s="340">
        <v>42769</v>
      </c>
      <c r="C21" s="166" t="s">
        <v>79</v>
      </c>
      <c r="D21" s="165">
        <f t="shared" si="0"/>
        <v>5</v>
      </c>
      <c r="E21" s="165" t="s">
        <v>82</v>
      </c>
      <c r="F21" s="206" t="s">
        <v>84</v>
      </c>
      <c r="G21" s="165"/>
      <c r="H21" s="165"/>
      <c r="I21" s="165"/>
      <c r="J21" s="206" t="s">
        <v>84</v>
      </c>
      <c r="K21" s="206" t="s">
        <v>84</v>
      </c>
      <c r="L21" s="165"/>
      <c r="M21" s="165"/>
      <c r="N21" s="206"/>
      <c r="O21" s="165"/>
      <c r="P21" s="206"/>
    </row>
    <row r="22" spans="1:16" ht="15.75">
      <c r="A22" s="165">
        <v>4</v>
      </c>
      <c r="B22" s="340">
        <v>42770</v>
      </c>
      <c r="C22" s="166" t="s">
        <v>79</v>
      </c>
      <c r="D22" s="165">
        <f t="shared" si="0"/>
        <v>6</v>
      </c>
      <c r="E22" s="165" t="s">
        <v>83</v>
      </c>
      <c r="F22" s="206" t="s">
        <v>84</v>
      </c>
      <c r="G22" s="165"/>
      <c r="H22" s="165"/>
      <c r="I22" s="165"/>
      <c r="J22" s="206" t="s">
        <v>84</v>
      </c>
      <c r="K22" s="206" t="s">
        <v>84</v>
      </c>
      <c r="L22" s="165"/>
      <c r="M22" s="165"/>
      <c r="N22" s="206"/>
      <c r="O22" s="165"/>
      <c r="P22" s="206"/>
    </row>
    <row r="23" spans="1:16" ht="15.75">
      <c r="A23" s="165">
        <v>5</v>
      </c>
      <c r="B23" s="340">
        <v>42771</v>
      </c>
      <c r="C23" s="166" t="s">
        <v>79</v>
      </c>
      <c r="D23" s="165">
        <f t="shared" si="0"/>
        <v>7</v>
      </c>
      <c r="E23" s="165" t="s">
        <v>85</v>
      </c>
      <c r="F23" s="206" t="s">
        <v>84</v>
      </c>
      <c r="G23" s="165"/>
      <c r="H23" s="165"/>
      <c r="I23" s="165"/>
      <c r="J23" s="206" t="s">
        <v>84</v>
      </c>
      <c r="K23" s="206" t="s">
        <v>84</v>
      </c>
      <c r="L23" s="165"/>
      <c r="M23" s="165"/>
      <c r="N23" s="206"/>
      <c r="O23" s="165"/>
      <c r="P23" s="206"/>
    </row>
    <row r="24" spans="1:16" ht="15.75">
      <c r="A24" s="165">
        <v>6</v>
      </c>
      <c r="B24" s="340">
        <v>42772</v>
      </c>
      <c r="C24" s="166" t="s">
        <v>79</v>
      </c>
      <c r="D24" s="165">
        <f t="shared" si="0"/>
        <v>1</v>
      </c>
      <c r="E24" s="165" t="s">
        <v>86</v>
      </c>
      <c r="F24" s="206" t="s">
        <v>84</v>
      </c>
      <c r="G24" s="165"/>
      <c r="H24" s="165"/>
      <c r="I24" s="165"/>
      <c r="J24" s="206" t="s">
        <v>84</v>
      </c>
      <c r="K24" s="206" t="s">
        <v>84</v>
      </c>
      <c r="L24" s="165"/>
      <c r="M24" s="165"/>
      <c r="N24" s="206"/>
      <c r="O24" s="165"/>
      <c r="P24" s="206"/>
    </row>
    <row r="25" spans="1:16" ht="15.75">
      <c r="A25" s="165">
        <v>7</v>
      </c>
      <c r="B25" s="340">
        <v>42773</v>
      </c>
      <c r="C25" s="166" t="s">
        <v>79</v>
      </c>
      <c r="D25" s="165">
        <f t="shared" si="0"/>
        <v>2</v>
      </c>
      <c r="E25" s="165" t="s">
        <v>87</v>
      </c>
      <c r="F25" s="206" t="s">
        <v>84</v>
      </c>
      <c r="G25" s="165"/>
      <c r="H25" s="165"/>
      <c r="I25" s="165"/>
      <c r="J25" s="206" t="s">
        <v>84</v>
      </c>
      <c r="K25" s="206" t="s">
        <v>84</v>
      </c>
      <c r="L25" s="165"/>
      <c r="M25" s="165"/>
      <c r="N25" s="206"/>
      <c r="O25" s="165"/>
      <c r="P25" s="206"/>
    </row>
    <row r="26" spans="1:16" ht="15.75">
      <c r="A26" s="165">
        <v>8</v>
      </c>
      <c r="B26" s="340">
        <v>42774</v>
      </c>
      <c r="C26" s="166" t="s">
        <v>79</v>
      </c>
      <c r="D26" s="165">
        <f t="shared" si="0"/>
        <v>3</v>
      </c>
      <c r="E26" s="165" t="s">
        <v>80</v>
      </c>
      <c r="F26" s="206" t="s">
        <v>84</v>
      </c>
      <c r="G26" s="165"/>
      <c r="H26" s="165"/>
      <c r="I26" s="165"/>
      <c r="J26" s="206" t="s">
        <v>84</v>
      </c>
      <c r="K26" s="206" t="s">
        <v>84</v>
      </c>
      <c r="L26" s="165"/>
      <c r="M26" s="165"/>
      <c r="N26" s="206"/>
      <c r="O26" s="165"/>
      <c r="P26" s="206"/>
    </row>
    <row r="27" spans="1:16" ht="15.75">
      <c r="A27" s="165">
        <v>9</v>
      </c>
      <c r="B27" s="340">
        <v>42775</v>
      </c>
      <c r="C27" s="166" t="s">
        <v>79</v>
      </c>
      <c r="D27" s="165">
        <f t="shared" si="0"/>
        <v>4</v>
      </c>
      <c r="E27" s="165" t="s">
        <v>81</v>
      </c>
      <c r="F27" s="206" t="s">
        <v>84</v>
      </c>
      <c r="G27" s="165"/>
      <c r="H27" s="165"/>
      <c r="I27" s="165"/>
      <c r="J27" s="206" t="s">
        <v>84</v>
      </c>
      <c r="K27" s="206" t="s">
        <v>84</v>
      </c>
      <c r="L27" s="165"/>
      <c r="M27" s="165"/>
      <c r="N27" s="206"/>
      <c r="O27" s="165"/>
      <c r="P27" s="206"/>
    </row>
    <row r="28" spans="1:16" ht="15.75">
      <c r="A28" s="165">
        <v>10</v>
      </c>
      <c r="B28" s="340">
        <v>42776</v>
      </c>
      <c r="C28" s="166" t="s">
        <v>79</v>
      </c>
      <c r="D28" s="165">
        <f t="shared" si="0"/>
        <v>5</v>
      </c>
      <c r="E28" s="165" t="s">
        <v>82</v>
      </c>
      <c r="F28" s="206" t="s">
        <v>84</v>
      </c>
      <c r="G28" s="165"/>
      <c r="H28" s="165"/>
      <c r="I28" s="165"/>
      <c r="J28" s="206" t="s">
        <v>84</v>
      </c>
      <c r="K28" s="206" t="s">
        <v>84</v>
      </c>
      <c r="L28" s="165"/>
      <c r="M28" s="165"/>
      <c r="N28" s="206"/>
      <c r="O28" s="165"/>
      <c r="P28" s="206"/>
    </row>
    <row r="29" spans="1:16" ht="15.75">
      <c r="A29" s="165">
        <v>11</v>
      </c>
      <c r="B29" s="340">
        <v>42777</v>
      </c>
      <c r="C29" s="166" t="s">
        <v>79</v>
      </c>
      <c r="D29" s="165">
        <f t="shared" si="0"/>
        <v>6</v>
      </c>
      <c r="E29" s="165" t="s">
        <v>83</v>
      </c>
      <c r="F29" s="206" t="s">
        <v>84</v>
      </c>
      <c r="G29" s="165"/>
      <c r="H29" s="165"/>
      <c r="I29" s="165"/>
      <c r="J29" s="206" t="s">
        <v>84</v>
      </c>
      <c r="K29" s="206" t="s">
        <v>84</v>
      </c>
      <c r="L29" s="165"/>
      <c r="M29" s="165"/>
      <c r="N29" s="206"/>
      <c r="O29" s="206"/>
      <c r="P29" s="206"/>
    </row>
    <row r="30" spans="1:16" ht="15.75">
      <c r="A30" s="165">
        <v>12</v>
      </c>
      <c r="B30" s="340">
        <v>42778</v>
      </c>
      <c r="C30" s="166" t="s">
        <v>79</v>
      </c>
      <c r="D30" s="165">
        <f t="shared" si="0"/>
        <v>7</v>
      </c>
      <c r="E30" s="165" t="s">
        <v>85</v>
      </c>
      <c r="F30" s="206" t="s">
        <v>84</v>
      </c>
      <c r="G30" s="165"/>
      <c r="H30" s="165"/>
      <c r="I30" s="165"/>
      <c r="J30" s="206" t="s">
        <v>84</v>
      </c>
      <c r="K30" s="206" t="s">
        <v>84</v>
      </c>
      <c r="L30" s="165"/>
      <c r="M30" s="165"/>
      <c r="N30" s="206"/>
      <c r="O30" s="165"/>
      <c r="P30" s="206"/>
    </row>
    <row r="31" spans="1:16" ht="15.75">
      <c r="A31" s="165">
        <v>13</v>
      </c>
      <c r="B31" s="340">
        <v>42779</v>
      </c>
      <c r="C31" s="166" t="s">
        <v>79</v>
      </c>
      <c r="D31" s="165">
        <f t="shared" si="0"/>
        <v>1</v>
      </c>
      <c r="E31" s="165" t="s">
        <v>86</v>
      </c>
      <c r="F31" s="206" t="s">
        <v>84</v>
      </c>
      <c r="G31" s="165"/>
      <c r="H31" s="165"/>
      <c r="I31" s="165"/>
      <c r="J31" s="206" t="s">
        <v>84</v>
      </c>
      <c r="K31" s="206" t="s">
        <v>84</v>
      </c>
      <c r="L31" s="165"/>
      <c r="M31" s="165"/>
      <c r="N31" s="206"/>
      <c r="O31" s="165"/>
      <c r="P31" s="206"/>
    </row>
    <row r="32" spans="1:16" ht="15.75">
      <c r="A32" s="165">
        <v>14</v>
      </c>
      <c r="B32" s="340">
        <v>42780</v>
      </c>
      <c r="C32" s="166" t="s">
        <v>79</v>
      </c>
      <c r="D32" s="165">
        <f t="shared" si="0"/>
        <v>2</v>
      </c>
      <c r="E32" s="165" t="s">
        <v>87</v>
      </c>
      <c r="F32" s="206" t="s">
        <v>84</v>
      </c>
      <c r="G32" s="165"/>
      <c r="H32" s="165"/>
      <c r="I32" s="165"/>
      <c r="J32" s="206" t="s">
        <v>84</v>
      </c>
      <c r="K32" s="206" t="s">
        <v>84</v>
      </c>
      <c r="L32" s="165"/>
      <c r="M32" s="165"/>
      <c r="N32" s="206"/>
      <c r="O32" s="165"/>
      <c r="P32" s="206"/>
    </row>
    <row r="33" spans="1:16" ht="15.75">
      <c r="A33" s="165">
        <v>15</v>
      </c>
      <c r="B33" s="340">
        <v>42781</v>
      </c>
      <c r="C33" s="166" t="s">
        <v>79</v>
      </c>
      <c r="D33" s="165">
        <f t="shared" si="0"/>
        <v>3</v>
      </c>
      <c r="E33" s="165" t="s">
        <v>80</v>
      </c>
      <c r="F33" s="206" t="s">
        <v>84</v>
      </c>
      <c r="G33" s="165"/>
      <c r="H33" s="165"/>
      <c r="I33" s="165"/>
      <c r="J33" s="206" t="s">
        <v>84</v>
      </c>
      <c r="K33" s="206" t="s">
        <v>84</v>
      </c>
      <c r="L33" s="165"/>
      <c r="M33" s="165"/>
      <c r="N33" s="206"/>
      <c r="O33" s="165"/>
      <c r="P33" s="206"/>
    </row>
    <row r="34" spans="1:16" ht="15.75">
      <c r="A34" s="165">
        <v>16</v>
      </c>
      <c r="B34" s="340">
        <v>42782</v>
      </c>
      <c r="C34" s="166" t="s">
        <v>79</v>
      </c>
      <c r="D34" s="165">
        <f t="shared" si="0"/>
        <v>4</v>
      </c>
      <c r="E34" s="165" t="s">
        <v>81</v>
      </c>
      <c r="F34" s="206" t="s">
        <v>84</v>
      </c>
      <c r="G34" s="165"/>
      <c r="H34" s="165"/>
      <c r="I34" s="165"/>
      <c r="J34" s="206" t="s">
        <v>84</v>
      </c>
      <c r="K34" s="206" t="s">
        <v>84</v>
      </c>
      <c r="L34" s="165"/>
      <c r="M34" s="165"/>
      <c r="N34" s="206"/>
      <c r="O34" s="165"/>
      <c r="P34" s="206"/>
    </row>
    <row r="35" spans="1:16" ht="15.75">
      <c r="A35" s="165">
        <v>17</v>
      </c>
      <c r="B35" s="340">
        <v>42783</v>
      </c>
      <c r="C35" s="166" t="s">
        <v>79</v>
      </c>
      <c r="D35" s="165">
        <f t="shared" si="0"/>
        <v>5</v>
      </c>
      <c r="E35" s="165" t="s">
        <v>82</v>
      </c>
      <c r="F35" s="206" t="s">
        <v>84</v>
      </c>
      <c r="G35" s="165"/>
      <c r="H35" s="165"/>
      <c r="I35" s="165"/>
      <c r="J35" s="206" t="s">
        <v>84</v>
      </c>
      <c r="K35" s="206" t="s">
        <v>84</v>
      </c>
      <c r="L35" s="165"/>
      <c r="M35" s="165"/>
      <c r="N35" s="206"/>
      <c r="O35" s="165"/>
      <c r="P35" s="206"/>
    </row>
    <row r="36" spans="1:16" ht="15.75">
      <c r="A36" s="165">
        <v>18</v>
      </c>
      <c r="B36" s="340">
        <v>42784</v>
      </c>
      <c r="C36" s="166" t="s">
        <v>79</v>
      </c>
      <c r="D36" s="165">
        <f t="shared" si="0"/>
        <v>6</v>
      </c>
      <c r="E36" s="165" t="s">
        <v>83</v>
      </c>
      <c r="F36" s="206" t="s">
        <v>84</v>
      </c>
      <c r="G36" s="165"/>
      <c r="H36" s="165"/>
      <c r="I36" s="165"/>
      <c r="J36" s="206" t="s">
        <v>84</v>
      </c>
      <c r="K36" s="206" t="s">
        <v>84</v>
      </c>
      <c r="L36" s="165"/>
      <c r="M36" s="165"/>
      <c r="N36" s="206"/>
      <c r="O36" s="165"/>
      <c r="P36" s="206"/>
    </row>
    <row r="37" spans="1:16" ht="15.75">
      <c r="A37" s="165">
        <v>19</v>
      </c>
      <c r="B37" s="340">
        <v>42785</v>
      </c>
      <c r="C37" s="166" t="s">
        <v>79</v>
      </c>
      <c r="D37" s="165">
        <f t="shared" si="0"/>
        <v>7</v>
      </c>
      <c r="E37" s="165" t="s">
        <v>85</v>
      </c>
      <c r="F37" s="206" t="s">
        <v>84</v>
      </c>
      <c r="G37" s="165"/>
      <c r="H37" s="165"/>
      <c r="I37" s="165"/>
      <c r="J37" s="206" t="s">
        <v>84</v>
      </c>
      <c r="K37" s="206" t="s">
        <v>84</v>
      </c>
      <c r="L37" s="165"/>
      <c r="M37" s="165"/>
      <c r="N37" s="206"/>
      <c r="O37" s="165"/>
      <c r="P37" s="206"/>
    </row>
    <row r="38" spans="1:16" ht="15.75">
      <c r="A38" s="165">
        <v>20</v>
      </c>
      <c r="B38" s="340">
        <v>42786</v>
      </c>
      <c r="C38" s="166" t="s">
        <v>79</v>
      </c>
      <c r="D38" s="165">
        <f t="shared" si="0"/>
        <v>1</v>
      </c>
      <c r="E38" s="165" t="s">
        <v>86</v>
      </c>
      <c r="F38" s="206" t="s">
        <v>84</v>
      </c>
      <c r="G38" s="165"/>
      <c r="H38" s="165"/>
      <c r="I38" s="165"/>
      <c r="J38" s="206" t="s">
        <v>84</v>
      </c>
      <c r="K38" s="206" t="s">
        <v>84</v>
      </c>
      <c r="L38" s="165"/>
      <c r="M38" s="165"/>
      <c r="N38" s="206"/>
      <c r="O38" s="165"/>
      <c r="P38" s="206"/>
    </row>
    <row r="39" spans="1:16" ht="15.75">
      <c r="A39" s="165">
        <v>21</v>
      </c>
      <c r="B39" s="340">
        <v>42787</v>
      </c>
      <c r="C39" s="166" t="s">
        <v>79</v>
      </c>
      <c r="D39" s="165">
        <f t="shared" si="0"/>
        <v>2</v>
      </c>
      <c r="E39" s="165" t="s">
        <v>87</v>
      </c>
      <c r="F39" s="206" t="s">
        <v>84</v>
      </c>
      <c r="G39" s="165"/>
      <c r="H39" s="165"/>
      <c r="I39" s="165"/>
      <c r="J39" s="206" t="s">
        <v>84</v>
      </c>
      <c r="K39" s="206" t="s">
        <v>84</v>
      </c>
      <c r="L39" s="165"/>
      <c r="M39" s="165"/>
      <c r="N39" s="206"/>
      <c r="O39" s="165"/>
      <c r="P39" s="206"/>
    </row>
    <row r="40" spans="1:16" ht="15.75">
      <c r="A40" s="165">
        <v>22</v>
      </c>
      <c r="B40" s="340">
        <v>42788</v>
      </c>
      <c r="C40" s="166" t="s">
        <v>79</v>
      </c>
      <c r="D40" s="165">
        <f t="shared" si="0"/>
        <v>3</v>
      </c>
      <c r="E40" s="165" t="s">
        <v>80</v>
      </c>
      <c r="F40" s="206" t="s">
        <v>84</v>
      </c>
      <c r="G40" s="165"/>
      <c r="H40" s="165"/>
      <c r="I40" s="165"/>
      <c r="J40" s="206" t="s">
        <v>84</v>
      </c>
      <c r="K40" s="206" t="s">
        <v>84</v>
      </c>
      <c r="L40" s="165"/>
      <c r="M40" s="165"/>
      <c r="N40" s="206"/>
      <c r="O40" s="165"/>
      <c r="P40" s="206"/>
    </row>
    <row r="41" spans="1:16" ht="15.75">
      <c r="A41" s="165">
        <v>23</v>
      </c>
      <c r="B41" s="340">
        <v>42789</v>
      </c>
      <c r="C41" s="166" t="s">
        <v>79</v>
      </c>
      <c r="D41" s="165">
        <f t="shared" si="0"/>
        <v>4</v>
      </c>
      <c r="E41" s="165" t="s">
        <v>81</v>
      </c>
      <c r="F41" s="206" t="s">
        <v>84</v>
      </c>
      <c r="G41" s="165"/>
      <c r="H41" s="165"/>
      <c r="I41" s="165"/>
      <c r="J41" s="206" t="s">
        <v>84</v>
      </c>
      <c r="K41" s="206" t="s">
        <v>84</v>
      </c>
      <c r="L41" s="165"/>
      <c r="M41" s="165"/>
      <c r="N41" s="206"/>
      <c r="O41" s="165"/>
      <c r="P41" s="206"/>
    </row>
    <row r="42" spans="1:16" ht="15.75">
      <c r="A42" s="165">
        <v>24</v>
      </c>
      <c r="B42" s="340">
        <v>42790</v>
      </c>
      <c r="C42" s="166" t="s">
        <v>79</v>
      </c>
      <c r="D42" s="165">
        <f t="shared" si="0"/>
        <v>5</v>
      </c>
      <c r="E42" s="165" t="s">
        <v>82</v>
      </c>
      <c r="F42" s="206" t="s">
        <v>84</v>
      </c>
      <c r="G42" s="165"/>
      <c r="H42" s="165"/>
      <c r="I42" s="165"/>
      <c r="J42" s="206" t="s">
        <v>84</v>
      </c>
      <c r="K42" s="206" t="s">
        <v>84</v>
      </c>
      <c r="L42" s="165"/>
      <c r="M42" s="165"/>
      <c r="N42" s="206"/>
      <c r="O42" s="165"/>
      <c r="P42" s="206"/>
    </row>
    <row r="43" spans="1:16" ht="15.75">
      <c r="A43" s="165">
        <v>25</v>
      </c>
      <c r="B43" s="340">
        <v>42791</v>
      </c>
      <c r="C43" s="166" t="s">
        <v>79</v>
      </c>
      <c r="D43" s="165">
        <f t="shared" si="0"/>
        <v>6</v>
      </c>
      <c r="E43" s="165" t="s">
        <v>83</v>
      </c>
      <c r="F43" s="206" t="s">
        <v>84</v>
      </c>
      <c r="G43" s="165"/>
      <c r="H43" s="165"/>
      <c r="I43" s="165"/>
      <c r="J43" s="206" t="s">
        <v>84</v>
      </c>
      <c r="K43" s="206" t="s">
        <v>84</v>
      </c>
      <c r="L43" s="165"/>
      <c r="M43" s="165"/>
      <c r="N43" s="206"/>
      <c r="O43" s="165"/>
      <c r="P43" s="206"/>
    </row>
    <row r="44" spans="1:16" ht="15.75">
      <c r="A44" s="165">
        <v>26</v>
      </c>
      <c r="B44" s="340">
        <v>42792</v>
      </c>
      <c r="C44" s="166" t="s">
        <v>79</v>
      </c>
      <c r="D44" s="165">
        <f t="shared" si="0"/>
        <v>7</v>
      </c>
      <c r="E44" s="165" t="s">
        <v>85</v>
      </c>
      <c r="F44" s="206" t="s">
        <v>84</v>
      </c>
      <c r="G44" s="165"/>
      <c r="H44" s="165"/>
      <c r="I44" s="165"/>
      <c r="J44" s="206" t="s">
        <v>84</v>
      </c>
      <c r="K44" s="206" t="s">
        <v>84</v>
      </c>
      <c r="L44" s="165"/>
      <c r="M44" s="165"/>
      <c r="N44" s="206"/>
      <c r="O44" s="165"/>
      <c r="P44" s="206"/>
    </row>
    <row r="45" spans="1:16" ht="15.75">
      <c r="A45" s="165">
        <v>27</v>
      </c>
      <c r="B45" s="340">
        <v>42793</v>
      </c>
      <c r="C45" s="166" t="s">
        <v>79</v>
      </c>
      <c r="D45" s="165">
        <f t="shared" si="0"/>
        <v>1</v>
      </c>
      <c r="E45" s="165" t="s">
        <v>86</v>
      </c>
      <c r="F45" s="206" t="s">
        <v>84</v>
      </c>
      <c r="G45" s="165"/>
      <c r="H45" s="165"/>
      <c r="I45" s="165"/>
      <c r="J45" s="206" t="s">
        <v>84</v>
      </c>
      <c r="K45" s="206" t="s">
        <v>84</v>
      </c>
      <c r="L45" s="165"/>
      <c r="M45" s="165"/>
      <c r="N45" s="206"/>
      <c r="O45" s="165"/>
      <c r="P45" s="206"/>
    </row>
    <row r="46" spans="1:16" ht="15.75">
      <c r="A46" s="165">
        <v>28</v>
      </c>
      <c r="B46" s="340">
        <v>42794</v>
      </c>
      <c r="C46" s="166" t="s">
        <v>79</v>
      </c>
      <c r="D46" s="165">
        <f t="shared" si="0"/>
        <v>2</v>
      </c>
      <c r="E46" s="165" t="s">
        <v>87</v>
      </c>
      <c r="F46" s="206" t="s">
        <v>84</v>
      </c>
      <c r="G46" s="165"/>
      <c r="H46" s="165"/>
      <c r="I46" s="206"/>
      <c r="J46" s="206" t="s">
        <v>84</v>
      </c>
      <c r="K46" s="206" t="s">
        <v>84</v>
      </c>
      <c r="L46" s="165"/>
      <c r="M46" s="165"/>
      <c r="N46" s="206"/>
      <c r="O46" s="165"/>
      <c r="P46" s="206"/>
    </row>
    <row r="47" spans="1:16" ht="15.75">
      <c r="A47" s="165">
        <v>29</v>
      </c>
      <c r="B47" s="340">
        <v>42795</v>
      </c>
      <c r="C47" s="166" t="s">
        <v>88</v>
      </c>
      <c r="D47" s="165">
        <f t="shared" si="0"/>
        <v>3</v>
      </c>
      <c r="E47" s="165" t="s">
        <v>80</v>
      </c>
      <c r="F47" s="165" t="s">
        <v>105</v>
      </c>
      <c r="G47" s="165">
        <v>1</v>
      </c>
      <c r="H47" s="165" t="s">
        <v>23</v>
      </c>
      <c r="I47" s="206" t="s">
        <v>1841</v>
      </c>
      <c r="J47" s="165" t="s">
        <v>105</v>
      </c>
      <c r="K47" s="165" t="s">
        <v>84</v>
      </c>
      <c r="L47" s="165">
        <v>1</v>
      </c>
      <c r="M47" s="206" t="s">
        <v>38</v>
      </c>
      <c r="N47" s="206" t="s">
        <v>1868</v>
      </c>
      <c r="O47" s="165"/>
      <c r="P47" s="206"/>
    </row>
    <row r="48" spans="1:16" ht="15.75">
      <c r="A48" s="165">
        <v>30</v>
      </c>
      <c r="B48" s="340">
        <v>42796</v>
      </c>
      <c r="C48" s="166" t="s">
        <v>88</v>
      </c>
      <c r="D48" s="165">
        <f t="shared" si="0"/>
        <v>4</v>
      </c>
      <c r="E48" s="165" t="s">
        <v>81</v>
      </c>
      <c r="F48" s="165" t="s">
        <v>105</v>
      </c>
      <c r="G48" s="165">
        <v>1</v>
      </c>
      <c r="H48" s="165" t="s">
        <v>24</v>
      </c>
      <c r="I48" s="206" t="s">
        <v>1799</v>
      </c>
      <c r="J48" s="165" t="s">
        <v>105</v>
      </c>
      <c r="K48" s="165" t="s">
        <v>84</v>
      </c>
      <c r="L48" s="165">
        <v>1</v>
      </c>
      <c r="M48" s="165" t="s">
        <v>40</v>
      </c>
      <c r="N48" s="206" t="s">
        <v>1847</v>
      </c>
      <c r="O48" s="165"/>
      <c r="P48" s="206"/>
    </row>
    <row r="49" spans="1:16" ht="15.75">
      <c r="A49" s="165">
        <v>31</v>
      </c>
      <c r="B49" s="340">
        <v>42797</v>
      </c>
      <c r="C49" s="166" t="s">
        <v>88</v>
      </c>
      <c r="D49" s="165">
        <f t="shared" si="0"/>
        <v>5</v>
      </c>
      <c r="E49" s="165" t="s">
        <v>82</v>
      </c>
      <c r="F49" s="165" t="s">
        <v>105</v>
      </c>
      <c r="G49" s="165">
        <v>1</v>
      </c>
      <c r="H49" s="165" t="s">
        <v>25</v>
      </c>
      <c r="I49" s="206" t="s">
        <v>1825</v>
      </c>
      <c r="J49" s="165" t="s">
        <v>105</v>
      </c>
      <c r="K49" s="165" t="s">
        <v>84</v>
      </c>
      <c r="L49" s="165">
        <v>1</v>
      </c>
      <c r="M49" s="165" t="s">
        <v>41</v>
      </c>
      <c r="N49" s="206" t="s">
        <v>1869</v>
      </c>
      <c r="O49" s="165"/>
      <c r="P49" s="206"/>
    </row>
    <row r="50" spans="1:16" ht="15.75">
      <c r="A50" s="165">
        <v>32</v>
      </c>
      <c r="B50" s="340">
        <v>42798</v>
      </c>
      <c r="C50" s="166" t="s">
        <v>88</v>
      </c>
      <c r="D50" s="165">
        <f t="shared" si="0"/>
        <v>6</v>
      </c>
      <c r="E50" s="165" t="s">
        <v>83</v>
      </c>
      <c r="F50" s="165" t="s">
        <v>84</v>
      </c>
      <c r="G50" s="165"/>
      <c r="H50" s="165"/>
      <c r="I50" s="165"/>
      <c r="J50" s="165" t="s">
        <v>84</v>
      </c>
      <c r="K50" s="165" t="s">
        <v>105</v>
      </c>
      <c r="L50" s="165">
        <v>1</v>
      </c>
      <c r="M50" s="165"/>
      <c r="N50" s="206"/>
      <c r="O50" s="165" t="s">
        <v>42</v>
      </c>
      <c r="P50" s="206" t="s">
        <v>1870</v>
      </c>
    </row>
    <row r="51" spans="1:16" ht="15.75">
      <c r="A51" s="165">
        <v>33</v>
      </c>
      <c r="B51" s="340">
        <v>42799</v>
      </c>
      <c r="C51" s="166" t="s">
        <v>88</v>
      </c>
      <c r="D51" s="165">
        <f t="shared" si="0"/>
        <v>7</v>
      </c>
      <c r="E51" s="165" t="s">
        <v>85</v>
      </c>
      <c r="F51" s="165" t="s">
        <v>84</v>
      </c>
      <c r="G51" s="165"/>
      <c r="H51" s="165"/>
      <c r="I51" s="165"/>
      <c r="J51" s="165" t="s">
        <v>84</v>
      </c>
      <c r="K51" s="165" t="s">
        <v>84</v>
      </c>
      <c r="L51" s="165"/>
      <c r="M51" s="165"/>
      <c r="N51" s="206"/>
      <c r="O51" s="165"/>
      <c r="P51" s="206"/>
    </row>
    <row r="52" spans="1:16" ht="15.75">
      <c r="A52" s="165">
        <v>34</v>
      </c>
      <c r="B52" s="340">
        <v>42800</v>
      </c>
      <c r="C52" s="166" t="s">
        <v>88</v>
      </c>
      <c r="D52" s="165">
        <f t="shared" si="0"/>
        <v>1</v>
      </c>
      <c r="E52" s="165" t="s">
        <v>86</v>
      </c>
      <c r="F52" s="165" t="s">
        <v>105</v>
      </c>
      <c r="G52" s="165">
        <v>1</v>
      </c>
      <c r="H52" s="165" t="s">
        <v>26</v>
      </c>
      <c r="I52" s="206" t="s">
        <v>1599</v>
      </c>
      <c r="J52" s="165" t="s">
        <v>105</v>
      </c>
      <c r="K52" s="165" t="s">
        <v>84</v>
      </c>
      <c r="L52" s="165">
        <v>1</v>
      </c>
      <c r="M52" s="165" t="s">
        <v>43</v>
      </c>
      <c r="N52" s="206" t="s">
        <v>1871</v>
      </c>
      <c r="O52" s="165"/>
      <c r="P52" s="206"/>
    </row>
    <row r="53" spans="1:16" ht="15.75">
      <c r="A53" s="165">
        <v>35</v>
      </c>
      <c r="B53" s="340">
        <v>42801</v>
      </c>
      <c r="C53" s="166" t="s">
        <v>88</v>
      </c>
      <c r="D53" s="165">
        <f t="shared" si="0"/>
        <v>2</v>
      </c>
      <c r="E53" s="165" t="s">
        <v>87</v>
      </c>
      <c r="F53" s="165" t="s">
        <v>105</v>
      </c>
      <c r="G53" s="165">
        <v>1</v>
      </c>
      <c r="H53" s="165" t="s">
        <v>27</v>
      </c>
      <c r="I53" s="165" t="s">
        <v>98</v>
      </c>
      <c r="J53" s="165" t="s">
        <v>105</v>
      </c>
      <c r="K53" s="165" t="s">
        <v>84</v>
      </c>
      <c r="L53" s="165">
        <v>1</v>
      </c>
      <c r="M53" s="165" t="s">
        <v>44</v>
      </c>
      <c r="N53" s="206" t="s">
        <v>1858</v>
      </c>
      <c r="O53" s="165"/>
      <c r="P53" s="206"/>
    </row>
    <row r="54" spans="1:16" ht="15.75">
      <c r="A54" s="165">
        <v>36</v>
      </c>
      <c r="B54" s="340">
        <v>42802</v>
      </c>
      <c r="C54" s="166" t="s">
        <v>88</v>
      </c>
      <c r="D54" s="165">
        <f t="shared" si="0"/>
        <v>3</v>
      </c>
      <c r="E54" s="165" t="s">
        <v>80</v>
      </c>
      <c r="F54" s="165" t="s">
        <v>105</v>
      </c>
      <c r="G54" s="165">
        <v>1</v>
      </c>
      <c r="H54" s="165" t="s">
        <v>28</v>
      </c>
      <c r="I54" s="206" t="s">
        <v>1811</v>
      </c>
      <c r="J54" s="165" t="s">
        <v>105</v>
      </c>
      <c r="K54" s="165" t="s">
        <v>84</v>
      </c>
      <c r="L54" s="165">
        <v>1</v>
      </c>
      <c r="M54" s="165" t="s">
        <v>45</v>
      </c>
      <c r="N54" s="206" t="s">
        <v>98</v>
      </c>
      <c r="O54" s="165"/>
      <c r="P54" s="206"/>
    </row>
    <row r="55" spans="1:16" ht="15.75">
      <c r="A55" s="165">
        <v>37</v>
      </c>
      <c r="B55" s="340">
        <v>42803</v>
      </c>
      <c r="C55" s="166" t="s">
        <v>88</v>
      </c>
      <c r="D55" s="165">
        <f t="shared" si="0"/>
        <v>4</v>
      </c>
      <c r="E55" s="165" t="s">
        <v>81</v>
      </c>
      <c r="F55" s="165" t="s">
        <v>105</v>
      </c>
      <c r="G55" s="165">
        <v>1</v>
      </c>
      <c r="H55" s="165" t="s">
        <v>29</v>
      </c>
      <c r="I55" s="206" t="s">
        <v>1840</v>
      </c>
      <c r="J55" s="165" t="s">
        <v>105</v>
      </c>
      <c r="K55" s="165" t="s">
        <v>84</v>
      </c>
      <c r="L55" s="165">
        <v>1</v>
      </c>
      <c r="M55" s="165" t="s">
        <v>46</v>
      </c>
      <c r="N55" s="206" t="s">
        <v>1872</v>
      </c>
      <c r="O55" s="165"/>
      <c r="P55" s="206"/>
    </row>
    <row r="56" spans="1:16" ht="15.75">
      <c r="A56" s="165">
        <v>38</v>
      </c>
      <c r="B56" s="340">
        <v>42804</v>
      </c>
      <c r="C56" s="166" t="s">
        <v>88</v>
      </c>
      <c r="D56" s="165">
        <f t="shared" si="0"/>
        <v>5</v>
      </c>
      <c r="E56" s="165" t="s">
        <v>82</v>
      </c>
      <c r="F56" s="165" t="s">
        <v>105</v>
      </c>
      <c r="G56" s="165">
        <v>1</v>
      </c>
      <c r="H56" s="165" t="s">
        <v>30</v>
      </c>
      <c r="I56" s="165" t="s">
        <v>98</v>
      </c>
      <c r="J56" s="165" t="s">
        <v>105</v>
      </c>
      <c r="K56" s="165" t="s">
        <v>84</v>
      </c>
      <c r="L56" s="165">
        <v>1</v>
      </c>
      <c r="M56" s="165" t="s">
        <v>47</v>
      </c>
      <c r="N56" s="206" t="s">
        <v>1884</v>
      </c>
      <c r="O56" s="165"/>
      <c r="P56" s="206"/>
    </row>
    <row r="57" spans="1:16" ht="15.75">
      <c r="A57" s="165">
        <v>39</v>
      </c>
      <c r="B57" s="340">
        <v>42805</v>
      </c>
      <c r="C57" s="166" t="s">
        <v>88</v>
      </c>
      <c r="D57" s="165">
        <f t="shared" si="0"/>
        <v>6</v>
      </c>
      <c r="E57" s="165" t="s">
        <v>83</v>
      </c>
      <c r="F57" s="165" t="s">
        <v>84</v>
      </c>
      <c r="G57" s="165"/>
      <c r="H57" s="165"/>
      <c r="I57" s="165"/>
      <c r="J57" s="165" t="s">
        <v>84</v>
      </c>
      <c r="K57" s="165" t="s">
        <v>105</v>
      </c>
      <c r="L57" s="165">
        <v>1</v>
      </c>
      <c r="M57" s="165"/>
      <c r="N57" s="206"/>
      <c r="O57" s="165" t="s">
        <v>50</v>
      </c>
      <c r="P57" s="206" t="s">
        <v>98</v>
      </c>
    </row>
    <row r="58" spans="1:16" ht="15.75">
      <c r="A58" s="165">
        <v>40</v>
      </c>
      <c r="B58" s="340">
        <v>42806</v>
      </c>
      <c r="C58" s="166" t="s">
        <v>88</v>
      </c>
      <c r="D58" s="165">
        <f t="shared" si="0"/>
        <v>7</v>
      </c>
      <c r="E58" s="165" t="s">
        <v>85</v>
      </c>
      <c r="F58" s="165" t="s">
        <v>84</v>
      </c>
      <c r="G58" s="165"/>
      <c r="H58" s="165"/>
      <c r="I58" s="165"/>
      <c r="J58" s="165" t="s">
        <v>84</v>
      </c>
      <c r="K58" s="165" t="s">
        <v>84</v>
      </c>
      <c r="L58" s="165"/>
      <c r="M58" s="165"/>
      <c r="N58" s="206"/>
      <c r="O58" s="165"/>
      <c r="P58" s="206"/>
    </row>
    <row r="59" spans="1:16" ht="15.75">
      <c r="A59" s="165">
        <v>41</v>
      </c>
      <c r="B59" s="340">
        <v>42807</v>
      </c>
      <c r="C59" s="166" t="s">
        <v>88</v>
      </c>
      <c r="D59" s="165">
        <f t="shared" si="0"/>
        <v>1</v>
      </c>
      <c r="E59" s="165" t="s">
        <v>86</v>
      </c>
      <c r="F59" s="165" t="s">
        <v>105</v>
      </c>
      <c r="G59" s="165">
        <v>1</v>
      </c>
      <c r="H59" s="165" t="s">
        <v>31</v>
      </c>
      <c r="I59" s="206" t="s">
        <v>1802</v>
      </c>
      <c r="J59" s="165" t="s">
        <v>105</v>
      </c>
      <c r="K59" s="165" t="s">
        <v>84</v>
      </c>
      <c r="L59" s="165">
        <v>1</v>
      </c>
      <c r="M59" s="165" t="s">
        <v>51</v>
      </c>
      <c r="N59" s="206" t="s">
        <v>98</v>
      </c>
      <c r="O59" s="165"/>
      <c r="P59" s="206"/>
    </row>
    <row r="60" spans="1:16" ht="15.75">
      <c r="A60" s="165">
        <v>42</v>
      </c>
      <c r="B60" s="340">
        <v>42808</v>
      </c>
      <c r="C60" s="166" t="s">
        <v>88</v>
      </c>
      <c r="D60" s="165">
        <f t="shared" si="0"/>
        <v>2</v>
      </c>
      <c r="E60" s="165" t="s">
        <v>87</v>
      </c>
      <c r="F60" s="165" t="s">
        <v>105</v>
      </c>
      <c r="G60" s="165">
        <v>1</v>
      </c>
      <c r="H60" s="165" t="s">
        <v>32</v>
      </c>
      <c r="I60" s="206" t="s">
        <v>98</v>
      </c>
      <c r="J60" s="165" t="s">
        <v>105</v>
      </c>
      <c r="K60" s="165" t="s">
        <v>84</v>
      </c>
      <c r="L60" s="165">
        <v>1</v>
      </c>
      <c r="M60" s="165" t="s">
        <v>53</v>
      </c>
      <c r="N60" s="206" t="s">
        <v>1901</v>
      </c>
      <c r="O60" s="165"/>
      <c r="P60" s="206"/>
    </row>
    <row r="61" spans="1:16" ht="15.75">
      <c r="A61" s="165">
        <v>43</v>
      </c>
      <c r="B61" s="340">
        <v>42809</v>
      </c>
      <c r="C61" s="166" t="s">
        <v>88</v>
      </c>
      <c r="D61" s="165">
        <f t="shared" si="0"/>
        <v>3</v>
      </c>
      <c r="E61" s="165" t="s">
        <v>80</v>
      </c>
      <c r="F61" s="165" t="s">
        <v>105</v>
      </c>
      <c r="G61" s="165">
        <v>1</v>
      </c>
      <c r="H61" s="165" t="s">
        <v>33</v>
      </c>
      <c r="I61" s="206" t="s">
        <v>1803</v>
      </c>
      <c r="J61" s="165" t="s">
        <v>105</v>
      </c>
      <c r="K61" s="165" t="s">
        <v>84</v>
      </c>
      <c r="L61" s="165">
        <v>1</v>
      </c>
      <c r="M61" s="165" t="s">
        <v>54</v>
      </c>
      <c r="N61" s="206" t="s">
        <v>1907</v>
      </c>
      <c r="O61" s="165"/>
      <c r="P61" s="206"/>
    </row>
    <row r="62" spans="1:16" ht="15.75">
      <c r="A62" s="165">
        <v>44</v>
      </c>
      <c r="B62" s="340">
        <v>42810</v>
      </c>
      <c r="C62" s="166" t="s">
        <v>88</v>
      </c>
      <c r="D62" s="165">
        <f t="shared" si="0"/>
        <v>4</v>
      </c>
      <c r="E62" s="165" t="s">
        <v>81</v>
      </c>
      <c r="F62" s="165" t="s">
        <v>105</v>
      </c>
      <c r="G62" s="165">
        <v>1</v>
      </c>
      <c r="H62" s="206" t="s">
        <v>34</v>
      </c>
      <c r="I62" s="206" t="s">
        <v>1810</v>
      </c>
      <c r="J62" s="165" t="s">
        <v>105</v>
      </c>
      <c r="K62" s="165" t="s">
        <v>84</v>
      </c>
      <c r="L62" s="165">
        <v>1</v>
      </c>
      <c r="M62" s="165" t="s">
        <v>55</v>
      </c>
      <c r="N62" s="206" t="s">
        <v>1876</v>
      </c>
      <c r="O62" s="165"/>
      <c r="P62" s="206"/>
    </row>
    <row r="63" spans="1:16" ht="15.75">
      <c r="A63" s="165">
        <v>45</v>
      </c>
      <c r="B63" s="340">
        <v>42811</v>
      </c>
      <c r="C63" s="166" t="s">
        <v>88</v>
      </c>
      <c r="D63" s="165">
        <f t="shared" si="0"/>
        <v>5</v>
      </c>
      <c r="E63" s="165" t="s">
        <v>82</v>
      </c>
      <c r="F63" s="165" t="s">
        <v>105</v>
      </c>
      <c r="G63" s="165">
        <v>1</v>
      </c>
      <c r="H63" s="165" t="s">
        <v>35</v>
      </c>
      <c r="I63" s="165" t="s">
        <v>1794</v>
      </c>
      <c r="J63" s="165" t="s">
        <v>105</v>
      </c>
      <c r="K63" s="165" t="s">
        <v>84</v>
      </c>
      <c r="L63" s="165">
        <v>1</v>
      </c>
      <c r="M63" s="165" t="s">
        <v>58</v>
      </c>
      <c r="N63" s="206" t="s">
        <v>1878</v>
      </c>
      <c r="O63" s="165"/>
      <c r="P63" s="206"/>
    </row>
    <row r="64" spans="1:16" ht="15.75">
      <c r="A64" s="165">
        <v>46</v>
      </c>
      <c r="B64" s="340">
        <v>42812</v>
      </c>
      <c r="C64" s="166" t="s">
        <v>88</v>
      </c>
      <c r="D64" s="165">
        <f t="shared" si="0"/>
        <v>6</v>
      </c>
      <c r="E64" s="165" t="s">
        <v>83</v>
      </c>
      <c r="F64" s="165" t="s">
        <v>84</v>
      </c>
      <c r="G64" s="165"/>
      <c r="H64" s="165"/>
      <c r="I64" s="165"/>
      <c r="J64" s="165" t="s">
        <v>84</v>
      </c>
      <c r="K64" s="165" t="s">
        <v>105</v>
      </c>
      <c r="L64" s="165">
        <v>2</v>
      </c>
      <c r="M64" s="165"/>
      <c r="N64" s="206"/>
      <c r="O64" s="206" t="s">
        <v>38</v>
      </c>
      <c r="P64" s="206" t="s">
        <v>1904</v>
      </c>
    </row>
    <row r="65" spans="1:16" ht="15.75">
      <c r="A65" s="165">
        <v>47</v>
      </c>
      <c r="B65" s="340">
        <v>42813</v>
      </c>
      <c r="C65" s="166" t="s">
        <v>88</v>
      </c>
      <c r="D65" s="165">
        <f t="shared" si="0"/>
        <v>7</v>
      </c>
      <c r="E65" s="165" t="s">
        <v>85</v>
      </c>
      <c r="F65" s="165" t="s">
        <v>84</v>
      </c>
      <c r="G65" s="165"/>
      <c r="H65" s="165"/>
      <c r="I65" s="165"/>
      <c r="J65" s="165" t="s">
        <v>84</v>
      </c>
      <c r="K65" s="165" t="s">
        <v>84</v>
      </c>
      <c r="L65" s="165"/>
      <c r="M65" s="165"/>
      <c r="N65" s="206"/>
      <c r="O65" s="165"/>
      <c r="P65" s="206"/>
    </row>
    <row r="66" spans="1:16" ht="15.75">
      <c r="A66" s="167">
        <v>48</v>
      </c>
      <c r="B66" s="341">
        <v>42814</v>
      </c>
      <c r="C66" s="168" t="s">
        <v>88</v>
      </c>
      <c r="D66" s="167">
        <f t="shared" si="0"/>
        <v>1</v>
      </c>
      <c r="E66" s="167" t="s">
        <v>86</v>
      </c>
      <c r="F66" s="167" t="s">
        <v>84</v>
      </c>
      <c r="G66" s="167">
        <v>1</v>
      </c>
      <c r="H66" s="207" t="s">
        <v>122</v>
      </c>
      <c r="I66" s="167"/>
      <c r="J66" s="167" t="s">
        <v>84</v>
      </c>
      <c r="K66" s="167" t="s">
        <v>84</v>
      </c>
      <c r="L66" s="167">
        <v>2</v>
      </c>
      <c r="M66" s="167" t="s">
        <v>1779</v>
      </c>
      <c r="N66" s="207"/>
      <c r="O66" s="167"/>
      <c r="P66" s="207"/>
    </row>
    <row r="67" spans="1:16" ht="15.75">
      <c r="A67" s="165">
        <v>49</v>
      </c>
      <c r="B67" s="340">
        <v>42815</v>
      </c>
      <c r="C67" s="166" t="s">
        <v>88</v>
      </c>
      <c r="D67" s="165">
        <f t="shared" si="0"/>
        <v>2</v>
      </c>
      <c r="E67" s="165" t="s">
        <v>87</v>
      </c>
      <c r="F67" s="165" t="s">
        <v>105</v>
      </c>
      <c r="G67" s="165">
        <v>1</v>
      </c>
      <c r="H67" s="165" t="s">
        <v>37</v>
      </c>
      <c r="I67" s="206" t="s">
        <v>1593</v>
      </c>
      <c r="J67" s="165" t="s">
        <v>105</v>
      </c>
      <c r="K67" s="165" t="s">
        <v>84</v>
      </c>
      <c r="L67" s="165">
        <v>2</v>
      </c>
      <c r="M67" s="165" t="s">
        <v>41</v>
      </c>
      <c r="N67" s="206" t="s">
        <v>1849</v>
      </c>
      <c r="O67" s="165"/>
      <c r="P67" s="206"/>
    </row>
    <row r="68" spans="1:16" ht="15.75">
      <c r="A68" s="165">
        <v>50</v>
      </c>
      <c r="B68" s="340">
        <v>42816</v>
      </c>
      <c r="C68" s="166" t="s">
        <v>88</v>
      </c>
      <c r="D68" s="165">
        <f t="shared" si="0"/>
        <v>3</v>
      </c>
      <c r="E68" s="165" t="s">
        <v>80</v>
      </c>
      <c r="F68" s="165" t="s">
        <v>105</v>
      </c>
      <c r="G68" s="165">
        <v>1</v>
      </c>
      <c r="H68" s="206" t="s">
        <v>18</v>
      </c>
      <c r="I68" s="165" t="s">
        <v>1629</v>
      </c>
      <c r="J68" s="165" t="s">
        <v>105</v>
      </c>
      <c r="K68" s="165" t="s">
        <v>84</v>
      </c>
      <c r="L68" s="165">
        <v>2</v>
      </c>
      <c r="M68" s="165" t="s">
        <v>42</v>
      </c>
      <c r="N68" s="206" t="s">
        <v>1870</v>
      </c>
      <c r="O68" s="165"/>
      <c r="P68" s="206"/>
    </row>
    <row r="69" spans="1:16" ht="15.75">
      <c r="A69" s="165">
        <v>51</v>
      </c>
      <c r="B69" s="340">
        <v>42817</v>
      </c>
      <c r="C69" s="166" t="s">
        <v>88</v>
      </c>
      <c r="D69" s="165">
        <f t="shared" si="0"/>
        <v>4</v>
      </c>
      <c r="E69" s="165" t="s">
        <v>81</v>
      </c>
      <c r="F69" s="165" t="s">
        <v>105</v>
      </c>
      <c r="G69" s="165">
        <v>2</v>
      </c>
      <c r="H69" s="206" t="s">
        <v>23</v>
      </c>
      <c r="I69" s="206" t="s">
        <v>1574</v>
      </c>
      <c r="J69" s="165" t="s">
        <v>105</v>
      </c>
      <c r="K69" s="165" t="s">
        <v>84</v>
      </c>
      <c r="L69" s="165">
        <v>2</v>
      </c>
      <c r="M69" s="165" t="s">
        <v>43</v>
      </c>
      <c r="N69" s="206" t="s">
        <v>1882</v>
      </c>
      <c r="O69" s="165"/>
      <c r="P69" s="206"/>
    </row>
    <row r="70" spans="1:16" ht="15.75">
      <c r="A70" s="165">
        <v>52</v>
      </c>
      <c r="B70" s="340">
        <v>42818</v>
      </c>
      <c r="C70" s="166" t="s">
        <v>88</v>
      </c>
      <c r="D70" s="165">
        <f t="shared" si="0"/>
        <v>5</v>
      </c>
      <c r="E70" s="165" t="s">
        <v>82</v>
      </c>
      <c r="F70" s="165" t="s">
        <v>105</v>
      </c>
      <c r="G70" s="165">
        <v>2</v>
      </c>
      <c r="H70" s="165" t="s">
        <v>24</v>
      </c>
      <c r="I70" s="206" t="s">
        <v>1800</v>
      </c>
      <c r="J70" s="165" t="s">
        <v>105</v>
      </c>
      <c r="K70" s="165" t="s">
        <v>84</v>
      </c>
      <c r="L70" s="165">
        <v>2</v>
      </c>
      <c r="M70" s="165" t="s">
        <v>44</v>
      </c>
      <c r="N70" s="206" t="s">
        <v>1863</v>
      </c>
      <c r="O70" s="165"/>
      <c r="P70" s="206"/>
    </row>
    <row r="71" spans="1:16" ht="15.75">
      <c r="A71" s="165">
        <v>53</v>
      </c>
      <c r="B71" s="340">
        <v>42819</v>
      </c>
      <c r="C71" s="166" t="s">
        <v>88</v>
      </c>
      <c r="D71" s="165">
        <f t="shared" si="0"/>
        <v>6</v>
      </c>
      <c r="E71" s="165" t="s">
        <v>83</v>
      </c>
      <c r="F71" s="165" t="s">
        <v>84</v>
      </c>
      <c r="G71" s="165"/>
      <c r="H71" s="165"/>
      <c r="I71" s="165"/>
      <c r="J71" s="165" t="s">
        <v>84</v>
      </c>
      <c r="K71" s="165" t="s">
        <v>105</v>
      </c>
      <c r="L71" s="165">
        <v>2</v>
      </c>
      <c r="M71" s="165"/>
      <c r="N71" s="206"/>
      <c r="O71" s="165" t="s">
        <v>45</v>
      </c>
      <c r="P71" s="206" t="s">
        <v>98</v>
      </c>
    </row>
    <row r="72" spans="1:16" ht="15.75">
      <c r="A72" s="165">
        <v>54</v>
      </c>
      <c r="B72" s="340">
        <v>42820</v>
      </c>
      <c r="C72" s="166" t="s">
        <v>88</v>
      </c>
      <c r="D72" s="165">
        <f t="shared" si="0"/>
        <v>7</v>
      </c>
      <c r="E72" s="165" t="s">
        <v>85</v>
      </c>
      <c r="F72" s="165" t="s">
        <v>84</v>
      </c>
      <c r="G72" s="165"/>
      <c r="H72" s="165"/>
      <c r="I72" s="165"/>
      <c r="J72" s="165" t="s">
        <v>84</v>
      </c>
      <c r="K72" s="165" t="s">
        <v>84</v>
      </c>
      <c r="L72" s="165"/>
      <c r="M72" s="165"/>
      <c r="N72" s="206"/>
      <c r="O72" s="165"/>
      <c r="P72" s="206"/>
    </row>
    <row r="73" spans="1:16" ht="15.75">
      <c r="A73" s="165">
        <v>55</v>
      </c>
      <c r="B73" s="340">
        <v>42821</v>
      </c>
      <c r="C73" s="166" t="s">
        <v>88</v>
      </c>
      <c r="D73" s="165">
        <f t="shared" si="0"/>
        <v>1</v>
      </c>
      <c r="E73" s="165" t="s">
        <v>86</v>
      </c>
      <c r="F73" s="165" t="s">
        <v>105</v>
      </c>
      <c r="G73" s="165">
        <v>2</v>
      </c>
      <c r="H73" s="165" t="s">
        <v>25</v>
      </c>
      <c r="I73" s="206" t="s">
        <v>1809</v>
      </c>
      <c r="J73" s="165" t="s">
        <v>105</v>
      </c>
      <c r="K73" s="165" t="s">
        <v>84</v>
      </c>
      <c r="L73" s="165">
        <v>2</v>
      </c>
      <c r="M73" s="165" t="s">
        <v>46</v>
      </c>
      <c r="N73" s="206" t="s">
        <v>1883</v>
      </c>
      <c r="O73" s="165"/>
      <c r="P73" s="206"/>
    </row>
    <row r="74" spans="1:16" ht="15.75">
      <c r="A74" s="165">
        <v>56</v>
      </c>
      <c r="B74" s="340">
        <v>42822</v>
      </c>
      <c r="C74" s="166" t="s">
        <v>88</v>
      </c>
      <c r="D74" s="165">
        <f t="shared" si="0"/>
        <v>2</v>
      </c>
      <c r="E74" s="165" t="s">
        <v>87</v>
      </c>
      <c r="F74" s="165" t="s">
        <v>105</v>
      </c>
      <c r="G74" s="165">
        <v>2</v>
      </c>
      <c r="H74" s="165" t="s">
        <v>26</v>
      </c>
      <c r="I74" s="206" t="s">
        <v>1604</v>
      </c>
      <c r="J74" s="165" t="s">
        <v>105</v>
      </c>
      <c r="K74" s="165" t="s">
        <v>84</v>
      </c>
      <c r="L74" s="165">
        <v>2</v>
      </c>
      <c r="M74" s="165" t="s">
        <v>47</v>
      </c>
      <c r="N74" s="206" t="s">
        <v>1885</v>
      </c>
      <c r="O74" s="165"/>
      <c r="P74" s="206"/>
    </row>
    <row r="75" spans="1:16" ht="15.75">
      <c r="A75" s="165">
        <v>57</v>
      </c>
      <c r="B75" s="340">
        <v>42823</v>
      </c>
      <c r="C75" s="166" t="s">
        <v>88</v>
      </c>
      <c r="D75" s="165">
        <f t="shared" si="0"/>
        <v>3</v>
      </c>
      <c r="E75" s="165" t="s">
        <v>80</v>
      </c>
      <c r="F75" s="165" t="s">
        <v>105</v>
      </c>
      <c r="G75" s="165">
        <v>2</v>
      </c>
      <c r="H75" s="165" t="s">
        <v>27</v>
      </c>
      <c r="I75" s="206" t="s">
        <v>98</v>
      </c>
      <c r="J75" s="165" t="s">
        <v>105</v>
      </c>
      <c r="K75" s="165" t="s">
        <v>84</v>
      </c>
      <c r="L75" s="165">
        <v>2</v>
      </c>
      <c r="M75" s="165" t="s">
        <v>50</v>
      </c>
      <c r="N75" s="206" t="s">
        <v>98</v>
      </c>
      <c r="O75" s="165"/>
      <c r="P75" s="206"/>
    </row>
    <row r="76" spans="1:16" ht="15.75">
      <c r="A76" s="165">
        <v>58</v>
      </c>
      <c r="B76" s="340">
        <v>42824</v>
      </c>
      <c r="C76" s="166" t="s">
        <v>88</v>
      </c>
      <c r="D76" s="165">
        <f t="shared" si="0"/>
        <v>4</v>
      </c>
      <c r="E76" s="165" t="s">
        <v>81</v>
      </c>
      <c r="F76" s="165" t="s">
        <v>105</v>
      </c>
      <c r="G76" s="165">
        <v>2</v>
      </c>
      <c r="H76" s="165" t="s">
        <v>28</v>
      </c>
      <c r="I76" s="206" t="s">
        <v>1577</v>
      </c>
      <c r="J76" s="165" t="s">
        <v>105</v>
      </c>
      <c r="K76" s="165" t="s">
        <v>84</v>
      </c>
      <c r="L76" s="165">
        <v>2</v>
      </c>
      <c r="M76" s="165" t="s">
        <v>51</v>
      </c>
      <c r="N76" s="206" t="s">
        <v>98</v>
      </c>
      <c r="O76" s="165"/>
      <c r="P76" s="206"/>
    </row>
    <row r="77" spans="1:16" ht="15.75">
      <c r="A77" s="165">
        <v>59</v>
      </c>
      <c r="B77" s="340">
        <v>42825</v>
      </c>
      <c r="C77" s="166" t="s">
        <v>88</v>
      </c>
      <c r="D77" s="165">
        <f t="shared" si="0"/>
        <v>5</v>
      </c>
      <c r="E77" s="165" t="s">
        <v>82</v>
      </c>
      <c r="F77" s="165" t="s">
        <v>105</v>
      </c>
      <c r="G77" s="165">
        <v>2</v>
      </c>
      <c r="H77" s="165" t="s">
        <v>29</v>
      </c>
      <c r="I77" s="206" t="s">
        <v>1808</v>
      </c>
      <c r="J77" s="165" t="s">
        <v>105</v>
      </c>
      <c r="K77" s="165" t="s">
        <v>84</v>
      </c>
      <c r="L77" s="165">
        <v>2</v>
      </c>
      <c r="M77" s="165" t="s">
        <v>53</v>
      </c>
      <c r="N77" s="206" t="s">
        <v>1938</v>
      </c>
      <c r="O77" s="165"/>
      <c r="P77" s="206"/>
    </row>
    <row r="78" spans="1:16" ht="15.75">
      <c r="A78" s="165">
        <v>60</v>
      </c>
      <c r="B78" s="340">
        <v>42826</v>
      </c>
      <c r="C78" s="166" t="s">
        <v>89</v>
      </c>
      <c r="D78" s="165">
        <f t="shared" si="0"/>
        <v>6</v>
      </c>
      <c r="E78" s="165" t="s">
        <v>83</v>
      </c>
      <c r="F78" s="165" t="s">
        <v>84</v>
      </c>
      <c r="G78" s="165"/>
      <c r="H78" s="165"/>
      <c r="I78" s="165"/>
      <c r="J78" s="165" t="s">
        <v>84</v>
      </c>
      <c r="K78" s="165" t="s">
        <v>105</v>
      </c>
      <c r="L78" s="165">
        <v>2</v>
      </c>
      <c r="M78" s="165"/>
      <c r="N78" s="206"/>
      <c r="O78" s="165" t="s">
        <v>54</v>
      </c>
      <c r="P78" s="206" t="s">
        <v>1950</v>
      </c>
    </row>
    <row r="79" spans="1:16" ht="15.75">
      <c r="A79" s="165">
        <v>61</v>
      </c>
      <c r="B79" s="340">
        <v>42827</v>
      </c>
      <c r="C79" s="166" t="s">
        <v>89</v>
      </c>
      <c r="D79" s="165">
        <f t="shared" si="0"/>
        <v>7</v>
      </c>
      <c r="E79" s="165" t="s">
        <v>85</v>
      </c>
      <c r="F79" s="165" t="s">
        <v>84</v>
      </c>
      <c r="G79" s="165"/>
      <c r="H79" s="165"/>
      <c r="I79" s="165"/>
      <c r="J79" s="165" t="s">
        <v>84</v>
      </c>
      <c r="K79" s="165" t="s">
        <v>84</v>
      </c>
      <c r="L79" s="165"/>
      <c r="M79" s="165"/>
      <c r="N79" s="206"/>
      <c r="O79" s="165"/>
      <c r="P79" s="206"/>
    </row>
    <row r="80" spans="1:16" ht="15.75">
      <c r="A80" s="165">
        <v>62</v>
      </c>
      <c r="B80" s="340">
        <v>42828</v>
      </c>
      <c r="C80" s="166" t="s">
        <v>89</v>
      </c>
      <c r="D80" s="165">
        <f t="shared" si="0"/>
        <v>1</v>
      </c>
      <c r="E80" s="165" t="s">
        <v>86</v>
      </c>
      <c r="F80" s="165" t="s">
        <v>105</v>
      </c>
      <c r="G80" s="165">
        <v>2</v>
      </c>
      <c r="H80" s="165" t="s">
        <v>30</v>
      </c>
      <c r="I80" s="206" t="s">
        <v>98</v>
      </c>
      <c r="J80" s="165" t="s">
        <v>105</v>
      </c>
      <c r="K80" s="165" t="s">
        <v>84</v>
      </c>
      <c r="L80" s="165">
        <v>2</v>
      </c>
      <c r="M80" s="165" t="s">
        <v>55</v>
      </c>
      <c r="N80" s="206" t="s">
        <v>1876</v>
      </c>
      <c r="O80" s="165"/>
      <c r="P80" s="206"/>
    </row>
    <row r="81" spans="1:16" ht="15.75">
      <c r="A81" s="165">
        <v>63</v>
      </c>
      <c r="B81" s="340">
        <v>42829</v>
      </c>
      <c r="C81" s="166" t="s">
        <v>89</v>
      </c>
      <c r="D81" s="165">
        <f t="shared" si="0"/>
        <v>2</v>
      </c>
      <c r="E81" s="165" t="s">
        <v>87</v>
      </c>
      <c r="F81" s="165" t="s">
        <v>105</v>
      </c>
      <c r="G81" s="165">
        <v>2</v>
      </c>
      <c r="H81" s="165" t="s">
        <v>31</v>
      </c>
      <c r="I81" s="206" t="s">
        <v>1587</v>
      </c>
      <c r="J81" s="165" t="s">
        <v>105</v>
      </c>
      <c r="K81" s="165" t="s">
        <v>84</v>
      </c>
      <c r="L81" s="165">
        <v>2</v>
      </c>
      <c r="M81" s="165" t="s">
        <v>58</v>
      </c>
      <c r="N81" s="206" t="s">
        <v>1878</v>
      </c>
      <c r="O81" s="165"/>
      <c r="P81" s="206"/>
    </row>
    <row r="82" spans="1:16" ht="15.75">
      <c r="A82" s="165">
        <v>64</v>
      </c>
      <c r="B82" s="340">
        <v>42830</v>
      </c>
      <c r="C82" s="166" t="s">
        <v>89</v>
      </c>
      <c r="D82" s="165">
        <f t="shared" si="0"/>
        <v>3</v>
      </c>
      <c r="E82" s="165" t="s">
        <v>80</v>
      </c>
      <c r="F82" s="165" t="s">
        <v>105</v>
      </c>
      <c r="G82" s="165">
        <v>2</v>
      </c>
      <c r="H82" s="165" t="s">
        <v>32</v>
      </c>
      <c r="I82" s="206" t="s">
        <v>98</v>
      </c>
      <c r="J82" s="165" t="s">
        <v>105</v>
      </c>
      <c r="K82" s="165" t="s">
        <v>84</v>
      </c>
      <c r="L82" s="165">
        <v>3</v>
      </c>
      <c r="M82" s="206" t="s">
        <v>38</v>
      </c>
      <c r="N82" s="206" t="s">
        <v>1910</v>
      </c>
      <c r="O82" s="165"/>
      <c r="P82" s="206"/>
    </row>
    <row r="83" spans="1:16" ht="15.75">
      <c r="A83" s="165">
        <v>65</v>
      </c>
      <c r="B83" s="340">
        <v>42831</v>
      </c>
      <c r="C83" s="166" t="s">
        <v>89</v>
      </c>
      <c r="D83" s="165">
        <f t="shared" si="0"/>
        <v>4</v>
      </c>
      <c r="E83" s="165" t="s">
        <v>81</v>
      </c>
      <c r="F83" s="165" t="s">
        <v>105</v>
      </c>
      <c r="G83" s="165">
        <v>2</v>
      </c>
      <c r="H83" s="165" t="s">
        <v>33</v>
      </c>
      <c r="I83" s="206" t="s">
        <v>1804</v>
      </c>
      <c r="J83" s="165" t="s">
        <v>105</v>
      </c>
      <c r="K83" s="165" t="s">
        <v>84</v>
      </c>
      <c r="L83" s="165">
        <v>3</v>
      </c>
      <c r="M83" s="165" t="s">
        <v>40</v>
      </c>
      <c r="N83" s="206" t="s">
        <v>1905</v>
      </c>
      <c r="O83" s="165"/>
      <c r="P83" s="206"/>
    </row>
    <row r="84" spans="1:16" ht="15.75">
      <c r="A84" s="165">
        <v>66</v>
      </c>
      <c r="B84" s="340">
        <v>42832</v>
      </c>
      <c r="C84" s="166" t="s">
        <v>89</v>
      </c>
      <c r="D84" s="165">
        <f t="shared" ref="D84:D147" si="1">WEEKDAY(B84,2)</f>
        <v>5</v>
      </c>
      <c r="E84" s="165" t="s">
        <v>82</v>
      </c>
      <c r="F84" s="165" t="s">
        <v>105</v>
      </c>
      <c r="G84" s="165">
        <v>2</v>
      </c>
      <c r="H84" s="206" t="s">
        <v>34</v>
      </c>
      <c r="I84" s="206" t="s">
        <v>1582</v>
      </c>
      <c r="J84" s="165" t="s">
        <v>105</v>
      </c>
      <c r="K84" s="165" t="s">
        <v>84</v>
      </c>
      <c r="L84" s="165">
        <v>3</v>
      </c>
      <c r="M84" s="165" t="s">
        <v>41</v>
      </c>
      <c r="N84" s="206" t="s">
        <v>1911</v>
      </c>
      <c r="O84" s="165"/>
      <c r="P84" s="206"/>
    </row>
    <row r="85" spans="1:16" ht="15.75">
      <c r="A85" s="165">
        <v>67</v>
      </c>
      <c r="B85" s="340">
        <v>42833</v>
      </c>
      <c r="C85" s="166" t="s">
        <v>89</v>
      </c>
      <c r="D85" s="165">
        <f t="shared" si="1"/>
        <v>6</v>
      </c>
      <c r="E85" s="165" t="s">
        <v>83</v>
      </c>
      <c r="F85" s="165" t="s">
        <v>84</v>
      </c>
      <c r="G85" s="165"/>
      <c r="H85" s="165"/>
      <c r="I85" s="165"/>
      <c r="J85" s="165" t="s">
        <v>84</v>
      </c>
      <c r="K85" s="165" t="s">
        <v>105</v>
      </c>
      <c r="L85" s="165">
        <v>3</v>
      </c>
      <c r="M85" s="165"/>
      <c r="N85" s="206"/>
      <c r="O85" s="165" t="s">
        <v>42</v>
      </c>
      <c r="P85" s="206" t="s">
        <v>1906</v>
      </c>
    </row>
    <row r="86" spans="1:16" ht="15.75">
      <c r="A86" s="165">
        <v>68</v>
      </c>
      <c r="B86" s="340">
        <v>42834</v>
      </c>
      <c r="C86" s="166" t="s">
        <v>89</v>
      </c>
      <c r="D86" s="165">
        <f t="shared" si="1"/>
        <v>7</v>
      </c>
      <c r="E86" s="165" t="s">
        <v>85</v>
      </c>
      <c r="F86" s="165" t="s">
        <v>84</v>
      </c>
      <c r="G86" s="165"/>
      <c r="H86" s="165"/>
      <c r="I86" s="165"/>
      <c r="J86" s="165" t="s">
        <v>84</v>
      </c>
      <c r="K86" s="165" t="s">
        <v>84</v>
      </c>
      <c r="L86" s="165"/>
      <c r="M86" s="165"/>
      <c r="N86" s="206"/>
      <c r="O86" s="165"/>
      <c r="P86" s="206"/>
    </row>
    <row r="87" spans="1:16" ht="15.75">
      <c r="A87" s="169">
        <v>69</v>
      </c>
      <c r="B87" s="342">
        <v>42835</v>
      </c>
      <c r="C87" s="170" t="s">
        <v>89</v>
      </c>
      <c r="D87" s="169">
        <f t="shared" si="1"/>
        <v>1</v>
      </c>
      <c r="E87" s="169" t="s">
        <v>86</v>
      </c>
      <c r="F87" s="169" t="s">
        <v>84</v>
      </c>
      <c r="G87" s="169"/>
      <c r="H87" s="169" t="s">
        <v>90</v>
      </c>
      <c r="I87" s="169"/>
      <c r="J87" s="169" t="s">
        <v>84</v>
      </c>
      <c r="K87" s="169" t="s">
        <v>84</v>
      </c>
      <c r="L87" s="169"/>
      <c r="M87" s="169" t="s">
        <v>90</v>
      </c>
      <c r="N87" s="208"/>
      <c r="O87" s="169"/>
      <c r="P87" s="208"/>
    </row>
    <row r="88" spans="1:16" ht="15.75">
      <c r="A88" s="169">
        <v>70</v>
      </c>
      <c r="B88" s="342">
        <v>42836</v>
      </c>
      <c r="C88" s="170" t="s">
        <v>89</v>
      </c>
      <c r="D88" s="169">
        <f t="shared" si="1"/>
        <v>2</v>
      </c>
      <c r="E88" s="169" t="s">
        <v>87</v>
      </c>
      <c r="F88" s="169" t="s">
        <v>84</v>
      </c>
      <c r="G88" s="169"/>
      <c r="H88" s="169" t="s">
        <v>90</v>
      </c>
      <c r="I88" s="169"/>
      <c r="J88" s="169" t="s">
        <v>84</v>
      </c>
      <c r="K88" s="169" t="s">
        <v>84</v>
      </c>
      <c r="L88" s="169"/>
      <c r="M88" s="169" t="s">
        <v>90</v>
      </c>
      <c r="N88" s="208"/>
      <c r="O88" s="169"/>
      <c r="P88" s="208"/>
    </row>
    <row r="89" spans="1:16" ht="15.75">
      <c r="A89" s="169">
        <v>71</v>
      </c>
      <c r="B89" s="342">
        <v>42837</v>
      </c>
      <c r="C89" s="170" t="s">
        <v>89</v>
      </c>
      <c r="D89" s="169">
        <f t="shared" si="1"/>
        <v>3</v>
      </c>
      <c r="E89" s="169" t="s">
        <v>80</v>
      </c>
      <c r="F89" s="169" t="s">
        <v>84</v>
      </c>
      <c r="G89" s="169"/>
      <c r="H89" s="169" t="s">
        <v>90</v>
      </c>
      <c r="I89" s="169"/>
      <c r="J89" s="169" t="s">
        <v>84</v>
      </c>
      <c r="K89" s="169" t="s">
        <v>84</v>
      </c>
      <c r="L89" s="169"/>
      <c r="M89" s="169" t="s">
        <v>90</v>
      </c>
      <c r="N89" s="208"/>
      <c r="O89" s="169"/>
      <c r="P89" s="208"/>
    </row>
    <row r="90" spans="1:16" ht="15.75">
      <c r="A90" s="169">
        <v>72</v>
      </c>
      <c r="B90" s="342">
        <v>42838</v>
      </c>
      <c r="C90" s="170" t="s">
        <v>89</v>
      </c>
      <c r="D90" s="169">
        <f t="shared" si="1"/>
        <v>4</v>
      </c>
      <c r="E90" s="169" t="s">
        <v>81</v>
      </c>
      <c r="F90" s="169" t="s">
        <v>84</v>
      </c>
      <c r="G90" s="169"/>
      <c r="H90" s="169" t="s">
        <v>90</v>
      </c>
      <c r="I90" s="169"/>
      <c r="J90" s="169" t="s">
        <v>84</v>
      </c>
      <c r="K90" s="169" t="s">
        <v>84</v>
      </c>
      <c r="L90" s="169"/>
      <c r="M90" s="169" t="s">
        <v>90</v>
      </c>
      <c r="N90" s="208"/>
      <c r="O90" s="169"/>
      <c r="P90" s="208"/>
    </row>
    <row r="91" spans="1:16" ht="15.75">
      <c r="A91" s="169">
        <v>73</v>
      </c>
      <c r="B91" s="342">
        <v>42839</v>
      </c>
      <c r="C91" s="170" t="s">
        <v>89</v>
      </c>
      <c r="D91" s="169">
        <f t="shared" si="1"/>
        <v>5</v>
      </c>
      <c r="E91" s="169" t="s">
        <v>82</v>
      </c>
      <c r="F91" s="169" t="s">
        <v>84</v>
      </c>
      <c r="G91" s="169"/>
      <c r="H91" s="169" t="s">
        <v>90</v>
      </c>
      <c r="I91" s="169"/>
      <c r="J91" s="169" t="s">
        <v>84</v>
      </c>
      <c r="K91" s="169" t="s">
        <v>84</v>
      </c>
      <c r="L91" s="169"/>
      <c r="M91" s="169" t="s">
        <v>90</v>
      </c>
      <c r="N91" s="208"/>
      <c r="O91" s="169"/>
      <c r="P91" s="208"/>
    </row>
    <row r="92" spans="1:16" ht="15.75">
      <c r="A92" s="169">
        <v>74</v>
      </c>
      <c r="B92" s="342">
        <v>42840</v>
      </c>
      <c r="C92" s="170" t="s">
        <v>89</v>
      </c>
      <c r="D92" s="169">
        <f t="shared" si="1"/>
        <v>6</v>
      </c>
      <c r="E92" s="169" t="s">
        <v>83</v>
      </c>
      <c r="F92" s="169" t="s">
        <v>84</v>
      </c>
      <c r="G92" s="169"/>
      <c r="H92" s="169"/>
      <c r="I92" s="169"/>
      <c r="J92" s="169" t="s">
        <v>84</v>
      </c>
      <c r="K92" s="169" t="s">
        <v>84</v>
      </c>
      <c r="L92" s="169"/>
      <c r="M92" s="169"/>
      <c r="N92" s="208"/>
      <c r="O92" s="169"/>
      <c r="P92" s="208"/>
    </row>
    <row r="93" spans="1:16" ht="15.75">
      <c r="A93" s="169">
        <v>75</v>
      </c>
      <c r="B93" s="342">
        <v>42841</v>
      </c>
      <c r="C93" s="170" t="s">
        <v>89</v>
      </c>
      <c r="D93" s="169">
        <f t="shared" si="1"/>
        <v>7</v>
      </c>
      <c r="E93" s="169" t="s">
        <v>85</v>
      </c>
      <c r="F93" s="169" t="s">
        <v>84</v>
      </c>
      <c r="G93" s="169"/>
      <c r="H93" s="169"/>
      <c r="I93" s="169"/>
      <c r="J93" s="169" t="s">
        <v>84</v>
      </c>
      <c r="K93" s="169" t="s">
        <v>84</v>
      </c>
      <c r="L93" s="169"/>
      <c r="M93" s="169"/>
      <c r="N93" s="208"/>
      <c r="O93" s="169"/>
      <c r="P93" s="208"/>
    </row>
    <row r="94" spans="1:16" ht="15.75">
      <c r="A94" s="165">
        <v>76</v>
      </c>
      <c r="B94" s="340">
        <v>42842</v>
      </c>
      <c r="C94" s="166" t="s">
        <v>89</v>
      </c>
      <c r="D94" s="165">
        <f t="shared" si="1"/>
        <v>1</v>
      </c>
      <c r="E94" s="165" t="s">
        <v>86</v>
      </c>
      <c r="F94" s="165" t="s">
        <v>105</v>
      </c>
      <c r="G94" s="165">
        <v>2</v>
      </c>
      <c r="H94" s="165" t="s">
        <v>35</v>
      </c>
      <c r="I94" s="206" t="s">
        <v>1807</v>
      </c>
      <c r="J94" s="165" t="s">
        <v>105</v>
      </c>
      <c r="K94" s="165" t="s">
        <v>84</v>
      </c>
      <c r="L94" s="165">
        <v>3</v>
      </c>
      <c r="M94" s="165" t="s">
        <v>43</v>
      </c>
      <c r="N94" s="206" t="s">
        <v>1850</v>
      </c>
      <c r="O94" s="165"/>
      <c r="P94" s="206"/>
    </row>
    <row r="95" spans="1:16" ht="15.75">
      <c r="A95" s="165">
        <v>77</v>
      </c>
      <c r="B95" s="340">
        <v>42843</v>
      </c>
      <c r="C95" s="166" t="s">
        <v>89</v>
      </c>
      <c r="D95" s="165">
        <f t="shared" si="1"/>
        <v>2</v>
      </c>
      <c r="E95" s="165" t="s">
        <v>87</v>
      </c>
      <c r="F95" s="165" t="s">
        <v>105</v>
      </c>
      <c r="G95" s="165">
        <v>2</v>
      </c>
      <c r="H95" s="165" t="s">
        <v>36</v>
      </c>
      <c r="I95" s="206" t="s">
        <v>1814</v>
      </c>
      <c r="J95" s="165" t="s">
        <v>105</v>
      </c>
      <c r="K95" s="165" t="s">
        <v>84</v>
      </c>
      <c r="L95" s="165">
        <v>3</v>
      </c>
      <c r="M95" s="165" t="s">
        <v>44</v>
      </c>
      <c r="N95" s="206" t="s">
        <v>1912</v>
      </c>
      <c r="O95" s="165"/>
      <c r="P95" s="206"/>
    </row>
    <row r="96" spans="1:16" ht="15.75">
      <c r="A96" s="165">
        <v>78</v>
      </c>
      <c r="B96" s="340">
        <v>42844</v>
      </c>
      <c r="C96" s="166" t="s">
        <v>89</v>
      </c>
      <c r="D96" s="165">
        <f t="shared" si="1"/>
        <v>3</v>
      </c>
      <c r="E96" s="165" t="s">
        <v>80</v>
      </c>
      <c r="F96" s="165" t="s">
        <v>105</v>
      </c>
      <c r="G96" s="165">
        <v>2</v>
      </c>
      <c r="H96" s="165" t="s">
        <v>37</v>
      </c>
      <c r="I96" s="206" t="s">
        <v>1579</v>
      </c>
      <c r="J96" s="165" t="s">
        <v>105</v>
      </c>
      <c r="K96" s="165" t="s">
        <v>84</v>
      </c>
      <c r="L96" s="165">
        <v>3</v>
      </c>
      <c r="M96" s="165" t="s">
        <v>45</v>
      </c>
      <c r="N96" s="206" t="s">
        <v>98</v>
      </c>
      <c r="O96" s="165"/>
      <c r="P96" s="206"/>
    </row>
    <row r="97" spans="1:16" ht="15.75">
      <c r="A97" s="165">
        <v>79</v>
      </c>
      <c r="B97" s="340">
        <v>42845</v>
      </c>
      <c r="C97" s="166" t="s">
        <v>89</v>
      </c>
      <c r="D97" s="165">
        <f t="shared" si="1"/>
        <v>4</v>
      </c>
      <c r="E97" s="165" t="s">
        <v>81</v>
      </c>
      <c r="F97" s="165" t="s">
        <v>105</v>
      </c>
      <c r="G97" s="165">
        <v>2</v>
      </c>
      <c r="H97" s="206" t="s">
        <v>21</v>
      </c>
      <c r="I97" s="206" t="s">
        <v>1835</v>
      </c>
      <c r="J97" s="165" t="s">
        <v>105</v>
      </c>
      <c r="K97" s="165" t="s">
        <v>84</v>
      </c>
      <c r="L97" s="165">
        <v>3</v>
      </c>
      <c r="M97" s="165" t="s">
        <v>46</v>
      </c>
      <c r="N97" s="206" t="s">
        <v>1913</v>
      </c>
      <c r="O97" s="165"/>
      <c r="P97" s="206"/>
    </row>
    <row r="98" spans="1:16" ht="15.75">
      <c r="A98" s="165">
        <v>80</v>
      </c>
      <c r="B98" s="340">
        <v>42846</v>
      </c>
      <c r="C98" s="166" t="s">
        <v>89</v>
      </c>
      <c r="D98" s="165">
        <f t="shared" si="1"/>
        <v>5</v>
      </c>
      <c r="E98" s="165" t="s">
        <v>82</v>
      </c>
      <c r="F98" s="165" t="s">
        <v>105</v>
      </c>
      <c r="G98" s="165">
        <v>3</v>
      </c>
      <c r="H98" s="206" t="s">
        <v>23</v>
      </c>
      <c r="I98" s="206" t="s">
        <v>1590</v>
      </c>
      <c r="J98" s="165" t="s">
        <v>105</v>
      </c>
      <c r="K98" s="165" t="s">
        <v>84</v>
      </c>
      <c r="L98" s="165">
        <v>3</v>
      </c>
      <c r="M98" s="165" t="s">
        <v>47</v>
      </c>
      <c r="N98" s="206" t="s">
        <v>1887</v>
      </c>
      <c r="O98" s="165"/>
      <c r="P98" s="206"/>
    </row>
    <row r="99" spans="1:16" ht="15.75">
      <c r="A99" s="165">
        <v>81</v>
      </c>
      <c r="B99" s="340">
        <v>42847</v>
      </c>
      <c r="C99" s="166" t="s">
        <v>89</v>
      </c>
      <c r="D99" s="165">
        <f t="shared" si="1"/>
        <v>6</v>
      </c>
      <c r="E99" s="165" t="s">
        <v>83</v>
      </c>
      <c r="F99" s="165" t="s">
        <v>84</v>
      </c>
      <c r="G99" s="165"/>
      <c r="H99" s="165"/>
      <c r="I99" s="165"/>
      <c r="J99" s="165" t="s">
        <v>84</v>
      </c>
      <c r="K99" s="165" t="s">
        <v>105</v>
      </c>
      <c r="L99" s="165">
        <v>3</v>
      </c>
      <c r="M99" s="165"/>
      <c r="N99" s="206"/>
      <c r="O99" s="165" t="s">
        <v>50</v>
      </c>
      <c r="P99" s="206" t="s">
        <v>98</v>
      </c>
    </row>
    <row r="100" spans="1:16" ht="15.75">
      <c r="A100" s="165">
        <v>82</v>
      </c>
      <c r="B100" s="340">
        <v>42848</v>
      </c>
      <c r="C100" s="166" t="s">
        <v>89</v>
      </c>
      <c r="D100" s="165">
        <f t="shared" si="1"/>
        <v>7</v>
      </c>
      <c r="E100" s="165" t="s">
        <v>85</v>
      </c>
      <c r="F100" s="165" t="s">
        <v>84</v>
      </c>
      <c r="G100" s="165"/>
      <c r="H100" s="165"/>
      <c r="I100" s="165"/>
      <c r="J100" s="165" t="s">
        <v>84</v>
      </c>
      <c r="K100" s="165" t="s">
        <v>84</v>
      </c>
      <c r="L100" s="165"/>
      <c r="M100" s="165"/>
      <c r="N100" s="206"/>
      <c r="O100" s="165"/>
      <c r="P100" s="206"/>
    </row>
    <row r="101" spans="1:16" ht="15.75">
      <c r="A101" s="165">
        <v>83</v>
      </c>
      <c r="B101" s="340">
        <v>42849</v>
      </c>
      <c r="C101" s="166" t="s">
        <v>89</v>
      </c>
      <c r="D101" s="165">
        <f t="shared" si="1"/>
        <v>1</v>
      </c>
      <c r="E101" s="165" t="s">
        <v>86</v>
      </c>
      <c r="F101" s="165" t="s">
        <v>105</v>
      </c>
      <c r="G101" s="165">
        <v>3</v>
      </c>
      <c r="H101" s="206" t="s">
        <v>24</v>
      </c>
      <c r="I101" s="206" t="s">
        <v>1632</v>
      </c>
      <c r="J101" s="165" t="s">
        <v>105</v>
      </c>
      <c r="K101" s="165" t="s">
        <v>84</v>
      </c>
      <c r="L101" s="165">
        <v>3</v>
      </c>
      <c r="M101" s="165" t="s">
        <v>51</v>
      </c>
      <c r="N101" s="206" t="s">
        <v>98</v>
      </c>
      <c r="O101" s="165"/>
      <c r="P101" s="206"/>
    </row>
    <row r="102" spans="1:16" ht="15.75">
      <c r="A102" s="165">
        <v>84</v>
      </c>
      <c r="B102" s="340">
        <v>42850</v>
      </c>
      <c r="C102" s="166" t="s">
        <v>89</v>
      </c>
      <c r="D102" s="165">
        <f t="shared" si="1"/>
        <v>2</v>
      </c>
      <c r="E102" s="165" t="s">
        <v>87</v>
      </c>
      <c r="F102" s="165" t="s">
        <v>105</v>
      </c>
      <c r="G102" s="165">
        <v>3</v>
      </c>
      <c r="H102" s="206" t="s">
        <v>25</v>
      </c>
      <c r="I102" s="206" t="s">
        <v>1595</v>
      </c>
      <c r="J102" s="165" t="s">
        <v>105</v>
      </c>
      <c r="K102" s="165" t="s">
        <v>84</v>
      </c>
      <c r="L102" s="165">
        <v>3</v>
      </c>
      <c r="M102" s="165" t="s">
        <v>53</v>
      </c>
      <c r="N102" s="206" t="s">
        <v>1898</v>
      </c>
      <c r="O102" s="165"/>
      <c r="P102" s="206"/>
    </row>
    <row r="103" spans="1:16" ht="15.75">
      <c r="A103" s="165">
        <v>85</v>
      </c>
      <c r="B103" s="340">
        <v>42851</v>
      </c>
      <c r="C103" s="166" t="s">
        <v>89</v>
      </c>
      <c r="D103" s="165">
        <f t="shared" si="1"/>
        <v>3</v>
      </c>
      <c r="E103" s="165" t="s">
        <v>80</v>
      </c>
      <c r="F103" s="165" t="s">
        <v>105</v>
      </c>
      <c r="G103" s="165">
        <v>3</v>
      </c>
      <c r="H103" s="206" t="s">
        <v>26</v>
      </c>
      <c r="I103" s="206" t="s">
        <v>1585</v>
      </c>
      <c r="J103" s="165" t="s">
        <v>105</v>
      </c>
      <c r="K103" s="165" t="s">
        <v>84</v>
      </c>
      <c r="L103" s="165">
        <v>3</v>
      </c>
      <c r="M103" s="165" t="s">
        <v>54</v>
      </c>
      <c r="N103" s="206" t="s">
        <v>1909</v>
      </c>
      <c r="O103" s="165"/>
      <c r="P103" s="206"/>
    </row>
    <row r="104" spans="1:16" ht="15.75">
      <c r="A104" s="165">
        <v>86</v>
      </c>
      <c r="B104" s="340">
        <v>42852</v>
      </c>
      <c r="C104" s="166" t="s">
        <v>89</v>
      </c>
      <c r="D104" s="165">
        <f t="shared" si="1"/>
        <v>4</v>
      </c>
      <c r="E104" s="165" t="s">
        <v>81</v>
      </c>
      <c r="F104" s="165" t="s">
        <v>105</v>
      </c>
      <c r="G104" s="165">
        <v>3</v>
      </c>
      <c r="H104" s="206" t="s">
        <v>27</v>
      </c>
      <c r="I104" s="206" t="s">
        <v>98</v>
      </c>
      <c r="J104" s="165" t="s">
        <v>105</v>
      </c>
      <c r="K104" s="165" t="s">
        <v>84</v>
      </c>
      <c r="L104" s="165">
        <v>3</v>
      </c>
      <c r="M104" s="165" t="s">
        <v>55</v>
      </c>
      <c r="N104" s="206" t="s">
        <v>1914</v>
      </c>
      <c r="O104" s="165"/>
      <c r="P104" s="206"/>
    </row>
    <row r="105" spans="1:16" ht="15.75">
      <c r="A105" s="165">
        <v>87</v>
      </c>
      <c r="B105" s="340">
        <v>42853</v>
      </c>
      <c r="C105" s="166" t="s">
        <v>89</v>
      </c>
      <c r="D105" s="165">
        <f t="shared" si="1"/>
        <v>5</v>
      </c>
      <c r="E105" s="165" t="s">
        <v>82</v>
      </c>
      <c r="F105" s="165" t="s">
        <v>105</v>
      </c>
      <c r="G105" s="165">
        <v>3</v>
      </c>
      <c r="H105" s="165" t="s">
        <v>28</v>
      </c>
      <c r="I105" s="206" t="s">
        <v>1600</v>
      </c>
      <c r="J105" s="165" t="s">
        <v>105</v>
      </c>
      <c r="K105" s="165" t="s">
        <v>84</v>
      </c>
      <c r="L105" s="165">
        <v>3</v>
      </c>
      <c r="M105" s="165" t="s">
        <v>58</v>
      </c>
      <c r="N105" s="206" t="s">
        <v>1900</v>
      </c>
      <c r="O105" s="165"/>
      <c r="P105" s="206"/>
    </row>
    <row r="106" spans="1:16" ht="15.75">
      <c r="A106" s="165">
        <v>88</v>
      </c>
      <c r="B106" s="340">
        <v>42854</v>
      </c>
      <c r="C106" s="166" t="s">
        <v>89</v>
      </c>
      <c r="D106" s="165">
        <f t="shared" si="1"/>
        <v>6</v>
      </c>
      <c r="E106" s="165" t="s">
        <v>83</v>
      </c>
      <c r="F106" s="165" t="s">
        <v>84</v>
      </c>
      <c r="G106" s="165"/>
      <c r="H106" s="165"/>
      <c r="I106" s="165"/>
      <c r="J106" s="165" t="s">
        <v>84</v>
      </c>
      <c r="K106" s="165" t="s">
        <v>105</v>
      </c>
      <c r="L106" s="165">
        <v>4</v>
      </c>
      <c r="M106" s="165"/>
      <c r="N106" s="206"/>
      <c r="O106" s="206" t="s">
        <v>38</v>
      </c>
      <c r="P106" s="206" t="s">
        <v>1915</v>
      </c>
    </row>
    <row r="107" spans="1:16" ht="15.75">
      <c r="A107" s="165">
        <v>89</v>
      </c>
      <c r="B107" s="340">
        <v>42855</v>
      </c>
      <c r="C107" s="166" t="s">
        <v>89</v>
      </c>
      <c r="D107" s="165">
        <f t="shared" si="1"/>
        <v>7</v>
      </c>
      <c r="E107" s="165" t="s">
        <v>85</v>
      </c>
      <c r="F107" s="165" t="s">
        <v>84</v>
      </c>
      <c r="G107" s="165"/>
      <c r="H107" s="165"/>
      <c r="I107" s="165"/>
      <c r="J107" s="165" t="s">
        <v>84</v>
      </c>
      <c r="K107" s="165" t="s">
        <v>84</v>
      </c>
      <c r="L107" s="165"/>
      <c r="M107" s="165"/>
      <c r="N107" s="206"/>
      <c r="O107" s="165"/>
      <c r="P107" s="206"/>
    </row>
    <row r="108" spans="1:16" ht="15.75">
      <c r="A108" s="167">
        <v>90</v>
      </c>
      <c r="B108" s="341">
        <v>42856</v>
      </c>
      <c r="C108" s="168" t="s">
        <v>91</v>
      </c>
      <c r="D108" s="167">
        <f t="shared" si="1"/>
        <v>1</v>
      </c>
      <c r="E108" s="167" t="s">
        <v>86</v>
      </c>
      <c r="F108" s="167" t="s">
        <v>84</v>
      </c>
      <c r="G108" s="167">
        <v>3</v>
      </c>
      <c r="H108" s="167" t="s">
        <v>1774</v>
      </c>
      <c r="I108" s="167"/>
      <c r="J108" s="167" t="s">
        <v>84</v>
      </c>
      <c r="K108" s="167" t="s">
        <v>84</v>
      </c>
      <c r="L108" s="167">
        <v>4</v>
      </c>
      <c r="M108" s="167" t="s">
        <v>1780</v>
      </c>
      <c r="N108" s="207"/>
      <c r="O108" s="167"/>
      <c r="P108" s="207"/>
    </row>
    <row r="109" spans="1:16" ht="15.75">
      <c r="A109" s="165">
        <v>91</v>
      </c>
      <c r="B109" s="340">
        <v>42857</v>
      </c>
      <c r="C109" s="166" t="s">
        <v>91</v>
      </c>
      <c r="D109" s="165">
        <f t="shared" si="1"/>
        <v>2</v>
      </c>
      <c r="E109" s="165" t="s">
        <v>87</v>
      </c>
      <c r="F109" s="165" t="s">
        <v>105</v>
      </c>
      <c r="G109" s="165">
        <v>3</v>
      </c>
      <c r="H109" s="206" t="s">
        <v>30</v>
      </c>
      <c r="I109" s="206" t="s">
        <v>98</v>
      </c>
      <c r="J109" s="165" t="s">
        <v>105</v>
      </c>
      <c r="K109" s="165" t="s">
        <v>84</v>
      </c>
      <c r="L109" s="165">
        <v>4</v>
      </c>
      <c r="M109" s="165" t="s">
        <v>41</v>
      </c>
      <c r="N109" s="206" t="s">
        <v>1916</v>
      </c>
      <c r="O109" s="165"/>
      <c r="P109" s="206"/>
    </row>
    <row r="110" spans="1:16" ht="15.75">
      <c r="A110" s="165">
        <v>92</v>
      </c>
      <c r="B110" s="340">
        <v>42858</v>
      </c>
      <c r="C110" s="166" t="s">
        <v>91</v>
      </c>
      <c r="D110" s="165">
        <f t="shared" si="1"/>
        <v>3</v>
      </c>
      <c r="E110" s="165" t="s">
        <v>80</v>
      </c>
      <c r="F110" s="165" t="s">
        <v>105</v>
      </c>
      <c r="G110" s="165">
        <v>3</v>
      </c>
      <c r="H110" s="206" t="s">
        <v>31</v>
      </c>
      <c r="I110" s="206" t="s">
        <v>1587</v>
      </c>
      <c r="J110" s="165" t="s">
        <v>105</v>
      </c>
      <c r="K110" s="165" t="s">
        <v>84</v>
      </c>
      <c r="L110" s="165">
        <v>4</v>
      </c>
      <c r="M110" s="165" t="s">
        <v>42</v>
      </c>
      <c r="N110" s="206" t="s">
        <v>1917</v>
      </c>
      <c r="O110" s="165"/>
      <c r="P110" s="206"/>
    </row>
    <row r="111" spans="1:16" ht="15.75">
      <c r="A111" s="165">
        <v>93</v>
      </c>
      <c r="B111" s="340">
        <v>42859</v>
      </c>
      <c r="C111" s="166" t="s">
        <v>91</v>
      </c>
      <c r="D111" s="165">
        <f t="shared" si="1"/>
        <v>4</v>
      </c>
      <c r="E111" s="165" t="s">
        <v>81</v>
      </c>
      <c r="F111" s="165" t="s">
        <v>105</v>
      </c>
      <c r="G111" s="165">
        <v>3</v>
      </c>
      <c r="H111" s="206" t="s">
        <v>32</v>
      </c>
      <c r="I111" s="206" t="s">
        <v>98</v>
      </c>
      <c r="J111" s="165" t="s">
        <v>105</v>
      </c>
      <c r="K111" s="165" t="s">
        <v>84</v>
      </c>
      <c r="L111" s="165">
        <v>4</v>
      </c>
      <c r="M111" s="165" t="s">
        <v>43</v>
      </c>
      <c r="N111" s="206" t="s">
        <v>1919</v>
      </c>
      <c r="O111" s="165"/>
      <c r="P111" s="206"/>
    </row>
    <row r="112" spans="1:16" ht="15.75">
      <c r="A112" s="165">
        <v>94</v>
      </c>
      <c r="B112" s="340">
        <v>42860</v>
      </c>
      <c r="C112" s="166" t="s">
        <v>91</v>
      </c>
      <c r="D112" s="165">
        <f t="shared" si="1"/>
        <v>5</v>
      </c>
      <c r="E112" s="165" t="s">
        <v>82</v>
      </c>
      <c r="F112" s="165" t="s">
        <v>105</v>
      </c>
      <c r="G112" s="165">
        <v>3</v>
      </c>
      <c r="H112" s="165" t="s">
        <v>33</v>
      </c>
      <c r="I112" s="206" t="s">
        <v>1806</v>
      </c>
      <c r="J112" s="165" t="s">
        <v>105</v>
      </c>
      <c r="K112" s="165" t="s">
        <v>84</v>
      </c>
      <c r="L112" s="165">
        <v>4</v>
      </c>
      <c r="M112" s="165" t="s">
        <v>44</v>
      </c>
      <c r="N112" s="206" t="s">
        <v>1851</v>
      </c>
      <c r="O112" s="165"/>
      <c r="P112" s="206"/>
    </row>
    <row r="113" spans="1:16" ht="15.75">
      <c r="A113" s="165">
        <v>95</v>
      </c>
      <c r="B113" s="340">
        <v>42861</v>
      </c>
      <c r="C113" s="166" t="s">
        <v>91</v>
      </c>
      <c r="D113" s="165">
        <f t="shared" si="1"/>
        <v>6</v>
      </c>
      <c r="E113" s="165" t="s">
        <v>83</v>
      </c>
      <c r="F113" s="165" t="s">
        <v>84</v>
      </c>
      <c r="G113" s="165"/>
      <c r="H113" s="165"/>
      <c r="I113" s="165"/>
      <c r="J113" s="165" t="s">
        <v>84</v>
      </c>
      <c r="K113" s="165" t="s">
        <v>105</v>
      </c>
      <c r="L113" s="165">
        <v>4</v>
      </c>
      <c r="M113" s="165"/>
      <c r="N113" s="206"/>
      <c r="O113" s="165" t="s">
        <v>45</v>
      </c>
      <c r="P113" s="206" t="s">
        <v>98</v>
      </c>
    </row>
    <row r="114" spans="1:16" ht="15.75">
      <c r="A114" s="165">
        <v>96</v>
      </c>
      <c r="B114" s="340">
        <v>42862</v>
      </c>
      <c r="C114" s="166" t="s">
        <v>91</v>
      </c>
      <c r="D114" s="165">
        <f t="shared" si="1"/>
        <v>7</v>
      </c>
      <c r="E114" s="165" t="s">
        <v>85</v>
      </c>
      <c r="F114" s="165" t="s">
        <v>84</v>
      </c>
      <c r="G114" s="165"/>
      <c r="H114" s="165"/>
      <c r="I114" s="165"/>
      <c r="J114" s="165" t="s">
        <v>84</v>
      </c>
      <c r="K114" s="165" t="s">
        <v>84</v>
      </c>
      <c r="L114" s="165"/>
      <c r="M114" s="165"/>
      <c r="N114" s="206"/>
      <c r="O114" s="165"/>
      <c r="P114" s="206"/>
    </row>
    <row r="115" spans="1:16" ht="15.75">
      <c r="A115" s="165">
        <v>97</v>
      </c>
      <c r="B115" s="340">
        <v>42863</v>
      </c>
      <c r="C115" s="166" t="s">
        <v>91</v>
      </c>
      <c r="D115" s="165">
        <f t="shared" si="1"/>
        <v>1</v>
      </c>
      <c r="E115" s="165" t="s">
        <v>86</v>
      </c>
      <c r="F115" s="165" t="s">
        <v>105</v>
      </c>
      <c r="G115" s="165">
        <v>3</v>
      </c>
      <c r="H115" s="206" t="s">
        <v>34</v>
      </c>
      <c r="I115" s="206" t="s">
        <v>1631</v>
      </c>
      <c r="J115" s="165" t="s">
        <v>105</v>
      </c>
      <c r="K115" s="165" t="s">
        <v>84</v>
      </c>
      <c r="L115" s="165">
        <v>4</v>
      </c>
      <c r="M115" s="165" t="s">
        <v>46</v>
      </c>
      <c r="N115" s="206" t="s">
        <v>1895</v>
      </c>
      <c r="O115" s="165"/>
      <c r="P115" s="206"/>
    </row>
    <row r="116" spans="1:16" ht="15.75">
      <c r="A116" s="165">
        <v>98</v>
      </c>
      <c r="B116" s="340">
        <v>42864</v>
      </c>
      <c r="C116" s="166" t="s">
        <v>91</v>
      </c>
      <c r="D116" s="165">
        <f t="shared" si="1"/>
        <v>2</v>
      </c>
      <c r="E116" s="165" t="s">
        <v>87</v>
      </c>
      <c r="F116" s="165" t="s">
        <v>105</v>
      </c>
      <c r="G116" s="165">
        <v>3</v>
      </c>
      <c r="H116" s="206" t="s">
        <v>35</v>
      </c>
      <c r="I116" s="206" t="s">
        <v>1807</v>
      </c>
      <c r="J116" s="165" t="s">
        <v>105</v>
      </c>
      <c r="K116" s="165" t="s">
        <v>84</v>
      </c>
      <c r="L116" s="165">
        <v>4</v>
      </c>
      <c r="M116" s="165" t="s">
        <v>47</v>
      </c>
      <c r="N116" s="206" t="s">
        <v>1920</v>
      </c>
      <c r="O116" s="165"/>
      <c r="P116" s="206"/>
    </row>
    <row r="117" spans="1:16" ht="15.75">
      <c r="A117" s="165">
        <v>99</v>
      </c>
      <c r="B117" s="340">
        <v>42865</v>
      </c>
      <c r="C117" s="166" t="s">
        <v>91</v>
      </c>
      <c r="D117" s="165">
        <f t="shared" si="1"/>
        <v>3</v>
      </c>
      <c r="E117" s="165" t="s">
        <v>80</v>
      </c>
      <c r="F117" s="165" t="s">
        <v>105</v>
      </c>
      <c r="G117" s="165">
        <v>3</v>
      </c>
      <c r="H117" s="206" t="s">
        <v>36</v>
      </c>
      <c r="I117" s="206" t="s">
        <v>1814</v>
      </c>
      <c r="J117" s="165" t="s">
        <v>105</v>
      </c>
      <c r="K117" s="165" t="s">
        <v>84</v>
      </c>
      <c r="L117" s="165">
        <v>4</v>
      </c>
      <c r="M117" s="165" t="s">
        <v>50</v>
      </c>
      <c r="N117" s="206" t="s">
        <v>98</v>
      </c>
      <c r="O117" s="165"/>
      <c r="P117" s="206"/>
    </row>
    <row r="118" spans="1:16" ht="15.75">
      <c r="A118" s="165">
        <v>100</v>
      </c>
      <c r="B118" s="340">
        <v>42866</v>
      </c>
      <c r="C118" s="166" t="s">
        <v>91</v>
      </c>
      <c r="D118" s="165">
        <f t="shared" si="1"/>
        <v>4</v>
      </c>
      <c r="E118" s="165" t="s">
        <v>81</v>
      </c>
      <c r="F118" s="165" t="s">
        <v>105</v>
      </c>
      <c r="G118" s="165">
        <v>3</v>
      </c>
      <c r="H118" s="206" t="s">
        <v>37</v>
      </c>
      <c r="I118" s="206" t="s">
        <v>1795</v>
      </c>
      <c r="J118" s="165" t="s">
        <v>105</v>
      </c>
      <c r="K118" s="165" t="s">
        <v>84</v>
      </c>
      <c r="L118" s="165">
        <v>4</v>
      </c>
      <c r="M118" s="165" t="s">
        <v>51</v>
      </c>
      <c r="N118" s="206" t="s">
        <v>98</v>
      </c>
      <c r="O118" s="165"/>
      <c r="P118" s="206"/>
    </row>
    <row r="119" spans="1:16" ht="15.75">
      <c r="A119" s="165">
        <v>101</v>
      </c>
      <c r="B119" s="340">
        <v>42867</v>
      </c>
      <c r="C119" s="166" t="s">
        <v>91</v>
      </c>
      <c r="D119" s="165">
        <f t="shared" si="1"/>
        <v>5</v>
      </c>
      <c r="E119" s="165" t="s">
        <v>82</v>
      </c>
      <c r="F119" s="165" t="s">
        <v>105</v>
      </c>
      <c r="G119" s="165">
        <v>3</v>
      </c>
      <c r="H119" s="165" t="s">
        <v>22</v>
      </c>
      <c r="I119" s="206" t="s">
        <v>1589</v>
      </c>
      <c r="J119" s="165" t="s">
        <v>105</v>
      </c>
      <c r="K119" s="165" t="s">
        <v>84</v>
      </c>
      <c r="L119" s="165">
        <v>4</v>
      </c>
      <c r="M119" s="165" t="s">
        <v>53</v>
      </c>
      <c r="N119" s="206" t="s">
        <v>1921</v>
      </c>
      <c r="O119" s="165"/>
      <c r="P119" s="206"/>
    </row>
    <row r="120" spans="1:16" ht="15.75">
      <c r="A120" s="165">
        <v>102</v>
      </c>
      <c r="B120" s="340">
        <v>42868</v>
      </c>
      <c r="C120" s="166" t="s">
        <v>91</v>
      </c>
      <c r="D120" s="165">
        <f t="shared" si="1"/>
        <v>6</v>
      </c>
      <c r="E120" s="165" t="s">
        <v>83</v>
      </c>
      <c r="F120" s="165" t="s">
        <v>84</v>
      </c>
      <c r="G120" s="165"/>
      <c r="H120" s="165"/>
      <c r="I120" s="165"/>
      <c r="J120" s="165" t="s">
        <v>84</v>
      </c>
      <c r="K120" s="165" t="s">
        <v>105</v>
      </c>
      <c r="L120" s="165">
        <v>4</v>
      </c>
      <c r="M120" s="165"/>
      <c r="N120" s="206"/>
      <c r="O120" s="165" t="s">
        <v>54</v>
      </c>
      <c r="P120" s="206" t="s">
        <v>1922</v>
      </c>
    </row>
    <row r="121" spans="1:16" ht="15.75">
      <c r="A121" s="165">
        <v>103</v>
      </c>
      <c r="B121" s="340">
        <v>42869</v>
      </c>
      <c r="C121" s="166" t="s">
        <v>91</v>
      </c>
      <c r="D121" s="165">
        <f t="shared" si="1"/>
        <v>7</v>
      </c>
      <c r="E121" s="165" t="s">
        <v>85</v>
      </c>
      <c r="F121" s="165" t="s">
        <v>84</v>
      </c>
      <c r="G121" s="165"/>
      <c r="H121" s="165"/>
      <c r="I121" s="206"/>
      <c r="J121" s="165" t="s">
        <v>84</v>
      </c>
      <c r="K121" s="165" t="s">
        <v>84</v>
      </c>
      <c r="L121" s="165"/>
      <c r="M121" s="165"/>
      <c r="N121" s="206"/>
      <c r="O121" s="165"/>
      <c r="P121" s="206"/>
    </row>
    <row r="122" spans="1:16" ht="15.75">
      <c r="A122" s="165">
        <v>104</v>
      </c>
      <c r="B122" s="340">
        <v>42870</v>
      </c>
      <c r="C122" s="166" t="s">
        <v>91</v>
      </c>
      <c r="D122" s="165">
        <f t="shared" si="1"/>
        <v>1</v>
      </c>
      <c r="E122" s="165" t="s">
        <v>86</v>
      </c>
      <c r="F122" s="165" t="s">
        <v>105</v>
      </c>
      <c r="G122" s="165">
        <v>4</v>
      </c>
      <c r="H122" s="206" t="s">
        <v>23</v>
      </c>
      <c r="I122" s="206" t="s">
        <v>1839</v>
      </c>
      <c r="J122" s="165" t="s">
        <v>105</v>
      </c>
      <c r="K122" s="165" t="s">
        <v>84</v>
      </c>
      <c r="L122" s="165">
        <v>4</v>
      </c>
      <c r="M122" s="165" t="s">
        <v>55</v>
      </c>
      <c r="N122" s="206" t="s">
        <v>1899</v>
      </c>
      <c r="O122" s="165"/>
      <c r="P122" s="206"/>
    </row>
    <row r="123" spans="1:16" ht="15.75">
      <c r="A123" s="165">
        <v>105</v>
      </c>
      <c r="B123" s="340">
        <v>42871</v>
      </c>
      <c r="C123" s="166" t="s">
        <v>91</v>
      </c>
      <c r="D123" s="165">
        <f t="shared" si="1"/>
        <v>2</v>
      </c>
      <c r="E123" s="165" t="s">
        <v>87</v>
      </c>
      <c r="F123" s="165" t="s">
        <v>105</v>
      </c>
      <c r="G123" s="165">
        <v>4</v>
      </c>
      <c r="H123" s="206" t="s">
        <v>24</v>
      </c>
      <c r="I123" s="206" t="s">
        <v>1838</v>
      </c>
      <c r="J123" s="165" t="s">
        <v>105</v>
      </c>
      <c r="K123" s="165" t="s">
        <v>84</v>
      </c>
      <c r="L123" s="165">
        <v>4</v>
      </c>
      <c r="M123" s="165" t="s">
        <v>58</v>
      </c>
      <c r="N123" s="206" t="s">
        <v>1923</v>
      </c>
      <c r="O123" s="165"/>
      <c r="P123" s="206"/>
    </row>
    <row r="124" spans="1:16" ht="15.75">
      <c r="A124" s="165">
        <v>106</v>
      </c>
      <c r="B124" s="340">
        <v>42872</v>
      </c>
      <c r="C124" s="166" t="s">
        <v>91</v>
      </c>
      <c r="D124" s="165">
        <f t="shared" si="1"/>
        <v>3</v>
      </c>
      <c r="E124" s="165" t="s">
        <v>80</v>
      </c>
      <c r="F124" s="165" t="s">
        <v>105</v>
      </c>
      <c r="G124" s="165">
        <v>4</v>
      </c>
      <c r="H124" s="206" t="s">
        <v>25</v>
      </c>
      <c r="I124" s="206" t="s">
        <v>1816</v>
      </c>
      <c r="J124" s="165" t="s">
        <v>105</v>
      </c>
      <c r="K124" s="165" t="s">
        <v>84</v>
      </c>
      <c r="L124" s="165">
        <v>5</v>
      </c>
      <c r="M124" s="206" t="s">
        <v>38</v>
      </c>
      <c r="N124" s="206" t="s">
        <v>1868</v>
      </c>
      <c r="O124" s="165"/>
      <c r="P124" s="206"/>
    </row>
    <row r="125" spans="1:16" ht="15.75">
      <c r="A125" s="165">
        <v>107</v>
      </c>
      <c r="B125" s="340">
        <v>42873</v>
      </c>
      <c r="C125" s="166" t="s">
        <v>91</v>
      </c>
      <c r="D125" s="165">
        <f t="shared" si="1"/>
        <v>4</v>
      </c>
      <c r="E125" s="165" t="s">
        <v>81</v>
      </c>
      <c r="F125" s="165" t="s">
        <v>105</v>
      </c>
      <c r="G125" s="165">
        <v>4</v>
      </c>
      <c r="H125" s="206" t="s">
        <v>26</v>
      </c>
      <c r="I125" s="206" t="s">
        <v>1576</v>
      </c>
      <c r="J125" s="165" t="s">
        <v>105</v>
      </c>
      <c r="K125" s="165" t="s">
        <v>84</v>
      </c>
      <c r="L125" s="165">
        <v>5</v>
      </c>
      <c r="M125" s="165" t="s">
        <v>40</v>
      </c>
      <c r="N125" s="206" t="s">
        <v>1925</v>
      </c>
      <c r="O125" s="165"/>
      <c r="P125" s="206"/>
    </row>
    <row r="126" spans="1:16" ht="15.75">
      <c r="A126" s="165">
        <v>108</v>
      </c>
      <c r="B126" s="340">
        <v>42874</v>
      </c>
      <c r="C126" s="166" t="s">
        <v>91</v>
      </c>
      <c r="D126" s="165">
        <f t="shared" si="1"/>
        <v>5</v>
      </c>
      <c r="E126" s="165" t="s">
        <v>82</v>
      </c>
      <c r="F126" s="165" t="s">
        <v>105</v>
      </c>
      <c r="G126" s="165">
        <v>4</v>
      </c>
      <c r="H126" s="165" t="s">
        <v>27</v>
      </c>
      <c r="I126" s="206" t="s">
        <v>98</v>
      </c>
      <c r="J126" s="165" t="s">
        <v>105</v>
      </c>
      <c r="K126" s="165" t="s">
        <v>84</v>
      </c>
      <c r="L126" s="165">
        <v>5</v>
      </c>
      <c r="M126" s="165" t="s">
        <v>41</v>
      </c>
      <c r="N126" s="206" t="s">
        <v>1926</v>
      </c>
      <c r="O126" s="165"/>
      <c r="P126" s="206"/>
    </row>
    <row r="127" spans="1:16" ht="15.75">
      <c r="A127" s="165">
        <v>109</v>
      </c>
      <c r="B127" s="340">
        <v>42875</v>
      </c>
      <c r="C127" s="166" t="s">
        <v>91</v>
      </c>
      <c r="D127" s="165">
        <f t="shared" si="1"/>
        <v>6</v>
      </c>
      <c r="E127" s="165" t="s">
        <v>83</v>
      </c>
      <c r="F127" s="165" t="s">
        <v>84</v>
      </c>
      <c r="G127" s="165"/>
      <c r="H127" s="165"/>
      <c r="I127" s="165"/>
      <c r="J127" s="165" t="s">
        <v>84</v>
      </c>
      <c r="K127" s="165" t="s">
        <v>105</v>
      </c>
      <c r="L127" s="165">
        <v>5</v>
      </c>
      <c r="M127" s="165"/>
      <c r="N127" s="206"/>
      <c r="O127" s="165" t="s">
        <v>42</v>
      </c>
      <c r="P127" s="206" t="s">
        <v>1881</v>
      </c>
    </row>
    <row r="128" spans="1:16" ht="15.75">
      <c r="A128" s="165">
        <v>110</v>
      </c>
      <c r="B128" s="340">
        <v>42876</v>
      </c>
      <c r="C128" s="166" t="s">
        <v>91</v>
      </c>
      <c r="D128" s="165">
        <f t="shared" si="1"/>
        <v>7</v>
      </c>
      <c r="E128" s="165" t="s">
        <v>85</v>
      </c>
      <c r="F128" s="165" t="s">
        <v>84</v>
      </c>
      <c r="G128" s="165"/>
      <c r="H128" s="165"/>
      <c r="I128" s="165"/>
      <c r="J128" s="165" t="s">
        <v>84</v>
      </c>
      <c r="K128" s="165" t="s">
        <v>84</v>
      </c>
      <c r="L128" s="165"/>
      <c r="M128" s="165"/>
      <c r="N128" s="206"/>
      <c r="O128" s="165"/>
      <c r="P128" s="206"/>
    </row>
    <row r="129" spans="1:16" ht="15.75">
      <c r="A129" s="165">
        <v>111</v>
      </c>
      <c r="B129" s="340">
        <v>42877</v>
      </c>
      <c r="C129" s="166" t="s">
        <v>91</v>
      </c>
      <c r="D129" s="165">
        <f t="shared" si="1"/>
        <v>1</v>
      </c>
      <c r="E129" s="165" t="s">
        <v>86</v>
      </c>
      <c r="F129" s="165" t="s">
        <v>105</v>
      </c>
      <c r="G129" s="165">
        <v>4</v>
      </c>
      <c r="H129" s="206" t="s">
        <v>28</v>
      </c>
      <c r="I129" s="206" t="s">
        <v>1581</v>
      </c>
      <c r="J129" s="165" t="s">
        <v>105</v>
      </c>
      <c r="K129" s="165" t="s">
        <v>84</v>
      </c>
      <c r="L129" s="165">
        <v>5</v>
      </c>
      <c r="M129" s="165" t="s">
        <v>43</v>
      </c>
      <c r="N129" s="206" t="s">
        <v>1882</v>
      </c>
      <c r="O129" s="165"/>
      <c r="P129" s="206"/>
    </row>
    <row r="130" spans="1:16" ht="15.75">
      <c r="A130" s="165">
        <v>112</v>
      </c>
      <c r="B130" s="340">
        <v>42878</v>
      </c>
      <c r="C130" s="166" t="s">
        <v>91</v>
      </c>
      <c r="D130" s="165">
        <f t="shared" si="1"/>
        <v>2</v>
      </c>
      <c r="E130" s="165" t="s">
        <v>87</v>
      </c>
      <c r="F130" s="165" t="s">
        <v>105</v>
      </c>
      <c r="G130" s="165">
        <v>4</v>
      </c>
      <c r="H130" s="206" t="s">
        <v>29</v>
      </c>
      <c r="I130" s="206" t="s">
        <v>1596</v>
      </c>
      <c r="J130" s="165" t="s">
        <v>105</v>
      </c>
      <c r="K130" s="165" t="s">
        <v>84</v>
      </c>
      <c r="L130" s="165">
        <v>5</v>
      </c>
      <c r="M130" s="165" t="s">
        <v>44</v>
      </c>
      <c r="N130" s="206" t="s">
        <v>1852</v>
      </c>
      <c r="O130" s="165"/>
      <c r="P130" s="206"/>
    </row>
    <row r="131" spans="1:16" ht="15.75">
      <c r="A131" s="165">
        <v>113</v>
      </c>
      <c r="B131" s="340">
        <v>42879</v>
      </c>
      <c r="C131" s="166" t="s">
        <v>91</v>
      </c>
      <c r="D131" s="165">
        <f t="shared" si="1"/>
        <v>3</v>
      </c>
      <c r="E131" s="165" t="s">
        <v>80</v>
      </c>
      <c r="F131" s="165" t="s">
        <v>105</v>
      </c>
      <c r="G131" s="165">
        <v>4</v>
      </c>
      <c r="H131" s="206" t="s">
        <v>30</v>
      </c>
      <c r="I131" s="206" t="s">
        <v>98</v>
      </c>
      <c r="J131" s="165" t="s">
        <v>105</v>
      </c>
      <c r="K131" s="165" t="s">
        <v>84</v>
      </c>
      <c r="L131" s="165">
        <v>5</v>
      </c>
      <c r="M131" s="165" t="s">
        <v>45</v>
      </c>
      <c r="N131" s="206" t="s">
        <v>98</v>
      </c>
      <c r="O131" s="165"/>
      <c r="P131" s="206"/>
    </row>
    <row r="132" spans="1:16" ht="15.75">
      <c r="A132" s="165">
        <v>114</v>
      </c>
      <c r="B132" s="340">
        <v>42880</v>
      </c>
      <c r="C132" s="166" t="s">
        <v>91</v>
      </c>
      <c r="D132" s="165">
        <f t="shared" si="1"/>
        <v>4</v>
      </c>
      <c r="E132" s="165" t="s">
        <v>81</v>
      </c>
      <c r="F132" s="165" t="s">
        <v>105</v>
      </c>
      <c r="G132" s="165">
        <v>4</v>
      </c>
      <c r="H132" s="206" t="s">
        <v>31</v>
      </c>
      <c r="I132" s="206" t="s">
        <v>1815</v>
      </c>
      <c r="J132" s="165" t="s">
        <v>105</v>
      </c>
      <c r="K132" s="165" t="s">
        <v>84</v>
      </c>
      <c r="L132" s="165">
        <v>5</v>
      </c>
      <c r="M132" s="165" t="s">
        <v>46</v>
      </c>
      <c r="N132" s="206" t="s">
        <v>1864</v>
      </c>
      <c r="O132" s="165"/>
      <c r="P132" s="206"/>
    </row>
    <row r="133" spans="1:16" ht="15.75">
      <c r="A133" s="165">
        <v>115</v>
      </c>
      <c r="B133" s="340">
        <v>42881</v>
      </c>
      <c r="C133" s="166" t="s">
        <v>91</v>
      </c>
      <c r="D133" s="165">
        <f t="shared" si="1"/>
        <v>5</v>
      </c>
      <c r="E133" s="165" t="s">
        <v>82</v>
      </c>
      <c r="F133" s="165" t="s">
        <v>105</v>
      </c>
      <c r="G133" s="165">
        <v>4</v>
      </c>
      <c r="H133" s="165" t="s">
        <v>32</v>
      </c>
      <c r="I133" s="206" t="s">
        <v>98</v>
      </c>
      <c r="J133" s="165" t="s">
        <v>105</v>
      </c>
      <c r="K133" s="165" t="s">
        <v>84</v>
      </c>
      <c r="L133" s="165">
        <v>5</v>
      </c>
      <c r="M133" s="165" t="s">
        <v>47</v>
      </c>
      <c r="N133" s="206" t="s">
        <v>1884</v>
      </c>
      <c r="O133" s="165"/>
      <c r="P133" s="206"/>
    </row>
    <row r="134" spans="1:16" ht="15.75">
      <c r="A134" s="165">
        <v>116</v>
      </c>
      <c r="B134" s="340">
        <v>42882</v>
      </c>
      <c r="C134" s="166" t="s">
        <v>91</v>
      </c>
      <c r="D134" s="165">
        <f t="shared" si="1"/>
        <v>6</v>
      </c>
      <c r="E134" s="165" t="s">
        <v>83</v>
      </c>
      <c r="F134" s="165" t="s">
        <v>84</v>
      </c>
      <c r="G134" s="165"/>
      <c r="H134" s="165"/>
      <c r="I134" s="165"/>
      <c r="J134" s="165" t="s">
        <v>84</v>
      </c>
      <c r="K134" s="165" t="s">
        <v>105</v>
      </c>
      <c r="L134" s="165">
        <v>5</v>
      </c>
      <c r="M134" s="165"/>
      <c r="N134" s="206"/>
      <c r="O134" s="165" t="s">
        <v>50</v>
      </c>
      <c r="P134" s="206" t="s">
        <v>98</v>
      </c>
    </row>
    <row r="135" spans="1:16" ht="15.75">
      <c r="A135" s="165">
        <v>117</v>
      </c>
      <c r="B135" s="340">
        <v>42883</v>
      </c>
      <c r="C135" s="166" t="s">
        <v>91</v>
      </c>
      <c r="D135" s="165">
        <f t="shared" si="1"/>
        <v>7</v>
      </c>
      <c r="E135" s="165" t="s">
        <v>85</v>
      </c>
      <c r="F135" s="165" t="s">
        <v>84</v>
      </c>
      <c r="G135" s="165"/>
      <c r="H135" s="165"/>
      <c r="I135" s="165"/>
      <c r="J135" s="165" t="s">
        <v>84</v>
      </c>
      <c r="K135" s="165" t="s">
        <v>84</v>
      </c>
      <c r="L135" s="165"/>
      <c r="M135" s="165"/>
      <c r="N135" s="206"/>
      <c r="O135" s="165"/>
      <c r="P135" s="206"/>
    </row>
    <row r="136" spans="1:16" ht="15.75">
      <c r="A136" s="167">
        <v>118</v>
      </c>
      <c r="B136" s="341">
        <v>42884</v>
      </c>
      <c r="C136" s="168" t="s">
        <v>91</v>
      </c>
      <c r="D136" s="167">
        <f t="shared" si="1"/>
        <v>1</v>
      </c>
      <c r="E136" s="167" t="s">
        <v>86</v>
      </c>
      <c r="F136" s="167" t="s">
        <v>84</v>
      </c>
      <c r="G136" s="167">
        <v>4</v>
      </c>
      <c r="H136" s="167" t="s">
        <v>1775</v>
      </c>
      <c r="I136" s="167"/>
      <c r="J136" s="167" t="s">
        <v>84</v>
      </c>
      <c r="K136" s="167" t="s">
        <v>84</v>
      </c>
      <c r="L136" s="167">
        <v>5</v>
      </c>
      <c r="M136" s="167" t="s">
        <v>121</v>
      </c>
      <c r="N136" s="207"/>
      <c r="O136" s="167"/>
      <c r="P136" s="207"/>
    </row>
    <row r="137" spans="1:16" ht="15.75">
      <c r="A137" s="165">
        <v>119</v>
      </c>
      <c r="B137" s="340">
        <v>42885</v>
      </c>
      <c r="C137" s="166" t="s">
        <v>91</v>
      </c>
      <c r="D137" s="165">
        <f t="shared" si="1"/>
        <v>2</v>
      </c>
      <c r="E137" s="165" t="s">
        <v>87</v>
      </c>
      <c r="F137" s="165" t="s">
        <v>105</v>
      </c>
      <c r="G137" s="165">
        <v>4</v>
      </c>
      <c r="H137" s="206" t="s">
        <v>34</v>
      </c>
      <c r="I137" s="206" t="s">
        <v>1578</v>
      </c>
      <c r="J137" s="165" t="s">
        <v>105</v>
      </c>
      <c r="K137" s="165" t="s">
        <v>84</v>
      </c>
      <c r="L137" s="165">
        <v>5</v>
      </c>
      <c r="M137" s="165" t="s">
        <v>53</v>
      </c>
      <c r="N137" s="206" t="s">
        <v>1859</v>
      </c>
      <c r="O137" s="165"/>
      <c r="P137" s="206"/>
    </row>
    <row r="138" spans="1:16" ht="15.75">
      <c r="A138" s="165">
        <v>120</v>
      </c>
      <c r="B138" s="340">
        <v>42886</v>
      </c>
      <c r="C138" s="166" t="s">
        <v>91</v>
      </c>
      <c r="D138" s="165">
        <f t="shared" si="1"/>
        <v>3</v>
      </c>
      <c r="E138" s="165" t="s">
        <v>80</v>
      </c>
      <c r="F138" s="165" t="s">
        <v>105</v>
      </c>
      <c r="G138" s="165">
        <v>4</v>
      </c>
      <c r="H138" s="206" t="s">
        <v>35</v>
      </c>
      <c r="I138" s="206" t="s">
        <v>1812</v>
      </c>
      <c r="J138" s="165" t="s">
        <v>105</v>
      </c>
      <c r="K138" s="165" t="s">
        <v>84</v>
      </c>
      <c r="L138" s="165">
        <v>5</v>
      </c>
      <c r="M138" s="165" t="s">
        <v>54</v>
      </c>
      <c r="N138" s="206" t="s">
        <v>1907</v>
      </c>
      <c r="O138" s="165"/>
      <c r="P138" s="206"/>
    </row>
    <row r="139" spans="1:16" ht="15.75">
      <c r="A139" s="165">
        <v>121</v>
      </c>
      <c r="B139" s="340">
        <v>42887</v>
      </c>
      <c r="C139" s="166" t="s">
        <v>92</v>
      </c>
      <c r="D139" s="165">
        <f t="shared" si="1"/>
        <v>4</v>
      </c>
      <c r="E139" s="165" t="s">
        <v>81</v>
      </c>
      <c r="F139" s="165" t="s">
        <v>105</v>
      </c>
      <c r="G139" s="165">
        <v>4</v>
      </c>
      <c r="H139" s="206" t="s">
        <v>36</v>
      </c>
      <c r="I139" s="206" t="s">
        <v>1588</v>
      </c>
      <c r="J139" s="165" t="s">
        <v>105</v>
      </c>
      <c r="K139" s="165" t="s">
        <v>84</v>
      </c>
      <c r="L139" s="165">
        <v>5</v>
      </c>
      <c r="M139" s="165" t="s">
        <v>55</v>
      </c>
      <c r="N139" s="206" t="s">
        <v>1899</v>
      </c>
      <c r="O139" s="165"/>
      <c r="P139" s="206"/>
    </row>
    <row r="140" spans="1:16" ht="15.75">
      <c r="A140" s="165">
        <v>122</v>
      </c>
      <c r="B140" s="340">
        <v>42888</v>
      </c>
      <c r="C140" s="166" t="s">
        <v>92</v>
      </c>
      <c r="D140" s="165">
        <f t="shared" si="1"/>
        <v>5</v>
      </c>
      <c r="E140" s="165" t="s">
        <v>82</v>
      </c>
      <c r="F140" s="165" t="s">
        <v>105</v>
      </c>
      <c r="G140" s="165">
        <v>4</v>
      </c>
      <c r="H140" s="165" t="s">
        <v>37</v>
      </c>
      <c r="I140" s="206" t="s">
        <v>1583</v>
      </c>
      <c r="J140" s="165" t="s">
        <v>105</v>
      </c>
      <c r="K140" s="165" t="s">
        <v>84</v>
      </c>
      <c r="L140" s="165">
        <v>5</v>
      </c>
      <c r="M140" s="165" t="s">
        <v>58</v>
      </c>
      <c r="N140" s="206" t="s">
        <v>1903</v>
      </c>
      <c r="O140" s="165"/>
      <c r="P140" s="206"/>
    </row>
    <row r="141" spans="1:16" ht="15.75">
      <c r="A141" s="165">
        <v>123</v>
      </c>
      <c r="B141" s="340">
        <v>42889</v>
      </c>
      <c r="C141" s="166" t="s">
        <v>92</v>
      </c>
      <c r="D141" s="165">
        <f t="shared" si="1"/>
        <v>6</v>
      </c>
      <c r="E141" s="165" t="s">
        <v>83</v>
      </c>
      <c r="F141" s="165" t="s">
        <v>84</v>
      </c>
      <c r="G141" s="165"/>
      <c r="H141" s="165"/>
      <c r="I141" s="165"/>
      <c r="J141" s="165" t="s">
        <v>84</v>
      </c>
      <c r="K141" s="165" t="s">
        <v>105</v>
      </c>
      <c r="L141" s="165">
        <v>6</v>
      </c>
      <c r="M141" s="165"/>
      <c r="N141" s="206"/>
      <c r="O141" s="206" t="s">
        <v>38</v>
      </c>
      <c r="P141" s="206" t="s">
        <v>1879</v>
      </c>
    </row>
    <row r="142" spans="1:16" ht="15.75">
      <c r="A142" s="165">
        <v>124</v>
      </c>
      <c r="B142" s="340">
        <v>42890</v>
      </c>
      <c r="C142" s="166" t="s">
        <v>92</v>
      </c>
      <c r="D142" s="165">
        <f t="shared" si="1"/>
        <v>7</v>
      </c>
      <c r="E142" s="165" t="s">
        <v>85</v>
      </c>
      <c r="F142" s="165" t="s">
        <v>84</v>
      </c>
      <c r="G142" s="165"/>
      <c r="H142" s="165"/>
      <c r="I142" s="165"/>
      <c r="J142" s="165" t="s">
        <v>84</v>
      </c>
      <c r="K142" s="165" t="s">
        <v>84</v>
      </c>
      <c r="L142" s="165"/>
      <c r="M142" s="165"/>
      <c r="N142" s="206"/>
      <c r="O142" s="165"/>
      <c r="P142" s="206"/>
    </row>
    <row r="143" spans="1:16" ht="15.75">
      <c r="A143" s="165">
        <v>125</v>
      </c>
      <c r="B143" s="340">
        <v>42891</v>
      </c>
      <c r="C143" s="166" t="s">
        <v>92</v>
      </c>
      <c r="D143" s="165">
        <f t="shared" si="1"/>
        <v>1</v>
      </c>
      <c r="E143" s="165" t="s">
        <v>86</v>
      </c>
      <c r="F143" s="165" t="s">
        <v>105</v>
      </c>
      <c r="G143" s="165">
        <v>4</v>
      </c>
      <c r="H143" s="206" t="s">
        <v>18</v>
      </c>
      <c r="I143" s="206" t="s">
        <v>1793</v>
      </c>
      <c r="J143" s="165" t="s">
        <v>105</v>
      </c>
      <c r="K143" s="165" t="s">
        <v>84</v>
      </c>
      <c r="L143" s="165">
        <v>6</v>
      </c>
      <c r="M143" s="165" t="s">
        <v>40</v>
      </c>
      <c r="N143" s="206" t="s">
        <v>1927</v>
      </c>
      <c r="O143" s="165"/>
      <c r="P143" s="206"/>
    </row>
    <row r="144" spans="1:16" ht="15.75">
      <c r="A144" s="165">
        <v>126</v>
      </c>
      <c r="B144" s="340">
        <v>42892</v>
      </c>
      <c r="C144" s="166" t="s">
        <v>92</v>
      </c>
      <c r="D144" s="165">
        <f t="shared" si="1"/>
        <v>2</v>
      </c>
      <c r="E144" s="165" t="s">
        <v>87</v>
      </c>
      <c r="F144" s="165" t="s">
        <v>105</v>
      </c>
      <c r="G144" s="165">
        <v>5</v>
      </c>
      <c r="H144" s="206" t="s">
        <v>23</v>
      </c>
      <c r="I144" s="206" t="s">
        <v>1842</v>
      </c>
      <c r="J144" s="165" t="s">
        <v>105</v>
      </c>
      <c r="K144" s="165" t="s">
        <v>84</v>
      </c>
      <c r="L144" s="165">
        <v>6</v>
      </c>
      <c r="M144" s="165" t="s">
        <v>41</v>
      </c>
      <c r="N144" s="206" t="s">
        <v>1928</v>
      </c>
      <c r="O144" s="165"/>
      <c r="P144" s="206"/>
    </row>
    <row r="145" spans="1:16" ht="15.75">
      <c r="A145" s="165">
        <v>127</v>
      </c>
      <c r="B145" s="340">
        <v>42893</v>
      </c>
      <c r="C145" s="166" t="s">
        <v>92</v>
      </c>
      <c r="D145" s="165">
        <f t="shared" si="1"/>
        <v>3</v>
      </c>
      <c r="E145" s="165" t="s">
        <v>80</v>
      </c>
      <c r="F145" s="165" t="s">
        <v>105</v>
      </c>
      <c r="G145" s="165">
        <v>5</v>
      </c>
      <c r="H145" s="206" t="s">
        <v>24</v>
      </c>
      <c r="I145" s="206" t="s">
        <v>1817</v>
      </c>
      <c r="J145" s="165" t="s">
        <v>105</v>
      </c>
      <c r="K145" s="165" t="s">
        <v>84</v>
      </c>
      <c r="L145" s="165">
        <v>6</v>
      </c>
      <c r="M145" s="165" t="s">
        <v>42</v>
      </c>
      <c r="N145" s="206" t="s">
        <v>1929</v>
      </c>
      <c r="O145" s="165"/>
      <c r="P145" s="206"/>
    </row>
    <row r="146" spans="1:16" ht="15.75">
      <c r="A146" s="165">
        <v>128</v>
      </c>
      <c r="B146" s="340">
        <v>42894</v>
      </c>
      <c r="C146" s="166" t="s">
        <v>92</v>
      </c>
      <c r="D146" s="165">
        <f t="shared" si="1"/>
        <v>4</v>
      </c>
      <c r="E146" s="165" t="s">
        <v>81</v>
      </c>
      <c r="F146" s="165" t="s">
        <v>105</v>
      </c>
      <c r="G146" s="165">
        <v>5</v>
      </c>
      <c r="H146" s="206" t="s">
        <v>25</v>
      </c>
      <c r="I146" s="206" t="s">
        <v>1843</v>
      </c>
      <c r="J146" s="165" t="s">
        <v>105</v>
      </c>
      <c r="K146" s="165" t="s">
        <v>84</v>
      </c>
      <c r="L146" s="165">
        <v>6</v>
      </c>
      <c r="M146" s="165" t="s">
        <v>43</v>
      </c>
      <c r="N146" s="206" t="s">
        <v>1930</v>
      </c>
      <c r="O146" s="165"/>
      <c r="P146" s="206"/>
    </row>
    <row r="147" spans="1:16" ht="15.75">
      <c r="A147" s="165">
        <v>129</v>
      </c>
      <c r="B147" s="340">
        <v>42895</v>
      </c>
      <c r="C147" s="166" t="s">
        <v>92</v>
      </c>
      <c r="D147" s="165">
        <f t="shared" si="1"/>
        <v>5</v>
      </c>
      <c r="E147" s="165" t="s">
        <v>82</v>
      </c>
      <c r="F147" s="165" t="s">
        <v>105</v>
      </c>
      <c r="G147" s="165">
        <v>5</v>
      </c>
      <c r="H147" s="165" t="s">
        <v>26</v>
      </c>
      <c r="I147" s="206" t="s">
        <v>1585</v>
      </c>
      <c r="J147" s="165" t="s">
        <v>105</v>
      </c>
      <c r="K147" s="165" t="s">
        <v>84</v>
      </c>
      <c r="L147" s="165">
        <v>6</v>
      </c>
      <c r="M147" s="165" t="s">
        <v>44</v>
      </c>
      <c r="N147" s="206" t="s">
        <v>1931</v>
      </c>
      <c r="O147" s="165"/>
      <c r="P147" s="206"/>
    </row>
    <row r="148" spans="1:16" ht="15.75">
      <c r="A148" s="165">
        <v>130</v>
      </c>
      <c r="B148" s="340">
        <v>42896</v>
      </c>
      <c r="C148" s="166" t="s">
        <v>92</v>
      </c>
      <c r="D148" s="165">
        <f t="shared" ref="D148:D211" si="2">WEEKDAY(B148,2)</f>
        <v>6</v>
      </c>
      <c r="E148" s="165" t="s">
        <v>83</v>
      </c>
      <c r="F148" s="165" t="s">
        <v>84</v>
      </c>
      <c r="G148" s="165"/>
      <c r="H148" s="165"/>
      <c r="I148" s="206"/>
      <c r="J148" s="165" t="s">
        <v>84</v>
      </c>
      <c r="K148" s="165" t="s">
        <v>105</v>
      </c>
      <c r="L148" s="165">
        <v>6</v>
      </c>
      <c r="M148" s="165"/>
      <c r="N148" s="206"/>
      <c r="O148" s="165" t="s">
        <v>45</v>
      </c>
      <c r="P148" s="206" t="s">
        <v>98</v>
      </c>
    </row>
    <row r="149" spans="1:16" ht="15.75">
      <c r="A149" s="165">
        <v>131</v>
      </c>
      <c r="B149" s="340">
        <v>42897</v>
      </c>
      <c r="C149" s="166" t="s">
        <v>92</v>
      </c>
      <c r="D149" s="165">
        <f t="shared" si="2"/>
        <v>7</v>
      </c>
      <c r="E149" s="165" t="s">
        <v>85</v>
      </c>
      <c r="F149" s="165" t="s">
        <v>84</v>
      </c>
      <c r="G149" s="165"/>
      <c r="H149" s="165"/>
      <c r="I149" s="165"/>
      <c r="J149" s="165" t="s">
        <v>84</v>
      </c>
      <c r="K149" s="165" t="s">
        <v>84</v>
      </c>
      <c r="L149" s="165"/>
      <c r="M149" s="165"/>
      <c r="N149" s="206"/>
      <c r="O149" s="165"/>
      <c r="P149" s="206"/>
    </row>
    <row r="150" spans="1:16" ht="15.75">
      <c r="A150" s="165">
        <v>132</v>
      </c>
      <c r="B150" s="340">
        <v>42898</v>
      </c>
      <c r="C150" s="166" t="s">
        <v>92</v>
      </c>
      <c r="D150" s="165">
        <f t="shared" si="2"/>
        <v>1</v>
      </c>
      <c r="E150" s="165" t="s">
        <v>86</v>
      </c>
      <c r="F150" s="165" t="s">
        <v>105</v>
      </c>
      <c r="G150" s="165">
        <v>5</v>
      </c>
      <c r="H150" s="206" t="s">
        <v>27</v>
      </c>
      <c r="I150" s="206" t="s">
        <v>98</v>
      </c>
      <c r="J150" s="165" t="s">
        <v>105</v>
      </c>
      <c r="K150" s="165" t="s">
        <v>84</v>
      </c>
      <c r="L150" s="165">
        <v>6</v>
      </c>
      <c r="M150" s="165" t="s">
        <v>46</v>
      </c>
      <c r="N150" s="206" t="s">
        <v>1853</v>
      </c>
      <c r="O150" s="165"/>
      <c r="P150" s="206"/>
    </row>
    <row r="151" spans="1:16" ht="15.75">
      <c r="A151" s="165">
        <v>133</v>
      </c>
      <c r="B151" s="340">
        <v>42899</v>
      </c>
      <c r="C151" s="166" t="s">
        <v>92</v>
      </c>
      <c r="D151" s="165">
        <f t="shared" si="2"/>
        <v>2</v>
      </c>
      <c r="E151" s="165" t="s">
        <v>87</v>
      </c>
      <c r="F151" s="165" t="s">
        <v>105</v>
      </c>
      <c r="G151" s="165">
        <v>5</v>
      </c>
      <c r="H151" s="206" t="s">
        <v>28</v>
      </c>
      <c r="I151" s="206" t="s">
        <v>1600</v>
      </c>
      <c r="J151" s="165" t="s">
        <v>105</v>
      </c>
      <c r="K151" s="165" t="s">
        <v>84</v>
      </c>
      <c r="L151" s="165">
        <v>6</v>
      </c>
      <c r="M151" s="165" t="s">
        <v>47</v>
      </c>
      <c r="N151" s="206" t="s">
        <v>1932</v>
      </c>
      <c r="O151" s="165"/>
      <c r="P151" s="206"/>
    </row>
    <row r="152" spans="1:16" ht="15.75">
      <c r="A152" s="165">
        <v>134</v>
      </c>
      <c r="B152" s="340">
        <v>42900</v>
      </c>
      <c r="C152" s="166" t="s">
        <v>92</v>
      </c>
      <c r="D152" s="165">
        <f t="shared" si="2"/>
        <v>3</v>
      </c>
      <c r="E152" s="165" t="s">
        <v>80</v>
      </c>
      <c r="F152" s="165" t="s">
        <v>105</v>
      </c>
      <c r="G152" s="165">
        <v>5</v>
      </c>
      <c r="H152" s="206" t="s">
        <v>29</v>
      </c>
      <c r="I152" s="206" t="s">
        <v>1820</v>
      </c>
      <c r="J152" s="165" t="s">
        <v>105</v>
      </c>
      <c r="K152" s="165" t="s">
        <v>84</v>
      </c>
      <c r="L152" s="165">
        <v>6</v>
      </c>
      <c r="M152" s="165" t="s">
        <v>50</v>
      </c>
      <c r="N152" s="206" t="s">
        <v>98</v>
      </c>
      <c r="O152" s="165"/>
      <c r="P152" s="206"/>
    </row>
    <row r="153" spans="1:16" ht="15.75">
      <c r="A153" s="165">
        <v>135</v>
      </c>
      <c r="B153" s="340">
        <v>42901</v>
      </c>
      <c r="C153" s="166" t="s">
        <v>92</v>
      </c>
      <c r="D153" s="165">
        <f t="shared" si="2"/>
        <v>4</v>
      </c>
      <c r="E153" s="165" t="s">
        <v>81</v>
      </c>
      <c r="F153" s="165" t="s">
        <v>105</v>
      </c>
      <c r="G153" s="165">
        <v>5</v>
      </c>
      <c r="H153" s="206" t="s">
        <v>30</v>
      </c>
      <c r="I153" s="206" t="s">
        <v>98</v>
      </c>
      <c r="J153" s="165" t="s">
        <v>105</v>
      </c>
      <c r="K153" s="165" t="s">
        <v>84</v>
      </c>
      <c r="L153" s="165">
        <v>6</v>
      </c>
      <c r="M153" s="165" t="s">
        <v>51</v>
      </c>
      <c r="N153" s="206" t="s">
        <v>98</v>
      </c>
      <c r="O153" s="165"/>
      <c r="P153" s="206"/>
    </row>
    <row r="154" spans="1:16" ht="15.75">
      <c r="A154" s="165">
        <v>136</v>
      </c>
      <c r="B154" s="340">
        <v>42902</v>
      </c>
      <c r="C154" s="166" t="s">
        <v>92</v>
      </c>
      <c r="D154" s="165">
        <f t="shared" si="2"/>
        <v>5</v>
      </c>
      <c r="E154" s="165" t="s">
        <v>82</v>
      </c>
      <c r="F154" s="165" t="s">
        <v>105</v>
      </c>
      <c r="G154" s="165">
        <v>5</v>
      </c>
      <c r="H154" s="165" t="s">
        <v>31</v>
      </c>
      <c r="I154" s="206" t="s">
        <v>1818</v>
      </c>
      <c r="J154" s="165" t="s">
        <v>105</v>
      </c>
      <c r="K154" s="165" t="s">
        <v>84</v>
      </c>
      <c r="L154" s="165">
        <v>6</v>
      </c>
      <c r="M154" s="165" t="s">
        <v>53</v>
      </c>
      <c r="N154" s="206" t="s">
        <v>1888</v>
      </c>
      <c r="O154" s="165"/>
      <c r="P154" s="206"/>
    </row>
    <row r="155" spans="1:16" ht="15.75">
      <c r="A155" s="165">
        <v>137</v>
      </c>
      <c r="B155" s="340">
        <v>42903</v>
      </c>
      <c r="C155" s="166" t="s">
        <v>92</v>
      </c>
      <c r="D155" s="165">
        <f t="shared" si="2"/>
        <v>6</v>
      </c>
      <c r="E155" s="165" t="s">
        <v>83</v>
      </c>
      <c r="F155" s="165" t="s">
        <v>84</v>
      </c>
      <c r="G155" s="165"/>
      <c r="H155" s="165"/>
      <c r="I155" s="165"/>
      <c r="J155" s="165" t="s">
        <v>84</v>
      </c>
      <c r="K155" s="165" t="s">
        <v>105</v>
      </c>
      <c r="L155" s="165">
        <v>6</v>
      </c>
      <c r="M155" s="165"/>
      <c r="N155" s="206"/>
      <c r="O155" s="165" t="s">
        <v>54</v>
      </c>
      <c r="P155" s="206" t="s">
        <v>1909</v>
      </c>
    </row>
    <row r="156" spans="1:16" ht="15.75">
      <c r="A156" s="165">
        <v>138</v>
      </c>
      <c r="B156" s="340">
        <v>42904</v>
      </c>
      <c r="C156" s="166" t="s">
        <v>92</v>
      </c>
      <c r="D156" s="165">
        <f t="shared" si="2"/>
        <v>7</v>
      </c>
      <c r="E156" s="165" t="s">
        <v>85</v>
      </c>
      <c r="F156" s="165" t="s">
        <v>84</v>
      </c>
      <c r="G156" s="165"/>
      <c r="H156" s="165"/>
      <c r="I156" s="165"/>
      <c r="J156" s="165" t="s">
        <v>84</v>
      </c>
      <c r="K156" s="165" t="s">
        <v>84</v>
      </c>
      <c r="L156" s="165"/>
      <c r="M156" s="165"/>
      <c r="N156" s="206"/>
      <c r="O156" s="165"/>
      <c r="P156" s="206"/>
    </row>
    <row r="157" spans="1:16" ht="15.75">
      <c r="A157" s="169">
        <v>139</v>
      </c>
      <c r="B157" s="342">
        <v>42905</v>
      </c>
      <c r="C157" s="170" t="s">
        <v>92</v>
      </c>
      <c r="D157" s="169">
        <f t="shared" si="2"/>
        <v>1</v>
      </c>
      <c r="E157" s="169" t="s">
        <v>86</v>
      </c>
      <c r="F157" s="169" t="s">
        <v>84</v>
      </c>
      <c r="G157" s="169"/>
      <c r="H157" s="169" t="s">
        <v>93</v>
      </c>
      <c r="I157" s="169"/>
      <c r="J157" s="169" t="s">
        <v>84</v>
      </c>
      <c r="K157" s="169" t="s">
        <v>84</v>
      </c>
      <c r="L157" s="169"/>
      <c r="M157" s="169" t="s">
        <v>93</v>
      </c>
      <c r="N157" s="208"/>
      <c r="O157" s="169"/>
      <c r="P157" s="208"/>
    </row>
    <row r="158" spans="1:16" ht="15.75">
      <c r="A158" s="169">
        <v>140</v>
      </c>
      <c r="B158" s="342">
        <v>42906</v>
      </c>
      <c r="C158" s="170" t="s">
        <v>92</v>
      </c>
      <c r="D158" s="169">
        <f t="shared" si="2"/>
        <v>2</v>
      </c>
      <c r="E158" s="169" t="s">
        <v>87</v>
      </c>
      <c r="F158" s="169" t="s">
        <v>84</v>
      </c>
      <c r="G158" s="169"/>
      <c r="H158" s="169" t="s">
        <v>93</v>
      </c>
      <c r="I158" s="169"/>
      <c r="J158" s="169" t="s">
        <v>84</v>
      </c>
      <c r="K158" s="169" t="s">
        <v>84</v>
      </c>
      <c r="L158" s="169"/>
      <c r="M158" s="169" t="s">
        <v>93</v>
      </c>
      <c r="N158" s="208"/>
      <c r="O158" s="169"/>
      <c r="P158" s="208"/>
    </row>
    <row r="159" spans="1:16" ht="15.75">
      <c r="A159" s="169">
        <v>141</v>
      </c>
      <c r="B159" s="342">
        <v>42907</v>
      </c>
      <c r="C159" s="170" t="s">
        <v>92</v>
      </c>
      <c r="D159" s="169">
        <f t="shared" si="2"/>
        <v>3</v>
      </c>
      <c r="E159" s="169" t="s">
        <v>80</v>
      </c>
      <c r="F159" s="169" t="s">
        <v>84</v>
      </c>
      <c r="G159" s="169"/>
      <c r="H159" s="169" t="s">
        <v>93</v>
      </c>
      <c r="I159" s="169"/>
      <c r="J159" s="169" t="s">
        <v>84</v>
      </c>
      <c r="K159" s="169" t="s">
        <v>84</v>
      </c>
      <c r="L159" s="169"/>
      <c r="M159" s="169" t="s">
        <v>93</v>
      </c>
      <c r="N159" s="208"/>
      <c r="O159" s="169"/>
      <c r="P159" s="208"/>
    </row>
    <row r="160" spans="1:16" ht="15.75">
      <c r="A160" s="169">
        <v>142</v>
      </c>
      <c r="B160" s="342">
        <v>42908</v>
      </c>
      <c r="C160" s="170" t="s">
        <v>92</v>
      </c>
      <c r="D160" s="169">
        <f t="shared" si="2"/>
        <v>4</v>
      </c>
      <c r="E160" s="169" t="s">
        <v>81</v>
      </c>
      <c r="F160" s="169" t="s">
        <v>84</v>
      </c>
      <c r="G160" s="169"/>
      <c r="H160" s="169" t="s">
        <v>93</v>
      </c>
      <c r="I160" s="169"/>
      <c r="J160" s="169" t="s">
        <v>84</v>
      </c>
      <c r="K160" s="169" t="s">
        <v>84</v>
      </c>
      <c r="L160" s="169"/>
      <c r="M160" s="169" t="s">
        <v>93</v>
      </c>
      <c r="N160" s="208"/>
      <c r="O160" s="169"/>
      <c r="P160" s="208"/>
    </row>
    <row r="161" spans="1:16" ht="15.75">
      <c r="A161" s="169">
        <v>143</v>
      </c>
      <c r="B161" s="342">
        <v>42909</v>
      </c>
      <c r="C161" s="170" t="s">
        <v>92</v>
      </c>
      <c r="D161" s="169">
        <f t="shared" si="2"/>
        <v>5</v>
      </c>
      <c r="E161" s="169" t="s">
        <v>82</v>
      </c>
      <c r="F161" s="169" t="s">
        <v>84</v>
      </c>
      <c r="G161" s="169"/>
      <c r="H161" s="169" t="s">
        <v>93</v>
      </c>
      <c r="I161" s="169"/>
      <c r="J161" s="169" t="s">
        <v>84</v>
      </c>
      <c r="K161" s="169" t="s">
        <v>84</v>
      </c>
      <c r="L161" s="169"/>
      <c r="M161" s="169" t="s">
        <v>93</v>
      </c>
      <c r="N161" s="208"/>
      <c r="O161" s="169"/>
      <c r="P161" s="208"/>
    </row>
    <row r="162" spans="1:16" ht="15.75">
      <c r="A162" s="169">
        <v>144</v>
      </c>
      <c r="B162" s="342">
        <v>42910</v>
      </c>
      <c r="C162" s="170" t="s">
        <v>92</v>
      </c>
      <c r="D162" s="169">
        <f t="shared" si="2"/>
        <v>6</v>
      </c>
      <c r="E162" s="169" t="s">
        <v>83</v>
      </c>
      <c r="F162" s="169" t="s">
        <v>84</v>
      </c>
      <c r="G162" s="169"/>
      <c r="H162" s="169"/>
      <c r="I162" s="169"/>
      <c r="J162" s="169" t="s">
        <v>84</v>
      </c>
      <c r="K162" s="169" t="s">
        <v>84</v>
      </c>
      <c r="L162" s="169"/>
      <c r="M162" s="169"/>
      <c r="N162" s="208"/>
      <c r="O162" s="169"/>
      <c r="P162" s="208"/>
    </row>
    <row r="163" spans="1:16" ht="15.75">
      <c r="A163" s="169">
        <v>145</v>
      </c>
      <c r="B163" s="342">
        <v>42911</v>
      </c>
      <c r="C163" s="170" t="s">
        <v>92</v>
      </c>
      <c r="D163" s="169">
        <f t="shared" si="2"/>
        <v>7</v>
      </c>
      <c r="E163" s="169" t="s">
        <v>85</v>
      </c>
      <c r="F163" s="169" t="s">
        <v>84</v>
      </c>
      <c r="G163" s="169"/>
      <c r="H163" s="169"/>
      <c r="I163" s="169"/>
      <c r="J163" s="169" t="s">
        <v>84</v>
      </c>
      <c r="K163" s="169" t="s">
        <v>84</v>
      </c>
      <c r="L163" s="169"/>
      <c r="M163" s="169"/>
      <c r="N163" s="208"/>
      <c r="O163" s="169"/>
      <c r="P163" s="208"/>
    </row>
    <row r="164" spans="1:16" ht="15.75">
      <c r="A164" s="169">
        <v>146</v>
      </c>
      <c r="B164" s="342">
        <v>42912</v>
      </c>
      <c r="C164" s="170" t="s">
        <v>92</v>
      </c>
      <c r="D164" s="169">
        <f t="shared" si="2"/>
        <v>1</v>
      </c>
      <c r="E164" s="169" t="s">
        <v>86</v>
      </c>
      <c r="F164" s="169" t="s">
        <v>84</v>
      </c>
      <c r="G164" s="169"/>
      <c r="H164" s="169" t="s">
        <v>93</v>
      </c>
      <c r="I164" s="169"/>
      <c r="J164" s="169" t="s">
        <v>84</v>
      </c>
      <c r="K164" s="169" t="s">
        <v>84</v>
      </c>
      <c r="L164" s="169"/>
      <c r="M164" s="169" t="s">
        <v>93</v>
      </c>
      <c r="N164" s="208"/>
      <c r="O164" s="169"/>
      <c r="P164" s="208"/>
    </row>
    <row r="165" spans="1:16" ht="15.75">
      <c r="A165" s="169">
        <v>147</v>
      </c>
      <c r="B165" s="342">
        <v>42913</v>
      </c>
      <c r="C165" s="170" t="s">
        <v>92</v>
      </c>
      <c r="D165" s="169">
        <f t="shared" si="2"/>
        <v>2</v>
      </c>
      <c r="E165" s="169" t="s">
        <v>87</v>
      </c>
      <c r="F165" s="169" t="s">
        <v>84</v>
      </c>
      <c r="G165" s="169"/>
      <c r="H165" s="169" t="s">
        <v>93</v>
      </c>
      <c r="I165" s="169"/>
      <c r="J165" s="169" t="s">
        <v>84</v>
      </c>
      <c r="K165" s="169" t="s">
        <v>84</v>
      </c>
      <c r="L165" s="169"/>
      <c r="M165" s="169" t="s">
        <v>93</v>
      </c>
      <c r="N165" s="208"/>
      <c r="O165" s="169"/>
      <c r="P165" s="208"/>
    </row>
    <row r="166" spans="1:16" ht="15.75">
      <c r="A166" s="169">
        <v>148</v>
      </c>
      <c r="B166" s="342">
        <v>42914</v>
      </c>
      <c r="C166" s="170" t="s">
        <v>92</v>
      </c>
      <c r="D166" s="169">
        <f t="shared" si="2"/>
        <v>3</v>
      </c>
      <c r="E166" s="169" t="s">
        <v>80</v>
      </c>
      <c r="F166" s="169" t="s">
        <v>84</v>
      </c>
      <c r="G166" s="169"/>
      <c r="H166" s="169" t="s">
        <v>93</v>
      </c>
      <c r="I166" s="169"/>
      <c r="J166" s="169" t="s">
        <v>84</v>
      </c>
      <c r="K166" s="169" t="s">
        <v>84</v>
      </c>
      <c r="L166" s="169"/>
      <c r="M166" s="169" t="s">
        <v>93</v>
      </c>
      <c r="N166" s="208"/>
      <c r="O166" s="169"/>
      <c r="P166" s="208"/>
    </row>
    <row r="167" spans="1:16" ht="15.75">
      <c r="A167" s="169">
        <v>149</v>
      </c>
      <c r="B167" s="342">
        <v>42915</v>
      </c>
      <c r="C167" s="170" t="s">
        <v>92</v>
      </c>
      <c r="D167" s="169">
        <f t="shared" si="2"/>
        <v>4</v>
      </c>
      <c r="E167" s="169" t="s">
        <v>81</v>
      </c>
      <c r="F167" s="169" t="s">
        <v>84</v>
      </c>
      <c r="G167" s="169"/>
      <c r="H167" s="169" t="s">
        <v>93</v>
      </c>
      <c r="I167" s="169"/>
      <c r="J167" s="169" t="s">
        <v>84</v>
      </c>
      <c r="K167" s="169" t="s">
        <v>84</v>
      </c>
      <c r="L167" s="169"/>
      <c r="M167" s="169" t="s">
        <v>93</v>
      </c>
      <c r="N167" s="208"/>
      <c r="O167" s="169"/>
      <c r="P167" s="208"/>
    </row>
    <row r="168" spans="1:16" ht="15.75">
      <c r="A168" s="169">
        <v>150</v>
      </c>
      <c r="B168" s="342">
        <v>42916</v>
      </c>
      <c r="C168" s="170" t="s">
        <v>92</v>
      </c>
      <c r="D168" s="169">
        <f t="shared" si="2"/>
        <v>5</v>
      </c>
      <c r="E168" s="169" t="s">
        <v>82</v>
      </c>
      <c r="F168" s="169" t="s">
        <v>84</v>
      </c>
      <c r="G168" s="169"/>
      <c r="H168" s="169" t="s">
        <v>93</v>
      </c>
      <c r="I168" s="169"/>
      <c r="J168" s="169" t="s">
        <v>84</v>
      </c>
      <c r="K168" s="169" t="s">
        <v>84</v>
      </c>
      <c r="L168" s="169"/>
      <c r="M168" s="169" t="s">
        <v>93</v>
      </c>
      <c r="N168" s="208"/>
      <c r="O168" s="169"/>
      <c r="P168" s="208"/>
    </row>
    <row r="169" spans="1:16" ht="15.75">
      <c r="A169" s="169">
        <v>151</v>
      </c>
      <c r="B169" s="342">
        <v>42917</v>
      </c>
      <c r="C169" s="170" t="s">
        <v>92</v>
      </c>
      <c r="D169" s="169">
        <f t="shared" si="2"/>
        <v>6</v>
      </c>
      <c r="E169" s="169" t="s">
        <v>83</v>
      </c>
      <c r="F169" s="169" t="s">
        <v>84</v>
      </c>
      <c r="G169" s="169"/>
      <c r="H169" s="169"/>
      <c r="I169" s="169"/>
      <c r="J169" s="169" t="s">
        <v>84</v>
      </c>
      <c r="K169" s="169" t="s">
        <v>84</v>
      </c>
      <c r="L169" s="169"/>
      <c r="M169" s="169"/>
      <c r="N169" s="208"/>
      <c r="O169" s="169"/>
      <c r="P169" s="208"/>
    </row>
    <row r="170" spans="1:16" ht="15.75">
      <c r="A170" s="169">
        <v>152</v>
      </c>
      <c r="B170" s="342">
        <v>42918</v>
      </c>
      <c r="C170" s="170" t="s">
        <v>92</v>
      </c>
      <c r="D170" s="169">
        <f t="shared" si="2"/>
        <v>7</v>
      </c>
      <c r="E170" s="169" t="s">
        <v>85</v>
      </c>
      <c r="F170" s="169" t="s">
        <v>84</v>
      </c>
      <c r="G170" s="169"/>
      <c r="H170" s="169"/>
      <c r="I170" s="169"/>
      <c r="J170" s="169" t="s">
        <v>84</v>
      </c>
      <c r="K170" s="169" t="s">
        <v>84</v>
      </c>
      <c r="L170" s="169"/>
      <c r="M170" s="169"/>
      <c r="N170" s="208"/>
      <c r="O170" s="169"/>
      <c r="P170" s="208"/>
    </row>
    <row r="171" spans="1:16" ht="15.75">
      <c r="A171" s="169">
        <v>153</v>
      </c>
      <c r="B171" s="342">
        <v>42919</v>
      </c>
      <c r="C171" s="170" t="s">
        <v>92</v>
      </c>
      <c r="D171" s="169">
        <f t="shared" si="2"/>
        <v>1</v>
      </c>
      <c r="E171" s="169" t="s">
        <v>86</v>
      </c>
      <c r="F171" s="169" t="s">
        <v>84</v>
      </c>
      <c r="G171" s="169"/>
      <c r="H171" s="169" t="s">
        <v>93</v>
      </c>
      <c r="I171" s="169"/>
      <c r="J171" s="169" t="s">
        <v>84</v>
      </c>
      <c r="K171" s="169" t="s">
        <v>84</v>
      </c>
      <c r="L171" s="169"/>
      <c r="M171" s="169" t="s">
        <v>93</v>
      </c>
      <c r="N171" s="208"/>
      <c r="O171" s="169"/>
      <c r="P171" s="208"/>
    </row>
    <row r="172" spans="1:16" ht="15.75">
      <c r="A172" s="169">
        <v>154</v>
      </c>
      <c r="B172" s="342">
        <v>42920</v>
      </c>
      <c r="C172" s="170" t="s">
        <v>92</v>
      </c>
      <c r="D172" s="169">
        <f t="shared" si="2"/>
        <v>2</v>
      </c>
      <c r="E172" s="169" t="s">
        <v>87</v>
      </c>
      <c r="F172" s="169" t="s">
        <v>84</v>
      </c>
      <c r="G172" s="169"/>
      <c r="H172" s="169" t="s">
        <v>93</v>
      </c>
      <c r="I172" s="169"/>
      <c r="J172" s="169" t="s">
        <v>84</v>
      </c>
      <c r="K172" s="169" t="s">
        <v>84</v>
      </c>
      <c r="L172" s="169"/>
      <c r="M172" s="169" t="s">
        <v>93</v>
      </c>
      <c r="N172" s="208"/>
      <c r="O172" s="169"/>
      <c r="P172" s="208"/>
    </row>
    <row r="173" spans="1:16" ht="15.75">
      <c r="A173" s="169">
        <v>155</v>
      </c>
      <c r="B173" s="342">
        <v>42921</v>
      </c>
      <c r="C173" s="170" t="s">
        <v>92</v>
      </c>
      <c r="D173" s="169">
        <f t="shared" si="2"/>
        <v>3</v>
      </c>
      <c r="E173" s="169" t="s">
        <v>80</v>
      </c>
      <c r="F173" s="169" t="s">
        <v>84</v>
      </c>
      <c r="G173" s="169"/>
      <c r="H173" s="169" t="s">
        <v>93</v>
      </c>
      <c r="I173" s="169"/>
      <c r="J173" s="169" t="s">
        <v>84</v>
      </c>
      <c r="K173" s="169" t="s">
        <v>84</v>
      </c>
      <c r="L173" s="169"/>
      <c r="M173" s="169" t="s">
        <v>93</v>
      </c>
      <c r="N173" s="208"/>
      <c r="O173" s="169"/>
      <c r="P173" s="208"/>
    </row>
    <row r="174" spans="1:16" ht="15.75">
      <c r="A174" s="169">
        <v>156</v>
      </c>
      <c r="B174" s="342">
        <v>42922</v>
      </c>
      <c r="C174" s="170" t="s">
        <v>92</v>
      </c>
      <c r="D174" s="169">
        <f t="shared" si="2"/>
        <v>4</v>
      </c>
      <c r="E174" s="169" t="s">
        <v>81</v>
      </c>
      <c r="F174" s="169" t="s">
        <v>84</v>
      </c>
      <c r="G174" s="169"/>
      <c r="H174" s="169" t="s">
        <v>93</v>
      </c>
      <c r="I174" s="169"/>
      <c r="J174" s="169" t="s">
        <v>84</v>
      </c>
      <c r="K174" s="169" t="s">
        <v>84</v>
      </c>
      <c r="L174" s="169"/>
      <c r="M174" s="169" t="s">
        <v>93</v>
      </c>
      <c r="N174" s="208"/>
      <c r="O174" s="169"/>
      <c r="P174" s="208"/>
    </row>
    <row r="175" spans="1:16" ht="15.75">
      <c r="A175" s="169">
        <v>157</v>
      </c>
      <c r="B175" s="342">
        <v>42923</v>
      </c>
      <c r="C175" s="170" t="s">
        <v>92</v>
      </c>
      <c r="D175" s="169">
        <f t="shared" si="2"/>
        <v>5</v>
      </c>
      <c r="E175" s="169" t="s">
        <v>82</v>
      </c>
      <c r="F175" s="169" t="s">
        <v>84</v>
      </c>
      <c r="G175" s="169"/>
      <c r="H175" s="169" t="s">
        <v>93</v>
      </c>
      <c r="I175" s="169"/>
      <c r="J175" s="169" t="s">
        <v>84</v>
      </c>
      <c r="K175" s="169" t="s">
        <v>84</v>
      </c>
      <c r="L175" s="169"/>
      <c r="M175" s="169" t="s">
        <v>93</v>
      </c>
      <c r="N175" s="208"/>
      <c r="O175" s="169"/>
      <c r="P175" s="208"/>
    </row>
    <row r="176" spans="1:16" ht="15.75">
      <c r="A176" s="169">
        <v>158</v>
      </c>
      <c r="B176" s="342">
        <v>42924</v>
      </c>
      <c r="C176" s="170" t="s">
        <v>92</v>
      </c>
      <c r="D176" s="169">
        <f t="shared" si="2"/>
        <v>6</v>
      </c>
      <c r="E176" s="169" t="s">
        <v>83</v>
      </c>
      <c r="F176" s="169" t="s">
        <v>84</v>
      </c>
      <c r="G176" s="169"/>
      <c r="H176" s="169"/>
      <c r="I176" s="169"/>
      <c r="J176" s="169" t="s">
        <v>84</v>
      </c>
      <c r="K176" s="169" t="s">
        <v>84</v>
      </c>
      <c r="L176" s="169"/>
      <c r="M176" s="169"/>
      <c r="N176" s="208"/>
      <c r="O176" s="169"/>
      <c r="P176" s="208"/>
    </row>
    <row r="177" spans="1:16" ht="15.75">
      <c r="A177" s="169">
        <v>159</v>
      </c>
      <c r="B177" s="342">
        <v>42925</v>
      </c>
      <c r="C177" s="170" t="s">
        <v>92</v>
      </c>
      <c r="D177" s="169">
        <f t="shared" si="2"/>
        <v>7</v>
      </c>
      <c r="E177" s="169" t="s">
        <v>85</v>
      </c>
      <c r="F177" s="169" t="s">
        <v>84</v>
      </c>
      <c r="G177" s="169"/>
      <c r="H177" s="169"/>
      <c r="I177" s="169"/>
      <c r="J177" s="169" t="s">
        <v>84</v>
      </c>
      <c r="K177" s="169" t="s">
        <v>84</v>
      </c>
      <c r="L177" s="169"/>
      <c r="M177" s="169"/>
      <c r="N177" s="208"/>
      <c r="O177" s="169"/>
      <c r="P177" s="208"/>
    </row>
    <row r="178" spans="1:16" ht="15.75">
      <c r="A178" s="165">
        <v>160</v>
      </c>
      <c r="B178" s="340">
        <v>42926</v>
      </c>
      <c r="C178" s="166" t="s">
        <v>92</v>
      </c>
      <c r="D178" s="165">
        <f t="shared" si="2"/>
        <v>1</v>
      </c>
      <c r="E178" s="165" t="s">
        <v>86</v>
      </c>
      <c r="F178" s="165" t="s">
        <v>105</v>
      </c>
      <c r="G178" s="165">
        <v>5</v>
      </c>
      <c r="H178" s="206" t="s">
        <v>32</v>
      </c>
      <c r="I178" s="206" t="s">
        <v>98</v>
      </c>
      <c r="J178" s="165" t="s">
        <v>105</v>
      </c>
      <c r="K178" s="165" t="s">
        <v>84</v>
      </c>
      <c r="L178" s="165">
        <v>6</v>
      </c>
      <c r="M178" s="165" t="s">
        <v>55</v>
      </c>
      <c r="N178" s="206" t="s">
        <v>1877</v>
      </c>
      <c r="O178" s="165"/>
      <c r="P178" s="206"/>
    </row>
    <row r="179" spans="1:16" ht="15.75">
      <c r="A179" s="165">
        <v>161</v>
      </c>
      <c r="B179" s="340">
        <v>42927</v>
      </c>
      <c r="C179" s="166" t="s">
        <v>92</v>
      </c>
      <c r="D179" s="165">
        <f t="shared" si="2"/>
        <v>2</v>
      </c>
      <c r="E179" s="165" t="s">
        <v>87</v>
      </c>
      <c r="F179" s="165" t="s">
        <v>105</v>
      </c>
      <c r="G179" s="165">
        <v>5</v>
      </c>
      <c r="H179" s="206" t="s">
        <v>33</v>
      </c>
      <c r="I179" s="206" t="s">
        <v>1805</v>
      </c>
      <c r="J179" s="165" t="s">
        <v>105</v>
      </c>
      <c r="K179" s="165" t="s">
        <v>84</v>
      </c>
      <c r="L179" s="165">
        <v>6</v>
      </c>
      <c r="M179" s="165" t="s">
        <v>58</v>
      </c>
      <c r="N179" s="206" t="s">
        <v>1880</v>
      </c>
      <c r="O179" s="165"/>
      <c r="P179" s="206"/>
    </row>
    <row r="180" spans="1:16" ht="15.75">
      <c r="A180" s="165">
        <v>162</v>
      </c>
      <c r="B180" s="340">
        <v>42928</v>
      </c>
      <c r="C180" s="166" t="s">
        <v>92</v>
      </c>
      <c r="D180" s="165">
        <f t="shared" si="2"/>
        <v>3</v>
      </c>
      <c r="E180" s="165" t="s">
        <v>80</v>
      </c>
      <c r="F180" s="165" t="s">
        <v>105</v>
      </c>
      <c r="G180" s="165">
        <v>5</v>
      </c>
      <c r="H180" s="206" t="s">
        <v>34</v>
      </c>
      <c r="I180" s="206" t="s">
        <v>1821</v>
      </c>
      <c r="J180" s="165" t="s">
        <v>105</v>
      </c>
      <c r="K180" s="165" t="s">
        <v>84</v>
      </c>
      <c r="L180" s="165">
        <v>7</v>
      </c>
      <c r="M180" s="206" t="s">
        <v>38</v>
      </c>
      <c r="N180" s="206" t="s">
        <v>1890</v>
      </c>
      <c r="O180" s="165"/>
      <c r="P180" s="206"/>
    </row>
    <row r="181" spans="1:16" ht="15.75">
      <c r="A181" s="165">
        <v>163</v>
      </c>
      <c r="B181" s="340">
        <v>42929</v>
      </c>
      <c r="C181" s="166" t="s">
        <v>92</v>
      </c>
      <c r="D181" s="165">
        <f t="shared" si="2"/>
        <v>4</v>
      </c>
      <c r="E181" s="165" t="s">
        <v>81</v>
      </c>
      <c r="F181" s="165" t="s">
        <v>105</v>
      </c>
      <c r="G181" s="165">
        <v>5</v>
      </c>
      <c r="H181" s="206" t="s">
        <v>35</v>
      </c>
      <c r="I181" s="206" t="s">
        <v>1797</v>
      </c>
      <c r="J181" s="165" t="s">
        <v>105</v>
      </c>
      <c r="K181" s="165" t="s">
        <v>84</v>
      </c>
      <c r="L181" s="165">
        <v>7</v>
      </c>
      <c r="M181" s="165" t="s">
        <v>40</v>
      </c>
      <c r="N181" s="206" t="s">
        <v>1891</v>
      </c>
      <c r="O181" s="165"/>
      <c r="P181" s="206"/>
    </row>
    <row r="182" spans="1:16" ht="15.75">
      <c r="A182" s="165">
        <v>164</v>
      </c>
      <c r="B182" s="340">
        <v>42930</v>
      </c>
      <c r="C182" s="166" t="s">
        <v>92</v>
      </c>
      <c r="D182" s="165">
        <f t="shared" si="2"/>
        <v>5</v>
      </c>
      <c r="E182" s="165" t="s">
        <v>82</v>
      </c>
      <c r="F182" s="165" t="s">
        <v>105</v>
      </c>
      <c r="G182" s="165">
        <v>5</v>
      </c>
      <c r="H182" s="165" t="s">
        <v>36</v>
      </c>
      <c r="I182" s="206" t="s">
        <v>1822</v>
      </c>
      <c r="J182" s="165" t="s">
        <v>105</v>
      </c>
      <c r="K182" s="165" t="s">
        <v>84</v>
      </c>
      <c r="L182" s="165">
        <v>7</v>
      </c>
      <c r="M182" s="165" t="s">
        <v>41</v>
      </c>
      <c r="N182" s="206" t="s">
        <v>1916</v>
      </c>
      <c r="O182" s="165"/>
      <c r="P182" s="206"/>
    </row>
    <row r="183" spans="1:16" ht="15.75">
      <c r="A183" s="165">
        <v>165</v>
      </c>
      <c r="B183" s="340">
        <v>42931</v>
      </c>
      <c r="C183" s="166" t="s">
        <v>92</v>
      </c>
      <c r="D183" s="165">
        <f t="shared" si="2"/>
        <v>6</v>
      </c>
      <c r="E183" s="165" t="s">
        <v>83</v>
      </c>
      <c r="F183" s="165" t="s">
        <v>84</v>
      </c>
      <c r="G183" s="165"/>
      <c r="H183" s="165"/>
      <c r="I183" s="165"/>
      <c r="J183" s="165" t="s">
        <v>84</v>
      </c>
      <c r="K183" s="165" t="s">
        <v>105</v>
      </c>
      <c r="L183" s="165">
        <v>7</v>
      </c>
      <c r="M183" s="165"/>
      <c r="N183" s="206"/>
      <c r="O183" s="165" t="s">
        <v>42</v>
      </c>
      <c r="P183" s="206" t="s">
        <v>1933</v>
      </c>
    </row>
    <row r="184" spans="1:16" ht="15.75">
      <c r="A184" s="165">
        <v>166</v>
      </c>
      <c r="B184" s="340">
        <v>42932</v>
      </c>
      <c r="C184" s="166" t="s">
        <v>92</v>
      </c>
      <c r="D184" s="165">
        <f t="shared" si="2"/>
        <v>7</v>
      </c>
      <c r="E184" s="165" t="s">
        <v>85</v>
      </c>
      <c r="F184" s="165" t="s">
        <v>84</v>
      </c>
      <c r="G184" s="165"/>
      <c r="H184" s="165"/>
      <c r="I184" s="165"/>
      <c r="J184" s="165" t="s">
        <v>84</v>
      </c>
      <c r="K184" s="165" t="s">
        <v>84</v>
      </c>
      <c r="L184" s="165"/>
      <c r="M184" s="165"/>
      <c r="N184" s="206"/>
      <c r="O184" s="165"/>
      <c r="P184" s="206"/>
    </row>
    <row r="185" spans="1:16" ht="15.75">
      <c r="A185" s="165">
        <v>167</v>
      </c>
      <c r="B185" s="340">
        <v>42933</v>
      </c>
      <c r="C185" s="166" t="s">
        <v>92</v>
      </c>
      <c r="D185" s="165">
        <f t="shared" si="2"/>
        <v>1</v>
      </c>
      <c r="E185" s="165" t="s">
        <v>86</v>
      </c>
      <c r="F185" s="165" t="s">
        <v>105</v>
      </c>
      <c r="G185" s="165">
        <v>5</v>
      </c>
      <c r="H185" s="206" t="s">
        <v>37</v>
      </c>
      <c r="I185" s="206" t="s">
        <v>1593</v>
      </c>
      <c r="J185" s="165" t="s">
        <v>105</v>
      </c>
      <c r="K185" s="165" t="s">
        <v>84</v>
      </c>
      <c r="L185" s="165">
        <v>7</v>
      </c>
      <c r="M185" s="165" t="s">
        <v>43</v>
      </c>
      <c r="N185" s="206" t="s">
        <v>1918</v>
      </c>
      <c r="O185" s="165"/>
      <c r="P185" s="206"/>
    </row>
    <row r="186" spans="1:16" ht="15.75">
      <c r="A186" s="165">
        <v>168</v>
      </c>
      <c r="B186" s="340">
        <v>42934</v>
      </c>
      <c r="C186" s="166" t="s">
        <v>92</v>
      </c>
      <c r="D186" s="165">
        <f t="shared" si="2"/>
        <v>2</v>
      </c>
      <c r="E186" s="165" t="s">
        <v>87</v>
      </c>
      <c r="F186" s="165" t="s">
        <v>105</v>
      </c>
      <c r="G186" s="165">
        <v>5</v>
      </c>
      <c r="H186" s="206" t="s">
        <v>21</v>
      </c>
      <c r="I186" s="206" t="s">
        <v>1584</v>
      </c>
      <c r="J186" s="165" t="s">
        <v>105</v>
      </c>
      <c r="K186" s="165" t="s">
        <v>84</v>
      </c>
      <c r="L186" s="165">
        <v>7</v>
      </c>
      <c r="M186" s="165" t="s">
        <v>44</v>
      </c>
      <c r="N186" s="206" t="s">
        <v>1894</v>
      </c>
      <c r="O186" s="165"/>
      <c r="P186" s="206"/>
    </row>
    <row r="187" spans="1:16" ht="15.75">
      <c r="A187" s="165">
        <v>169</v>
      </c>
      <c r="B187" s="340">
        <v>42935</v>
      </c>
      <c r="C187" s="166" t="s">
        <v>92</v>
      </c>
      <c r="D187" s="165">
        <f t="shared" si="2"/>
        <v>3</v>
      </c>
      <c r="E187" s="165" t="s">
        <v>80</v>
      </c>
      <c r="F187" s="165" t="s">
        <v>105</v>
      </c>
      <c r="G187" s="165">
        <v>6</v>
      </c>
      <c r="H187" s="206" t="s">
        <v>23</v>
      </c>
      <c r="I187" s="206" t="s">
        <v>1845</v>
      </c>
      <c r="J187" s="165" t="s">
        <v>105</v>
      </c>
      <c r="K187" s="165" t="s">
        <v>84</v>
      </c>
      <c r="L187" s="165">
        <v>7</v>
      </c>
      <c r="M187" s="165" t="s">
        <v>45</v>
      </c>
      <c r="N187" s="206" t="s">
        <v>98</v>
      </c>
      <c r="O187" s="165"/>
      <c r="P187" s="206"/>
    </row>
    <row r="188" spans="1:16" ht="15.75">
      <c r="A188" s="167">
        <v>170</v>
      </c>
      <c r="B188" s="341">
        <v>42936</v>
      </c>
      <c r="C188" s="168" t="s">
        <v>92</v>
      </c>
      <c r="D188" s="167">
        <f t="shared" si="2"/>
        <v>4</v>
      </c>
      <c r="E188" s="167" t="s">
        <v>81</v>
      </c>
      <c r="F188" s="167" t="s">
        <v>84</v>
      </c>
      <c r="G188" s="167">
        <v>6</v>
      </c>
      <c r="H188" s="167" t="s">
        <v>1776</v>
      </c>
      <c r="I188" s="167"/>
      <c r="J188" s="167" t="s">
        <v>84</v>
      </c>
      <c r="K188" s="167" t="s">
        <v>84</v>
      </c>
      <c r="L188" s="167">
        <v>7</v>
      </c>
      <c r="M188" s="167" t="s">
        <v>1781</v>
      </c>
      <c r="N188" s="207"/>
      <c r="O188" s="167"/>
      <c r="P188" s="207"/>
    </row>
    <row r="189" spans="1:16" ht="15.75">
      <c r="A189" s="165">
        <v>171</v>
      </c>
      <c r="B189" s="340">
        <v>42937</v>
      </c>
      <c r="C189" s="166" t="s">
        <v>92</v>
      </c>
      <c r="D189" s="165">
        <f t="shared" si="2"/>
        <v>5</v>
      </c>
      <c r="E189" s="165" t="s">
        <v>82</v>
      </c>
      <c r="F189" s="165" t="s">
        <v>105</v>
      </c>
      <c r="G189" s="165">
        <v>6</v>
      </c>
      <c r="H189" s="165" t="s">
        <v>25</v>
      </c>
      <c r="I189" s="206" t="s">
        <v>1595</v>
      </c>
      <c r="J189" s="165" t="s">
        <v>105</v>
      </c>
      <c r="K189" s="165" t="s">
        <v>84</v>
      </c>
      <c r="L189" s="165">
        <v>7</v>
      </c>
      <c r="M189" s="165" t="s">
        <v>47</v>
      </c>
      <c r="N189" s="206" t="s">
        <v>1854</v>
      </c>
      <c r="O189" s="165"/>
      <c r="P189" s="206"/>
    </row>
    <row r="190" spans="1:16" ht="15.75">
      <c r="A190" s="165">
        <v>172</v>
      </c>
      <c r="B190" s="340">
        <v>42938</v>
      </c>
      <c r="C190" s="166" t="s">
        <v>92</v>
      </c>
      <c r="D190" s="165">
        <f t="shared" si="2"/>
        <v>6</v>
      </c>
      <c r="E190" s="165" t="s">
        <v>83</v>
      </c>
      <c r="F190" s="165" t="s">
        <v>84</v>
      </c>
      <c r="G190" s="165"/>
      <c r="H190" s="165"/>
      <c r="I190" s="206"/>
      <c r="J190" s="165" t="s">
        <v>84</v>
      </c>
      <c r="K190" s="165" t="s">
        <v>105</v>
      </c>
      <c r="L190" s="165">
        <v>7</v>
      </c>
      <c r="M190" s="165"/>
      <c r="N190" s="206"/>
      <c r="O190" s="165" t="s">
        <v>50</v>
      </c>
      <c r="P190" s="206" t="s">
        <v>98</v>
      </c>
    </row>
    <row r="191" spans="1:16" ht="15.75">
      <c r="A191" s="165">
        <v>173</v>
      </c>
      <c r="B191" s="340">
        <v>42939</v>
      </c>
      <c r="C191" s="166" t="s">
        <v>92</v>
      </c>
      <c r="D191" s="165">
        <f t="shared" si="2"/>
        <v>7</v>
      </c>
      <c r="E191" s="165" t="s">
        <v>85</v>
      </c>
      <c r="F191" s="165" t="s">
        <v>84</v>
      </c>
      <c r="G191" s="165"/>
      <c r="H191" s="165"/>
      <c r="I191" s="165"/>
      <c r="J191" s="165" t="s">
        <v>84</v>
      </c>
      <c r="K191" s="165" t="s">
        <v>84</v>
      </c>
      <c r="L191" s="165"/>
      <c r="M191" s="165"/>
      <c r="N191" s="206"/>
      <c r="O191" s="165"/>
      <c r="P191" s="206"/>
    </row>
    <row r="192" spans="1:16" ht="15.75">
      <c r="A192" s="165">
        <v>174</v>
      </c>
      <c r="B192" s="340">
        <v>42940</v>
      </c>
      <c r="C192" s="166" t="s">
        <v>92</v>
      </c>
      <c r="D192" s="165">
        <f t="shared" si="2"/>
        <v>1</v>
      </c>
      <c r="E192" s="165" t="s">
        <v>86</v>
      </c>
      <c r="F192" s="165" t="s">
        <v>105</v>
      </c>
      <c r="G192" s="165">
        <v>6</v>
      </c>
      <c r="H192" s="206" t="s">
        <v>26</v>
      </c>
      <c r="I192" s="206" t="s">
        <v>1580</v>
      </c>
      <c r="J192" s="165" t="s">
        <v>105</v>
      </c>
      <c r="K192" s="165" t="s">
        <v>84</v>
      </c>
      <c r="L192" s="165">
        <v>7</v>
      </c>
      <c r="M192" s="165" t="s">
        <v>51</v>
      </c>
      <c r="N192" s="206" t="s">
        <v>98</v>
      </c>
      <c r="O192" s="165"/>
      <c r="P192" s="206"/>
    </row>
    <row r="193" spans="1:16" ht="15.75">
      <c r="A193" s="165">
        <v>175</v>
      </c>
      <c r="B193" s="340">
        <v>42941</v>
      </c>
      <c r="C193" s="166" t="s">
        <v>92</v>
      </c>
      <c r="D193" s="165">
        <f t="shared" si="2"/>
        <v>2</v>
      </c>
      <c r="E193" s="165" t="s">
        <v>87</v>
      </c>
      <c r="F193" s="165" t="s">
        <v>105</v>
      </c>
      <c r="G193" s="165">
        <v>6</v>
      </c>
      <c r="H193" s="206" t="s">
        <v>27</v>
      </c>
      <c r="I193" s="206" t="s">
        <v>98</v>
      </c>
      <c r="J193" s="165" t="s">
        <v>105</v>
      </c>
      <c r="K193" s="165" t="s">
        <v>84</v>
      </c>
      <c r="L193" s="165">
        <v>7</v>
      </c>
      <c r="M193" s="165" t="s">
        <v>53</v>
      </c>
      <c r="N193" s="206" t="s">
        <v>1898</v>
      </c>
      <c r="O193" s="165"/>
      <c r="P193" s="206"/>
    </row>
    <row r="194" spans="1:16" ht="15.75">
      <c r="A194" s="165">
        <v>176</v>
      </c>
      <c r="B194" s="340">
        <v>42942</v>
      </c>
      <c r="C194" s="166" t="s">
        <v>92</v>
      </c>
      <c r="D194" s="165">
        <f t="shared" si="2"/>
        <v>3</v>
      </c>
      <c r="E194" s="165" t="s">
        <v>80</v>
      </c>
      <c r="F194" s="165" t="s">
        <v>105</v>
      </c>
      <c r="G194" s="165">
        <v>6</v>
      </c>
      <c r="H194" s="206" t="s">
        <v>28</v>
      </c>
      <c r="I194" s="206" t="s">
        <v>1844</v>
      </c>
      <c r="J194" s="165" t="s">
        <v>105</v>
      </c>
      <c r="K194" s="165" t="s">
        <v>84</v>
      </c>
      <c r="L194" s="165">
        <v>7</v>
      </c>
      <c r="M194" s="165" t="s">
        <v>54</v>
      </c>
      <c r="N194" s="206" t="s">
        <v>1909</v>
      </c>
      <c r="O194" s="165"/>
      <c r="P194" s="206"/>
    </row>
    <row r="195" spans="1:16" ht="15.75">
      <c r="A195" s="165">
        <v>177</v>
      </c>
      <c r="B195" s="340">
        <v>42943</v>
      </c>
      <c r="C195" s="166" t="s">
        <v>92</v>
      </c>
      <c r="D195" s="165">
        <f t="shared" si="2"/>
        <v>4</v>
      </c>
      <c r="E195" s="165" t="s">
        <v>81</v>
      </c>
      <c r="F195" s="165" t="s">
        <v>105</v>
      </c>
      <c r="G195" s="165">
        <v>6</v>
      </c>
      <c r="H195" s="206" t="s">
        <v>29</v>
      </c>
      <c r="I195" s="206" t="s">
        <v>1823</v>
      </c>
      <c r="J195" s="165" t="s">
        <v>105</v>
      </c>
      <c r="K195" s="165" t="s">
        <v>84</v>
      </c>
      <c r="L195" s="165">
        <v>7</v>
      </c>
      <c r="M195" s="165" t="s">
        <v>55</v>
      </c>
      <c r="N195" s="206" t="s">
        <v>1914</v>
      </c>
      <c r="O195" s="165"/>
      <c r="P195" s="206"/>
    </row>
    <row r="196" spans="1:16" ht="15.75">
      <c r="A196" s="165">
        <v>178</v>
      </c>
      <c r="B196" s="340">
        <v>42944</v>
      </c>
      <c r="C196" s="166" t="s">
        <v>92</v>
      </c>
      <c r="D196" s="165">
        <f t="shared" si="2"/>
        <v>5</v>
      </c>
      <c r="E196" s="165" t="s">
        <v>82</v>
      </c>
      <c r="F196" s="165" t="s">
        <v>105</v>
      </c>
      <c r="G196" s="165">
        <v>6</v>
      </c>
      <c r="H196" s="165" t="s">
        <v>30</v>
      </c>
      <c r="I196" s="206" t="s">
        <v>98</v>
      </c>
      <c r="J196" s="165" t="s">
        <v>105</v>
      </c>
      <c r="K196" s="165" t="s">
        <v>84</v>
      </c>
      <c r="L196" s="165">
        <v>7</v>
      </c>
      <c r="M196" s="165" t="s">
        <v>58</v>
      </c>
      <c r="N196" s="206" t="s">
        <v>1860</v>
      </c>
      <c r="O196" s="165"/>
      <c r="P196" s="206"/>
    </row>
    <row r="197" spans="1:16" ht="15.75">
      <c r="A197" s="165">
        <v>179</v>
      </c>
      <c r="B197" s="340">
        <v>42945</v>
      </c>
      <c r="C197" s="166" t="s">
        <v>92</v>
      </c>
      <c r="D197" s="165">
        <f t="shared" si="2"/>
        <v>6</v>
      </c>
      <c r="E197" s="165" t="s">
        <v>83</v>
      </c>
      <c r="F197" s="165" t="s">
        <v>84</v>
      </c>
      <c r="G197" s="165"/>
      <c r="H197" s="165"/>
      <c r="I197" s="165"/>
      <c r="J197" s="165" t="s">
        <v>84</v>
      </c>
      <c r="K197" s="165" t="s">
        <v>105</v>
      </c>
      <c r="L197" s="165">
        <v>8</v>
      </c>
      <c r="M197" s="165"/>
      <c r="N197" s="206"/>
      <c r="O197" s="206" t="s">
        <v>38</v>
      </c>
      <c r="P197" s="206" t="s">
        <v>1934</v>
      </c>
    </row>
    <row r="198" spans="1:16" ht="15.75">
      <c r="A198" s="165">
        <v>180</v>
      </c>
      <c r="B198" s="340">
        <v>42946</v>
      </c>
      <c r="C198" s="166" t="s">
        <v>92</v>
      </c>
      <c r="D198" s="165">
        <f t="shared" si="2"/>
        <v>7</v>
      </c>
      <c r="E198" s="165" t="s">
        <v>85</v>
      </c>
      <c r="F198" s="165" t="s">
        <v>84</v>
      </c>
      <c r="G198" s="165"/>
      <c r="H198" s="165"/>
      <c r="I198" s="165"/>
      <c r="J198" s="165" t="s">
        <v>84</v>
      </c>
      <c r="K198" s="165" t="s">
        <v>84</v>
      </c>
      <c r="L198" s="165"/>
      <c r="M198" s="165"/>
      <c r="N198" s="206"/>
      <c r="O198" s="165"/>
      <c r="P198" s="206"/>
    </row>
    <row r="199" spans="1:16" ht="15.75">
      <c r="A199" s="165">
        <v>181</v>
      </c>
      <c r="B199" s="340">
        <v>42947</v>
      </c>
      <c r="C199" s="166" t="s">
        <v>92</v>
      </c>
      <c r="D199" s="165">
        <f t="shared" si="2"/>
        <v>1</v>
      </c>
      <c r="E199" s="165" t="s">
        <v>86</v>
      </c>
      <c r="F199" s="165" t="s">
        <v>105</v>
      </c>
      <c r="G199" s="165">
        <v>6</v>
      </c>
      <c r="H199" s="206" t="s">
        <v>31</v>
      </c>
      <c r="I199" s="206" t="s">
        <v>1796</v>
      </c>
      <c r="J199" s="165" t="s">
        <v>105</v>
      </c>
      <c r="K199" s="165" t="s">
        <v>84</v>
      </c>
      <c r="L199" s="165">
        <v>8</v>
      </c>
      <c r="M199" s="165" t="s">
        <v>40</v>
      </c>
      <c r="N199" s="206" t="s">
        <v>1892</v>
      </c>
      <c r="O199" s="165"/>
      <c r="P199" s="206"/>
    </row>
    <row r="200" spans="1:16" ht="15.75">
      <c r="A200" s="165">
        <v>182</v>
      </c>
      <c r="B200" s="340">
        <v>42948</v>
      </c>
      <c r="C200" s="166" t="s">
        <v>94</v>
      </c>
      <c r="D200" s="165">
        <f t="shared" si="2"/>
        <v>2</v>
      </c>
      <c r="E200" s="165" t="s">
        <v>87</v>
      </c>
      <c r="F200" s="165" t="s">
        <v>105</v>
      </c>
      <c r="G200" s="165">
        <v>6</v>
      </c>
      <c r="H200" s="206" t="s">
        <v>32</v>
      </c>
      <c r="I200" s="206" t="s">
        <v>98</v>
      </c>
      <c r="J200" s="165" t="s">
        <v>105</v>
      </c>
      <c r="K200" s="165" t="s">
        <v>84</v>
      </c>
      <c r="L200" s="165">
        <v>8</v>
      </c>
      <c r="M200" s="165" t="s">
        <v>41</v>
      </c>
      <c r="N200" s="206" t="s">
        <v>1935</v>
      </c>
      <c r="O200" s="165"/>
      <c r="P200" s="206"/>
    </row>
    <row r="201" spans="1:16" ht="15.75">
      <c r="A201" s="165">
        <v>183</v>
      </c>
      <c r="B201" s="340">
        <v>42949</v>
      </c>
      <c r="C201" s="166" t="s">
        <v>94</v>
      </c>
      <c r="D201" s="165">
        <f t="shared" si="2"/>
        <v>3</v>
      </c>
      <c r="E201" s="165" t="s">
        <v>80</v>
      </c>
      <c r="F201" s="165" t="s">
        <v>105</v>
      </c>
      <c r="G201" s="165">
        <v>6</v>
      </c>
      <c r="H201" s="206" t="s">
        <v>33</v>
      </c>
      <c r="I201" s="206" t="s">
        <v>1806</v>
      </c>
      <c r="J201" s="165" t="s">
        <v>105</v>
      </c>
      <c r="K201" s="165" t="s">
        <v>84</v>
      </c>
      <c r="L201" s="165">
        <v>8</v>
      </c>
      <c r="M201" s="165" t="s">
        <v>42</v>
      </c>
      <c r="N201" s="206" t="s">
        <v>1865</v>
      </c>
      <c r="O201" s="165"/>
      <c r="P201" s="206"/>
    </row>
    <row r="202" spans="1:16" ht="15.75">
      <c r="A202" s="165">
        <v>184</v>
      </c>
      <c r="B202" s="340">
        <v>42950</v>
      </c>
      <c r="C202" s="166" t="s">
        <v>94</v>
      </c>
      <c r="D202" s="165">
        <f t="shared" si="2"/>
        <v>4</v>
      </c>
      <c r="E202" s="165" t="s">
        <v>81</v>
      </c>
      <c r="F202" s="165" t="s">
        <v>105</v>
      </c>
      <c r="G202" s="165">
        <v>6</v>
      </c>
      <c r="H202" s="206" t="s">
        <v>34</v>
      </c>
      <c r="I202" s="206" t="s">
        <v>1597</v>
      </c>
      <c r="J202" s="165" t="s">
        <v>105</v>
      </c>
      <c r="K202" s="165" t="s">
        <v>84</v>
      </c>
      <c r="L202" s="165">
        <v>8</v>
      </c>
      <c r="M202" s="165" t="s">
        <v>43</v>
      </c>
      <c r="N202" s="206" t="s">
        <v>1918</v>
      </c>
      <c r="O202" s="165"/>
      <c r="P202" s="206"/>
    </row>
    <row r="203" spans="1:16" ht="15.75">
      <c r="A203" s="165">
        <v>185</v>
      </c>
      <c r="B203" s="340">
        <v>42951</v>
      </c>
      <c r="C203" s="166" t="s">
        <v>94</v>
      </c>
      <c r="D203" s="165">
        <f t="shared" si="2"/>
        <v>5</v>
      </c>
      <c r="E203" s="165" t="s">
        <v>82</v>
      </c>
      <c r="F203" s="165" t="s">
        <v>105</v>
      </c>
      <c r="G203" s="165">
        <v>6</v>
      </c>
      <c r="H203" s="206" t="s">
        <v>35</v>
      </c>
      <c r="I203" s="206" t="s">
        <v>1824</v>
      </c>
      <c r="J203" s="165" t="s">
        <v>105</v>
      </c>
      <c r="K203" s="165" t="s">
        <v>84</v>
      </c>
      <c r="L203" s="165">
        <v>8</v>
      </c>
      <c r="M203" s="165" t="s">
        <v>44</v>
      </c>
      <c r="N203" s="206" t="s">
        <v>1894</v>
      </c>
      <c r="O203" s="165"/>
      <c r="P203" s="206"/>
    </row>
    <row r="204" spans="1:16" ht="15.75">
      <c r="A204" s="165">
        <v>186</v>
      </c>
      <c r="B204" s="340">
        <v>42952</v>
      </c>
      <c r="C204" s="166" t="s">
        <v>94</v>
      </c>
      <c r="D204" s="165">
        <f t="shared" si="2"/>
        <v>6</v>
      </c>
      <c r="E204" s="165" t="s">
        <v>83</v>
      </c>
      <c r="F204" s="165" t="s">
        <v>84</v>
      </c>
      <c r="G204" s="165"/>
      <c r="H204" s="165"/>
      <c r="I204" s="165"/>
      <c r="J204" s="165" t="s">
        <v>84</v>
      </c>
      <c r="K204" s="165" t="s">
        <v>105</v>
      </c>
      <c r="L204" s="165">
        <v>8</v>
      </c>
      <c r="M204" s="165"/>
      <c r="N204" s="206"/>
      <c r="O204" s="165" t="s">
        <v>45</v>
      </c>
      <c r="P204" s="206" t="s">
        <v>98</v>
      </c>
    </row>
    <row r="205" spans="1:16" ht="15.75">
      <c r="A205" s="165">
        <v>187</v>
      </c>
      <c r="B205" s="340">
        <v>42953</v>
      </c>
      <c r="C205" s="166" t="s">
        <v>94</v>
      </c>
      <c r="D205" s="165">
        <f t="shared" si="2"/>
        <v>7</v>
      </c>
      <c r="E205" s="165" t="s">
        <v>85</v>
      </c>
      <c r="F205" s="165" t="s">
        <v>84</v>
      </c>
      <c r="G205" s="165"/>
      <c r="H205" s="165"/>
      <c r="I205" s="165"/>
      <c r="J205" s="165" t="s">
        <v>84</v>
      </c>
      <c r="K205" s="165" t="s">
        <v>84</v>
      </c>
      <c r="L205" s="165"/>
      <c r="M205" s="165"/>
      <c r="N205" s="206"/>
      <c r="O205" s="165"/>
      <c r="P205" s="206"/>
    </row>
    <row r="206" spans="1:16" ht="15.75">
      <c r="A206" s="167">
        <v>188</v>
      </c>
      <c r="B206" s="341">
        <v>42954</v>
      </c>
      <c r="C206" s="168" t="s">
        <v>94</v>
      </c>
      <c r="D206" s="167">
        <f t="shared" si="2"/>
        <v>1</v>
      </c>
      <c r="E206" s="167" t="s">
        <v>86</v>
      </c>
      <c r="F206" s="167" t="s">
        <v>84</v>
      </c>
      <c r="G206" s="167">
        <v>6</v>
      </c>
      <c r="H206" s="167" t="s">
        <v>1777</v>
      </c>
      <c r="I206" s="167"/>
      <c r="J206" s="167" t="s">
        <v>84</v>
      </c>
      <c r="K206" s="167" t="s">
        <v>84</v>
      </c>
      <c r="L206" s="167">
        <v>8</v>
      </c>
      <c r="M206" s="167" t="s">
        <v>1782</v>
      </c>
      <c r="N206" s="207"/>
      <c r="O206" s="167"/>
      <c r="P206" s="207"/>
    </row>
    <row r="207" spans="1:16" ht="15.75">
      <c r="A207" s="165">
        <v>189</v>
      </c>
      <c r="B207" s="340">
        <v>42955</v>
      </c>
      <c r="C207" s="166" t="s">
        <v>94</v>
      </c>
      <c r="D207" s="165">
        <f t="shared" si="2"/>
        <v>2</v>
      </c>
      <c r="E207" s="165" t="s">
        <v>87</v>
      </c>
      <c r="F207" s="165" t="s">
        <v>105</v>
      </c>
      <c r="G207" s="165">
        <v>6</v>
      </c>
      <c r="H207" s="206" t="s">
        <v>37</v>
      </c>
      <c r="I207" s="206" t="s">
        <v>1593</v>
      </c>
      <c r="J207" s="165" t="s">
        <v>105</v>
      </c>
      <c r="K207" s="165" t="s">
        <v>84</v>
      </c>
      <c r="L207" s="165">
        <v>8</v>
      </c>
      <c r="M207" s="165" t="s">
        <v>47</v>
      </c>
      <c r="N207" s="206" t="s">
        <v>1949</v>
      </c>
      <c r="O207" s="165"/>
      <c r="P207" s="206"/>
    </row>
    <row r="208" spans="1:16" ht="15.75">
      <c r="A208" s="165">
        <v>190</v>
      </c>
      <c r="B208" s="340">
        <v>42956</v>
      </c>
      <c r="C208" s="166" t="s">
        <v>94</v>
      </c>
      <c r="D208" s="165">
        <f t="shared" si="2"/>
        <v>3</v>
      </c>
      <c r="E208" s="165" t="s">
        <v>80</v>
      </c>
      <c r="F208" s="165" t="s">
        <v>105</v>
      </c>
      <c r="G208" s="165">
        <v>6</v>
      </c>
      <c r="H208" s="206" t="s">
        <v>22</v>
      </c>
      <c r="I208" s="206" t="s">
        <v>1834</v>
      </c>
      <c r="J208" s="165" t="s">
        <v>105</v>
      </c>
      <c r="K208" s="165" t="s">
        <v>84</v>
      </c>
      <c r="L208" s="165">
        <v>8</v>
      </c>
      <c r="M208" s="165" t="s">
        <v>50</v>
      </c>
      <c r="N208" s="206" t="s">
        <v>98</v>
      </c>
      <c r="O208" s="165"/>
      <c r="P208" s="206"/>
    </row>
    <row r="209" spans="1:16" ht="15.75">
      <c r="A209" s="165">
        <v>191</v>
      </c>
      <c r="B209" s="340">
        <v>42957</v>
      </c>
      <c r="C209" s="166" t="s">
        <v>94</v>
      </c>
      <c r="D209" s="165">
        <f t="shared" si="2"/>
        <v>4</v>
      </c>
      <c r="E209" s="165" t="s">
        <v>81</v>
      </c>
      <c r="F209" s="165" t="s">
        <v>105</v>
      </c>
      <c r="G209" s="165">
        <v>7</v>
      </c>
      <c r="H209" s="206" t="s">
        <v>23</v>
      </c>
      <c r="I209" s="206" t="s">
        <v>1590</v>
      </c>
      <c r="J209" s="165" t="s">
        <v>105</v>
      </c>
      <c r="K209" s="165" t="s">
        <v>84</v>
      </c>
      <c r="L209" s="165">
        <v>8</v>
      </c>
      <c r="M209" s="165" t="s">
        <v>51</v>
      </c>
      <c r="N209" s="206" t="s">
        <v>98</v>
      </c>
      <c r="O209" s="165"/>
      <c r="P209" s="206"/>
    </row>
    <row r="210" spans="1:16" ht="15.75">
      <c r="A210" s="165">
        <v>192</v>
      </c>
      <c r="B210" s="340">
        <v>42958</v>
      </c>
      <c r="C210" s="166" t="s">
        <v>94</v>
      </c>
      <c r="D210" s="165">
        <f t="shared" si="2"/>
        <v>5</v>
      </c>
      <c r="E210" s="165" t="s">
        <v>82</v>
      </c>
      <c r="F210" s="165" t="s">
        <v>105</v>
      </c>
      <c r="G210" s="165">
        <v>7</v>
      </c>
      <c r="H210" s="206" t="s">
        <v>24</v>
      </c>
      <c r="I210" s="206" t="s">
        <v>1799</v>
      </c>
      <c r="J210" s="165" t="s">
        <v>105</v>
      </c>
      <c r="K210" s="165" t="s">
        <v>84</v>
      </c>
      <c r="L210" s="165">
        <v>8</v>
      </c>
      <c r="M210" s="165" t="s">
        <v>53</v>
      </c>
      <c r="N210" s="206" t="s">
        <v>1898</v>
      </c>
      <c r="O210" s="165"/>
      <c r="P210" s="206"/>
    </row>
    <row r="211" spans="1:16" ht="15.75">
      <c r="A211" s="165">
        <v>193</v>
      </c>
      <c r="B211" s="340">
        <v>42959</v>
      </c>
      <c r="C211" s="166" t="s">
        <v>94</v>
      </c>
      <c r="D211" s="165">
        <f t="shared" si="2"/>
        <v>6</v>
      </c>
      <c r="E211" s="165" t="s">
        <v>83</v>
      </c>
      <c r="F211" s="165" t="s">
        <v>84</v>
      </c>
      <c r="G211" s="165"/>
      <c r="H211" s="165"/>
      <c r="I211" s="165"/>
      <c r="J211" s="165" t="s">
        <v>84</v>
      </c>
      <c r="K211" s="165" t="s">
        <v>105</v>
      </c>
      <c r="L211" s="165">
        <v>8</v>
      </c>
      <c r="M211" s="165"/>
      <c r="N211" s="206"/>
      <c r="O211" s="165" t="s">
        <v>54</v>
      </c>
      <c r="P211" s="206" t="s">
        <v>1909</v>
      </c>
    </row>
    <row r="212" spans="1:16" ht="15.75">
      <c r="A212" s="165">
        <v>194</v>
      </c>
      <c r="B212" s="340">
        <v>42960</v>
      </c>
      <c r="C212" s="166" t="s">
        <v>94</v>
      </c>
      <c r="D212" s="165">
        <f t="shared" ref="D212:D275" si="3">WEEKDAY(B212,2)</f>
        <v>7</v>
      </c>
      <c r="E212" s="165" t="s">
        <v>85</v>
      </c>
      <c r="F212" s="165" t="s">
        <v>84</v>
      </c>
      <c r="G212" s="165"/>
      <c r="H212" s="165"/>
      <c r="I212" s="165"/>
      <c r="J212" s="165" t="s">
        <v>84</v>
      </c>
      <c r="K212" s="165" t="s">
        <v>84</v>
      </c>
      <c r="L212" s="165"/>
      <c r="M212" s="165"/>
      <c r="N212" s="206"/>
      <c r="O212" s="165"/>
      <c r="P212" s="206"/>
    </row>
    <row r="213" spans="1:16" ht="15.75">
      <c r="A213" s="165">
        <v>195</v>
      </c>
      <c r="B213" s="340">
        <v>42961</v>
      </c>
      <c r="C213" s="166" t="s">
        <v>94</v>
      </c>
      <c r="D213" s="165">
        <f t="shared" si="3"/>
        <v>1</v>
      </c>
      <c r="E213" s="165" t="s">
        <v>86</v>
      </c>
      <c r="F213" s="165" t="s">
        <v>105</v>
      </c>
      <c r="G213" s="165">
        <v>7</v>
      </c>
      <c r="H213" s="206" t="s">
        <v>25</v>
      </c>
      <c r="I213" s="206" t="s">
        <v>1825</v>
      </c>
      <c r="J213" s="165" t="s">
        <v>105</v>
      </c>
      <c r="K213" s="165" t="s">
        <v>84</v>
      </c>
      <c r="L213" s="165">
        <v>8</v>
      </c>
      <c r="M213" s="165" t="s">
        <v>55</v>
      </c>
      <c r="N213" s="206" t="s">
        <v>1939</v>
      </c>
      <c r="O213" s="165"/>
      <c r="P213" s="206"/>
    </row>
    <row r="214" spans="1:16" ht="15.75">
      <c r="A214" s="165">
        <v>196</v>
      </c>
      <c r="B214" s="340">
        <v>42962</v>
      </c>
      <c r="C214" s="166" t="s">
        <v>94</v>
      </c>
      <c r="D214" s="165">
        <f t="shared" si="3"/>
        <v>2</v>
      </c>
      <c r="E214" s="165" t="s">
        <v>87</v>
      </c>
      <c r="F214" s="165" t="s">
        <v>105</v>
      </c>
      <c r="G214" s="165">
        <v>7</v>
      </c>
      <c r="H214" s="206" t="s">
        <v>26</v>
      </c>
      <c r="I214" s="206" t="s">
        <v>1604</v>
      </c>
      <c r="J214" s="165" t="s">
        <v>105</v>
      </c>
      <c r="K214" s="165" t="s">
        <v>84</v>
      </c>
      <c r="L214" s="165">
        <v>8</v>
      </c>
      <c r="M214" s="165" t="s">
        <v>58</v>
      </c>
      <c r="N214" s="206" t="s">
        <v>1948</v>
      </c>
      <c r="O214" s="165"/>
      <c r="P214" s="206"/>
    </row>
    <row r="215" spans="1:16" ht="15.75">
      <c r="A215" s="165">
        <v>197</v>
      </c>
      <c r="B215" s="340">
        <v>42963</v>
      </c>
      <c r="C215" s="166" t="s">
        <v>94</v>
      </c>
      <c r="D215" s="165">
        <f t="shared" si="3"/>
        <v>3</v>
      </c>
      <c r="E215" s="165" t="s">
        <v>80</v>
      </c>
      <c r="F215" s="165" t="s">
        <v>105</v>
      </c>
      <c r="G215" s="165">
        <v>7</v>
      </c>
      <c r="H215" s="206" t="s">
        <v>27</v>
      </c>
      <c r="I215" s="206" t="s">
        <v>98</v>
      </c>
      <c r="J215" s="165" t="s">
        <v>105</v>
      </c>
      <c r="K215" s="165" t="s">
        <v>84</v>
      </c>
      <c r="L215" s="165">
        <v>9</v>
      </c>
      <c r="M215" s="206" t="s">
        <v>38</v>
      </c>
      <c r="N215" s="206" t="s">
        <v>1855</v>
      </c>
      <c r="O215" s="165"/>
      <c r="P215" s="206"/>
    </row>
    <row r="216" spans="1:16" ht="15.75">
      <c r="A216" s="165">
        <v>198</v>
      </c>
      <c r="B216" s="340">
        <v>42964</v>
      </c>
      <c r="C216" s="166" t="s">
        <v>94</v>
      </c>
      <c r="D216" s="165">
        <f t="shared" si="3"/>
        <v>4</v>
      </c>
      <c r="E216" s="165" t="s">
        <v>81</v>
      </c>
      <c r="F216" s="165" t="s">
        <v>105</v>
      </c>
      <c r="G216" s="165">
        <v>7</v>
      </c>
      <c r="H216" s="206" t="s">
        <v>28</v>
      </c>
      <c r="I216" s="206" t="s">
        <v>1577</v>
      </c>
      <c r="J216" s="165" t="s">
        <v>105</v>
      </c>
      <c r="K216" s="165" t="s">
        <v>84</v>
      </c>
      <c r="L216" s="165">
        <v>9</v>
      </c>
      <c r="M216" s="165" t="s">
        <v>40</v>
      </c>
      <c r="N216" s="206" t="s">
        <v>1861</v>
      </c>
      <c r="O216" s="165"/>
      <c r="P216" s="206"/>
    </row>
    <row r="217" spans="1:16" ht="15.75">
      <c r="A217" s="165">
        <v>199</v>
      </c>
      <c r="B217" s="340">
        <v>42965</v>
      </c>
      <c r="C217" s="166" t="s">
        <v>94</v>
      </c>
      <c r="D217" s="165">
        <f t="shared" si="3"/>
        <v>5</v>
      </c>
      <c r="E217" s="165" t="s">
        <v>82</v>
      </c>
      <c r="F217" s="165" t="s">
        <v>105</v>
      </c>
      <c r="G217" s="206">
        <v>7</v>
      </c>
      <c r="H217" s="206" t="s">
        <v>29</v>
      </c>
      <c r="I217" s="206" t="s">
        <v>1827</v>
      </c>
      <c r="J217" s="165" t="s">
        <v>105</v>
      </c>
      <c r="K217" s="165" t="s">
        <v>84</v>
      </c>
      <c r="L217" s="165">
        <v>9</v>
      </c>
      <c r="M217" s="165" t="s">
        <v>41</v>
      </c>
      <c r="N217" s="206" t="s">
        <v>1916</v>
      </c>
      <c r="O217" s="165"/>
      <c r="P217" s="206"/>
    </row>
    <row r="218" spans="1:16" ht="15.75">
      <c r="A218" s="165">
        <v>200</v>
      </c>
      <c r="B218" s="340">
        <v>42966</v>
      </c>
      <c r="C218" s="166" t="s">
        <v>94</v>
      </c>
      <c r="D218" s="165">
        <f t="shared" si="3"/>
        <v>6</v>
      </c>
      <c r="E218" s="165" t="s">
        <v>83</v>
      </c>
      <c r="F218" s="165" t="s">
        <v>84</v>
      </c>
      <c r="G218" s="165"/>
      <c r="H218" s="165"/>
      <c r="I218" s="165"/>
      <c r="J218" s="165" t="s">
        <v>84</v>
      </c>
      <c r="K218" s="165" t="s">
        <v>105</v>
      </c>
      <c r="L218" s="165">
        <v>9</v>
      </c>
      <c r="M218" s="165"/>
      <c r="N218" s="206"/>
      <c r="O218" s="165" t="s">
        <v>42</v>
      </c>
      <c r="P218" s="206" t="s">
        <v>1917</v>
      </c>
    </row>
    <row r="219" spans="1:16" ht="15.75">
      <c r="A219" s="165">
        <v>201</v>
      </c>
      <c r="B219" s="340">
        <v>42967</v>
      </c>
      <c r="C219" s="166" t="s">
        <v>94</v>
      </c>
      <c r="D219" s="165">
        <f t="shared" si="3"/>
        <v>7</v>
      </c>
      <c r="E219" s="165" t="s">
        <v>85</v>
      </c>
      <c r="F219" s="165" t="s">
        <v>84</v>
      </c>
      <c r="G219" s="165"/>
      <c r="H219" s="165"/>
      <c r="I219" s="165"/>
      <c r="J219" s="165" t="s">
        <v>84</v>
      </c>
      <c r="K219" s="165" t="s">
        <v>84</v>
      </c>
      <c r="L219" s="165"/>
      <c r="M219" s="165"/>
      <c r="N219" s="206"/>
      <c r="O219" s="165"/>
      <c r="P219" s="206"/>
    </row>
    <row r="220" spans="1:16" ht="15.75">
      <c r="A220" s="167">
        <v>202</v>
      </c>
      <c r="B220" s="341">
        <v>42968</v>
      </c>
      <c r="C220" s="168" t="s">
        <v>94</v>
      </c>
      <c r="D220" s="167">
        <f t="shared" si="3"/>
        <v>1</v>
      </c>
      <c r="E220" s="167" t="s">
        <v>86</v>
      </c>
      <c r="F220" s="167" t="s">
        <v>84</v>
      </c>
      <c r="G220" s="167">
        <v>7</v>
      </c>
      <c r="H220" s="167" t="s">
        <v>1778</v>
      </c>
      <c r="I220" s="167"/>
      <c r="J220" s="167" t="s">
        <v>84</v>
      </c>
      <c r="K220" s="167" t="s">
        <v>84</v>
      </c>
      <c r="L220" s="167">
        <v>9</v>
      </c>
      <c r="M220" s="167" t="s">
        <v>120</v>
      </c>
      <c r="N220" s="207"/>
      <c r="O220" s="167"/>
      <c r="P220" s="207"/>
    </row>
    <row r="221" spans="1:16" ht="15.75">
      <c r="A221" s="165">
        <v>203</v>
      </c>
      <c r="B221" s="340">
        <v>42969</v>
      </c>
      <c r="C221" s="166" t="s">
        <v>94</v>
      </c>
      <c r="D221" s="165">
        <f t="shared" si="3"/>
        <v>2</v>
      </c>
      <c r="E221" s="165" t="s">
        <v>87</v>
      </c>
      <c r="F221" s="165" t="s">
        <v>105</v>
      </c>
      <c r="G221" s="165">
        <v>7</v>
      </c>
      <c r="H221" s="206" t="s">
        <v>31</v>
      </c>
      <c r="I221" s="206" t="s">
        <v>1630</v>
      </c>
      <c r="J221" s="165" t="s">
        <v>105</v>
      </c>
      <c r="K221" s="165" t="s">
        <v>84</v>
      </c>
      <c r="L221" s="165">
        <v>9</v>
      </c>
      <c r="M221" s="165" t="s">
        <v>44</v>
      </c>
      <c r="N221" s="206" t="s">
        <v>1936</v>
      </c>
      <c r="O221" s="165"/>
      <c r="P221" s="206"/>
    </row>
    <row r="222" spans="1:16" ht="15.75">
      <c r="A222" s="165">
        <v>204</v>
      </c>
      <c r="B222" s="340">
        <v>42970</v>
      </c>
      <c r="C222" s="166" t="s">
        <v>94</v>
      </c>
      <c r="D222" s="165">
        <f t="shared" si="3"/>
        <v>3</v>
      </c>
      <c r="E222" s="165" t="s">
        <v>80</v>
      </c>
      <c r="F222" s="165" t="s">
        <v>105</v>
      </c>
      <c r="G222" s="165">
        <v>7</v>
      </c>
      <c r="H222" s="206" t="s">
        <v>32</v>
      </c>
      <c r="I222" s="206" t="s">
        <v>98</v>
      </c>
      <c r="J222" s="165" t="s">
        <v>105</v>
      </c>
      <c r="K222" s="165" t="s">
        <v>84</v>
      </c>
      <c r="L222" s="165">
        <v>9</v>
      </c>
      <c r="M222" s="165" t="s">
        <v>45</v>
      </c>
      <c r="N222" s="206" t="s">
        <v>98</v>
      </c>
      <c r="O222" s="165"/>
      <c r="P222" s="206"/>
    </row>
    <row r="223" spans="1:16" ht="15.75">
      <c r="A223" s="165">
        <v>205</v>
      </c>
      <c r="B223" s="340">
        <v>42971</v>
      </c>
      <c r="C223" s="166" t="s">
        <v>94</v>
      </c>
      <c r="D223" s="165">
        <f t="shared" si="3"/>
        <v>4</v>
      </c>
      <c r="E223" s="165" t="s">
        <v>81</v>
      </c>
      <c r="F223" s="165" t="s">
        <v>105</v>
      </c>
      <c r="G223" s="165">
        <v>7</v>
      </c>
      <c r="H223" s="206" t="s">
        <v>33</v>
      </c>
      <c r="I223" s="206" t="s">
        <v>1803</v>
      </c>
      <c r="J223" s="165" t="s">
        <v>105</v>
      </c>
      <c r="K223" s="165" t="s">
        <v>84</v>
      </c>
      <c r="L223" s="165">
        <v>9</v>
      </c>
      <c r="M223" s="165" t="s">
        <v>46</v>
      </c>
      <c r="N223" s="206" t="s">
        <v>1937</v>
      </c>
      <c r="O223" s="165"/>
      <c r="P223" s="206"/>
    </row>
    <row r="224" spans="1:16" ht="15.75">
      <c r="A224" s="165">
        <v>206</v>
      </c>
      <c r="B224" s="340">
        <v>42972</v>
      </c>
      <c r="C224" s="166" t="s">
        <v>94</v>
      </c>
      <c r="D224" s="165">
        <f t="shared" si="3"/>
        <v>5</v>
      </c>
      <c r="E224" s="165" t="s">
        <v>82</v>
      </c>
      <c r="F224" s="165" t="s">
        <v>105</v>
      </c>
      <c r="G224" s="165">
        <v>7</v>
      </c>
      <c r="H224" s="206" t="s">
        <v>34</v>
      </c>
      <c r="I224" s="206" t="s">
        <v>1810</v>
      </c>
      <c r="J224" s="165" t="s">
        <v>105</v>
      </c>
      <c r="K224" s="165" t="s">
        <v>84</v>
      </c>
      <c r="L224" s="165">
        <v>9</v>
      </c>
      <c r="M224" s="165" t="s">
        <v>47</v>
      </c>
      <c r="N224" s="206" t="s">
        <v>1887</v>
      </c>
      <c r="O224" s="165"/>
      <c r="P224" s="206"/>
    </row>
    <row r="225" spans="1:16" ht="15.75">
      <c r="A225" s="165">
        <v>207</v>
      </c>
      <c r="B225" s="340">
        <v>42973</v>
      </c>
      <c r="C225" s="166" t="s">
        <v>94</v>
      </c>
      <c r="D225" s="165">
        <f t="shared" si="3"/>
        <v>6</v>
      </c>
      <c r="E225" s="165" t="s">
        <v>83</v>
      </c>
      <c r="F225" s="165" t="s">
        <v>84</v>
      </c>
      <c r="G225" s="165"/>
      <c r="H225" s="165"/>
      <c r="I225" s="165"/>
      <c r="J225" s="165" t="s">
        <v>84</v>
      </c>
      <c r="K225" s="165" t="s">
        <v>105</v>
      </c>
      <c r="L225" s="165">
        <v>9</v>
      </c>
      <c r="M225" s="165"/>
      <c r="N225" s="206"/>
      <c r="O225" s="165" t="s">
        <v>50</v>
      </c>
      <c r="P225" s="206" t="s">
        <v>98</v>
      </c>
    </row>
    <row r="226" spans="1:16" ht="15.75">
      <c r="A226" s="165">
        <v>208</v>
      </c>
      <c r="B226" s="340">
        <v>42974</v>
      </c>
      <c r="C226" s="166" t="s">
        <v>94</v>
      </c>
      <c r="D226" s="165">
        <f t="shared" si="3"/>
        <v>7</v>
      </c>
      <c r="E226" s="165" t="s">
        <v>85</v>
      </c>
      <c r="F226" s="165" t="s">
        <v>84</v>
      </c>
      <c r="G226" s="165"/>
      <c r="H226" s="165"/>
      <c r="I226" s="165"/>
      <c r="J226" s="165" t="s">
        <v>84</v>
      </c>
      <c r="K226" s="165" t="s">
        <v>84</v>
      </c>
      <c r="L226" s="165"/>
      <c r="M226" s="165"/>
      <c r="N226" s="206"/>
      <c r="O226" s="165"/>
      <c r="P226" s="206"/>
    </row>
    <row r="227" spans="1:16" ht="15.75">
      <c r="A227" s="165">
        <v>209</v>
      </c>
      <c r="B227" s="340">
        <v>42975</v>
      </c>
      <c r="C227" s="166" t="s">
        <v>94</v>
      </c>
      <c r="D227" s="165">
        <f t="shared" si="3"/>
        <v>1</v>
      </c>
      <c r="E227" s="165" t="s">
        <v>86</v>
      </c>
      <c r="F227" s="165" t="s">
        <v>105</v>
      </c>
      <c r="G227" s="165">
        <v>7</v>
      </c>
      <c r="H227" s="206" t="s">
        <v>35</v>
      </c>
      <c r="I227" s="206" t="s">
        <v>1828</v>
      </c>
      <c r="J227" s="165" t="s">
        <v>105</v>
      </c>
      <c r="K227" s="165" t="s">
        <v>84</v>
      </c>
      <c r="L227" s="165">
        <v>9</v>
      </c>
      <c r="M227" s="165" t="s">
        <v>51</v>
      </c>
      <c r="N227" s="206" t="s">
        <v>98</v>
      </c>
      <c r="O227" s="165"/>
      <c r="P227" s="206"/>
    </row>
    <row r="228" spans="1:16" ht="15.75">
      <c r="A228" s="165">
        <v>210</v>
      </c>
      <c r="B228" s="340">
        <v>42976</v>
      </c>
      <c r="C228" s="166" t="s">
        <v>94</v>
      </c>
      <c r="D228" s="165">
        <f t="shared" si="3"/>
        <v>2</v>
      </c>
      <c r="E228" s="165" t="s">
        <v>87</v>
      </c>
      <c r="F228" s="165" t="s">
        <v>105</v>
      </c>
      <c r="G228" s="165">
        <v>7</v>
      </c>
      <c r="H228" s="206" t="s">
        <v>36</v>
      </c>
      <c r="I228" s="206" t="s">
        <v>1829</v>
      </c>
      <c r="J228" s="165" t="s">
        <v>105</v>
      </c>
      <c r="K228" s="165" t="s">
        <v>84</v>
      </c>
      <c r="L228" s="165">
        <v>9</v>
      </c>
      <c r="M228" s="165" t="s">
        <v>53</v>
      </c>
      <c r="N228" s="206" t="s">
        <v>1938</v>
      </c>
      <c r="O228" s="165"/>
      <c r="P228" s="206"/>
    </row>
    <row r="229" spans="1:16" ht="15.75">
      <c r="A229" s="165">
        <v>211</v>
      </c>
      <c r="B229" s="340">
        <v>42977</v>
      </c>
      <c r="C229" s="166" t="s">
        <v>94</v>
      </c>
      <c r="D229" s="165">
        <f t="shared" si="3"/>
        <v>3</v>
      </c>
      <c r="E229" s="165" t="s">
        <v>80</v>
      </c>
      <c r="F229" s="165" t="s">
        <v>105</v>
      </c>
      <c r="G229" s="165">
        <v>7</v>
      </c>
      <c r="H229" s="206" t="s">
        <v>37</v>
      </c>
      <c r="I229" s="206" t="s">
        <v>1836</v>
      </c>
      <c r="J229" s="165" t="s">
        <v>105</v>
      </c>
      <c r="K229" s="165" t="s">
        <v>84</v>
      </c>
      <c r="L229" s="165">
        <v>9</v>
      </c>
      <c r="M229" s="165" t="s">
        <v>54</v>
      </c>
      <c r="N229" s="206" t="s">
        <v>1922</v>
      </c>
      <c r="O229" s="165"/>
      <c r="P229" s="206"/>
    </row>
    <row r="230" spans="1:16" ht="15.75">
      <c r="A230" s="165">
        <v>212</v>
      </c>
      <c r="B230" s="340">
        <v>42978</v>
      </c>
      <c r="C230" s="166" t="s">
        <v>94</v>
      </c>
      <c r="D230" s="165">
        <f t="shared" si="3"/>
        <v>4</v>
      </c>
      <c r="E230" s="165" t="s">
        <v>81</v>
      </c>
      <c r="F230" s="165" t="s">
        <v>105</v>
      </c>
      <c r="G230" s="165">
        <v>7</v>
      </c>
      <c r="H230" s="206" t="s">
        <v>18</v>
      </c>
      <c r="I230" s="206" t="s">
        <v>1602</v>
      </c>
      <c r="J230" s="165" t="s">
        <v>105</v>
      </c>
      <c r="K230" s="165" t="s">
        <v>84</v>
      </c>
      <c r="L230" s="165">
        <v>9</v>
      </c>
      <c r="M230" s="165" t="s">
        <v>55</v>
      </c>
      <c r="N230" s="206" t="s">
        <v>1914</v>
      </c>
      <c r="O230" s="165"/>
      <c r="P230" s="206"/>
    </row>
    <row r="231" spans="1:16" ht="15.75">
      <c r="A231" s="165">
        <v>213</v>
      </c>
      <c r="B231" s="340">
        <v>42979</v>
      </c>
      <c r="C231" s="166" t="s">
        <v>95</v>
      </c>
      <c r="D231" s="165">
        <f t="shared" si="3"/>
        <v>5</v>
      </c>
      <c r="E231" s="165" t="s">
        <v>82</v>
      </c>
      <c r="F231" s="165" t="s">
        <v>105</v>
      </c>
      <c r="G231" s="165">
        <v>8</v>
      </c>
      <c r="H231" s="206" t="s">
        <v>23</v>
      </c>
      <c r="I231" s="206" t="s">
        <v>1574</v>
      </c>
      <c r="J231" s="165" t="s">
        <v>105</v>
      </c>
      <c r="K231" s="165" t="s">
        <v>84</v>
      </c>
      <c r="L231" s="165">
        <v>9</v>
      </c>
      <c r="M231" s="165" t="s">
        <v>58</v>
      </c>
      <c r="N231" s="206" t="s">
        <v>1940</v>
      </c>
      <c r="O231" s="165"/>
      <c r="P231" s="206"/>
    </row>
    <row r="232" spans="1:16" ht="15.75">
      <c r="A232" s="165">
        <v>214</v>
      </c>
      <c r="B232" s="340">
        <v>42980</v>
      </c>
      <c r="C232" s="166" t="s">
        <v>95</v>
      </c>
      <c r="D232" s="165">
        <f t="shared" si="3"/>
        <v>6</v>
      </c>
      <c r="E232" s="165" t="s">
        <v>83</v>
      </c>
      <c r="F232" s="165" t="s">
        <v>84</v>
      </c>
      <c r="G232" s="165"/>
      <c r="H232" s="165"/>
      <c r="I232" s="165"/>
      <c r="J232" s="165" t="s">
        <v>84</v>
      </c>
      <c r="K232" s="165" t="s">
        <v>105</v>
      </c>
      <c r="L232" s="165">
        <v>10</v>
      </c>
      <c r="M232" s="165"/>
      <c r="N232" s="206"/>
      <c r="O232" s="206" t="s">
        <v>38</v>
      </c>
      <c r="P232" s="206" t="s">
        <v>1924</v>
      </c>
    </row>
    <row r="233" spans="1:16" ht="15.75">
      <c r="A233" s="165">
        <v>215</v>
      </c>
      <c r="B233" s="340">
        <v>42981</v>
      </c>
      <c r="C233" s="166" t="s">
        <v>95</v>
      </c>
      <c r="D233" s="165">
        <f t="shared" si="3"/>
        <v>7</v>
      </c>
      <c r="E233" s="165" t="s">
        <v>85</v>
      </c>
      <c r="F233" s="165" t="s">
        <v>84</v>
      </c>
      <c r="G233" s="165"/>
      <c r="H233" s="165"/>
      <c r="I233" s="165"/>
      <c r="J233" s="165" t="s">
        <v>84</v>
      </c>
      <c r="K233" s="165" t="s">
        <v>84</v>
      </c>
      <c r="L233" s="165"/>
      <c r="M233" s="165"/>
      <c r="N233" s="206"/>
      <c r="O233" s="165"/>
      <c r="P233" s="206"/>
    </row>
    <row r="234" spans="1:16" ht="15.75">
      <c r="A234" s="165">
        <v>216</v>
      </c>
      <c r="B234" s="340">
        <v>42982</v>
      </c>
      <c r="C234" s="166" t="s">
        <v>95</v>
      </c>
      <c r="D234" s="165">
        <f t="shared" si="3"/>
        <v>1</v>
      </c>
      <c r="E234" s="165" t="s">
        <v>86</v>
      </c>
      <c r="F234" s="165" t="s">
        <v>105</v>
      </c>
      <c r="G234" s="165">
        <v>8</v>
      </c>
      <c r="H234" s="206" t="s">
        <v>24</v>
      </c>
      <c r="I234" s="206" t="s">
        <v>1575</v>
      </c>
      <c r="J234" s="165" t="s">
        <v>105</v>
      </c>
      <c r="K234" s="165" t="s">
        <v>84</v>
      </c>
      <c r="L234" s="206">
        <v>10</v>
      </c>
      <c r="M234" s="165" t="s">
        <v>40</v>
      </c>
      <c r="N234" s="206" t="s">
        <v>1856</v>
      </c>
      <c r="O234" s="165"/>
      <c r="P234" s="206"/>
    </row>
    <row r="235" spans="1:16" ht="15.75">
      <c r="A235" s="165">
        <v>217</v>
      </c>
      <c r="B235" s="340">
        <v>42983</v>
      </c>
      <c r="C235" s="166" t="s">
        <v>95</v>
      </c>
      <c r="D235" s="165">
        <f t="shared" si="3"/>
        <v>2</v>
      </c>
      <c r="E235" s="165" t="s">
        <v>87</v>
      </c>
      <c r="F235" s="165" t="s">
        <v>105</v>
      </c>
      <c r="G235" s="165">
        <v>8</v>
      </c>
      <c r="H235" s="206" t="s">
        <v>25</v>
      </c>
      <c r="I235" s="206" t="s">
        <v>1816</v>
      </c>
      <c r="J235" s="165" t="s">
        <v>105</v>
      </c>
      <c r="K235" s="165" t="s">
        <v>84</v>
      </c>
      <c r="L235" s="206">
        <v>10</v>
      </c>
      <c r="M235" s="165" t="s">
        <v>41</v>
      </c>
      <c r="N235" s="206" t="s">
        <v>1893</v>
      </c>
      <c r="O235" s="165"/>
      <c r="P235" s="206"/>
    </row>
    <row r="236" spans="1:16" ht="15.75">
      <c r="A236" s="165">
        <v>218</v>
      </c>
      <c r="B236" s="340">
        <v>42984</v>
      </c>
      <c r="C236" s="166" t="s">
        <v>95</v>
      </c>
      <c r="D236" s="165">
        <f t="shared" si="3"/>
        <v>3</v>
      </c>
      <c r="E236" s="165" t="s">
        <v>80</v>
      </c>
      <c r="F236" s="165" t="s">
        <v>105</v>
      </c>
      <c r="G236" s="165">
        <v>8</v>
      </c>
      <c r="H236" s="206" t="s">
        <v>26</v>
      </c>
      <c r="I236" s="206" t="s">
        <v>1576</v>
      </c>
      <c r="J236" s="165" t="s">
        <v>105</v>
      </c>
      <c r="K236" s="165" t="s">
        <v>84</v>
      </c>
      <c r="L236" s="206">
        <v>10</v>
      </c>
      <c r="M236" s="165" t="s">
        <v>42</v>
      </c>
      <c r="N236" s="206" t="s">
        <v>1941</v>
      </c>
      <c r="O236" s="165"/>
      <c r="P236" s="206"/>
    </row>
    <row r="237" spans="1:16" ht="15.75">
      <c r="A237" s="165">
        <v>219</v>
      </c>
      <c r="B237" s="340">
        <v>42985</v>
      </c>
      <c r="C237" s="166" t="s">
        <v>95</v>
      </c>
      <c r="D237" s="165">
        <f t="shared" si="3"/>
        <v>4</v>
      </c>
      <c r="E237" s="165" t="s">
        <v>81</v>
      </c>
      <c r="F237" s="165" t="s">
        <v>105</v>
      </c>
      <c r="G237" s="165">
        <v>8</v>
      </c>
      <c r="H237" s="206" t="s">
        <v>27</v>
      </c>
      <c r="I237" s="206" t="s">
        <v>98</v>
      </c>
      <c r="J237" s="165" t="s">
        <v>105</v>
      </c>
      <c r="K237" s="165" t="s">
        <v>84</v>
      </c>
      <c r="L237" s="206">
        <v>10</v>
      </c>
      <c r="M237" s="165" t="s">
        <v>43</v>
      </c>
      <c r="N237" s="206" t="s">
        <v>1942</v>
      </c>
      <c r="O237" s="165"/>
      <c r="P237" s="206"/>
    </row>
    <row r="238" spans="1:16" ht="15.75">
      <c r="A238" s="165">
        <v>220</v>
      </c>
      <c r="B238" s="340">
        <v>42986</v>
      </c>
      <c r="C238" s="166" t="s">
        <v>95</v>
      </c>
      <c r="D238" s="165">
        <f t="shared" si="3"/>
        <v>5</v>
      </c>
      <c r="E238" s="165" t="s">
        <v>82</v>
      </c>
      <c r="F238" s="165" t="s">
        <v>105</v>
      </c>
      <c r="G238" s="165">
        <v>8</v>
      </c>
      <c r="H238" s="165" t="s">
        <v>28</v>
      </c>
      <c r="I238" s="206" t="s">
        <v>1591</v>
      </c>
      <c r="J238" s="165" t="s">
        <v>105</v>
      </c>
      <c r="K238" s="165" t="s">
        <v>84</v>
      </c>
      <c r="L238" s="206">
        <v>10</v>
      </c>
      <c r="M238" s="165" t="s">
        <v>44</v>
      </c>
      <c r="N238" s="206" t="s">
        <v>1858</v>
      </c>
      <c r="O238" s="165"/>
      <c r="P238" s="206"/>
    </row>
    <row r="239" spans="1:16" ht="15.75">
      <c r="A239" s="165">
        <v>221</v>
      </c>
      <c r="B239" s="340">
        <v>42987</v>
      </c>
      <c r="C239" s="166" t="s">
        <v>95</v>
      </c>
      <c r="D239" s="165">
        <f t="shared" si="3"/>
        <v>6</v>
      </c>
      <c r="E239" s="165" t="s">
        <v>83</v>
      </c>
      <c r="F239" s="165" t="s">
        <v>84</v>
      </c>
      <c r="G239" s="165"/>
      <c r="H239" s="165"/>
      <c r="I239" s="165"/>
      <c r="J239" s="165" t="s">
        <v>84</v>
      </c>
      <c r="K239" s="165" t="s">
        <v>105</v>
      </c>
      <c r="L239" s="206">
        <v>10</v>
      </c>
      <c r="M239" s="165"/>
      <c r="N239" s="206"/>
      <c r="O239" s="165" t="s">
        <v>45</v>
      </c>
      <c r="P239" s="206" t="s">
        <v>98</v>
      </c>
    </row>
    <row r="240" spans="1:16" ht="15.75">
      <c r="A240" s="165">
        <v>222</v>
      </c>
      <c r="B240" s="340">
        <v>42988</v>
      </c>
      <c r="C240" s="166" t="s">
        <v>95</v>
      </c>
      <c r="D240" s="165">
        <f t="shared" si="3"/>
        <v>7</v>
      </c>
      <c r="E240" s="165" t="s">
        <v>85</v>
      </c>
      <c r="F240" s="165" t="s">
        <v>84</v>
      </c>
      <c r="G240" s="165"/>
      <c r="H240" s="165"/>
      <c r="I240" s="165"/>
      <c r="J240" s="165" t="s">
        <v>84</v>
      </c>
      <c r="K240" s="165" t="s">
        <v>84</v>
      </c>
      <c r="L240" s="165"/>
      <c r="M240" s="165"/>
      <c r="N240" s="206"/>
      <c r="O240" s="165"/>
      <c r="P240" s="206"/>
    </row>
    <row r="241" spans="1:16" ht="15.75">
      <c r="A241" s="165">
        <v>223</v>
      </c>
      <c r="B241" s="340">
        <v>42989</v>
      </c>
      <c r="C241" s="166" t="s">
        <v>95</v>
      </c>
      <c r="D241" s="165">
        <f t="shared" si="3"/>
        <v>1</v>
      </c>
      <c r="E241" s="165" t="s">
        <v>86</v>
      </c>
      <c r="F241" s="165" t="s">
        <v>105</v>
      </c>
      <c r="G241" s="165">
        <v>8</v>
      </c>
      <c r="H241" s="206" t="s">
        <v>29</v>
      </c>
      <c r="I241" s="206" t="s">
        <v>1808</v>
      </c>
      <c r="J241" s="165" t="s">
        <v>105</v>
      </c>
      <c r="K241" s="165" t="s">
        <v>84</v>
      </c>
      <c r="L241" s="165">
        <v>10</v>
      </c>
      <c r="M241" s="165" t="s">
        <v>46</v>
      </c>
      <c r="N241" s="206" t="s">
        <v>1896</v>
      </c>
      <c r="O241" s="165"/>
      <c r="P241" s="206"/>
    </row>
    <row r="242" spans="1:16" ht="15.75">
      <c r="A242" s="165">
        <v>224</v>
      </c>
      <c r="B242" s="340">
        <v>42990</v>
      </c>
      <c r="C242" s="166" t="s">
        <v>95</v>
      </c>
      <c r="D242" s="165">
        <f t="shared" si="3"/>
        <v>2</v>
      </c>
      <c r="E242" s="165" t="s">
        <v>87</v>
      </c>
      <c r="F242" s="165" t="s">
        <v>105</v>
      </c>
      <c r="G242" s="165">
        <v>8</v>
      </c>
      <c r="H242" s="206" t="s">
        <v>30</v>
      </c>
      <c r="I242" s="206" t="s">
        <v>98</v>
      </c>
      <c r="J242" s="165" t="s">
        <v>105</v>
      </c>
      <c r="K242" s="165" t="s">
        <v>84</v>
      </c>
      <c r="L242" s="206">
        <v>10</v>
      </c>
      <c r="M242" s="165" t="s">
        <v>47</v>
      </c>
      <c r="N242" s="206" t="s">
        <v>1873</v>
      </c>
      <c r="O242" s="165"/>
      <c r="P242" s="206"/>
    </row>
    <row r="243" spans="1:16" ht="15.75">
      <c r="A243" s="165">
        <v>225</v>
      </c>
      <c r="B243" s="340">
        <v>42991</v>
      </c>
      <c r="C243" s="166" t="s">
        <v>95</v>
      </c>
      <c r="D243" s="165">
        <f t="shared" si="3"/>
        <v>3</v>
      </c>
      <c r="E243" s="165" t="s">
        <v>80</v>
      </c>
      <c r="F243" s="165" t="s">
        <v>105</v>
      </c>
      <c r="G243" s="165">
        <v>8</v>
      </c>
      <c r="H243" s="206" t="s">
        <v>31</v>
      </c>
      <c r="I243" s="206" t="s">
        <v>1605</v>
      </c>
      <c r="J243" s="165" t="s">
        <v>105</v>
      </c>
      <c r="K243" s="165" t="s">
        <v>84</v>
      </c>
      <c r="L243" s="206">
        <v>10</v>
      </c>
      <c r="M243" s="165" t="s">
        <v>50</v>
      </c>
      <c r="N243" s="206" t="s">
        <v>98</v>
      </c>
      <c r="O243" s="165"/>
      <c r="P243" s="206"/>
    </row>
    <row r="244" spans="1:16" ht="15.75">
      <c r="A244" s="165">
        <v>226</v>
      </c>
      <c r="B244" s="340">
        <v>42992</v>
      </c>
      <c r="C244" s="166" t="s">
        <v>95</v>
      </c>
      <c r="D244" s="165">
        <f t="shared" si="3"/>
        <v>4</v>
      </c>
      <c r="E244" s="165" t="s">
        <v>81</v>
      </c>
      <c r="F244" s="165" t="s">
        <v>105</v>
      </c>
      <c r="G244" s="165">
        <v>8</v>
      </c>
      <c r="H244" s="206" t="s">
        <v>32</v>
      </c>
      <c r="I244" s="206" t="s">
        <v>98</v>
      </c>
      <c r="J244" s="165" t="s">
        <v>105</v>
      </c>
      <c r="K244" s="165" t="s">
        <v>84</v>
      </c>
      <c r="L244" s="206">
        <v>10</v>
      </c>
      <c r="M244" s="165" t="s">
        <v>51</v>
      </c>
      <c r="N244" s="206" t="s">
        <v>98</v>
      </c>
      <c r="O244" s="165"/>
      <c r="P244" s="206"/>
    </row>
    <row r="245" spans="1:16" ht="15.75">
      <c r="A245" s="165">
        <v>227</v>
      </c>
      <c r="B245" s="340">
        <v>42993</v>
      </c>
      <c r="C245" s="166" t="s">
        <v>95</v>
      </c>
      <c r="D245" s="165">
        <f t="shared" si="3"/>
        <v>5</v>
      </c>
      <c r="E245" s="165" t="s">
        <v>82</v>
      </c>
      <c r="F245" s="165" t="s">
        <v>105</v>
      </c>
      <c r="G245" s="165">
        <v>8</v>
      </c>
      <c r="H245" s="165" t="s">
        <v>33</v>
      </c>
      <c r="I245" s="206" t="s">
        <v>1805</v>
      </c>
      <c r="J245" s="165" t="s">
        <v>105</v>
      </c>
      <c r="K245" s="165" t="s">
        <v>84</v>
      </c>
      <c r="L245" s="206">
        <v>10</v>
      </c>
      <c r="M245" s="165" t="s">
        <v>53</v>
      </c>
      <c r="N245" s="206" t="s">
        <v>1874</v>
      </c>
      <c r="O245" s="165"/>
      <c r="P245" s="206"/>
    </row>
    <row r="246" spans="1:16" ht="15.75">
      <c r="A246" s="165">
        <v>228</v>
      </c>
      <c r="B246" s="340">
        <v>42994</v>
      </c>
      <c r="C246" s="166" t="s">
        <v>95</v>
      </c>
      <c r="D246" s="165">
        <f t="shared" si="3"/>
        <v>6</v>
      </c>
      <c r="E246" s="165" t="s">
        <v>83</v>
      </c>
      <c r="F246" s="165" t="s">
        <v>84</v>
      </c>
      <c r="G246" s="165"/>
      <c r="H246" s="165"/>
      <c r="I246" s="165"/>
      <c r="J246" s="165" t="s">
        <v>84</v>
      </c>
      <c r="K246" s="165" t="s">
        <v>105</v>
      </c>
      <c r="L246" s="206">
        <v>10</v>
      </c>
      <c r="M246" s="165"/>
      <c r="N246" s="206"/>
      <c r="O246" s="165" t="s">
        <v>54</v>
      </c>
      <c r="P246" s="206" t="s">
        <v>1875</v>
      </c>
    </row>
    <row r="247" spans="1:16" ht="15.75">
      <c r="A247" s="165">
        <v>229</v>
      </c>
      <c r="B247" s="340">
        <v>42995</v>
      </c>
      <c r="C247" s="166" t="s">
        <v>95</v>
      </c>
      <c r="D247" s="165">
        <f t="shared" si="3"/>
        <v>7</v>
      </c>
      <c r="E247" s="165" t="s">
        <v>85</v>
      </c>
      <c r="F247" s="165" t="s">
        <v>84</v>
      </c>
      <c r="G247" s="165"/>
      <c r="H247" s="165"/>
      <c r="I247" s="165"/>
      <c r="J247" s="165" t="s">
        <v>84</v>
      </c>
      <c r="K247" s="165" t="s">
        <v>84</v>
      </c>
      <c r="L247" s="165"/>
      <c r="M247" s="165"/>
      <c r="N247" s="206"/>
      <c r="O247" s="165"/>
      <c r="P247" s="206"/>
    </row>
    <row r="248" spans="1:16" ht="15.75">
      <c r="A248" s="165">
        <v>230</v>
      </c>
      <c r="B248" s="340">
        <v>42996</v>
      </c>
      <c r="C248" s="166" t="s">
        <v>95</v>
      </c>
      <c r="D248" s="165">
        <f t="shared" si="3"/>
        <v>1</v>
      </c>
      <c r="E248" s="165" t="s">
        <v>86</v>
      </c>
      <c r="F248" s="165" t="s">
        <v>105</v>
      </c>
      <c r="G248" s="165">
        <v>8</v>
      </c>
      <c r="H248" s="206" t="s">
        <v>34</v>
      </c>
      <c r="I248" s="206" t="s">
        <v>1634</v>
      </c>
      <c r="J248" s="165" t="s">
        <v>105</v>
      </c>
      <c r="K248" s="165" t="s">
        <v>84</v>
      </c>
      <c r="L248" s="165">
        <v>10</v>
      </c>
      <c r="M248" s="165" t="s">
        <v>55</v>
      </c>
      <c r="N248" s="206" t="s">
        <v>1943</v>
      </c>
      <c r="O248" s="165"/>
      <c r="P248" s="206"/>
    </row>
    <row r="249" spans="1:16" ht="15.75">
      <c r="A249" s="165">
        <v>231</v>
      </c>
      <c r="B249" s="340">
        <v>42997</v>
      </c>
      <c r="C249" s="166" t="s">
        <v>95</v>
      </c>
      <c r="D249" s="165">
        <f t="shared" si="3"/>
        <v>2</v>
      </c>
      <c r="E249" s="165" t="s">
        <v>87</v>
      </c>
      <c r="F249" s="165" t="s">
        <v>105</v>
      </c>
      <c r="G249" s="165">
        <v>8</v>
      </c>
      <c r="H249" s="206" t="s">
        <v>35</v>
      </c>
      <c r="I249" s="206" t="s">
        <v>1813</v>
      </c>
      <c r="J249" s="165" t="s">
        <v>105</v>
      </c>
      <c r="K249" s="165" t="s">
        <v>84</v>
      </c>
      <c r="L249" s="206">
        <v>10</v>
      </c>
      <c r="M249" s="165" t="s">
        <v>58</v>
      </c>
      <c r="N249" s="206" t="s">
        <v>1880</v>
      </c>
      <c r="O249" s="206"/>
      <c r="P249" s="206"/>
    </row>
    <row r="250" spans="1:16" ht="15.75">
      <c r="A250" s="165">
        <v>232</v>
      </c>
      <c r="B250" s="340">
        <v>42998</v>
      </c>
      <c r="C250" s="166" t="s">
        <v>95</v>
      </c>
      <c r="D250" s="165">
        <f t="shared" si="3"/>
        <v>3</v>
      </c>
      <c r="E250" s="165" t="s">
        <v>80</v>
      </c>
      <c r="F250" s="165" t="s">
        <v>105</v>
      </c>
      <c r="G250" s="165">
        <v>8</v>
      </c>
      <c r="H250" s="206" t="s">
        <v>36</v>
      </c>
      <c r="I250" s="206" t="s">
        <v>1822</v>
      </c>
      <c r="J250" s="165" t="s">
        <v>105</v>
      </c>
      <c r="K250" s="165" t="s">
        <v>84</v>
      </c>
      <c r="L250" s="165">
        <v>11</v>
      </c>
      <c r="M250" s="206" t="s">
        <v>38</v>
      </c>
      <c r="N250" s="206" t="s">
        <v>1879</v>
      </c>
      <c r="O250" s="165"/>
      <c r="P250" s="206"/>
    </row>
    <row r="251" spans="1:16" ht="15.75">
      <c r="A251" s="165">
        <v>233</v>
      </c>
      <c r="B251" s="340">
        <v>42999</v>
      </c>
      <c r="C251" s="166" t="s">
        <v>95</v>
      </c>
      <c r="D251" s="165">
        <f t="shared" si="3"/>
        <v>4</v>
      </c>
      <c r="E251" s="165" t="s">
        <v>81</v>
      </c>
      <c r="F251" s="165" t="s">
        <v>105</v>
      </c>
      <c r="G251" s="165">
        <v>8</v>
      </c>
      <c r="H251" s="206" t="s">
        <v>37</v>
      </c>
      <c r="I251" s="206" t="s">
        <v>1831</v>
      </c>
      <c r="J251" s="165" t="s">
        <v>105</v>
      </c>
      <c r="K251" s="165" t="s">
        <v>84</v>
      </c>
      <c r="L251" s="165">
        <v>11</v>
      </c>
      <c r="M251" s="165" t="s">
        <v>40</v>
      </c>
      <c r="N251" s="206" t="s">
        <v>1951</v>
      </c>
      <c r="O251" s="165"/>
      <c r="P251" s="206"/>
    </row>
    <row r="252" spans="1:16" ht="15.75">
      <c r="A252" s="165">
        <v>234</v>
      </c>
      <c r="B252" s="340">
        <v>43000</v>
      </c>
      <c r="C252" s="166" t="s">
        <v>95</v>
      </c>
      <c r="D252" s="165">
        <f t="shared" si="3"/>
        <v>5</v>
      </c>
      <c r="E252" s="165" t="s">
        <v>82</v>
      </c>
      <c r="F252" s="165" t="s">
        <v>105</v>
      </c>
      <c r="G252" s="165">
        <v>8</v>
      </c>
      <c r="H252" s="206" t="s">
        <v>21</v>
      </c>
      <c r="I252" s="206" t="s">
        <v>1594</v>
      </c>
      <c r="J252" s="165" t="s">
        <v>105</v>
      </c>
      <c r="K252" s="165" t="s">
        <v>84</v>
      </c>
      <c r="L252" s="165">
        <v>11</v>
      </c>
      <c r="M252" s="165" t="s">
        <v>41</v>
      </c>
      <c r="N252" s="206" t="s">
        <v>1848</v>
      </c>
      <c r="O252" s="165"/>
      <c r="P252" s="206"/>
    </row>
    <row r="253" spans="1:16" ht="15.75">
      <c r="A253" s="165">
        <v>235</v>
      </c>
      <c r="B253" s="340">
        <v>43001</v>
      </c>
      <c r="C253" s="166" t="s">
        <v>95</v>
      </c>
      <c r="D253" s="165">
        <f t="shared" si="3"/>
        <v>6</v>
      </c>
      <c r="E253" s="165" t="s">
        <v>83</v>
      </c>
      <c r="F253" s="165" t="s">
        <v>84</v>
      </c>
      <c r="G253" s="165"/>
      <c r="H253" s="165"/>
      <c r="I253" s="165"/>
      <c r="J253" s="165" t="s">
        <v>84</v>
      </c>
      <c r="K253" s="165" t="s">
        <v>105</v>
      </c>
      <c r="L253" s="165">
        <v>11</v>
      </c>
      <c r="M253" s="165"/>
      <c r="N253" s="206"/>
      <c r="O253" s="165" t="s">
        <v>42</v>
      </c>
      <c r="P253" s="206" t="s">
        <v>1881</v>
      </c>
    </row>
    <row r="254" spans="1:16" ht="15.75">
      <c r="A254" s="165">
        <v>236</v>
      </c>
      <c r="B254" s="340">
        <v>43002</v>
      </c>
      <c r="C254" s="166" t="s">
        <v>95</v>
      </c>
      <c r="D254" s="165">
        <f t="shared" si="3"/>
        <v>7</v>
      </c>
      <c r="E254" s="165" t="s">
        <v>85</v>
      </c>
      <c r="F254" s="165" t="s">
        <v>84</v>
      </c>
      <c r="G254" s="165"/>
      <c r="H254" s="165"/>
      <c r="I254" s="165"/>
      <c r="J254" s="165" t="s">
        <v>84</v>
      </c>
      <c r="K254" s="165" t="s">
        <v>84</v>
      </c>
      <c r="L254" s="165"/>
      <c r="M254" s="165"/>
      <c r="N254" s="206"/>
      <c r="O254" s="165"/>
      <c r="P254" s="206"/>
    </row>
    <row r="255" spans="1:16" ht="15.75">
      <c r="A255" s="165">
        <v>237</v>
      </c>
      <c r="B255" s="340">
        <v>43003</v>
      </c>
      <c r="C255" s="166" t="s">
        <v>95</v>
      </c>
      <c r="D255" s="165">
        <f t="shared" si="3"/>
        <v>1</v>
      </c>
      <c r="E255" s="165" t="s">
        <v>86</v>
      </c>
      <c r="F255" s="165" t="s">
        <v>105</v>
      </c>
      <c r="G255" s="165">
        <v>9</v>
      </c>
      <c r="H255" s="206" t="s">
        <v>23</v>
      </c>
      <c r="I255" s="206" t="s">
        <v>1846</v>
      </c>
      <c r="J255" s="165" t="s">
        <v>105</v>
      </c>
      <c r="K255" s="165" t="s">
        <v>84</v>
      </c>
      <c r="L255" s="206">
        <v>11</v>
      </c>
      <c r="M255" s="165" t="s">
        <v>43</v>
      </c>
      <c r="N255" s="206" t="s">
        <v>1882</v>
      </c>
      <c r="O255" s="165"/>
      <c r="P255" s="206"/>
    </row>
    <row r="256" spans="1:16" ht="15.75">
      <c r="A256" s="165">
        <v>238</v>
      </c>
      <c r="B256" s="340">
        <v>43004</v>
      </c>
      <c r="C256" s="166" t="s">
        <v>95</v>
      </c>
      <c r="D256" s="165">
        <f t="shared" si="3"/>
        <v>2</v>
      </c>
      <c r="E256" s="165" t="s">
        <v>87</v>
      </c>
      <c r="F256" s="165" t="s">
        <v>105</v>
      </c>
      <c r="G256" s="165">
        <v>9</v>
      </c>
      <c r="H256" s="206" t="s">
        <v>24</v>
      </c>
      <c r="I256" s="206" t="s">
        <v>1633</v>
      </c>
      <c r="J256" s="165" t="s">
        <v>105</v>
      </c>
      <c r="K256" s="165" t="s">
        <v>84</v>
      </c>
      <c r="L256" s="206">
        <v>11</v>
      </c>
      <c r="M256" s="165" t="s">
        <v>44</v>
      </c>
      <c r="N256" s="206" t="s">
        <v>1912</v>
      </c>
      <c r="O256" s="165"/>
      <c r="P256" s="206"/>
    </row>
    <row r="257" spans="1:16" ht="15.75">
      <c r="A257" s="165">
        <v>239</v>
      </c>
      <c r="B257" s="340">
        <v>43005</v>
      </c>
      <c r="C257" s="166" t="s">
        <v>95</v>
      </c>
      <c r="D257" s="165">
        <f t="shared" si="3"/>
        <v>3</v>
      </c>
      <c r="E257" s="165" t="s">
        <v>80</v>
      </c>
      <c r="F257" s="165" t="s">
        <v>105</v>
      </c>
      <c r="G257" s="165">
        <v>9</v>
      </c>
      <c r="H257" s="206" t="s">
        <v>25</v>
      </c>
      <c r="I257" s="206" t="s">
        <v>1819</v>
      </c>
      <c r="J257" s="165" t="s">
        <v>105</v>
      </c>
      <c r="K257" s="165" t="s">
        <v>84</v>
      </c>
      <c r="L257" s="206">
        <v>11</v>
      </c>
      <c r="M257" s="165" t="s">
        <v>45</v>
      </c>
      <c r="N257" s="206" t="s">
        <v>98</v>
      </c>
      <c r="O257" s="165"/>
      <c r="P257" s="206"/>
    </row>
    <row r="258" spans="1:16" ht="15.75">
      <c r="A258" s="165">
        <v>240</v>
      </c>
      <c r="B258" s="340">
        <v>43006</v>
      </c>
      <c r="C258" s="166" t="s">
        <v>95</v>
      </c>
      <c r="D258" s="165">
        <f t="shared" si="3"/>
        <v>4</v>
      </c>
      <c r="E258" s="165" t="s">
        <v>81</v>
      </c>
      <c r="F258" s="165" t="s">
        <v>105</v>
      </c>
      <c r="G258" s="165">
        <v>9</v>
      </c>
      <c r="H258" s="206" t="s">
        <v>26</v>
      </c>
      <c r="I258" s="206" t="s">
        <v>1603</v>
      </c>
      <c r="J258" s="165" t="s">
        <v>105</v>
      </c>
      <c r="K258" s="165" t="s">
        <v>84</v>
      </c>
      <c r="L258" s="206">
        <v>11</v>
      </c>
      <c r="M258" s="165" t="s">
        <v>46</v>
      </c>
      <c r="N258" s="206" t="s">
        <v>1897</v>
      </c>
      <c r="O258" s="165"/>
      <c r="P258" s="206"/>
    </row>
    <row r="259" spans="1:16" ht="15.75">
      <c r="A259" s="165">
        <v>241</v>
      </c>
      <c r="B259" s="340">
        <v>43007</v>
      </c>
      <c r="C259" s="166" t="s">
        <v>95</v>
      </c>
      <c r="D259" s="165">
        <f t="shared" si="3"/>
        <v>5</v>
      </c>
      <c r="E259" s="165" t="s">
        <v>82</v>
      </c>
      <c r="F259" s="165" t="s">
        <v>105</v>
      </c>
      <c r="G259" s="165">
        <v>9</v>
      </c>
      <c r="H259" s="165" t="s">
        <v>27</v>
      </c>
      <c r="I259" s="206" t="s">
        <v>98</v>
      </c>
      <c r="J259" s="165" t="s">
        <v>105</v>
      </c>
      <c r="K259" s="165" t="s">
        <v>84</v>
      </c>
      <c r="L259" s="206">
        <v>11</v>
      </c>
      <c r="M259" s="165" t="s">
        <v>47</v>
      </c>
      <c r="N259" s="206" t="s">
        <v>1866</v>
      </c>
      <c r="O259" s="165"/>
      <c r="P259" s="206"/>
    </row>
    <row r="260" spans="1:16" ht="15.75">
      <c r="A260" s="165">
        <v>242</v>
      </c>
      <c r="B260" s="340">
        <v>43008</v>
      </c>
      <c r="C260" s="166" t="s">
        <v>95</v>
      </c>
      <c r="D260" s="165">
        <f t="shared" si="3"/>
        <v>6</v>
      </c>
      <c r="E260" s="165" t="s">
        <v>83</v>
      </c>
      <c r="F260" s="165" t="s">
        <v>84</v>
      </c>
      <c r="G260" s="165"/>
      <c r="H260" s="165"/>
      <c r="I260" s="206"/>
      <c r="J260" s="165" t="s">
        <v>84</v>
      </c>
      <c r="K260" s="165" t="s">
        <v>105</v>
      </c>
      <c r="L260" s="206">
        <v>11</v>
      </c>
      <c r="M260" s="165"/>
      <c r="N260" s="206"/>
      <c r="O260" s="165" t="s">
        <v>50</v>
      </c>
      <c r="P260" s="206" t="s">
        <v>98</v>
      </c>
    </row>
    <row r="261" spans="1:16" ht="15.75">
      <c r="A261" s="165">
        <v>243</v>
      </c>
      <c r="B261" s="340">
        <v>43009</v>
      </c>
      <c r="C261" s="166" t="s">
        <v>96</v>
      </c>
      <c r="D261" s="165">
        <f t="shared" si="3"/>
        <v>7</v>
      </c>
      <c r="E261" s="165" t="s">
        <v>85</v>
      </c>
      <c r="F261" s="165" t="s">
        <v>84</v>
      </c>
      <c r="G261" s="165"/>
      <c r="H261" s="165"/>
      <c r="I261" s="165"/>
      <c r="J261" s="165" t="s">
        <v>84</v>
      </c>
      <c r="K261" s="165" t="s">
        <v>84</v>
      </c>
      <c r="L261" s="165"/>
      <c r="M261" s="165"/>
      <c r="N261" s="206"/>
      <c r="O261" s="165"/>
      <c r="P261" s="206"/>
    </row>
    <row r="262" spans="1:16" ht="15.75">
      <c r="A262" s="165">
        <v>244</v>
      </c>
      <c r="B262" s="340">
        <v>43010</v>
      </c>
      <c r="C262" s="166" t="s">
        <v>96</v>
      </c>
      <c r="D262" s="165">
        <f t="shared" si="3"/>
        <v>1</v>
      </c>
      <c r="E262" s="165" t="s">
        <v>86</v>
      </c>
      <c r="F262" s="165" t="s">
        <v>105</v>
      </c>
      <c r="G262" s="165">
        <v>9</v>
      </c>
      <c r="H262" s="206" t="s">
        <v>28</v>
      </c>
      <c r="I262" s="206" t="s">
        <v>1591</v>
      </c>
      <c r="J262" s="165" t="s">
        <v>105</v>
      </c>
      <c r="K262" s="165" t="s">
        <v>84</v>
      </c>
      <c r="L262" s="206">
        <v>11</v>
      </c>
      <c r="M262" s="165" t="s">
        <v>51</v>
      </c>
      <c r="N262" s="206" t="s">
        <v>98</v>
      </c>
      <c r="O262" s="165"/>
      <c r="P262" s="206"/>
    </row>
    <row r="263" spans="1:16" ht="15.75">
      <c r="A263" s="165">
        <v>245</v>
      </c>
      <c r="B263" s="340">
        <v>43011</v>
      </c>
      <c r="C263" s="166" t="s">
        <v>96</v>
      </c>
      <c r="D263" s="165">
        <f t="shared" si="3"/>
        <v>2</v>
      </c>
      <c r="E263" s="165" t="s">
        <v>87</v>
      </c>
      <c r="F263" s="165" t="s">
        <v>105</v>
      </c>
      <c r="G263" s="165">
        <v>9</v>
      </c>
      <c r="H263" s="206" t="s">
        <v>29</v>
      </c>
      <c r="I263" s="206" t="s">
        <v>1840</v>
      </c>
      <c r="J263" s="165" t="s">
        <v>105</v>
      </c>
      <c r="K263" s="165" t="s">
        <v>84</v>
      </c>
      <c r="L263" s="206">
        <v>11</v>
      </c>
      <c r="M263" s="165" t="s">
        <v>53</v>
      </c>
      <c r="N263" s="206" t="s">
        <v>1908</v>
      </c>
      <c r="O263" s="165"/>
      <c r="P263" s="206"/>
    </row>
    <row r="264" spans="1:16" ht="15.75">
      <c r="A264" s="165">
        <v>246</v>
      </c>
      <c r="B264" s="340">
        <v>43012</v>
      </c>
      <c r="C264" s="166" t="s">
        <v>96</v>
      </c>
      <c r="D264" s="165">
        <f t="shared" si="3"/>
        <v>3</v>
      </c>
      <c r="E264" s="165" t="s">
        <v>80</v>
      </c>
      <c r="F264" s="165" t="s">
        <v>105</v>
      </c>
      <c r="G264" s="165">
        <v>9</v>
      </c>
      <c r="H264" s="206" t="s">
        <v>30</v>
      </c>
      <c r="I264" s="206" t="s">
        <v>98</v>
      </c>
      <c r="J264" s="165" t="s">
        <v>105</v>
      </c>
      <c r="K264" s="165" t="s">
        <v>84</v>
      </c>
      <c r="L264" s="206">
        <v>11</v>
      </c>
      <c r="M264" s="165" t="s">
        <v>54</v>
      </c>
      <c r="N264" s="206" t="s">
        <v>1944</v>
      </c>
      <c r="O264" s="165"/>
      <c r="P264" s="206"/>
    </row>
    <row r="265" spans="1:16" ht="15.75">
      <c r="A265" s="165">
        <v>247</v>
      </c>
      <c r="B265" s="340">
        <v>43013</v>
      </c>
      <c r="C265" s="166" t="s">
        <v>96</v>
      </c>
      <c r="D265" s="165">
        <f t="shared" si="3"/>
        <v>4</v>
      </c>
      <c r="E265" s="165" t="s">
        <v>81</v>
      </c>
      <c r="F265" s="165" t="s">
        <v>105</v>
      </c>
      <c r="G265" s="165">
        <v>9</v>
      </c>
      <c r="H265" s="206" t="s">
        <v>31</v>
      </c>
      <c r="I265" s="206" t="s">
        <v>1818</v>
      </c>
      <c r="J265" s="165" t="s">
        <v>105</v>
      </c>
      <c r="K265" s="165" t="s">
        <v>84</v>
      </c>
      <c r="L265" s="206">
        <v>11</v>
      </c>
      <c r="M265" s="165" t="s">
        <v>55</v>
      </c>
      <c r="N265" s="206" t="s">
        <v>1877</v>
      </c>
      <c r="O265" s="165"/>
      <c r="P265" s="206"/>
    </row>
    <row r="266" spans="1:16" ht="15.75">
      <c r="A266" s="165">
        <v>248</v>
      </c>
      <c r="B266" s="340">
        <v>43014</v>
      </c>
      <c r="C266" s="166" t="s">
        <v>96</v>
      </c>
      <c r="D266" s="165">
        <f t="shared" si="3"/>
        <v>5</v>
      </c>
      <c r="E266" s="165" t="s">
        <v>82</v>
      </c>
      <c r="F266" s="165" t="s">
        <v>105</v>
      </c>
      <c r="G266" s="165">
        <v>9</v>
      </c>
      <c r="H266" s="165" t="s">
        <v>32</v>
      </c>
      <c r="I266" s="206" t="s">
        <v>98</v>
      </c>
      <c r="J266" s="165" t="s">
        <v>105</v>
      </c>
      <c r="K266" s="165" t="s">
        <v>84</v>
      </c>
      <c r="L266" s="206">
        <v>11</v>
      </c>
      <c r="M266" s="165" t="s">
        <v>58</v>
      </c>
      <c r="N266" s="206" t="s">
        <v>1880</v>
      </c>
      <c r="O266" s="165"/>
      <c r="P266" s="206"/>
    </row>
    <row r="267" spans="1:16" ht="15.75">
      <c r="A267" s="165">
        <v>249</v>
      </c>
      <c r="B267" s="340">
        <v>43015</v>
      </c>
      <c r="C267" s="166" t="s">
        <v>96</v>
      </c>
      <c r="D267" s="165">
        <f t="shared" si="3"/>
        <v>6</v>
      </c>
      <c r="E267" s="165" t="s">
        <v>83</v>
      </c>
      <c r="F267" s="165" t="s">
        <v>84</v>
      </c>
      <c r="G267" s="165"/>
      <c r="H267" s="165"/>
      <c r="I267" s="165"/>
      <c r="J267" s="165" t="s">
        <v>84</v>
      </c>
      <c r="K267" s="165" t="s">
        <v>105</v>
      </c>
      <c r="L267" s="165">
        <v>12</v>
      </c>
      <c r="M267" s="165"/>
      <c r="N267" s="206"/>
      <c r="O267" s="206" t="s">
        <v>38</v>
      </c>
      <c r="P267" s="206" t="s">
        <v>1890</v>
      </c>
    </row>
    <row r="268" spans="1:16" ht="15.75">
      <c r="A268" s="165">
        <v>250</v>
      </c>
      <c r="B268" s="340">
        <v>43016</v>
      </c>
      <c r="C268" s="166" t="s">
        <v>96</v>
      </c>
      <c r="D268" s="165">
        <f t="shared" si="3"/>
        <v>7</v>
      </c>
      <c r="E268" s="165" t="s">
        <v>85</v>
      </c>
      <c r="F268" s="165" t="s">
        <v>84</v>
      </c>
      <c r="G268" s="165"/>
      <c r="H268" s="165"/>
      <c r="I268" s="165"/>
      <c r="J268" s="165" t="s">
        <v>84</v>
      </c>
      <c r="K268" s="165" t="s">
        <v>84</v>
      </c>
      <c r="L268" s="165"/>
      <c r="M268" s="165"/>
      <c r="N268" s="206"/>
      <c r="O268" s="165"/>
      <c r="P268" s="206"/>
    </row>
    <row r="269" spans="1:16" ht="15.75">
      <c r="A269" s="169">
        <v>251</v>
      </c>
      <c r="B269" s="342">
        <v>43017</v>
      </c>
      <c r="C269" s="170" t="s">
        <v>96</v>
      </c>
      <c r="D269" s="169">
        <f t="shared" si="3"/>
        <v>1</v>
      </c>
      <c r="E269" s="169" t="s">
        <v>86</v>
      </c>
      <c r="F269" s="169" t="s">
        <v>84</v>
      </c>
      <c r="G269" s="169"/>
      <c r="H269" s="169" t="s">
        <v>1338</v>
      </c>
      <c r="I269" s="169"/>
      <c r="J269" s="169" t="s">
        <v>84</v>
      </c>
      <c r="K269" s="169" t="s">
        <v>84</v>
      </c>
      <c r="L269" s="169"/>
      <c r="M269" s="169" t="s">
        <v>1338</v>
      </c>
      <c r="N269" s="208"/>
      <c r="O269" s="169"/>
      <c r="P269" s="208"/>
    </row>
    <row r="270" spans="1:16" ht="15.75">
      <c r="A270" s="169">
        <v>252</v>
      </c>
      <c r="B270" s="342">
        <v>43018</v>
      </c>
      <c r="C270" s="170" t="s">
        <v>96</v>
      </c>
      <c r="D270" s="169">
        <f t="shared" si="3"/>
        <v>2</v>
      </c>
      <c r="E270" s="169" t="s">
        <v>87</v>
      </c>
      <c r="F270" s="169" t="s">
        <v>84</v>
      </c>
      <c r="G270" s="169"/>
      <c r="H270" s="169" t="s">
        <v>1338</v>
      </c>
      <c r="I270" s="169"/>
      <c r="J270" s="169" t="s">
        <v>84</v>
      </c>
      <c r="K270" s="169" t="s">
        <v>84</v>
      </c>
      <c r="L270" s="169"/>
      <c r="M270" s="169" t="s">
        <v>1338</v>
      </c>
      <c r="N270" s="208"/>
      <c r="O270" s="169"/>
      <c r="P270" s="208"/>
    </row>
    <row r="271" spans="1:16" ht="15.75">
      <c r="A271" s="169">
        <v>253</v>
      </c>
      <c r="B271" s="342">
        <v>43019</v>
      </c>
      <c r="C271" s="170" t="s">
        <v>96</v>
      </c>
      <c r="D271" s="169">
        <f t="shared" si="3"/>
        <v>3</v>
      </c>
      <c r="E271" s="169" t="s">
        <v>80</v>
      </c>
      <c r="F271" s="169" t="s">
        <v>84</v>
      </c>
      <c r="G271" s="169"/>
      <c r="H271" s="169" t="s">
        <v>1338</v>
      </c>
      <c r="I271" s="169"/>
      <c r="J271" s="169" t="s">
        <v>84</v>
      </c>
      <c r="K271" s="169" t="s">
        <v>84</v>
      </c>
      <c r="L271" s="169"/>
      <c r="M271" s="169" t="s">
        <v>1338</v>
      </c>
      <c r="N271" s="208"/>
      <c r="O271" s="169"/>
      <c r="P271" s="208"/>
    </row>
    <row r="272" spans="1:16" ht="15.75">
      <c r="A272" s="169">
        <v>254</v>
      </c>
      <c r="B272" s="342">
        <v>43020</v>
      </c>
      <c r="C272" s="170" t="s">
        <v>96</v>
      </c>
      <c r="D272" s="169">
        <f t="shared" si="3"/>
        <v>4</v>
      </c>
      <c r="E272" s="169" t="s">
        <v>81</v>
      </c>
      <c r="F272" s="169" t="s">
        <v>84</v>
      </c>
      <c r="G272" s="169"/>
      <c r="H272" s="169" t="s">
        <v>1338</v>
      </c>
      <c r="I272" s="169"/>
      <c r="J272" s="169" t="s">
        <v>84</v>
      </c>
      <c r="K272" s="169" t="s">
        <v>84</v>
      </c>
      <c r="L272" s="169"/>
      <c r="M272" s="169" t="s">
        <v>1338</v>
      </c>
      <c r="N272" s="208"/>
      <c r="O272" s="169"/>
      <c r="P272" s="208"/>
    </row>
    <row r="273" spans="1:16" ht="15.75">
      <c r="A273" s="169">
        <v>255</v>
      </c>
      <c r="B273" s="342">
        <v>43021</v>
      </c>
      <c r="C273" s="170" t="s">
        <v>96</v>
      </c>
      <c r="D273" s="169">
        <f t="shared" si="3"/>
        <v>5</v>
      </c>
      <c r="E273" s="169" t="s">
        <v>82</v>
      </c>
      <c r="F273" s="169" t="s">
        <v>84</v>
      </c>
      <c r="G273" s="169"/>
      <c r="H273" s="169" t="s">
        <v>1338</v>
      </c>
      <c r="I273" s="169"/>
      <c r="J273" s="169" t="s">
        <v>84</v>
      </c>
      <c r="K273" s="169" t="s">
        <v>84</v>
      </c>
      <c r="L273" s="169"/>
      <c r="M273" s="169" t="s">
        <v>1338</v>
      </c>
      <c r="N273" s="208"/>
      <c r="O273" s="169"/>
      <c r="P273" s="208"/>
    </row>
    <row r="274" spans="1:16" ht="15.75">
      <c r="A274" s="169">
        <v>256</v>
      </c>
      <c r="B274" s="342">
        <v>43022</v>
      </c>
      <c r="C274" s="170" t="s">
        <v>96</v>
      </c>
      <c r="D274" s="169">
        <f t="shared" si="3"/>
        <v>6</v>
      </c>
      <c r="E274" s="169" t="s">
        <v>83</v>
      </c>
      <c r="F274" s="169" t="s">
        <v>84</v>
      </c>
      <c r="G274" s="169"/>
      <c r="H274" s="169"/>
      <c r="I274" s="169"/>
      <c r="J274" s="169" t="s">
        <v>84</v>
      </c>
      <c r="K274" s="169" t="s">
        <v>84</v>
      </c>
      <c r="L274" s="169"/>
      <c r="M274" s="169"/>
      <c r="N274" s="208"/>
      <c r="O274" s="169"/>
      <c r="P274" s="208"/>
    </row>
    <row r="275" spans="1:16" ht="15.75">
      <c r="A275" s="169">
        <v>257</v>
      </c>
      <c r="B275" s="342">
        <v>43023</v>
      </c>
      <c r="C275" s="170" t="s">
        <v>96</v>
      </c>
      <c r="D275" s="169">
        <f t="shared" si="3"/>
        <v>7</v>
      </c>
      <c r="E275" s="169" t="s">
        <v>85</v>
      </c>
      <c r="F275" s="169" t="s">
        <v>84</v>
      </c>
      <c r="G275" s="169"/>
      <c r="H275" s="169"/>
      <c r="I275" s="169"/>
      <c r="J275" s="169" t="s">
        <v>84</v>
      </c>
      <c r="K275" s="169" t="s">
        <v>84</v>
      </c>
      <c r="L275" s="169"/>
      <c r="M275" s="169"/>
      <c r="N275" s="208"/>
      <c r="O275" s="169"/>
      <c r="P275" s="208"/>
    </row>
    <row r="276" spans="1:16" ht="15.75">
      <c r="A276" s="167">
        <v>258</v>
      </c>
      <c r="B276" s="341">
        <v>43024</v>
      </c>
      <c r="C276" s="168" t="s">
        <v>96</v>
      </c>
      <c r="D276" s="167">
        <f t="shared" ref="D276:D320" si="4">WEEKDAY(B276,2)</f>
        <v>1</v>
      </c>
      <c r="E276" s="167" t="s">
        <v>86</v>
      </c>
      <c r="F276" s="167" t="s">
        <v>84</v>
      </c>
      <c r="G276" s="167">
        <v>9</v>
      </c>
      <c r="H276" s="207" t="s">
        <v>1775</v>
      </c>
      <c r="I276" s="167"/>
      <c r="J276" s="167" t="s">
        <v>84</v>
      </c>
      <c r="K276" s="167" t="s">
        <v>84</v>
      </c>
      <c r="L276" s="167">
        <v>12</v>
      </c>
      <c r="M276" s="167" t="s">
        <v>1783</v>
      </c>
      <c r="N276" s="207"/>
      <c r="O276" s="167"/>
      <c r="P276" s="207"/>
    </row>
    <row r="277" spans="1:16" ht="15.75">
      <c r="A277" s="165">
        <v>259</v>
      </c>
      <c r="B277" s="340">
        <v>43025</v>
      </c>
      <c r="C277" s="166" t="s">
        <v>96</v>
      </c>
      <c r="D277" s="165">
        <f t="shared" si="4"/>
        <v>2</v>
      </c>
      <c r="E277" s="165" t="s">
        <v>87</v>
      </c>
      <c r="F277" s="165" t="s">
        <v>105</v>
      </c>
      <c r="G277" s="165">
        <v>9</v>
      </c>
      <c r="H277" s="206" t="s">
        <v>34</v>
      </c>
      <c r="I277" s="206" t="s">
        <v>1601</v>
      </c>
      <c r="J277" s="165" t="s">
        <v>105</v>
      </c>
      <c r="K277" s="165" t="s">
        <v>84</v>
      </c>
      <c r="L277" s="165">
        <v>12</v>
      </c>
      <c r="M277" s="165" t="s">
        <v>41</v>
      </c>
      <c r="N277" s="206" t="s">
        <v>1928</v>
      </c>
      <c r="O277" s="165"/>
      <c r="P277" s="206"/>
    </row>
    <row r="278" spans="1:16" ht="15.75">
      <c r="A278" s="165">
        <v>260</v>
      </c>
      <c r="B278" s="340">
        <v>43026</v>
      </c>
      <c r="C278" s="166" t="s">
        <v>96</v>
      </c>
      <c r="D278" s="165">
        <f t="shared" si="4"/>
        <v>3</v>
      </c>
      <c r="E278" s="165" t="s">
        <v>80</v>
      </c>
      <c r="F278" s="165" t="s">
        <v>105</v>
      </c>
      <c r="G278" s="165">
        <v>9</v>
      </c>
      <c r="H278" s="206" t="s">
        <v>35</v>
      </c>
      <c r="I278" s="206" t="s">
        <v>1813</v>
      </c>
      <c r="J278" s="165" t="s">
        <v>105</v>
      </c>
      <c r="K278" s="165" t="s">
        <v>84</v>
      </c>
      <c r="L278" s="206">
        <v>12</v>
      </c>
      <c r="M278" s="165" t="s">
        <v>42</v>
      </c>
      <c r="N278" s="206" t="s">
        <v>1857</v>
      </c>
      <c r="O278" s="165"/>
      <c r="P278" s="206"/>
    </row>
    <row r="279" spans="1:16" ht="15.75">
      <c r="A279" s="165">
        <v>261</v>
      </c>
      <c r="B279" s="340">
        <v>43027</v>
      </c>
      <c r="C279" s="166" t="s">
        <v>96</v>
      </c>
      <c r="D279" s="165">
        <f t="shared" si="4"/>
        <v>4</v>
      </c>
      <c r="E279" s="165" t="s">
        <v>81</v>
      </c>
      <c r="F279" s="165" t="s">
        <v>105</v>
      </c>
      <c r="G279" s="165">
        <v>9</v>
      </c>
      <c r="H279" s="206" t="s">
        <v>36</v>
      </c>
      <c r="I279" s="206" t="s">
        <v>1822</v>
      </c>
      <c r="J279" s="165" t="s">
        <v>105</v>
      </c>
      <c r="K279" s="165" t="s">
        <v>84</v>
      </c>
      <c r="L279" s="206">
        <v>12</v>
      </c>
      <c r="M279" s="165" t="s">
        <v>43</v>
      </c>
      <c r="N279" s="206" t="s">
        <v>1930</v>
      </c>
      <c r="O279" s="165"/>
      <c r="P279" s="206"/>
    </row>
    <row r="280" spans="1:16" ht="15.75">
      <c r="A280" s="165">
        <v>262</v>
      </c>
      <c r="B280" s="340">
        <v>43028</v>
      </c>
      <c r="C280" s="166" t="s">
        <v>96</v>
      </c>
      <c r="D280" s="165">
        <f t="shared" si="4"/>
        <v>5</v>
      </c>
      <c r="E280" s="165" t="s">
        <v>82</v>
      </c>
      <c r="F280" s="165" t="s">
        <v>105</v>
      </c>
      <c r="G280" s="165">
        <v>9</v>
      </c>
      <c r="H280" s="206" t="s">
        <v>37</v>
      </c>
      <c r="I280" s="206" t="s">
        <v>1832</v>
      </c>
      <c r="J280" s="165" t="s">
        <v>105</v>
      </c>
      <c r="K280" s="165" t="s">
        <v>84</v>
      </c>
      <c r="L280" s="206">
        <v>12</v>
      </c>
      <c r="M280" s="165" t="s">
        <v>44</v>
      </c>
      <c r="N280" s="206" t="s">
        <v>1931</v>
      </c>
      <c r="O280" s="165"/>
      <c r="P280" s="206"/>
    </row>
    <row r="281" spans="1:16" ht="15.75">
      <c r="A281" s="165">
        <v>263</v>
      </c>
      <c r="B281" s="340">
        <v>43029</v>
      </c>
      <c r="C281" s="166" t="s">
        <v>96</v>
      </c>
      <c r="D281" s="165">
        <f t="shared" si="4"/>
        <v>6</v>
      </c>
      <c r="E281" s="165" t="s">
        <v>83</v>
      </c>
      <c r="F281" s="165" t="s">
        <v>84</v>
      </c>
      <c r="G281" s="165"/>
      <c r="H281" s="165"/>
      <c r="I281" s="165"/>
      <c r="J281" s="165" t="s">
        <v>84</v>
      </c>
      <c r="K281" s="165" t="s">
        <v>105</v>
      </c>
      <c r="L281" s="206">
        <v>12</v>
      </c>
      <c r="M281" s="165"/>
      <c r="N281" s="206"/>
      <c r="O281" s="165" t="s">
        <v>45</v>
      </c>
      <c r="P281" s="206" t="s">
        <v>98</v>
      </c>
    </row>
    <row r="282" spans="1:16" ht="15.75">
      <c r="A282" s="165">
        <v>264</v>
      </c>
      <c r="B282" s="340">
        <v>43030</v>
      </c>
      <c r="C282" s="166" t="s">
        <v>96</v>
      </c>
      <c r="D282" s="165">
        <f t="shared" si="4"/>
        <v>7</v>
      </c>
      <c r="E282" s="165" t="s">
        <v>85</v>
      </c>
      <c r="F282" s="165" t="s">
        <v>84</v>
      </c>
      <c r="G282" s="165"/>
      <c r="H282" s="165"/>
      <c r="I282" s="165"/>
      <c r="J282" s="165" t="s">
        <v>84</v>
      </c>
      <c r="K282" s="165" t="s">
        <v>84</v>
      </c>
      <c r="L282" s="165"/>
      <c r="M282" s="165"/>
      <c r="N282" s="206"/>
      <c r="O282" s="165"/>
      <c r="P282" s="206"/>
    </row>
    <row r="283" spans="1:16" ht="15.75">
      <c r="A283" s="165">
        <v>265</v>
      </c>
      <c r="B283" s="340">
        <v>43031</v>
      </c>
      <c r="C283" s="166" t="s">
        <v>96</v>
      </c>
      <c r="D283" s="165">
        <f t="shared" si="4"/>
        <v>1</v>
      </c>
      <c r="E283" s="165" t="s">
        <v>86</v>
      </c>
      <c r="F283" s="165" t="s">
        <v>105</v>
      </c>
      <c r="G283" s="165">
        <v>9</v>
      </c>
      <c r="H283" s="206" t="s">
        <v>22</v>
      </c>
      <c r="I283" s="206" t="s">
        <v>1598</v>
      </c>
      <c r="J283" s="165" t="s">
        <v>105</v>
      </c>
      <c r="K283" s="165" t="s">
        <v>84</v>
      </c>
      <c r="L283" s="206">
        <v>12</v>
      </c>
      <c r="M283" s="165" t="s">
        <v>46</v>
      </c>
      <c r="N283" s="206" t="s">
        <v>1945</v>
      </c>
      <c r="O283" s="165"/>
      <c r="P283" s="206"/>
    </row>
    <row r="284" spans="1:16" ht="15.75">
      <c r="A284" s="165">
        <v>266</v>
      </c>
      <c r="B284" s="340">
        <v>43032</v>
      </c>
      <c r="C284" s="166" t="s">
        <v>96</v>
      </c>
      <c r="D284" s="165">
        <f t="shared" si="4"/>
        <v>2</v>
      </c>
      <c r="E284" s="165" t="s">
        <v>87</v>
      </c>
      <c r="F284" s="165" t="s">
        <v>105</v>
      </c>
      <c r="G284" s="165">
        <v>10</v>
      </c>
      <c r="H284" s="206" t="s">
        <v>23</v>
      </c>
      <c r="I284" s="206" t="s">
        <v>1574</v>
      </c>
      <c r="J284" s="165" t="s">
        <v>105</v>
      </c>
      <c r="K284" s="165" t="s">
        <v>84</v>
      </c>
      <c r="L284" s="206">
        <v>12</v>
      </c>
      <c r="M284" s="165" t="s">
        <v>47</v>
      </c>
      <c r="N284" s="206" t="s">
        <v>1886</v>
      </c>
      <c r="O284" s="165"/>
      <c r="P284" s="206"/>
    </row>
    <row r="285" spans="1:16" ht="15.75">
      <c r="A285" s="165">
        <v>267</v>
      </c>
      <c r="B285" s="340">
        <v>43033</v>
      </c>
      <c r="C285" s="166" t="s">
        <v>96</v>
      </c>
      <c r="D285" s="165">
        <f t="shared" si="4"/>
        <v>3</v>
      </c>
      <c r="E285" s="165" t="s">
        <v>80</v>
      </c>
      <c r="F285" s="165" t="s">
        <v>105</v>
      </c>
      <c r="G285" s="206">
        <v>10</v>
      </c>
      <c r="H285" s="206" t="s">
        <v>24</v>
      </c>
      <c r="I285" s="206" t="s">
        <v>1817</v>
      </c>
      <c r="J285" s="165" t="s">
        <v>105</v>
      </c>
      <c r="K285" s="165" t="s">
        <v>84</v>
      </c>
      <c r="L285" s="206">
        <v>12</v>
      </c>
      <c r="M285" s="165" t="s">
        <v>50</v>
      </c>
      <c r="N285" s="206" t="s">
        <v>98</v>
      </c>
      <c r="O285" s="165"/>
      <c r="P285" s="206"/>
    </row>
    <row r="286" spans="1:16" ht="15.75">
      <c r="A286" s="165">
        <v>268</v>
      </c>
      <c r="B286" s="340">
        <v>43034</v>
      </c>
      <c r="C286" s="166" t="s">
        <v>96</v>
      </c>
      <c r="D286" s="165">
        <f t="shared" si="4"/>
        <v>4</v>
      </c>
      <c r="E286" s="165" t="s">
        <v>81</v>
      </c>
      <c r="F286" s="165" t="s">
        <v>105</v>
      </c>
      <c r="G286" s="165">
        <v>10</v>
      </c>
      <c r="H286" s="206" t="s">
        <v>25</v>
      </c>
      <c r="I286" s="206" t="s">
        <v>1830</v>
      </c>
      <c r="J286" s="165" t="s">
        <v>105</v>
      </c>
      <c r="K286" s="165" t="s">
        <v>84</v>
      </c>
      <c r="L286" s="206">
        <v>12</v>
      </c>
      <c r="M286" s="165" t="s">
        <v>51</v>
      </c>
      <c r="N286" s="206" t="s">
        <v>98</v>
      </c>
      <c r="O286" s="165"/>
      <c r="P286" s="206"/>
    </row>
    <row r="287" spans="1:16" ht="15.75">
      <c r="A287" s="165">
        <v>269</v>
      </c>
      <c r="B287" s="340">
        <v>43035</v>
      </c>
      <c r="C287" s="166" t="s">
        <v>96</v>
      </c>
      <c r="D287" s="165">
        <f t="shared" si="4"/>
        <v>5</v>
      </c>
      <c r="E287" s="165" t="s">
        <v>82</v>
      </c>
      <c r="F287" s="165" t="s">
        <v>105</v>
      </c>
      <c r="G287" s="165">
        <v>10</v>
      </c>
      <c r="H287" s="165" t="s">
        <v>26</v>
      </c>
      <c r="I287" s="206" t="s">
        <v>1603</v>
      </c>
      <c r="J287" s="165" t="s">
        <v>105</v>
      </c>
      <c r="K287" s="165" t="s">
        <v>84</v>
      </c>
      <c r="L287" s="206">
        <v>12</v>
      </c>
      <c r="M287" s="165" t="s">
        <v>53</v>
      </c>
      <c r="N287" s="206" t="s">
        <v>1898</v>
      </c>
      <c r="O287" s="165"/>
      <c r="P287" s="206"/>
    </row>
    <row r="288" spans="1:16" ht="15.75">
      <c r="A288" s="165">
        <v>270</v>
      </c>
      <c r="B288" s="340">
        <v>43036</v>
      </c>
      <c r="C288" s="166" t="s">
        <v>96</v>
      </c>
      <c r="D288" s="165">
        <f t="shared" si="4"/>
        <v>6</v>
      </c>
      <c r="E288" s="165" t="s">
        <v>83</v>
      </c>
      <c r="F288" s="165" t="s">
        <v>84</v>
      </c>
      <c r="G288" s="165"/>
      <c r="H288" s="165"/>
      <c r="I288" s="165"/>
      <c r="J288" s="165" t="s">
        <v>84</v>
      </c>
      <c r="K288" s="165" t="s">
        <v>105</v>
      </c>
      <c r="L288" s="206">
        <v>12</v>
      </c>
      <c r="M288" s="165"/>
      <c r="N288" s="206"/>
      <c r="O288" s="165" t="s">
        <v>54</v>
      </c>
      <c r="P288" s="206" t="s">
        <v>1902</v>
      </c>
    </row>
    <row r="289" spans="1:16" ht="15.75">
      <c r="A289" s="165">
        <v>271</v>
      </c>
      <c r="B289" s="340">
        <v>43037</v>
      </c>
      <c r="C289" s="166" t="s">
        <v>96</v>
      </c>
      <c r="D289" s="165">
        <f t="shared" si="4"/>
        <v>7</v>
      </c>
      <c r="E289" s="165" t="s">
        <v>85</v>
      </c>
      <c r="F289" s="165" t="s">
        <v>84</v>
      </c>
      <c r="G289" s="165"/>
      <c r="H289" s="165"/>
      <c r="I289" s="165"/>
      <c r="J289" s="165" t="s">
        <v>84</v>
      </c>
      <c r="K289" s="165" t="s">
        <v>84</v>
      </c>
      <c r="L289" s="165"/>
      <c r="M289" s="165"/>
      <c r="N289" s="206"/>
      <c r="O289" s="165"/>
      <c r="P289" s="206"/>
    </row>
    <row r="290" spans="1:16" ht="15.75">
      <c r="A290" s="165">
        <v>272</v>
      </c>
      <c r="B290" s="340">
        <v>43038</v>
      </c>
      <c r="C290" s="166" t="s">
        <v>96</v>
      </c>
      <c r="D290" s="165">
        <f t="shared" si="4"/>
        <v>1</v>
      </c>
      <c r="E290" s="165" t="s">
        <v>86</v>
      </c>
      <c r="F290" s="165" t="s">
        <v>105</v>
      </c>
      <c r="G290" s="165">
        <v>10</v>
      </c>
      <c r="H290" s="206" t="s">
        <v>27</v>
      </c>
      <c r="I290" s="206" t="s">
        <v>98</v>
      </c>
      <c r="J290" s="165" t="s">
        <v>105</v>
      </c>
      <c r="K290" s="165" t="s">
        <v>84</v>
      </c>
      <c r="L290" s="206">
        <v>12</v>
      </c>
      <c r="M290" s="165" t="s">
        <v>55</v>
      </c>
      <c r="N290" s="206" t="s">
        <v>1862</v>
      </c>
      <c r="O290" s="165"/>
      <c r="P290" s="206"/>
    </row>
    <row r="291" spans="1:16" ht="15.75">
      <c r="A291" s="165">
        <v>273</v>
      </c>
      <c r="B291" s="340">
        <v>43039</v>
      </c>
      <c r="C291" s="166" t="s">
        <v>96</v>
      </c>
      <c r="D291" s="165">
        <f t="shared" si="4"/>
        <v>2</v>
      </c>
      <c r="E291" s="165" t="s">
        <v>87</v>
      </c>
      <c r="F291" s="165" t="s">
        <v>105</v>
      </c>
      <c r="G291" s="165">
        <v>10</v>
      </c>
      <c r="H291" s="206" t="s">
        <v>28</v>
      </c>
      <c r="I291" s="206" t="s">
        <v>1586</v>
      </c>
      <c r="J291" s="165" t="s">
        <v>105</v>
      </c>
      <c r="K291" s="165" t="s">
        <v>84</v>
      </c>
      <c r="L291" s="206">
        <v>12</v>
      </c>
      <c r="M291" s="165" t="s">
        <v>58</v>
      </c>
      <c r="N291" s="206" t="s">
        <v>1889</v>
      </c>
      <c r="O291" s="165"/>
      <c r="P291" s="206"/>
    </row>
    <row r="292" spans="1:16" ht="15.75">
      <c r="A292" s="165">
        <v>274</v>
      </c>
      <c r="B292" s="340">
        <v>43040</v>
      </c>
      <c r="C292" s="166" t="s">
        <v>97</v>
      </c>
      <c r="D292" s="165">
        <f t="shared" si="4"/>
        <v>3</v>
      </c>
      <c r="E292" s="165" t="s">
        <v>80</v>
      </c>
      <c r="F292" s="165" t="s">
        <v>105</v>
      </c>
      <c r="G292" s="206">
        <v>10</v>
      </c>
      <c r="H292" s="206" t="s">
        <v>29</v>
      </c>
      <c r="I292" s="206" t="s">
        <v>1823</v>
      </c>
      <c r="J292" s="165" t="s">
        <v>105</v>
      </c>
      <c r="K292" s="165" t="s">
        <v>84</v>
      </c>
      <c r="L292" s="165">
        <v>13</v>
      </c>
      <c r="M292" s="206" t="s">
        <v>38</v>
      </c>
      <c r="N292" s="206" t="s">
        <v>1890</v>
      </c>
      <c r="O292" s="165"/>
      <c r="P292" s="206"/>
    </row>
    <row r="293" spans="1:16" ht="15.75">
      <c r="A293" s="165">
        <v>275</v>
      </c>
      <c r="B293" s="340">
        <v>43041</v>
      </c>
      <c r="C293" s="166" t="s">
        <v>97</v>
      </c>
      <c r="D293" s="165">
        <f t="shared" si="4"/>
        <v>4</v>
      </c>
      <c r="E293" s="165" t="s">
        <v>81</v>
      </c>
      <c r="F293" s="165" t="s">
        <v>105</v>
      </c>
      <c r="G293" s="206">
        <v>10</v>
      </c>
      <c r="H293" s="206" t="s">
        <v>30</v>
      </c>
      <c r="I293" s="206" t="s">
        <v>98</v>
      </c>
      <c r="J293" s="165" t="s">
        <v>105</v>
      </c>
      <c r="K293" s="165" t="s">
        <v>84</v>
      </c>
      <c r="L293" s="206">
        <v>13</v>
      </c>
      <c r="M293" s="165" t="s">
        <v>40</v>
      </c>
      <c r="N293" s="206" t="s">
        <v>1891</v>
      </c>
      <c r="O293" s="165"/>
      <c r="P293" s="206"/>
    </row>
    <row r="294" spans="1:16" ht="15.75">
      <c r="A294" s="165">
        <v>276</v>
      </c>
      <c r="B294" s="340">
        <v>43042</v>
      </c>
      <c r="C294" s="166" t="s">
        <v>97</v>
      </c>
      <c r="D294" s="165">
        <f t="shared" si="4"/>
        <v>5</v>
      </c>
      <c r="E294" s="165" t="s">
        <v>82</v>
      </c>
      <c r="F294" s="165" t="s">
        <v>105</v>
      </c>
      <c r="G294" s="165">
        <v>10</v>
      </c>
      <c r="H294" s="165" t="s">
        <v>31</v>
      </c>
      <c r="I294" s="206" t="s">
        <v>1592</v>
      </c>
      <c r="J294" s="165" t="s">
        <v>105</v>
      </c>
      <c r="K294" s="165" t="s">
        <v>84</v>
      </c>
      <c r="L294" s="206">
        <v>13</v>
      </c>
      <c r="M294" s="165" t="s">
        <v>41</v>
      </c>
      <c r="N294" s="206" t="s">
        <v>1916</v>
      </c>
      <c r="O294" s="165"/>
      <c r="P294" s="206"/>
    </row>
    <row r="295" spans="1:16" ht="15.75">
      <c r="A295" s="165">
        <v>277</v>
      </c>
      <c r="B295" s="340">
        <v>43043</v>
      </c>
      <c r="C295" s="166" t="s">
        <v>97</v>
      </c>
      <c r="D295" s="165">
        <f t="shared" si="4"/>
        <v>6</v>
      </c>
      <c r="E295" s="165" t="s">
        <v>83</v>
      </c>
      <c r="F295" s="165" t="s">
        <v>84</v>
      </c>
      <c r="G295" s="165"/>
      <c r="H295" s="165"/>
      <c r="I295" s="165"/>
      <c r="J295" s="165" t="s">
        <v>84</v>
      </c>
      <c r="K295" s="165" t="s">
        <v>105</v>
      </c>
      <c r="L295" s="206">
        <v>13</v>
      </c>
      <c r="M295" s="165"/>
      <c r="N295" s="206"/>
      <c r="O295" s="165" t="s">
        <v>42</v>
      </c>
      <c r="P295" s="206" t="s">
        <v>1946</v>
      </c>
    </row>
    <row r="296" spans="1:16" ht="15.75">
      <c r="A296" s="165">
        <v>278</v>
      </c>
      <c r="B296" s="340">
        <v>43044</v>
      </c>
      <c r="C296" s="166" t="s">
        <v>97</v>
      </c>
      <c r="D296" s="165">
        <f t="shared" si="4"/>
        <v>7</v>
      </c>
      <c r="E296" s="165" t="s">
        <v>85</v>
      </c>
      <c r="F296" s="165" t="s">
        <v>84</v>
      </c>
      <c r="G296" s="165"/>
      <c r="H296" s="165"/>
      <c r="I296" s="165"/>
      <c r="J296" s="165" t="s">
        <v>84</v>
      </c>
      <c r="K296" s="165" t="s">
        <v>84</v>
      </c>
      <c r="L296" s="165"/>
      <c r="M296" s="165"/>
      <c r="N296" s="206"/>
      <c r="O296" s="165"/>
      <c r="P296" s="206"/>
    </row>
    <row r="297" spans="1:16" ht="15.75">
      <c r="A297" s="167">
        <v>279</v>
      </c>
      <c r="B297" s="341">
        <v>43045</v>
      </c>
      <c r="C297" s="168" t="s">
        <v>97</v>
      </c>
      <c r="D297" s="167">
        <f t="shared" si="4"/>
        <v>1</v>
      </c>
      <c r="E297" s="167" t="s">
        <v>86</v>
      </c>
      <c r="F297" s="167" t="s">
        <v>84</v>
      </c>
      <c r="G297" s="167">
        <v>10</v>
      </c>
      <c r="H297" s="167" t="s">
        <v>1773</v>
      </c>
      <c r="I297" s="167"/>
      <c r="J297" s="167" t="s">
        <v>84</v>
      </c>
      <c r="K297" s="167" t="s">
        <v>84</v>
      </c>
      <c r="L297" s="167">
        <v>13</v>
      </c>
      <c r="M297" s="167" t="s">
        <v>120</v>
      </c>
      <c r="N297" s="207"/>
      <c r="O297" s="167"/>
      <c r="P297" s="207"/>
    </row>
    <row r="298" spans="1:16" ht="15.75">
      <c r="A298" s="165">
        <v>280</v>
      </c>
      <c r="B298" s="340">
        <v>43046</v>
      </c>
      <c r="C298" s="166" t="s">
        <v>97</v>
      </c>
      <c r="D298" s="165">
        <f t="shared" si="4"/>
        <v>2</v>
      </c>
      <c r="E298" s="165" t="s">
        <v>87</v>
      </c>
      <c r="F298" s="165" t="s">
        <v>105</v>
      </c>
      <c r="G298" s="165">
        <v>10</v>
      </c>
      <c r="H298" s="206" t="s">
        <v>33</v>
      </c>
      <c r="I298" s="206" t="s">
        <v>1806</v>
      </c>
      <c r="J298" s="165" t="s">
        <v>105</v>
      </c>
      <c r="K298" s="165" t="s">
        <v>84</v>
      </c>
      <c r="L298" s="165">
        <v>13</v>
      </c>
      <c r="M298" s="165" t="s">
        <v>44</v>
      </c>
      <c r="N298" s="206" t="s">
        <v>1852</v>
      </c>
      <c r="O298" s="165"/>
      <c r="P298" s="206"/>
    </row>
    <row r="299" spans="1:16" ht="15.75">
      <c r="A299" s="165">
        <v>281</v>
      </c>
      <c r="B299" s="340">
        <v>43047</v>
      </c>
      <c r="C299" s="166" t="s">
        <v>97</v>
      </c>
      <c r="D299" s="165">
        <f t="shared" si="4"/>
        <v>3</v>
      </c>
      <c r="E299" s="165" t="s">
        <v>80</v>
      </c>
      <c r="F299" s="165" t="s">
        <v>105</v>
      </c>
      <c r="G299" s="165">
        <v>10</v>
      </c>
      <c r="H299" s="206" t="s">
        <v>34</v>
      </c>
      <c r="I299" s="206" t="s">
        <v>1578</v>
      </c>
      <c r="J299" s="165" t="s">
        <v>105</v>
      </c>
      <c r="K299" s="165" t="s">
        <v>84</v>
      </c>
      <c r="L299" s="206">
        <v>13</v>
      </c>
      <c r="M299" s="165" t="s">
        <v>45</v>
      </c>
      <c r="N299" s="206" t="s">
        <v>98</v>
      </c>
      <c r="O299" s="165"/>
      <c r="P299" s="206"/>
    </row>
    <row r="300" spans="1:16" ht="15.75">
      <c r="A300" s="165">
        <v>282</v>
      </c>
      <c r="B300" s="340">
        <v>43048</v>
      </c>
      <c r="C300" s="166" t="s">
        <v>97</v>
      </c>
      <c r="D300" s="165">
        <f t="shared" si="4"/>
        <v>4</v>
      </c>
      <c r="E300" s="165" t="s">
        <v>81</v>
      </c>
      <c r="F300" s="165" t="s">
        <v>105</v>
      </c>
      <c r="G300" s="165">
        <v>10</v>
      </c>
      <c r="H300" s="206" t="s">
        <v>35</v>
      </c>
      <c r="I300" s="206" t="s">
        <v>1824</v>
      </c>
      <c r="J300" s="165" t="s">
        <v>105</v>
      </c>
      <c r="K300" s="165" t="s">
        <v>84</v>
      </c>
      <c r="L300" s="206">
        <v>13</v>
      </c>
      <c r="M300" s="165" t="s">
        <v>46</v>
      </c>
      <c r="N300" s="206" t="s">
        <v>1913</v>
      </c>
      <c r="O300" s="206"/>
      <c r="P300" s="206"/>
    </row>
    <row r="301" spans="1:16" ht="15.75">
      <c r="A301" s="165">
        <v>283</v>
      </c>
      <c r="B301" s="340">
        <v>43049</v>
      </c>
      <c r="C301" s="166" t="s">
        <v>97</v>
      </c>
      <c r="D301" s="165">
        <f t="shared" si="4"/>
        <v>5</v>
      </c>
      <c r="E301" s="165" t="s">
        <v>82</v>
      </c>
      <c r="F301" s="165" t="s">
        <v>105</v>
      </c>
      <c r="G301" s="165">
        <v>10</v>
      </c>
      <c r="H301" s="165" t="s">
        <v>36</v>
      </c>
      <c r="I301" s="206" t="s">
        <v>1833</v>
      </c>
      <c r="J301" s="165" t="s">
        <v>105</v>
      </c>
      <c r="K301" s="165" t="s">
        <v>84</v>
      </c>
      <c r="L301" s="206">
        <v>13</v>
      </c>
      <c r="M301" s="165" t="s">
        <v>47</v>
      </c>
      <c r="N301" s="206" t="s">
        <v>1920</v>
      </c>
      <c r="O301" s="165"/>
      <c r="P301" s="206"/>
    </row>
    <row r="302" spans="1:16" ht="15.75">
      <c r="A302" s="165">
        <v>284</v>
      </c>
      <c r="B302" s="340">
        <v>43050</v>
      </c>
      <c r="C302" s="166" t="s">
        <v>97</v>
      </c>
      <c r="D302" s="165">
        <f t="shared" si="4"/>
        <v>6</v>
      </c>
      <c r="E302" s="165" t="s">
        <v>83</v>
      </c>
      <c r="F302" s="165" t="s">
        <v>84</v>
      </c>
      <c r="G302" s="165"/>
      <c r="H302" s="165"/>
      <c r="I302" s="165"/>
      <c r="J302" s="165" t="s">
        <v>84</v>
      </c>
      <c r="K302" s="165" t="s">
        <v>105</v>
      </c>
      <c r="L302" s="206">
        <v>13</v>
      </c>
      <c r="M302" s="165"/>
      <c r="N302" s="206"/>
      <c r="O302" s="165" t="s">
        <v>50</v>
      </c>
      <c r="P302" s="206" t="s">
        <v>98</v>
      </c>
    </row>
    <row r="303" spans="1:16" ht="15.75">
      <c r="A303" s="165">
        <v>285</v>
      </c>
      <c r="B303" s="340">
        <v>43051</v>
      </c>
      <c r="C303" s="166" t="s">
        <v>97</v>
      </c>
      <c r="D303" s="165">
        <f t="shared" si="4"/>
        <v>7</v>
      </c>
      <c r="E303" s="165" t="s">
        <v>85</v>
      </c>
      <c r="F303" s="165" t="s">
        <v>84</v>
      </c>
      <c r="G303" s="165"/>
      <c r="H303" s="165"/>
      <c r="I303" s="165"/>
      <c r="J303" s="165" t="s">
        <v>84</v>
      </c>
      <c r="K303" s="165" t="s">
        <v>84</v>
      </c>
      <c r="L303" s="165"/>
      <c r="M303" s="165"/>
      <c r="N303" s="206"/>
      <c r="O303" s="165"/>
      <c r="P303" s="206"/>
    </row>
    <row r="304" spans="1:16" ht="15.75">
      <c r="A304" s="167">
        <v>286</v>
      </c>
      <c r="B304" s="341">
        <v>43052</v>
      </c>
      <c r="C304" s="168" t="s">
        <v>97</v>
      </c>
      <c r="D304" s="167">
        <f t="shared" si="4"/>
        <v>1</v>
      </c>
      <c r="E304" s="167" t="s">
        <v>86</v>
      </c>
      <c r="F304" s="167" t="s">
        <v>84</v>
      </c>
      <c r="G304" s="167">
        <v>10</v>
      </c>
      <c r="H304" s="207" t="s">
        <v>119</v>
      </c>
      <c r="I304" s="167"/>
      <c r="J304" s="167" t="s">
        <v>84</v>
      </c>
      <c r="K304" s="167" t="s">
        <v>84</v>
      </c>
      <c r="L304" s="167">
        <v>13</v>
      </c>
      <c r="M304" s="167" t="s">
        <v>121</v>
      </c>
      <c r="N304" s="207"/>
      <c r="O304" s="167"/>
      <c r="P304" s="207"/>
    </row>
    <row r="305" spans="1:16" ht="15.75">
      <c r="A305" s="165">
        <v>287</v>
      </c>
      <c r="B305" s="340">
        <v>43053</v>
      </c>
      <c r="C305" s="166" t="s">
        <v>97</v>
      </c>
      <c r="D305" s="165">
        <f t="shared" si="4"/>
        <v>2</v>
      </c>
      <c r="E305" s="165" t="s">
        <v>87</v>
      </c>
      <c r="F305" s="165" t="s">
        <v>105</v>
      </c>
      <c r="G305" s="165">
        <v>10</v>
      </c>
      <c r="H305" s="206" t="s">
        <v>18</v>
      </c>
      <c r="I305" s="206" t="s">
        <v>1792</v>
      </c>
      <c r="J305" s="165" t="s">
        <v>105</v>
      </c>
      <c r="K305" s="165" t="s">
        <v>84</v>
      </c>
      <c r="L305" s="165">
        <v>13</v>
      </c>
      <c r="M305" s="165" t="s">
        <v>53</v>
      </c>
      <c r="N305" s="206" t="s">
        <v>1859</v>
      </c>
      <c r="O305" s="165"/>
      <c r="P305" s="206"/>
    </row>
    <row r="306" spans="1:16" ht="15.75">
      <c r="A306" s="165">
        <v>288</v>
      </c>
      <c r="B306" s="340">
        <v>43054</v>
      </c>
      <c r="C306" s="166" t="s">
        <v>97</v>
      </c>
      <c r="D306" s="165">
        <f t="shared" si="4"/>
        <v>3</v>
      </c>
      <c r="E306" s="165" t="s">
        <v>80</v>
      </c>
      <c r="F306" s="165" t="s">
        <v>105</v>
      </c>
      <c r="G306" s="165">
        <v>11</v>
      </c>
      <c r="H306" s="206" t="s">
        <v>23</v>
      </c>
      <c r="I306" s="206" t="s">
        <v>1590</v>
      </c>
      <c r="J306" s="165" t="s">
        <v>105</v>
      </c>
      <c r="K306" s="165" t="s">
        <v>84</v>
      </c>
      <c r="L306" s="165">
        <v>13</v>
      </c>
      <c r="M306" s="165" t="s">
        <v>54</v>
      </c>
      <c r="N306" s="206" t="s">
        <v>1902</v>
      </c>
      <c r="O306" s="206"/>
      <c r="P306" s="206"/>
    </row>
    <row r="307" spans="1:16" ht="15.75">
      <c r="A307" s="165">
        <v>289</v>
      </c>
      <c r="B307" s="340">
        <v>43055</v>
      </c>
      <c r="C307" s="166" t="s">
        <v>97</v>
      </c>
      <c r="D307" s="165">
        <f t="shared" si="4"/>
        <v>4</v>
      </c>
      <c r="E307" s="165" t="s">
        <v>81</v>
      </c>
      <c r="F307" s="165" t="s">
        <v>105</v>
      </c>
      <c r="G307" s="165">
        <v>11</v>
      </c>
      <c r="H307" s="206" t="s">
        <v>24</v>
      </c>
      <c r="I307" s="206" t="s">
        <v>1575</v>
      </c>
      <c r="J307" s="165" t="s">
        <v>105</v>
      </c>
      <c r="K307" s="165" t="s">
        <v>84</v>
      </c>
      <c r="L307" s="165">
        <v>13</v>
      </c>
      <c r="M307" s="165" t="s">
        <v>55</v>
      </c>
      <c r="N307" s="206" t="s">
        <v>1939</v>
      </c>
      <c r="O307" s="165"/>
      <c r="P307" s="206"/>
    </row>
    <row r="308" spans="1:16" ht="15.75">
      <c r="A308" s="165">
        <v>290</v>
      </c>
      <c r="B308" s="340">
        <v>43056</v>
      </c>
      <c r="C308" s="166" t="s">
        <v>97</v>
      </c>
      <c r="D308" s="165">
        <f t="shared" si="4"/>
        <v>5</v>
      </c>
      <c r="E308" s="165" t="s">
        <v>82</v>
      </c>
      <c r="F308" s="165" t="s">
        <v>105</v>
      </c>
      <c r="G308" s="165">
        <v>11</v>
      </c>
      <c r="H308" s="165" t="s">
        <v>25</v>
      </c>
      <c r="I308" s="206" t="s">
        <v>1825</v>
      </c>
      <c r="J308" s="165" t="s">
        <v>105</v>
      </c>
      <c r="K308" s="165" t="s">
        <v>84</v>
      </c>
      <c r="L308" s="165">
        <v>13</v>
      </c>
      <c r="M308" s="165" t="s">
        <v>58</v>
      </c>
      <c r="N308" s="206" t="s">
        <v>1940</v>
      </c>
      <c r="O308" s="165"/>
      <c r="P308" s="206"/>
    </row>
    <row r="309" spans="1:16" ht="15.75">
      <c r="A309" s="165">
        <v>291</v>
      </c>
      <c r="B309" s="340">
        <v>43057</v>
      </c>
      <c r="C309" s="166" t="s">
        <v>97</v>
      </c>
      <c r="D309" s="165">
        <f t="shared" si="4"/>
        <v>6</v>
      </c>
      <c r="E309" s="165" t="s">
        <v>83</v>
      </c>
      <c r="F309" s="165" t="s">
        <v>84</v>
      </c>
      <c r="G309" s="165"/>
      <c r="H309" s="165"/>
      <c r="I309" s="165"/>
      <c r="J309" s="165" t="s">
        <v>84</v>
      </c>
      <c r="K309" s="165" t="s">
        <v>105</v>
      </c>
      <c r="L309" s="165">
        <v>14</v>
      </c>
      <c r="M309" s="165"/>
      <c r="N309" s="206"/>
      <c r="O309" s="206" t="s">
        <v>38</v>
      </c>
      <c r="P309" s="206" t="s">
        <v>1868</v>
      </c>
    </row>
    <row r="310" spans="1:16" ht="15.75">
      <c r="A310" s="165">
        <v>292</v>
      </c>
      <c r="B310" s="340">
        <v>43058</v>
      </c>
      <c r="C310" s="166" t="s">
        <v>97</v>
      </c>
      <c r="D310" s="165">
        <f t="shared" si="4"/>
        <v>7</v>
      </c>
      <c r="E310" s="165" t="s">
        <v>85</v>
      </c>
      <c r="F310" s="165" t="s">
        <v>84</v>
      </c>
      <c r="G310" s="165"/>
      <c r="H310" s="165"/>
      <c r="I310" s="165"/>
      <c r="J310" s="165" t="s">
        <v>84</v>
      </c>
      <c r="K310" s="165" t="s">
        <v>84</v>
      </c>
      <c r="L310" s="165"/>
      <c r="M310" s="165"/>
      <c r="N310" s="206"/>
      <c r="O310" s="165"/>
      <c r="P310" s="206"/>
    </row>
    <row r="311" spans="1:16" ht="15.75">
      <c r="A311" s="165">
        <v>293</v>
      </c>
      <c r="B311" s="340">
        <v>43059</v>
      </c>
      <c r="C311" s="166" t="s">
        <v>97</v>
      </c>
      <c r="D311" s="165">
        <f t="shared" si="4"/>
        <v>1</v>
      </c>
      <c r="E311" s="165" t="s">
        <v>86</v>
      </c>
      <c r="F311" s="165" t="s">
        <v>105</v>
      </c>
      <c r="G311" s="165">
        <v>11</v>
      </c>
      <c r="H311" s="206" t="s">
        <v>26</v>
      </c>
      <c r="I311" s="206" t="s">
        <v>1801</v>
      </c>
      <c r="J311" s="165" t="s">
        <v>105</v>
      </c>
      <c r="K311" s="165" t="s">
        <v>84</v>
      </c>
      <c r="L311" s="206">
        <v>14</v>
      </c>
      <c r="M311" s="165" t="s">
        <v>40</v>
      </c>
      <c r="N311" s="206" t="s">
        <v>1927</v>
      </c>
      <c r="O311" s="165"/>
      <c r="P311" s="206"/>
    </row>
    <row r="312" spans="1:16" ht="15.75">
      <c r="A312" s="165">
        <v>294</v>
      </c>
      <c r="B312" s="340">
        <v>43060</v>
      </c>
      <c r="C312" s="166" t="s">
        <v>97</v>
      </c>
      <c r="D312" s="165">
        <f t="shared" si="4"/>
        <v>2</v>
      </c>
      <c r="E312" s="165" t="s">
        <v>87</v>
      </c>
      <c r="F312" s="165" t="s">
        <v>105</v>
      </c>
      <c r="G312" s="165">
        <v>11</v>
      </c>
      <c r="H312" s="206" t="s">
        <v>27</v>
      </c>
      <c r="I312" s="206" t="s">
        <v>98</v>
      </c>
      <c r="J312" s="165" t="s">
        <v>105</v>
      </c>
      <c r="K312" s="165" t="s">
        <v>84</v>
      </c>
      <c r="L312" s="206">
        <v>14</v>
      </c>
      <c r="M312" s="165" t="s">
        <v>41</v>
      </c>
      <c r="N312" s="206" t="s">
        <v>1911</v>
      </c>
      <c r="O312" s="165"/>
      <c r="P312" s="206"/>
    </row>
    <row r="313" spans="1:16" ht="15.75">
      <c r="A313" s="165">
        <v>295</v>
      </c>
      <c r="B313" s="340">
        <v>43061</v>
      </c>
      <c r="C313" s="166" t="s">
        <v>97</v>
      </c>
      <c r="D313" s="165">
        <f t="shared" si="4"/>
        <v>3</v>
      </c>
      <c r="E313" s="165" t="s">
        <v>80</v>
      </c>
      <c r="F313" s="165" t="s">
        <v>105</v>
      </c>
      <c r="G313" s="165">
        <v>11</v>
      </c>
      <c r="H313" s="206" t="s">
        <v>28</v>
      </c>
      <c r="I313" s="206" t="s">
        <v>1826</v>
      </c>
      <c r="J313" s="165" t="s">
        <v>105</v>
      </c>
      <c r="K313" s="165" t="s">
        <v>84</v>
      </c>
      <c r="L313" s="206">
        <v>14</v>
      </c>
      <c r="M313" s="165" t="s">
        <v>42</v>
      </c>
      <c r="N313" s="206" t="s">
        <v>1941</v>
      </c>
      <c r="O313" s="165"/>
      <c r="P313" s="206"/>
    </row>
    <row r="314" spans="1:16" ht="15.75">
      <c r="A314" s="165">
        <v>296</v>
      </c>
      <c r="B314" s="340">
        <v>43062</v>
      </c>
      <c r="C314" s="166" t="s">
        <v>97</v>
      </c>
      <c r="D314" s="165">
        <f t="shared" si="4"/>
        <v>4</v>
      </c>
      <c r="E314" s="165" t="s">
        <v>81</v>
      </c>
      <c r="F314" s="165" t="s">
        <v>105</v>
      </c>
      <c r="G314" s="206">
        <v>11</v>
      </c>
      <c r="H314" s="206" t="s">
        <v>29</v>
      </c>
      <c r="I314" s="206" t="s">
        <v>1798</v>
      </c>
      <c r="J314" s="165" t="s">
        <v>105</v>
      </c>
      <c r="K314" s="165" t="s">
        <v>84</v>
      </c>
      <c r="L314" s="206">
        <v>14</v>
      </c>
      <c r="M314" s="165" t="s">
        <v>43</v>
      </c>
      <c r="N314" s="206" t="s">
        <v>1867</v>
      </c>
      <c r="O314" s="165"/>
      <c r="P314" s="206"/>
    </row>
    <row r="315" spans="1:16" ht="15.75">
      <c r="A315" s="165">
        <v>297</v>
      </c>
      <c r="B315" s="340">
        <v>43063</v>
      </c>
      <c r="C315" s="166" t="s">
        <v>97</v>
      </c>
      <c r="D315" s="165">
        <f t="shared" si="4"/>
        <v>5</v>
      </c>
      <c r="E315" s="165" t="s">
        <v>82</v>
      </c>
      <c r="F315" s="165" t="s">
        <v>105</v>
      </c>
      <c r="G315" s="206">
        <v>11</v>
      </c>
      <c r="H315" s="165" t="s">
        <v>30</v>
      </c>
      <c r="I315" s="206" t="s">
        <v>98</v>
      </c>
      <c r="J315" s="165" t="s">
        <v>105</v>
      </c>
      <c r="K315" s="165" t="s">
        <v>84</v>
      </c>
      <c r="L315" s="206">
        <v>14</v>
      </c>
      <c r="M315" s="165" t="s">
        <v>44</v>
      </c>
      <c r="N315" s="206" t="s">
        <v>1947</v>
      </c>
      <c r="O315" s="165"/>
      <c r="P315" s="206"/>
    </row>
    <row r="316" spans="1:16" ht="15.75">
      <c r="A316" s="165">
        <v>298</v>
      </c>
      <c r="B316" s="340">
        <v>43064</v>
      </c>
      <c r="C316" s="166" t="s">
        <v>97</v>
      </c>
      <c r="D316" s="165">
        <f t="shared" si="4"/>
        <v>6</v>
      </c>
      <c r="E316" s="165" t="s">
        <v>83</v>
      </c>
      <c r="F316" s="165" t="s">
        <v>84</v>
      </c>
      <c r="G316" s="165"/>
      <c r="H316" s="165"/>
      <c r="I316" s="165"/>
      <c r="J316" s="165" t="s">
        <v>84</v>
      </c>
      <c r="K316" s="165" t="s">
        <v>105</v>
      </c>
      <c r="L316" s="206">
        <v>14</v>
      </c>
      <c r="M316" s="165"/>
      <c r="N316" s="206"/>
      <c r="O316" s="165" t="s">
        <v>45</v>
      </c>
      <c r="P316" s="206" t="s">
        <v>98</v>
      </c>
    </row>
    <row r="317" spans="1:16" ht="15.75">
      <c r="A317" s="165">
        <v>299</v>
      </c>
      <c r="B317" s="340">
        <v>43065</v>
      </c>
      <c r="C317" s="166" t="s">
        <v>97</v>
      </c>
      <c r="D317" s="165">
        <f t="shared" si="4"/>
        <v>7</v>
      </c>
      <c r="E317" s="165" t="s">
        <v>85</v>
      </c>
      <c r="F317" s="165" t="s">
        <v>84</v>
      </c>
      <c r="G317" s="165"/>
      <c r="H317" s="165"/>
      <c r="I317" s="165"/>
      <c r="J317" s="165" t="s">
        <v>84</v>
      </c>
      <c r="K317" s="165" t="s">
        <v>84</v>
      </c>
      <c r="L317" s="165"/>
      <c r="M317" s="165"/>
      <c r="N317" s="206"/>
      <c r="O317" s="165"/>
      <c r="P317" s="206"/>
    </row>
    <row r="318" spans="1:16" ht="15.75">
      <c r="A318" s="165">
        <v>300</v>
      </c>
      <c r="B318" s="340">
        <v>43066</v>
      </c>
      <c r="C318" s="166" t="s">
        <v>97</v>
      </c>
      <c r="D318" s="165">
        <f t="shared" si="4"/>
        <v>1</v>
      </c>
      <c r="E318" s="165" t="s">
        <v>86</v>
      </c>
      <c r="F318" s="165" t="s">
        <v>105</v>
      </c>
      <c r="G318" s="165">
        <v>11</v>
      </c>
      <c r="H318" s="206" t="s">
        <v>31</v>
      </c>
      <c r="I318" s="206" t="s">
        <v>1605</v>
      </c>
      <c r="J318" s="165" t="s">
        <v>105</v>
      </c>
      <c r="K318" s="165" t="s">
        <v>84</v>
      </c>
      <c r="L318" s="206">
        <v>14</v>
      </c>
      <c r="M318" s="165" t="s">
        <v>46</v>
      </c>
      <c r="N318" s="206" t="s">
        <v>1853</v>
      </c>
      <c r="O318" s="165"/>
      <c r="P318" s="206"/>
    </row>
    <row r="319" spans="1:16" ht="15.75">
      <c r="A319" s="165">
        <v>301</v>
      </c>
      <c r="B319" s="340">
        <v>43067</v>
      </c>
      <c r="C319" s="166" t="s">
        <v>97</v>
      </c>
      <c r="D319" s="165">
        <f t="shared" si="4"/>
        <v>2</v>
      </c>
      <c r="E319" s="165" t="s">
        <v>87</v>
      </c>
      <c r="F319" s="165" t="s">
        <v>105</v>
      </c>
      <c r="G319" s="165">
        <v>11</v>
      </c>
      <c r="H319" s="206" t="s">
        <v>32</v>
      </c>
      <c r="I319" s="206" t="s">
        <v>98</v>
      </c>
      <c r="J319" s="165" t="s">
        <v>105</v>
      </c>
      <c r="K319" s="165" t="s">
        <v>84</v>
      </c>
      <c r="L319" s="206">
        <v>14</v>
      </c>
      <c r="M319" s="165" t="s">
        <v>47</v>
      </c>
      <c r="N319" s="206" t="s">
        <v>1884</v>
      </c>
      <c r="O319" s="165"/>
      <c r="P319" s="206"/>
    </row>
    <row r="320" spans="1:16" ht="15.75">
      <c r="A320" s="165">
        <v>302</v>
      </c>
      <c r="B320" s="340">
        <v>43068</v>
      </c>
      <c r="C320" s="166" t="s">
        <v>97</v>
      </c>
      <c r="D320" s="165">
        <f t="shared" si="4"/>
        <v>3</v>
      </c>
      <c r="E320" s="165" t="s">
        <v>80</v>
      </c>
      <c r="F320" s="165" t="s">
        <v>105</v>
      </c>
      <c r="G320" s="165">
        <v>11</v>
      </c>
      <c r="H320" s="206" t="s">
        <v>33</v>
      </c>
      <c r="I320" s="206" t="s">
        <v>1803</v>
      </c>
      <c r="J320" s="165" t="s">
        <v>105</v>
      </c>
      <c r="K320" s="165" t="s">
        <v>84</v>
      </c>
      <c r="L320" s="206">
        <v>14</v>
      </c>
      <c r="M320" s="165" t="s">
        <v>50</v>
      </c>
      <c r="N320" s="206" t="s">
        <v>98</v>
      </c>
      <c r="O320" s="165"/>
      <c r="P320" s="206"/>
    </row>
    <row r="321" spans="1:16" ht="15.75">
      <c r="A321" s="206">
        <v>303</v>
      </c>
      <c r="B321" s="340">
        <v>43069</v>
      </c>
      <c r="C321" s="166" t="s">
        <v>97</v>
      </c>
      <c r="D321" s="206">
        <f t="shared" ref="D321:D384" si="5">WEEKDAY(B321,2)</f>
        <v>4</v>
      </c>
      <c r="E321" s="206" t="s">
        <v>81</v>
      </c>
      <c r="F321" s="206" t="s">
        <v>105</v>
      </c>
      <c r="G321" s="206">
        <v>11</v>
      </c>
      <c r="H321" s="206" t="s">
        <v>34</v>
      </c>
      <c r="I321" s="206" t="s">
        <v>1582</v>
      </c>
      <c r="J321" s="206" t="s">
        <v>105</v>
      </c>
      <c r="K321" s="206" t="s">
        <v>84</v>
      </c>
      <c r="L321" s="206">
        <v>14</v>
      </c>
      <c r="M321" s="206" t="s">
        <v>51</v>
      </c>
      <c r="N321" s="206" t="s">
        <v>98</v>
      </c>
      <c r="O321" s="206"/>
      <c r="P321" s="206"/>
    </row>
    <row r="322" spans="1:16" ht="15.75">
      <c r="A322" s="208">
        <v>304</v>
      </c>
      <c r="B322" s="342">
        <v>43101</v>
      </c>
      <c r="C322" s="170" t="s">
        <v>2455</v>
      </c>
      <c r="D322" s="208">
        <f t="shared" si="5"/>
        <v>1</v>
      </c>
      <c r="E322" s="208" t="s">
        <v>86</v>
      </c>
      <c r="F322" s="208" t="s">
        <v>84</v>
      </c>
      <c r="G322" s="208"/>
      <c r="H322" s="208" t="s">
        <v>93</v>
      </c>
      <c r="I322" s="208"/>
      <c r="J322" s="208" t="s">
        <v>84</v>
      </c>
      <c r="K322" s="208" t="s">
        <v>84</v>
      </c>
      <c r="L322" s="208"/>
      <c r="M322" s="208" t="s">
        <v>93</v>
      </c>
      <c r="N322" s="208"/>
      <c r="O322" s="208"/>
      <c r="P322" s="208"/>
    </row>
    <row r="323" spans="1:16" ht="15.75">
      <c r="A323" s="208">
        <v>305</v>
      </c>
      <c r="B323" s="342">
        <v>43102</v>
      </c>
      <c r="C323" s="170" t="s">
        <v>2455</v>
      </c>
      <c r="D323" s="208">
        <f t="shared" si="5"/>
        <v>2</v>
      </c>
      <c r="E323" s="208" t="s">
        <v>87</v>
      </c>
      <c r="F323" s="208" t="s">
        <v>84</v>
      </c>
      <c r="G323" s="208"/>
      <c r="H323" s="208" t="s">
        <v>93</v>
      </c>
      <c r="I323" s="208"/>
      <c r="J323" s="208" t="s">
        <v>84</v>
      </c>
      <c r="K323" s="208" t="s">
        <v>84</v>
      </c>
      <c r="L323" s="208"/>
      <c r="M323" s="208" t="s">
        <v>93</v>
      </c>
      <c r="N323" s="208"/>
      <c r="O323" s="208"/>
      <c r="P323" s="208"/>
    </row>
    <row r="324" spans="1:16" ht="15.75">
      <c r="A324" s="208">
        <v>306</v>
      </c>
      <c r="B324" s="342">
        <v>43103</v>
      </c>
      <c r="C324" s="170" t="s">
        <v>2455</v>
      </c>
      <c r="D324" s="208">
        <f t="shared" si="5"/>
        <v>3</v>
      </c>
      <c r="E324" s="208" t="s">
        <v>80</v>
      </c>
      <c r="F324" s="208" t="s">
        <v>84</v>
      </c>
      <c r="G324" s="208"/>
      <c r="H324" s="208" t="s">
        <v>93</v>
      </c>
      <c r="I324" s="208"/>
      <c r="J324" s="208" t="s">
        <v>84</v>
      </c>
      <c r="K324" s="208" t="s">
        <v>84</v>
      </c>
      <c r="L324" s="208"/>
      <c r="M324" s="208" t="s">
        <v>93</v>
      </c>
      <c r="N324" s="208"/>
      <c r="O324" s="208"/>
      <c r="P324" s="208"/>
    </row>
    <row r="325" spans="1:16" ht="15.75">
      <c r="A325" s="208">
        <v>307</v>
      </c>
      <c r="B325" s="342">
        <v>43104</v>
      </c>
      <c r="C325" s="170" t="s">
        <v>2455</v>
      </c>
      <c r="D325" s="208">
        <f t="shared" si="5"/>
        <v>4</v>
      </c>
      <c r="E325" s="208" t="s">
        <v>81</v>
      </c>
      <c r="F325" s="208" t="s">
        <v>84</v>
      </c>
      <c r="G325" s="208"/>
      <c r="H325" s="208" t="s">
        <v>93</v>
      </c>
      <c r="I325" s="208"/>
      <c r="J325" s="208" t="s">
        <v>84</v>
      </c>
      <c r="K325" s="208" t="s">
        <v>84</v>
      </c>
      <c r="L325" s="208"/>
      <c r="M325" s="208" t="s">
        <v>93</v>
      </c>
      <c r="N325" s="208"/>
      <c r="O325" s="208"/>
      <c r="P325" s="208"/>
    </row>
    <row r="326" spans="1:16" ht="15.75">
      <c r="A326" s="208">
        <v>308</v>
      </c>
      <c r="B326" s="342">
        <v>43105</v>
      </c>
      <c r="C326" s="170" t="s">
        <v>2455</v>
      </c>
      <c r="D326" s="208">
        <f t="shared" si="5"/>
        <v>5</v>
      </c>
      <c r="E326" s="208" t="s">
        <v>82</v>
      </c>
      <c r="F326" s="208" t="s">
        <v>84</v>
      </c>
      <c r="G326" s="208"/>
      <c r="H326" s="208" t="s">
        <v>93</v>
      </c>
      <c r="I326" s="208"/>
      <c r="J326" s="208" t="s">
        <v>84</v>
      </c>
      <c r="K326" s="208" t="s">
        <v>84</v>
      </c>
      <c r="L326" s="208"/>
      <c r="M326" s="208" t="s">
        <v>93</v>
      </c>
      <c r="N326" s="208"/>
      <c r="O326" s="208"/>
      <c r="P326" s="208"/>
    </row>
    <row r="327" spans="1:16" ht="15.75">
      <c r="A327" s="208">
        <v>309</v>
      </c>
      <c r="B327" s="342">
        <v>43106</v>
      </c>
      <c r="C327" s="170" t="s">
        <v>2455</v>
      </c>
      <c r="D327" s="208">
        <f t="shared" si="5"/>
        <v>6</v>
      </c>
      <c r="E327" s="208" t="s">
        <v>83</v>
      </c>
      <c r="F327" s="208" t="s">
        <v>84</v>
      </c>
      <c r="G327" s="208"/>
      <c r="H327" s="208" t="s">
        <v>93</v>
      </c>
      <c r="I327" s="208"/>
      <c r="J327" s="208" t="s">
        <v>84</v>
      </c>
      <c r="K327" s="208" t="s">
        <v>84</v>
      </c>
      <c r="L327" s="208"/>
      <c r="M327" s="208" t="s">
        <v>93</v>
      </c>
      <c r="N327" s="208"/>
      <c r="O327" s="208"/>
      <c r="P327" s="208"/>
    </row>
    <row r="328" spans="1:16" ht="15.75">
      <c r="A328" s="208">
        <v>310</v>
      </c>
      <c r="B328" s="342">
        <v>43107</v>
      </c>
      <c r="C328" s="170" t="s">
        <v>2455</v>
      </c>
      <c r="D328" s="208">
        <f t="shared" si="5"/>
        <v>7</v>
      </c>
      <c r="E328" s="208" t="s">
        <v>85</v>
      </c>
      <c r="F328" s="208" t="s">
        <v>84</v>
      </c>
      <c r="G328" s="208"/>
      <c r="H328" s="208" t="s">
        <v>93</v>
      </c>
      <c r="I328" s="208"/>
      <c r="J328" s="208" t="s">
        <v>84</v>
      </c>
      <c r="K328" s="208" t="s">
        <v>84</v>
      </c>
      <c r="L328" s="208"/>
      <c r="M328" s="208" t="s">
        <v>93</v>
      </c>
      <c r="N328" s="208"/>
      <c r="O328" s="208"/>
      <c r="P328" s="208"/>
    </row>
    <row r="329" spans="1:16" ht="15.75">
      <c r="A329" s="208">
        <v>311</v>
      </c>
      <c r="B329" s="342">
        <v>43108</v>
      </c>
      <c r="C329" s="170" t="s">
        <v>2455</v>
      </c>
      <c r="D329" s="208">
        <f t="shared" si="5"/>
        <v>1</v>
      </c>
      <c r="E329" s="208" t="s">
        <v>86</v>
      </c>
      <c r="F329" s="208" t="s">
        <v>84</v>
      </c>
      <c r="G329" s="208"/>
      <c r="H329" s="208" t="s">
        <v>93</v>
      </c>
      <c r="I329" s="208"/>
      <c r="J329" s="208" t="s">
        <v>84</v>
      </c>
      <c r="K329" s="208" t="s">
        <v>84</v>
      </c>
      <c r="L329" s="208"/>
      <c r="M329" s="208" t="s">
        <v>93</v>
      </c>
      <c r="N329" s="208"/>
      <c r="O329" s="208"/>
      <c r="P329" s="208"/>
    </row>
    <row r="330" spans="1:16" ht="15.75">
      <c r="A330" s="208">
        <v>312</v>
      </c>
      <c r="B330" s="342">
        <v>43109</v>
      </c>
      <c r="C330" s="170" t="s">
        <v>2455</v>
      </c>
      <c r="D330" s="208">
        <f t="shared" si="5"/>
        <v>2</v>
      </c>
      <c r="E330" s="208" t="s">
        <v>87</v>
      </c>
      <c r="F330" s="208" t="s">
        <v>84</v>
      </c>
      <c r="G330" s="208"/>
      <c r="H330" s="208" t="s">
        <v>93</v>
      </c>
      <c r="I330" s="208"/>
      <c r="J330" s="208" t="s">
        <v>84</v>
      </c>
      <c r="K330" s="208" t="s">
        <v>84</v>
      </c>
      <c r="L330" s="208"/>
      <c r="M330" s="208" t="s">
        <v>93</v>
      </c>
      <c r="N330" s="208"/>
      <c r="O330" s="208"/>
      <c r="P330" s="208"/>
    </row>
    <row r="331" spans="1:16" ht="15.75">
      <c r="A331" s="208">
        <v>313</v>
      </c>
      <c r="B331" s="342">
        <v>43110</v>
      </c>
      <c r="C331" s="170" t="s">
        <v>2455</v>
      </c>
      <c r="D331" s="208">
        <f t="shared" si="5"/>
        <v>3</v>
      </c>
      <c r="E331" s="208" t="s">
        <v>80</v>
      </c>
      <c r="F331" s="208" t="s">
        <v>84</v>
      </c>
      <c r="G331" s="208"/>
      <c r="H331" s="208" t="s">
        <v>93</v>
      </c>
      <c r="I331" s="208"/>
      <c r="J331" s="208" t="s">
        <v>84</v>
      </c>
      <c r="K331" s="208" t="s">
        <v>84</v>
      </c>
      <c r="L331" s="208"/>
      <c r="M331" s="208" t="s">
        <v>93</v>
      </c>
      <c r="N331" s="208"/>
      <c r="O331" s="208"/>
      <c r="P331" s="208"/>
    </row>
    <row r="332" spans="1:16" ht="15.75">
      <c r="A332" s="208">
        <v>314</v>
      </c>
      <c r="B332" s="342">
        <v>43111</v>
      </c>
      <c r="C332" s="170" t="s">
        <v>2455</v>
      </c>
      <c r="D332" s="208">
        <f t="shared" si="5"/>
        <v>4</v>
      </c>
      <c r="E332" s="208" t="s">
        <v>81</v>
      </c>
      <c r="F332" s="208" t="s">
        <v>84</v>
      </c>
      <c r="G332" s="208"/>
      <c r="H332" s="208" t="s">
        <v>93</v>
      </c>
      <c r="I332" s="208"/>
      <c r="J332" s="208" t="s">
        <v>84</v>
      </c>
      <c r="K332" s="208" t="s">
        <v>84</v>
      </c>
      <c r="L332" s="208"/>
      <c r="M332" s="208" t="s">
        <v>93</v>
      </c>
      <c r="N332" s="208"/>
      <c r="O332" s="208"/>
      <c r="P332" s="208"/>
    </row>
    <row r="333" spans="1:16" ht="15.75">
      <c r="A333" s="208">
        <v>315</v>
      </c>
      <c r="B333" s="342">
        <v>43112</v>
      </c>
      <c r="C333" s="170" t="s">
        <v>2455</v>
      </c>
      <c r="D333" s="208">
        <f t="shared" si="5"/>
        <v>5</v>
      </c>
      <c r="E333" s="208" t="s">
        <v>82</v>
      </c>
      <c r="F333" s="208" t="s">
        <v>84</v>
      </c>
      <c r="G333" s="208"/>
      <c r="H333" s="208" t="s">
        <v>93</v>
      </c>
      <c r="I333" s="208"/>
      <c r="J333" s="208" t="s">
        <v>84</v>
      </c>
      <c r="K333" s="208" t="s">
        <v>84</v>
      </c>
      <c r="L333" s="208"/>
      <c r="M333" s="208" t="s">
        <v>93</v>
      </c>
      <c r="N333" s="208"/>
      <c r="O333" s="208"/>
      <c r="P333" s="208"/>
    </row>
    <row r="334" spans="1:16" ht="15.75">
      <c r="A334" s="208">
        <v>316</v>
      </c>
      <c r="B334" s="342">
        <v>43113</v>
      </c>
      <c r="C334" s="170" t="s">
        <v>2455</v>
      </c>
      <c r="D334" s="208">
        <f t="shared" si="5"/>
        <v>6</v>
      </c>
      <c r="E334" s="208" t="s">
        <v>83</v>
      </c>
      <c r="F334" s="208" t="s">
        <v>84</v>
      </c>
      <c r="G334" s="208"/>
      <c r="H334" s="208" t="s">
        <v>93</v>
      </c>
      <c r="I334" s="208"/>
      <c r="J334" s="208" t="s">
        <v>84</v>
      </c>
      <c r="K334" s="208" t="s">
        <v>84</v>
      </c>
      <c r="L334" s="208"/>
      <c r="M334" s="208" t="s">
        <v>93</v>
      </c>
      <c r="N334" s="208"/>
      <c r="O334" s="208"/>
      <c r="P334" s="208"/>
    </row>
    <row r="335" spans="1:16" ht="15.75">
      <c r="A335" s="208">
        <v>317</v>
      </c>
      <c r="B335" s="342">
        <v>43114</v>
      </c>
      <c r="C335" s="170" t="s">
        <v>2455</v>
      </c>
      <c r="D335" s="208">
        <f t="shared" si="5"/>
        <v>7</v>
      </c>
      <c r="E335" s="208" t="s">
        <v>85</v>
      </c>
      <c r="F335" s="208" t="s">
        <v>84</v>
      </c>
      <c r="G335" s="208"/>
      <c r="H335" s="208" t="s">
        <v>93</v>
      </c>
      <c r="I335" s="208"/>
      <c r="J335" s="208" t="s">
        <v>84</v>
      </c>
      <c r="K335" s="208" t="s">
        <v>84</v>
      </c>
      <c r="L335" s="208"/>
      <c r="M335" s="208" t="s">
        <v>93</v>
      </c>
      <c r="N335" s="208"/>
      <c r="O335" s="208"/>
      <c r="P335" s="208"/>
    </row>
    <row r="336" spans="1:16" ht="15.75">
      <c r="A336" s="208">
        <v>318</v>
      </c>
      <c r="B336" s="342">
        <v>43115</v>
      </c>
      <c r="C336" s="170" t="s">
        <v>2455</v>
      </c>
      <c r="D336" s="208">
        <f t="shared" si="5"/>
        <v>1</v>
      </c>
      <c r="E336" s="208" t="s">
        <v>86</v>
      </c>
      <c r="F336" s="208" t="s">
        <v>84</v>
      </c>
      <c r="G336" s="208"/>
      <c r="H336" s="208" t="s">
        <v>93</v>
      </c>
      <c r="I336" s="208"/>
      <c r="J336" s="208" t="s">
        <v>84</v>
      </c>
      <c r="K336" s="208" t="s">
        <v>84</v>
      </c>
      <c r="L336" s="208"/>
      <c r="M336" s="208" t="s">
        <v>93</v>
      </c>
      <c r="N336" s="208"/>
      <c r="O336" s="208"/>
      <c r="P336" s="208"/>
    </row>
    <row r="337" spans="1:16" ht="15.75">
      <c r="A337" s="208">
        <v>319</v>
      </c>
      <c r="B337" s="342">
        <v>43116</v>
      </c>
      <c r="C337" s="170" t="s">
        <v>2455</v>
      </c>
      <c r="D337" s="208">
        <f t="shared" si="5"/>
        <v>2</v>
      </c>
      <c r="E337" s="208" t="s">
        <v>87</v>
      </c>
      <c r="F337" s="208" t="s">
        <v>84</v>
      </c>
      <c r="G337" s="208"/>
      <c r="H337" s="208" t="s">
        <v>93</v>
      </c>
      <c r="I337" s="208"/>
      <c r="J337" s="208" t="s">
        <v>84</v>
      </c>
      <c r="K337" s="208" t="s">
        <v>84</v>
      </c>
      <c r="L337" s="208"/>
      <c r="M337" s="208" t="s">
        <v>93</v>
      </c>
      <c r="N337" s="208"/>
      <c r="O337" s="208"/>
      <c r="P337" s="208"/>
    </row>
    <row r="338" spans="1:16" ht="15.75">
      <c r="A338" s="208">
        <v>320</v>
      </c>
      <c r="B338" s="342">
        <v>43117</v>
      </c>
      <c r="C338" s="170" t="s">
        <v>2455</v>
      </c>
      <c r="D338" s="208">
        <f t="shared" si="5"/>
        <v>3</v>
      </c>
      <c r="E338" s="208" t="s">
        <v>80</v>
      </c>
      <c r="F338" s="208" t="s">
        <v>84</v>
      </c>
      <c r="G338" s="208"/>
      <c r="H338" s="208" t="s">
        <v>93</v>
      </c>
      <c r="I338" s="208"/>
      <c r="J338" s="208" t="s">
        <v>84</v>
      </c>
      <c r="K338" s="208" t="s">
        <v>84</v>
      </c>
      <c r="L338" s="208"/>
      <c r="M338" s="208" t="s">
        <v>93</v>
      </c>
      <c r="N338" s="208"/>
      <c r="O338" s="208"/>
      <c r="P338" s="208"/>
    </row>
    <row r="339" spans="1:16" ht="15.75">
      <c r="A339" s="208">
        <v>321</v>
      </c>
      <c r="B339" s="342">
        <v>43118</v>
      </c>
      <c r="C339" s="170" t="s">
        <v>2455</v>
      </c>
      <c r="D339" s="208">
        <f t="shared" si="5"/>
        <v>4</v>
      </c>
      <c r="E339" s="208" t="s">
        <v>81</v>
      </c>
      <c r="F339" s="208" t="s">
        <v>84</v>
      </c>
      <c r="G339" s="208"/>
      <c r="H339" s="208" t="s">
        <v>93</v>
      </c>
      <c r="I339" s="208"/>
      <c r="J339" s="208" t="s">
        <v>84</v>
      </c>
      <c r="K339" s="208" t="s">
        <v>84</v>
      </c>
      <c r="L339" s="208"/>
      <c r="M339" s="208" t="s">
        <v>93</v>
      </c>
      <c r="N339" s="208"/>
      <c r="O339" s="208"/>
      <c r="P339" s="208"/>
    </row>
    <row r="340" spans="1:16" ht="15.75">
      <c r="A340" s="208">
        <v>322</v>
      </c>
      <c r="B340" s="342">
        <v>43119</v>
      </c>
      <c r="C340" s="170" t="s">
        <v>2455</v>
      </c>
      <c r="D340" s="208">
        <f t="shared" si="5"/>
        <v>5</v>
      </c>
      <c r="E340" s="208" t="s">
        <v>82</v>
      </c>
      <c r="F340" s="208" t="s">
        <v>84</v>
      </c>
      <c r="G340" s="208"/>
      <c r="H340" s="208" t="s">
        <v>93</v>
      </c>
      <c r="I340" s="208"/>
      <c r="J340" s="208" t="s">
        <v>84</v>
      </c>
      <c r="K340" s="208" t="s">
        <v>84</v>
      </c>
      <c r="L340" s="208"/>
      <c r="M340" s="208" t="s">
        <v>93</v>
      </c>
      <c r="N340" s="208"/>
      <c r="O340" s="208"/>
      <c r="P340" s="208"/>
    </row>
    <row r="341" spans="1:16" ht="15.75">
      <c r="A341" s="208">
        <v>323</v>
      </c>
      <c r="B341" s="342">
        <v>43120</v>
      </c>
      <c r="C341" s="170" t="s">
        <v>2455</v>
      </c>
      <c r="D341" s="208">
        <f t="shared" si="5"/>
        <v>6</v>
      </c>
      <c r="E341" s="208" t="s">
        <v>83</v>
      </c>
      <c r="F341" s="208" t="s">
        <v>84</v>
      </c>
      <c r="G341" s="208"/>
      <c r="H341" s="208" t="s">
        <v>93</v>
      </c>
      <c r="I341" s="208"/>
      <c r="J341" s="208" t="s">
        <v>84</v>
      </c>
      <c r="K341" s="208" t="s">
        <v>84</v>
      </c>
      <c r="L341" s="208"/>
      <c r="M341" s="208" t="s">
        <v>93</v>
      </c>
      <c r="N341" s="208"/>
      <c r="O341" s="208"/>
      <c r="P341" s="208"/>
    </row>
    <row r="342" spans="1:16" ht="15.75">
      <c r="A342" s="208">
        <v>324</v>
      </c>
      <c r="B342" s="342">
        <v>43121</v>
      </c>
      <c r="C342" s="170" t="s">
        <v>2455</v>
      </c>
      <c r="D342" s="208">
        <f t="shared" si="5"/>
        <v>7</v>
      </c>
      <c r="E342" s="208" t="s">
        <v>85</v>
      </c>
      <c r="F342" s="208" t="s">
        <v>84</v>
      </c>
      <c r="G342" s="208"/>
      <c r="H342" s="208" t="s">
        <v>93</v>
      </c>
      <c r="I342" s="208"/>
      <c r="J342" s="208" t="s">
        <v>84</v>
      </c>
      <c r="K342" s="208" t="s">
        <v>84</v>
      </c>
      <c r="L342" s="208"/>
      <c r="M342" s="208" t="s">
        <v>93</v>
      </c>
      <c r="N342" s="208"/>
      <c r="O342" s="208"/>
      <c r="P342" s="208"/>
    </row>
    <row r="343" spans="1:16" ht="15.75">
      <c r="A343" s="206">
        <v>325</v>
      </c>
      <c r="B343" s="340">
        <v>43122</v>
      </c>
      <c r="C343" s="166" t="s">
        <v>2455</v>
      </c>
      <c r="D343" s="206">
        <f t="shared" si="5"/>
        <v>1</v>
      </c>
      <c r="E343" s="206" t="s">
        <v>86</v>
      </c>
      <c r="F343" s="206" t="s">
        <v>105</v>
      </c>
      <c r="G343" s="206">
        <v>11</v>
      </c>
      <c r="H343" s="206" t="s">
        <v>35</v>
      </c>
      <c r="I343" s="379" t="s">
        <v>1813</v>
      </c>
      <c r="J343" s="206" t="str">
        <f>F343</f>
        <v>SI</v>
      </c>
      <c r="K343" s="206" t="s">
        <v>84</v>
      </c>
      <c r="L343" s="206">
        <v>14</v>
      </c>
      <c r="M343" s="206" t="s">
        <v>53</v>
      </c>
      <c r="N343" s="379" t="s">
        <v>1908</v>
      </c>
      <c r="O343" s="206"/>
      <c r="P343" s="206"/>
    </row>
    <row r="344" spans="1:16" ht="15.75">
      <c r="A344" s="206">
        <v>326</v>
      </c>
      <c r="B344" s="340">
        <v>43123</v>
      </c>
      <c r="C344" s="166" t="s">
        <v>2455</v>
      </c>
      <c r="D344" s="206">
        <f t="shared" si="5"/>
        <v>2</v>
      </c>
      <c r="E344" s="206" t="s">
        <v>87</v>
      </c>
      <c r="F344" s="206" t="s">
        <v>105</v>
      </c>
      <c r="G344" s="206">
        <v>11</v>
      </c>
      <c r="H344" s="206" t="s">
        <v>36</v>
      </c>
      <c r="I344" s="379" t="s">
        <v>1833</v>
      </c>
      <c r="J344" s="206" t="s">
        <v>105</v>
      </c>
      <c r="K344" s="206" t="s">
        <v>84</v>
      </c>
      <c r="L344" s="206">
        <v>14</v>
      </c>
      <c r="M344" s="206" t="s">
        <v>54</v>
      </c>
      <c r="N344" s="379" t="s">
        <v>1875</v>
      </c>
      <c r="O344" s="206"/>
      <c r="P344" s="206"/>
    </row>
    <row r="345" spans="1:16" ht="15.75">
      <c r="A345" s="206">
        <v>327</v>
      </c>
      <c r="B345" s="340">
        <v>43124</v>
      </c>
      <c r="C345" s="166" t="s">
        <v>2455</v>
      </c>
      <c r="D345" s="206">
        <f t="shared" si="5"/>
        <v>3</v>
      </c>
      <c r="E345" s="206" t="s">
        <v>80</v>
      </c>
      <c r="F345" s="206" t="s">
        <v>105</v>
      </c>
      <c r="G345" s="206">
        <v>11</v>
      </c>
      <c r="H345" s="206" t="s">
        <v>37</v>
      </c>
      <c r="I345" s="379" t="s">
        <v>1832</v>
      </c>
      <c r="J345" s="206" t="s">
        <v>105</v>
      </c>
      <c r="K345" s="206" t="s">
        <v>84</v>
      </c>
      <c r="L345" s="206">
        <v>14</v>
      </c>
      <c r="M345" s="206" t="s">
        <v>55</v>
      </c>
      <c r="N345" s="379" t="s">
        <v>1939</v>
      </c>
      <c r="O345" s="206"/>
      <c r="P345" s="206"/>
    </row>
    <row r="346" spans="1:16" ht="15.75">
      <c r="A346" s="206">
        <v>328</v>
      </c>
      <c r="B346" s="340">
        <v>43125</v>
      </c>
      <c r="C346" s="166" t="s">
        <v>2455</v>
      </c>
      <c r="D346" s="206">
        <f t="shared" si="5"/>
        <v>4</v>
      </c>
      <c r="E346" s="206" t="s">
        <v>81</v>
      </c>
      <c r="F346" s="206" t="s">
        <v>105</v>
      </c>
      <c r="G346" s="206">
        <v>11</v>
      </c>
      <c r="H346" s="206" t="s">
        <v>21</v>
      </c>
      <c r="I346" s="379" t="s">
        <v>2481</v>
      </c>
      <c r="J346" s="206" t="s">
        <v>105</v>
      </c>
      <c r="K346" s="206" t="s">
        <v>84</v>
      </c>
      <c r="L346" s="206">
        <v>14</v>
      </c>
      <c r="M346" s="206" t="s">
        <v>58</v>
      </c>
      <c r="N346" s="379" t="s">
        <v>1948</v>
      </c>
      <c r="O346" s="206"/>
      <c r="P346" s="206"/>
    </row>
    <row r="347" spans="1:16" ht="15.75">
      <c r="A347" s="206">
        <v>329</v>
      </c>
      <c r="B347" s="340">
        <v>43126</v>
      </c>
      <c r="C347" s="166" t="s">
        <v>2455</v>
      </c>
      <c r="D347" s="206">
        <f t="shared" si="5"/>
        <v>5</v>
      </c>
      <c r="E347" s="206" t="s">
        <v>82</v>
      </c>
      <c r="F347" s="206" t="s">
        <v>105</v>
      </c>
      <c r="G347" s="206">
        <v>12</v>
      </c>
      <c r="H347" s="206" t="s">
        <v>23</v>
      </c>
      <c r="I347" s="379" t="s">
        <v>1841</v>
      </c>
      <c r="J347" s="206" t="s">
        <v>105</v>
      </c>
      <c r="K347" s="206" t="s">
        <v>84</v>
      </c>
      <c r="L347" s="206">
        <v>15</v>
      </c>
      <c r="M347" s="379" t="s">
        <v>38</v>
      </c>
      <c r="N347" s="379" t="s">
        <v>1910</v>
      </c>
      <c r="O347" s="206"/>
      <c r="P347" s="206"/>
    </row>
    <row r="348" spans="1:16" ht="15.75">
      <c r="A348" s="206">
        <v>330</v>
      </c>
      <c r="B348" s="340">
        <v>43127</v>
      </c>
      <c r="C348" s="166" t="s">
        <v>2455</v>
      </c>
      <c r="D348" s="206">
        <f t="shared" si="5"/>
        <v>6</v>
      </c>
      <c r="E348" s="206" t="s">
        <v>83</v>
      </c>
      <c r="F348" s="206" t="s">
        <v>84</v>
      </c>
      <c r="G348" s="206"/>
      <c r="H348" s="206"/>
      <c r="I348" s="206"/>
      <c r="J348" s="206" t="s">
        <v>84</v>
      </c>
      <c r="K348" s="206" t="s">
        <v>84</v>
      </c>
      <c r="L348" s="206"/>
      <c r="M348" s="206"/>
      <c r="N348" s="206"/>
      <c r="O348" s="206"/>
      <c r="P348" s="206"/>
    </row>
    <row r="349" spans="1:16" ht="15.75">
      <c r="A349" s="206">
        <v>331</v>
      </c>
      <c r="B349" s="340">
        <v>43128</v>
      </c>
      <c r="C349" s="166" t="s">
        <v>2455</v>
      </c>
      <c r="D349" s="206">
        <f t="shared" si="5"/>
        <v>7</v>
      </c>
      <c r="E349" s="206" t="s">
        <v>85</v>
      </c>
      <c r="F349" s="206" t="s">
        <v>84</v>
      </c>
      <c r="G349" s="206"/>
      <c r="H349" s="206"/>
      <c r="I349" s="206"/>
      <c r="J349" s="206" t="s">
        <v>84</v>
      </c>
      <c r="K349" s="206" t="s">
        <v>84</v>
      </c>
      <c r="L349" s="206"/>
      <c r="M349" s="206"/>
      <c r="N349" s="206"/>
      <c r="O349" s="206"/>
      <c r="P349" s="206"/>
    </row>
    <row r="350" spans="1:16" ht="15.75">
      <c r="A350" s="206">
        <v>332</v>
      </c>
      <c r="B350" s="340">
        <v>43129</v>
      </c>
      <c r="C350" s="166" t="s">
        <v>2455</v>
      </c>
      <c r="D350" s="206">
        <f t="shared" si="5"/>
        <v>1</v>
      </c>
      <c r="E350" s="206" t="s">
        <v>86</v>
      </c>
      <c r="F350" s="206" t="s">
        <v>105</v>
      </c>
      <c r="G350" s="206">
        <v>12</v>
      </c>
      <c r="H350" s="206" t="s">
        <v>24</v>
      </c>
      <c r="I350" s="379" t="s">
        <v>2485</v>
      </c>
      <c r="J350" s="206" t="s">
        <v>105</v>
      </c>
      <c r="K350" s="206" t="s">
        <v>84</v>
      </c>
      <c r="L350" s="206">
        <v>15</v>
      </c>
      <c r="M350" s="379" t="s">
        <v>40</v>
      </c>
      <c r="N350" s="379" t="s">
        <v>1861</v>
      </c>
      <c r="O350" s="206"/>
      <c r="P350" s="206"/>
    </row>
    <row r="351" spans="1:16" ht="15.75">
      <c r="A351" s="206">
        <v>333</v>
      </c>
      <c r="B351" s="340">
        <v>43130</v>
      </c>
      <c r="C351" s="166" t="s">
        <v>2455</v>
      </c>
      <c r="D351" s="206">
        <f t="shared" si="5"/>
        <v>2</v>
      </c>
      <c r="E351" s="206" t="s">
        <v>87</v>
      </c>
      <c r="F351" s="206" t="s">
        <v>105</v>
      </c>
      <c r="G351" s="206">
        <v>12</v>
      </c>
      <c r="H351" s="206" t="s">
        <v>25</v>
      </c>
      <c r="I351" s="379" t="s">
        <v>1825</v>
      </c>
      <c r="J351" s="206" t="s">
        <v>105</v>
      </c>
      <c r="K351" s="206" t="s">
        <v>84</v>
      </c>
      <c r="L351" s="206">
        <v>15</v>
      </c>
      <c r="M351" s="379" t="s">
        <v>41</v>
      </c>
      <c r="N351" s="379" t="s">
        <v>1928</v>
      </c>
      <c r="O351" s="206"/>
      <c r="P351" s="206"/>
    </row>
    <row r="352" spans="1:16" ht="15.75">
      <c r="A352" s="206">
        <v>334</v>
      </c>
      <c r="B352" s="340">
        <v>43131</v>
      </c>
      <c r="C352" s="166" t="s">
        <v>2455</v>
      </c>
      <c r="D352" s="206">
        <f t="shared" si="5"/>
        <v>3</v>
      </c>
      <c r="E352" s="206" t="s">
        <v>80</v>
      </c>
      <c r="F352" s="206" t="s">
        <v>105</v>
      </c>
      <c r="G352" s="206">
        <v>12</v>
      </c>
      <c r="H352" s="206" t="s">
        <v>26</v>
      </c>
      <c r="I352" s="379" t="s">
        <v>2476</v>
      </c>
      <c r="J352" s="206" t="s">
        <v>105</v>
      </c>
      <c r="K352" s="206" t="s">
        <v>84</v>
      </c>
      <c r="L352" s="206">
        <v>15</v>
      </c>
      <c r="M352" s="379" t="s">
        <v>42</v>
      </c>
      <c r="N352" s="379" t="s">
        <v>1941</v>
      </c>
      <c r="O352" s="206"/>
      <c r="P352" s="206"/>
    </row>
    <row r="353" spans="1:16" ht="15.75">
      <c r="A353" s="206">
        <v>335</v>
      </c>
      <c r="B353" s="340">
        <v>43132</v>
      </c>
      <c r="C353" s="166" t="s">
        <v>79</v>
      </c>
      <c r="D353" s="206">
        <f t="shared" si="5"/>
        <v>4</v>
      </c>
      <c r="E353" s="206" t="s">
        <v>81</v>
      </c>
      <c r="F353" s="206" t="s">
        <v>105</v>
      </c>
      <c r="G353" s="206">
        <v>12</v>
      </c>
      <c r="H353" s="206" t="s">
        <v>27</v>
      </c>
      <c r="I353" s="379" t="s">
        <v>98</v>
      </c>
      <c r="J353" s="206" t="s">
        <v>105</v>
      </c>
      <c r="K353" s="206" t="s">
        <v>84</v>
      </c>
      <c r="L353" s="206">
        <v>15</v>
      </c>
      <c r="M353" s="379" t="s">
        <v>43</v>
      </c>
      <c r="N353" s="379" t="s">
        <v>1918</v>
      </c>
      <c r="O353" s="206"/>
      <c r="P353" s="206"/>
    </row>
    <row r="354" spans="1:16" ht="15.75">
      <c r="A354" s="206">
        <v>336</v>
      </c>
      <c r="B354" s="340">
        <v>43133</v>
      </c>
      <c r="C354" s="166" t="s">
        <v>79</v>
      </c>
      <c r="D354" s="206">
        <f t="shared" si="5"/>
        <v>5</v>
      </c>
      <c r="E354" s="206" t="s">
        <v>82</v>
      </c>
      <c r="F354" s="206" t="s">
        <v>105</v>
      </c>
      <c r="G354" s="206">
        <v>12</v>
      </c>
      <c r="H354" s="206" t="s">
        <v>28</v>
      </c>
      <c r="I354" s="379" t="s">
        <v>2483</v>
      </c>
      <c r="J354" s="206" t="s">
        <v>105</v>
      </c>
      <c r="K354" s="206" t="s">
        <v>84</v>
      </c>
      <c r="L354" s="206">
        <v>15</v>
      </c>
      <c r="M354" s="206" t="s">
        <v>44</v>
      </c>
      <c r="N354" s="379" t="s">
        <v>1936</v>
      </c>
      <c r="O354" s="206"/>
      <c r="P354" s="206"/>
    </row>
    <row r="355" spans="1:16" ht="15.75">
      <c r="A355" s="206">
        <v>337</v>
      </c>
      <c r="B355" s="340">
        <v>43134</v>
      </c>
      <c r="C355" s="166" t="s">
        <v>79</v>
      </c>
      <c r="D355" s="206">
        <f t="shared" si="5"/>
        <v>6</v>
      </c>
      <c r="E355" s="206" t="s">
        <v>83</v>
      </c>
      <c r="F355" s="206" t="s">
        <v>84</v>
      </c>
      <c r="G355" s="206"/>
      <c r="H355" s="206"/>
      <c r="I355" s="206"/>
      <c r="J355" s="206" t="s">
        <v>84</v>
      </c>
      <c r="K355" s="206" t="s">
        <v>105</v>
      </c>
      <c r="L355" s="206">
        <v>15</v>
      </c>
      <c r="M355" s="206"/>
      <c r="N355" s="206"/>
      <c r="O355" s="206" t="s">
        <v>45</v>
      </c>
      <c r="P355" s="379" t="s">
        <v>98</v>
      </c>
    </row>
    <row r="356" spans="1:16" ht="15.75">
      <c r="A356" s="206">
        <v>338</v>
      </c>
      <c r="B356" s="340">
        <v>43135</v>
      </c>
      <c r="C356" s="166" t="s">
        <v>79</v>
      </c>
      <c r="D356" s="206">
        <f t="shared" si="5"/>
        <v>7</v>
      </c>
      <c r="E356" s="206" t="s">
        <v>85</v>
      </c>
      <c r="F356" s="206" t="s">
        <v>84</v>
      </c>
      <c r="G356" s="206"/>
      <c r="H356" s="206"/>
      <c r="I356" s="206"/>
      <c r="J356" s="206" t="s">
        <v>84</v>
      </c>
      <c r="K356" s="206" t="s">
        <v>84</v>
      </c>
      <c r="L356" s="206"/>
      <c r="M356" s="206"/>
      <c r="N356" s="206"/>
      <c r="O356" s="206"/>
      <c r="P356" s="206"/>
    </row>
    <row r="357" spans="1:16" ht="15.75">
      <c r="A357" s="206">
        <v>339</v>
      </c>
      <c r="B357" s="340">
        <v>43136</v>
      </c>
      <c r="C357" s="166" t="s">
        <v>79</v>
      </c>
      <c r="D357" s="206">
        <f t="shared" si="5"/>
        <v>1</v>
      </c>
      <c r="E357" s="206" t="s">
        <v>86</v>
      </c>
      <c r="F357" s="206" t="s">
        <v>105</v>
      </c>
      <c r="G357" s="206">
        <v>12</v>
      </c>
      <c r="H357" s="206" t="s">
        <v>29</v>
      </c>
      <c r="I357" s="379" t="s">
        <v>1596</v>
      </c>
      <c r="J357" s="206" t="s">
        <v>105</v>
      </c>
      <c r="K357" s="206" t="s">
        <v>84</v>
      </c>
      <c r="L357" s="206">
        <v>15</v>
      </c>
      <c r="M357" s="379" t="s">
        <v>46</v>
      </c>
      <c r="N357" s="379" t="s">
        <v>1864</v>
      </c>
      <c r="O357" s="206"/>
      <c r="P357" s="206"/>
    </row>
    <row r="358" spans="1:16" ht="15.75">
      <c r="A358" s="206">
        <v>340</v>
      </c>
      <c r="B358" s="340">
        <v>43137</v>
      </c>
      <c r="C358" s="166" t="s">
        <v>79</v>
      </c>
      <c r="D358" s="206">
        <f t="shared" si="5"/>
        <v>2</v>
      </c>
      <c r="E358" s="206" t="s">
        <v>87</v>
      </c>
      <c r="F358" s="206" t="s">
        <v>105</v>
      </c>
      <c r="G358" s="206">
        <v>12</v>
      </c>
      <c r="H358" s="206" t="s">
        <v>30</v>
      </c>
      <c r="I358" s="206" t="s">
        <v>98</v>
      </c>
      <c r="J358" s="206" t="s">
        <v>105</v>
      </c>
      <c r="K358" s="206" t="s">
        <v>84</v>
      </c>
      <c r="L358" s="206">
        <v>15</v>
      </c>
      <c r="M358" s="379" t="s">
        <v>47</v>
      </c>
      <c r="N358" s="379" t="s">
        <v>1854</v>
      </c>
      <c r="O358" s="206"/>
      <c r="P358" s="206"/>
    </row>
    <row r="359" spans="1:16" ht="15.75">
      <c r="A359" s="206">
        <v>341</v>
      </c>
      <c r="B359" s="340">
        <v>43138</v>
      </c>
      <c r="C359" s="166" t="s">
        <v>79</v>
      </c>
      <c r="D359" s="206">
        <f t="shared" si="5"/>
        <v>3</v>
      </c>
      <c r="E359" s="206" t="s">
        <v>80</v>
      </c>
      <c r="F359" s="206" t="s">
        <v>105</v>
      </c>
      <c r="G359" s="206">
        <v>12</v>
      </c>
      <c r="H359" s="206" t="s">
        <v>31</v>
      </c>
      <c r="I359" s="379" t="s">
        <v>1605</v>
      </c>
      <c r="J359" s="206" t="s">
        <v>105</v>
      </c>
      <c r="K359" s="206" t="s">
        <v>84</v>
      </c>
      <c r="L359" s="206">
        <v>15</v>
      </c>
      <c r="M359" s="379" t="s">
        <v>50</v>
      </c>
      <c r="N359" s="206" t="s">
        <v>98</v>
      </c>
      <c r="O359" s="206"/>
      <c r="P359" s="206"/>
    </row>
    <row r="360" spans="1:16" ht="15.75">
      <c r="A360" s="206">
        <v>342</v>
      </c>
      <c r="B360" s="340">
        <v>43139</v>
      </c>
      <c r="C360" s="166" t="s">
        <v>79</v>
      </c>
      <c r="D360" s="206">
        <f t="shared" si="5"/>
        <v>4</v>
      </c>
      <c r="E360" s="206" t="s">
        <v>81</v>
      </c>
      <c r="F360" s="206" t="s">
        <v>105</v>
      </c>
      <c r="G360" s="206">
        <v>12</v>
      </c>
      <c r="H360" s="206" t="s">
        <v>32</v>
      </c>
      <c r="I360" s="206" t="s">
        <v>98</v>
      </c>
      <c r="J360" s="206" t="s">
        <v>105</v>
      </c>
      <c r="K360" s="206" t="s">
        <v>84</v>
      </c>
      <c r="L360" s="206">
        <v>15</v>
      </c>
      <c r="M360" s="379" t="s">
        <v>51</v>
      </c>
      <c r="N360" s="206" t="s">
        <v>98</v>
      </c>
      <c r="O360" s="206"/>
      <c r="P360" s="206"/>
    </row>
    <row r="361" spans="1:16" ht="15.75">
      <c r="A361" s="206">
        <v>343</v>
      </c>
      <c r="B361" s="340">
        <v>43140</v>
      </c>
      <c r="C361" s="166" t="s">
        <v>79</v>
      </c>
      <c r="D361" s="206">
        <f t="shared" si="5"/>
        <v>5</v>
      </c>
      <c r="E361" s="206" t="s">
        <v>82</v>
      </c>
      <c r="F361" s="206" t="s">
        <v>105</v>
      </c>
      <c r="G361" s="206">
        <v>12</v>
      </c>
      <c r="H361" s="206" t="s">
        <v>33</v>
      </c>
      <c r="I361" s="379" t="s">
        <v>2488</v>
      </c>
      <c r="J361" s="206" t="s">
        <v>105</v>
      </c>
      <c r="K361" s="206" t="s">
        <v>84</v>
      </c>
      <c r="L361" s="206">
        <v>15</v>
      </c>
      <c r="M361" s="206" t="s">
        <v>53</v>
      </c>
      <c r="N361" s="379" t="s">
        <v>1901</v>
      </c>
      <c r="O361" s="206"/>
      <c r="P361" s="206"/>
    </row>
    <row r="362" spans="1:16" ht="15.75">
      <c r="A362" s="206">
        <v>344</v>
      </c>
      <c r="B362" s="340">
        <v>43141</v>
      </c>
      <c r="C362" s="166" t="s">
        <v>79</v>
      </c>
      <c r="D362" s="206">
        <f t="shared" si="5"/>
        <v>6</v>
      </c>
      <c r="E362" s="206" t="s">
        <v>83</v>
      </c>
      <c r="F362" s="206" t="s">
        <v>84</v>
      </c>
      <c r="G362" s="206"/>
      <c r="H362" s="206"/>
      <c r="I362" s="206"/>
      <c r="J362" s="206" t="s">
        <v>84</v>
      </c>
      <c r="K362" s="206" t="s">
        <v>105</v>
      </c>
      <c r="L362" s="206">
        <v>15</v>
      </c>
      <c r="M362" s="206"/>
      <c r="N362" s="206"/>
      <c r="O362" s="206" t="s">
        <v>54</v>
      </c>
      <c r="P362" s="379" t="s">
        <v>1922</v>
      </c>
    </row>
    <row r="363" spans="1:16" ht="15.75">
      <c r="A363" s="206">
        <v>345</v>
      </c>
      <c r="B363" s="340">
        <v>43142</v>
      </c>
      <c r="C363" s="166" t="s">
        <v>79</v>
      </c>
      <c r="D363" s="206">
        <f t="shared" si="5"/>
        <v>7</v>
      </c>
      <c r="E363" s="206" t="s">
        <v>85</v>
      </c>
      <c r="F363" s="206" t="s">
        <v>84</v>
      </c>
      <c r="G363" s="206"/>
      <c r="H363" s="206"/>
      <c r="I363" s="206"/>
      <c r="J363" s="206" t="s">
        <v>84</v>
      </c>
      <c r="K363" s="206" t="s">
        <v>84</v>
      </c>
      <c r="L363" s="206"/>
      <c r="M363" s="206"/>
      <c r="N363" s="206"/>
      <c r="O363" s="206"/>
      <c r="P363" s="206"/>
    </row>
    <row r="364" spans="1:16" ht="15.75">
      <c r="A364" s="206">
        <v>346</v>
      </c>
      <c r="B364" s="340">
        <v>43143</v>
      </c>
      <c r="C364" s="166" t="s">
        <v>79</v>
      </c>
      <c r="D364" s="206">
        <f t="shared" si="5"/>
        <v>1</v>
      </c>
      <c r="E364" s="206" t="s">
        <v>86</v>
      </c>
      <c r="F364" s="206" t="s">
        <v>105</v>
      </c>
      <c r="G364" s="206">
        <v>12</v>
      </c>
      <c r="H364" s="206" t="s">
        <v>34</v>
      </c>
      <c r="I364" s="379" t="s">
        <v>1821</v>
      </c>
      <c r="J364" s="206" t="s">
        <v>105</v>
      </c>
      <c r="K364" s="206" t="s">
        <v>84</v>
      </c>
      <c r="L364" s="206">
        <v>15</v>
      </c>
      <c r="M364" s="379" t="s">
        <v>55</v>
      </c>
      <c r="N364" s="379" t="s">
        <v>1914</v>
      </c>
      <c r="O364" s="206"/>
      <c r="P364" s="206"/>
    </row>
    <row r="365" spans="1:16" ht="15.75">
      <c r="A365" s="206">
        <v>347</v>
      </c>
      <c r="B365" s="340">
        <v>43144</v>
      </c>
      <c r="C365" s="166" t="s">
        <v>79</v>
      </c>
      <c r="D365" s="206">
        <f t="shared" si="5"/>
        <v>2</v>
      </c>
      <c r="E365" s="206" t="s">
        <v>87</v>
      </c>
      <c r="F365" s="206" t="s">
        <v>105</v>
      </c>
      <c r="G365" s="206">
        <v>12</v>
      </c>
      <c r="H365" s="206" t="s">
        <v>35</v>
      </c>
      <c r="I365" s="379" t="s">
        <v>2489</v>
      </c>
      <c r="J365" s="206" t="s">
        <v>105</v>
      </c>
      <c r="K365" s="206" t="s">
        <v>84</v>
      </c>
      <c r="L365" s="206">
        <v>15</v>
      </c>
      <c r="M365" s="379" t="s">
        <v>58</v>
      </c>
      <c r="N365" s="379" t="s">
        <v>1889</v>
      </c>
      <c r="O365" s="206"/>
      <c r="P365" s="206"/>
    </row>
    <row r="366" spans="1:16" ht="15.75">
      <c r="A366" s="206">
        <v>348</v>
      </c>
      <c r="B366" s="340">
        <v>43145</v>
      </c>
      <c r="C366" s="166" t="s">
        <v>79</v>
      </c>
      <c r="D366" s="206">
        <f t="shared" si="5"/>
        <v>3</v>
      </c>
      <c r="E366" s="206" t="s">
        <v>80</v>
      </c>
      <c r="F366" s="206" t="s">
        <v>105</v>
      </c>
      <c r="G366" s="206">
        <v>12</v>
      </c>
      <c r="H366" s="206" t="s">
        <v>36</v>
      </c>
      <c r="I366" s="379" t="s">
        <v>1833</v>
      </c>
      <c r="J366" s="206" t="s">
        <v>105</v>
      </c>
      <c r="K366" s="206" t="s">
        <v>84</v>
      </c>
      <c r="L366" s="379">
        <v>16</v>
      </c>
      <c r="M366" s="379" t="s">
        <v>38</v>
      </c>
      <c r="N366" s="379" t="s">
        <v>1910</v>
      </c>
      <c r="O366" s="206"/>
      <c r="P366" s="206"/>
    </row>
    <row r="367" spans="1:16" ht="15.75">
      <c r="A367" s="206">
        <v>349</v>
      </c>
      <c r="B367" s="340">
        <v>43146</v>
      </c>
      <c r="C367" s="166" t="s">
        <v>79</v>
      </c>
      <c r="D367" s="206">
        <f t="shared" si="5"/>
        <v>4</v>
      </c>
      <c r="E367" s="206" t="s">
        <v>81</v>
      </c>
      <c r="F367" s="206" t="s">
        <v>105</v>
      </c>
      <c r="G367" s="206">
        <v>12</v>
      </c>
      <c r="H367" s="206" t="s">
        <v>37</v>
      </c>
      <c r="I367" s="379" t="s">
        <v>1832</v>
      </c>
      <c r="J367" s="206" t="s">
        <v>105</v>
      </c>
      <c r="K367" s="206" t="s">
        <v>84</v>
      </c>
      <c r="L367" s="206">
        <v>16</v>
      </c>
      <c r="M367" s="379" t="s">
        <v>40</v>
      </c>
      <c r="N367" s="379" t="s">
        <v>1951</v>
      </c>
      <c r="O367" s="206"/>
      <c r="P367" s="206"/>
    </row>
    <row r="368" spans="1:16" ht="15.75">
      <c r="A368" s="206">
        <v>350</v>
      </c>
      <c r="B368" s="340">
        <v>43147</v>
      </c>
      <c r="C368" s="166" t="s">
        <v>79</v>
      </c>
      <c r="D368" s="206">
        <f t="shared" si="5"/>
        <v>5</v>
      </c>
      <c r="E368" s="206" t="s">
        <v>82</v>
      </c>
      <c r="F368" s="206" t="s">
        <v>105</v>
      </c>
      <c r="G368" s="206">
        <v>12</v>
      </c>
      <c r="H368" s="206" t="s">
        <v>22</v>
      </c>
      <c r="I368" s="379" t="s">
        <v>2482</v>
      </c>
      <c r="J368" s="206" t="s">
        <v>105</v>
      </c>
      <c r="K368" s="206" t="s">
        <v>84</v>
      </c>
      <c r="L368" s="206">
        <v>16</v>
      </c>
      <c r="M368" s="206" t="s">
        <v>41</v>
      </c>
      <c r="N368" s="379" t="s">
        <v>1849</v>
      </c>
      <c r="O368" s="206"/>
      <c r="P368" s="206"/>
    </row>
    <row r="369" spans="1:16" ht="15.75">
      <c r="A369" s="206">
        <v>351</v>
      </c>
      <c r="B369" s="340">
        <v>43148</v>
      </c>
      <c r="C369" s="166" t="s">
        <v>79</v>
      </c>
      <c r="D369" s="206">
        <f t="shared" si="5"/>
        <v>6</v>
      </c>
      <c r="E369" s="206" t="s">
        <v>83</v>
      </c>
      <c r="F369" s="206" t="s">
        <v>84</v>
      </c>
      <c r="G369" s="206"/>
      <c r="H369" s="206"/>
      <c r="I369" s="206"/>
      <c r="J369" s="206" t="s">
        <v>84</v>
      </c>
      <c r="K369" s="206" t="s">
        <v>105</v>
      </c>
      <c r="L369" s="206">
        <v>16</v>
      </c>
      <c r="M369" s="206"/>
      <c r="N369" s="206"/>
      <c r="O369" s="206" t="s">
        <v>42</v>
      </c>
      <c r="P369" s="379" t="s">
        <v>1941</v>
      </c>
    </row>
    <row r="370" spans="1:16" ht="15.75">
      <c r="A370" s="206">
        <v>352</v>
      </c>
      <c r="B370" s="340">
        <v>43149</v>
      </c>
      <c r="C370" s="166" t="s">
        <v>79</v>
      </c>
      <c r="D370" s="206">
        <f t="shared" si="5"/>
        <v>7</v>
      </c>
      <c r="E370" s="206" t="s">
        <v>85</v>
      </c>
      <c r="F370" s="206" t="s">
        <v>84</v>
      </c>
      <c r="G370" s="206"/>
      <c r="H370" s="206"/>
      <c r="I370" s="206"/>
      <c r="J370" s="206" t="s">
        <v>84</v>
      </c>
      <c r="K370" s="206" t="s">
        <v>84</v>
      </c>
      <c r="L370" s="206"/>
      <c r="M370" s="206"/>
      <c r="N370" s="206"/>
      <c r="O370" s="206"/>
      <c r="P370" s="206"/>
    </row>
    <row r="371" spans="1:16" ht="15.75">
      <c r="A371" s="206">
        <v>353</v>
      </c>
      <c r="B371" s="340">
        <v>43150</v>
      </c>
      <c r="C371" s="166" t="s">
        <v>79</v>
      </c>
      <c r="D371" s="206">
        <f t="shared" si="5"/>
        <v>1</v>
      </c>
      <c r="E371" s="206" t="s">
        <v>86</v>
      </c>
      <c r="F371" s="206" t="s">
        <v>105</v>
      </c>
      <c r="G371" s="206">
        <v>13</v>
      </c>
      <c r="H371" s="206" t="s">
        <v>23</v>
      </c>
      <c r="I371" s="379" t="s">
        <v>1841</v>
      </c>
      <c r="J371" s="206" t="s">
        <v>105</v>
      </c>
      <c r="K371" s="206" t="s">
        <v>84</v>
      </c>
      <c r="L371" s="206">
        <v>16</v>
      </c>
      <c r="M371" s="379" t="s">
        <v>43</v>
      </c>
      <c r="N371" s="379" t="s">
        <v>2506</v>
      </c>
      <c r="O371" s="206"/>
      <c r="P371" s="206"/>
    </row>
    <row r="372" spans="1:16" ht="15.75">
      <c r="A372" s="206">
        <v>354</v>
      </c>
      <c r="B372" s="340">
        <v>43151</v>
      </c>
      <c r="C372" s="166" t="s">
        <v>79</v>
      </c>
      <c r="D372" s="206">
        <f t="shared" si="5"/>
        <v>2</v>
      </c>
      <c r="E372" s="206" t="s">
        <v>87</v>
      </c>
      <c r="F372" s="206" t="s">
        <v>105</v>
      </c>
      <c r="G372" s="206">
        <v>13</v>
      </c>
      <c r="H372" s="206" t="s">
        <v>24</v>
      </c>
      <c r="I372" s="379" t="s">
        <v>1800</v>
      </c>
      <c r="J372" s="206" t="s">
        <v>105</v>
      </c>
      <c r="K372" s="206" t="s">
        <v>84</v>
      </c>
      <c r="L372" s="206">
        <v>16</v>
      </c>
      <c r="M372" s="379" t="s">
        <v>44</v>
      </c>
      <c r="N372" s="379" t="s">
        <v>1931</v>
      </c>
      <c r="O372" s="206"/>
      <c r="P372" s="206"/>
    </row>
    <row r="373" spans="1:16" ht="15.75">
      <c r="A373" s="206">
        <v>355</v>
      </c>
      <c r="B373" s="340">
        <v>43152</v>
      </c>
      <c r="C373" s="166" t="s">
        <v>79</v>
      </c>
      <c r="D373" s="206">
        <f t="shared" si="5"/>
        <v>3</v>
      </c>
      <c r="E373" s="206" t="s">
        <v>80</v>
      </c>
      <c r="F373" s="206" t="s">
        <v>105</v>
      </c>
      <c r="G373" s="206">
        <v>13</v>
      </c>
      <c r="H373" s="206" t="s">
        <v>25</v>
      </c>
      <c r="I373" s="379" t="s">
        <v>1830</v>
      </c>
      <c r="J373" s="206" t="s">
        <v>105</v>
      </c>
      <c r="K373" s="206" t="s">
        <v>84</v>
      </c>
      <c r="L373" s="206">
        <v>16</v>
      </c>
      <c r="M373" s="379" t="s">
        <v>45</v>
      </c>
      <c r="N373" s="206" t="s">
        <v>98</v>
      </c>
      <c r="O373" s="206"/>
      <c r="P373" s="206"/>
    </row>
    <row r="374" spans="1:16" ht="15.75">
      <c r="A374" s="206">
        <v>356</v>
      </c>
      <c r="B374" s="340">
        <v>43153</v>
      </c>
      <c r="C374" s="166" t="s">
        <v>79</v>
      </c>
      <c r="D374" s="206">
        <f t="shared" si="5"/>
        <v>4</v>
      </c>
      <c r="E374" s="206" t="s">
        <v>81</v>
      </c>
      <c r="F374" s="206" t="s">
        <v>105</v>
      </c>
      <c r="G374" s="206">
        <v>13</v>
      </c>
      <c r="H374" s="206" t="s">
        <v>26</v>
      </c>
      <c r="I374" s="379" t="s">
        <v>1580</v>
      </c>
      <c r="J374" s="206" t="s">
        <v>105</v>
      </c>
      <c r="K374" s="206" t="s">
        <v>84</v>
      </c>
      <c r="L374" s="206">
        <v>16</v>
      </c>
      <c r="M374" s="379" t="s">
        <v>46</v>
      </c>
      <c r="N374" s="379" t="s">
        <v>1883</v>
      </c>
      <c r="O374" s="206"/>
      <c r="P374" s="206"/>
    </row>
    <row r="375" spans="1:16" ht="15.75">
      <c r="A375" s="206">
        <v>357</v>
      </c>
      <c r="B375" s="340">
        <v>43154</v>
      </c>
      <c r="C375" s="166" t="s">
        <v>79</v>
      </c>
      <c r="D375" s="206">
        <f t="shared" si="5"/>
        <v>5</v>
      </c>
      <c r="E375" s="206" t="s">
        <v>82</v>
      </c>
      <c r="F375" s="206" t="s">
        <v>105</v>
      </c>
      <c r="G375" s="206">
        <v>13</v>
      </c>
      <c r="H375" s="206" t="s">
        <v>27</v>
      </c>
      <c r="I375" s="379" t="s">
        <v>98</v>
      </c>
      <c r="J375" s="206" t="s">
        <v>105</v>
      </c>
      <c r="K375" s="206" t="s">
        <v>84</v>
      </c>
      <c r="L375" s="206">
        <v>16</v>
      </c>
      <c r="M375" s="206" t="s">
        <v>47</v>
      </c>
      <c r="N375" s="379" t="s">
        <v>1873</v>
      </c>
      <c r="O375" s="206"/>
      <c r="P375" s="206"/>
    </row>
    <row r="376" spans="1:16" ht="15.75">
      <c r="A376" s="206">
        <v>358</v>
      </c>
      <c r="B376" s="340">
        <v>43155</v>
      </c>
      <c r="C376" s="166" t="s">
        <v>79</v>
      </c>
      <c r="D376" s="206">
        <f t="shared" si="5"/>
        <v>6</v>
      </c>
      <c r="E376" s="206" t="s">
        <v>83</v>
      </c>
      <c r="F376" s="206" t="s">
        <v>84</v>
      </c>
      <c r="G376" s="206"/>
      <c r="H376" s="206"/>
      <c r="I376" s="206"/>
      <c r="J376" s="206" t="s">
        <v>84</v>
      </c>
      <c r="K376" s="206" t="s">
        <v>105</v>
      </c>
      <c r="L376" s="206">
        <v>16</v>
      </c>
      <c r="M376" s="206"/>
      <c r="N376" s="206"/>
      <c r="O376" s="206" t="s">
        <v>50</v>
      </c>
      <c r="P376" s="206" t="s">
        <v>98</v>
      </c>
    </row>
    <row r="377" spans="1:16" ht="15.75">
      <c r="A377" s="206">
        <v>359</v>
      </c>
      <c r="B377" s="340">
        <v>43156</v>
      </c>
      <c r="C377" s="166" t="s">
        <v>79</v>
      </c>
      <c r="D377" s="206">
        <f t="shared" si="5"/>
        <v>7</v>
      </c>
      <c r="E377" s="206" t="s">
        <v>85</v>
      </c>
      <c r="F377" s="206" t="s">
        <v>84</v>
      </c>
      <c r="G377" s="206"/>
      <c r="H377" s="206"/>
      <c r="I377" s="206"/>
      <c r="J377" s="206" t="s">
        <v>84</v>
      </c>
      <c r="K377" s="206" t="s">
        <v>84</v>
      </c>
      <c r="L377" s="206"/>
      <c r="M377" s="206"/>
      <c r="N377" s="206"/>
      <c r="O377" s="206"/>
      <c r="P377" s="206"/>
    </row>
    <row r="378" spans="1:16" ht="15.75">
      <c r="A378" s="206">
        <v>360</v>
      </c>
      <c r="B378" s="340">
        <v>43157</v>
      </c>
      <c r="C378" s="166" t="s">
        <v>79</v>
      </c>
      <c r="D378" s="206">
        <f t="shared" si="5"/>
        <v>1</v>
      </c>
      <c r="E378" s="206" t="s">
        <v>86</v>
      </c>
      <c r="F378" s="206" t="s">
        <v>105</v>
      </c>
      <c r="G378" s="206">
        <v>13</v>
      </c>
      <c r="H378" s="206" t="s">
        <v>28</v>
      </c>
      <c r="I378" s="379" t="s">
        <v>1581</v>
      </c>
      <c r="J378" s="206" t="s">
        <v>105</v>
      </c>
      <c r="K378" s="206" t="s">
        <v>84</v>
      </c>
      <c r="L378" s="206">
        <v>16</v>
      </c>
      <c r="M378" s="379" t="s">
        <v>51</v>
      </c>
      <c r="N378" s="206" t="s">
        <v>98</v>
      </c>
      <c r="O378" s="206"/>
      <c r="P378" s="206"/>
    </row>
    <row r="379" spans="1:16" ht="15.75">
      <c r="A379" s="206">
        <v>361</v>
      </c>
      <c r="B379" s="340">
        <v>43158</v>
      </c>
      <c r="C379" s="166" t="s">
        <v>79</v>
      </c>
      <c r="D379" s="206">
        <f t="shared" si="5"/>
        <v>2</v>
      </c>
      <c r="E379" s="206" t="s">
        <v>87</v>
      </c>
      <c r="F379" s="206" t="s">
        <v>105</v>
      </c>
      <c r="G379" s="206">
        <v>13</v>
      </c>
      <c r="H379" s="206" t="s">
        <v>29</v>
      </c>
      <c r="I379" s="379" t="s">
        <v>1840</v>
      </c>
      <c r="J379" s="206" t="s">
        <v>105</v>
      </c>
      <c r="K379" s="206" t="s">
        <v>84</v>
      </c>
      <c r="L379" s="206">
        <v>16</v>
      </c>
      <c r="M379" s="379" t="s">
        <v>53</v>
      </c>
      <c r="N379" s="379" t="s">
        <v>1938</v>
      </c>
      <c r="O379" s="206"/>
      <c r="P379" s="206"/>
    </row>
    <row r="380" spans="1:16" ht="15.75">
      <c r="A380" s="206">
        <v>362</v>
      </c>
      <c r="B380" s="340">
        <v>43159</v>
      </c>
      <c r="C380" s="166" t="s">
        <v>79</v>
      </c>
      <c r="D380" s="206">
        <f t="shared" si="5"/>
        <v>3</v>
      </c>
      <c r="E380" s="206" t="s">
        <v>80</v>
      </c>
      <c r="F380" s="206" t="s">
        <v>105</v>
      </c>
      <c r="G380" s="206">
        <v>13</v>
      </c>
      <c r="H380" s="206" t="s">
        <v>30</v>
      </c>
      <c r="I380" s="206" t="s">
        <v>98</v>
      </c>
      <c r="J380" s="206" t="s">
        <v>105</v>
      </c>
      <c r="K380" s="206" t="s">
        <v>84</v>
      </c>
      <c r="L380" s="206">
        <v>16</v>
      </c>
      <c r="M380" s="379" t="s">
        <v>54</v>
      </c>
      <c r="N380" s="379" t="s">
        <v>2507</v>
      </c>
      <c r="O380" s="206"/>
      <c r="P380" s="206"/>
    </row>
    <row r="381" spans="1:16" ht="15.75">
      <c r="A381" s="206">
        <v>363</v>
      </c>
      <c r="B381" s="340">
        <v>43160</v>
      </c>
      <c r="C381" s="166" t="s">
        <v>88</v>
      </c>
      <c r="D381" s="206">
        <f t="shared" si="5"/>
        <v>4</v>
      </c>
      <c r="E381" s="206" t="s">
        <v>81</v>
      </c>
      <c r="F381" s="206" t="s">
        <v>105</v>
      </c>
      <c r="G381" s="206">
        <v>13</v>
      </c>
      <c r="H381" s="206" t="s">
        <v>31</v>
      </c>
      <c r="I381" s="379" t="s">
        <v>2490</v>
      </c>
      <c r="J381" s="206" t="s">
        <v>105</v>
      </c>
      <c r="K381" s="206" t="s">
        <v>84</v>
      </c>
      <c r="L381" s="206">
        <v>16</v>
      </c>
      <c r="M381" s="379" t="s">
        <v>55</v>
      </c>
      <c r="N381" s="379" t="s">
        <v>1862</v>
      </c>
      <c r="O381" s="206"/>
      <c r="P381" s="206"/>
    </row>
    <row r="382" spans="1:16" ht="15.75">
      <c r="A382" s="206">
        <v>364</v>
      </c>
      <c r="B382" s="340">
        <v>43161</v>
      </c>
      <c r="C382" s="166" t="s">
        <v>88</v>
      </c>
      <c r="D382" s="206">
        <f t="shared" si="5"/>
        <v>5</v>
      </c>
      <c r="E382" s="206" t="s">
        <v>82</v>
      </c>
      <c r="F382" s="206" t="s">
        <v>105</v>
      </c>
      <c r="G382" s="206">
        <v>13</v>
      </c>
      <c r="H382" s="206" t="s">
        <v>32</v>
      </c>
      <c r="I382" s="379" t="s">
        <v>98</v>
      </c>
      <c r="J382" s="206" t="s">
        <v>105</v>
      </c>
      <c r="K382" s="206" t="s">
        <v>84</v>
      </c>
      <c r="L382" s="206">
        <v>16</v>
      </c>
      <c r="M382" s="206" t="s">
        <v>58</v>
      </c>
      <c r="N382" s="379" t="s">
        <v>1878</v>
      </c>
      <c r="O382" s="206"/>
      <c r="P382" s="206"/>
    </row>
    <row r="383" spans="1:16" ht="15.75">
      <c r="A383" s="206">
        <v>365</v>
      </c>
      <c r="B383" s="340">
        <v>43162</v>
      </c>
      <c r="C383" s="166" t="s">
        <v>88</v>
      </c>
      <c r="D383" s="206">
        <f t="shared" si="5"/>
        <v>6</v>
      </c>
      <c r="E383" s="206" t="s">
        <v>83</v>
      </c>
      <c r="F383" s="206" t="s">
        <v>84</v>
      </c>
      <c r="G383" s="206"/>
      <c r="H383" s="206"/>
      <c r="I383" s="206"/>
      <c r="J383" s="206" t="s">
        <v>84</v>
      </c>
      <c r="K383" s="206" t="s">
        <v>105</v>
      </c>
      <c r="L383" s="206">
        <v>17</v>
      </c>
      <c r="M383" s="206"/>
      <c r="N383" s="206"/>
      <c r="O383" s="206" t="s">
        <v>38</v>
      </c>
      <c r="P383" s="379" t="s">
        <v>1868</v>
      </c>
    </row>
    <row r="384" spans="1:16" ht="15.75">
      <c r="A384" s="206">
        <v>366</v>
      </c>
      <c r="B384" s="340">
        <v>43163</v>
      </c>
      <c r="C384" s="166" t="s">
        <v>88</v>
      </c>
      <c r="D384" s="206">
        <f t="shared" si="5"/>
        <v>7</v>
      </c>
      <c r="E384" s="206" t="s">
        <v>85</v>
      </c>
      <c r="F384" s="206" t="s">
        <v>84</v>
      </c>
      <c r="G384" s="206"/>
      <c r="H384" s="206"/>
      <c r="I384" s="206"/>
      <c r="J384" s="206" t="s">
        <v>84</v>
      </c>
      <c r="K384" s="206" t="s">
        <v>84</v>
      </c>
      <c r="L384" s="206"/>
      <c r="M384" s="206"/>
      <c r="N384" s="206"/>
      <c r="O384" s="206"/>
      <c r="P384" s="206"/>
    </row>
    <row r="385" spans="1:16" ht="15.75">
      <c r="A385" s="206">
        <v>367</v>
      </c>
      <c r="B385" s="340">
        <v>43164</v>
      </c>
      <c r="C385" s="166" t="s">
        <v>88</v>
      </c>
      <c r="D385" s="206">
        <f t="shared" ref="D385:D448" si="6">WEEKDAY(B385,2)</f>
        <v>1</v>
      </c>
      <c r="E385" s="206" t="s">
        <v>86</v>
      </c>
      <c r="F385" s="206" t="s">
        <v>105</v>
      </c>
      <c r="G385" s="206">
        <v>13</v>
      </c>
      <c r="H385" s="206" t="s">
        <v>33</v>
      </c>
      <c r="I385" s="379" t="s">
        <v>2486</v>
      </c>
      <c r="J385" s="206" t="s">
        <v>105</v>
      </c>
      <c r="K385" s="206" t="s">
        <v>84</v>
      </c>
      <c r="L385" s="206">
        <v>17</v>
      </c>
      <c r="M385" s="379" t="s">
        <v>40</v>
      </c>
      <c r="N385" s="379" t="s">
        <v>2508</v>
      </c>
      <c r="O385" s="206"/>
      <c r="P385" s="206"/>
    </row>
    <row r="386" spans="1:16" ht="15.75">
      <c r="A386" s="206">
        <v>368</v>
      </c>
      <c r="B386" s="340">
        <v>43165</v>
      </c>
      <c r="C386" s="166" t="s">
        <v>88</v>
      </c>
      <c r="D386" s="206">
        <f t="shared" si="6"/>
        <v>2</v>
      </c>
      <c r="E386" s="206" t="s">
        <v>87</v>
      </c>
      <c r="F386" s="206" t="s">
        <v>105</v>
      </c>
      <c r="G386" s="206">
        <v>13</v>
      </c>
      <c r="H386" s="206" t="s">
        <v>34</v>
      </c>
      <c r="I386" s="379" t="s">
        <v>1582</v>
      </c>
      <c r="J386" s="206" t="s">
        <v>105</v>
      </c>
      <c r="K386" s="206" t="s">
        <v>84</v>
      </c>
      <c r="L386" s="206">
        <v>17</v>
      </c>
      <c r="M386" s="379" t="s">
        <v>41</v>
      </c>
      <c r="N386" s="379" t="s">
        <v>1916</v>
      </c>
      <c r="O386" s="206"/>
      <c r="P386" s="206"/>
    </row>
    <row r="387" spans="1:16" ht="15.75">
      <c r="A387" s="206">
        <v>369</v>
      </c>
      <c r="B387" s="340">
        <v>43166</v>
      </c>
      <c r="C387" s="166" t="s">
        <v>88</v>
      </c>
      <c r="D387" s="206">
        <f t="shared" si="6"/>
        <v>3</v>
      </c>
      <c r="E387" s="206" t="s">
        <v>80</v>
      </c>
      <c r="F387" s="206" t="s">
        <v>105</v>
      </c>
      <c r="G387" s="206">
        <v>13</v>
      </c>
      <c r="H387" s="206" t="s">
        <v>35</v>
      </c>
      <c r="I387" s="379" t="s">
        <v>2491</v>
      </c>
      <c r="J387" s="206" t="s">
        <v>105</v>
      </c>
      <c r="K387" s="206" t="s">
        <v>84</v>
      </c>
      <c r="L387" s="206">
        <v>17</v>
      </c>
      <c r="M387" s="379" t="s">
        <v>42</v>
      </c>
      <c r="N387" s="379" t="s">
        <v>2509</v>
      </c>
      <c r="O387" s="206"/>
      <c r="P387" s="206"/>
    </row>
    <row r="388" spans="1:16" ht="15.75">
      <c r="A388" s="206">
        <v>370</v>
      </c>
      <c r="B388" s="340">
        <v>43167</v>
      </c>
      <c r="C388" s="166" t="s">
        <v>88</v>
      </c>
      <c r="D388" s="206">
        <f t="shared" si="6"/>
        <v>4</v>
      </c>
      <c r="E388" s="206" t="s">
        <v>81</v>
      </c>
      <c r="F388" s="206" t="s">
        <v>105</v>
      </c>
      <c r="G388" s="206">
        <v>13</v>
      </c>
      <c r="H388" s="206" t="s">
        <v>36</v>
      </c>
      <c r="I388" s="379" t="s">
        <v>1822</v>
      </c>
      <c r="J388" s="206" t="s">
        <v>105</v>
      </c>
      <c r="K388" s="206" t="s">
        <v>84</v>
      </c>
      <c r="L388" s="206">
        <v>17</v>
      </c>
      <c r="M388" s="379" t="s">
        <v>43</v>
      </c>
      <c r="N388" s="379" t="s">
        <v>1882</v>
      </c>
      <c r="O388" s="206"/>
      <c r="P388" s="206"/>
    </row>
    <row r="389" spans="1:16" ht="15.75">
      <c r="A389" s="206">
        <v>371</v>
      </c>
      <c r="B389" s="340">
        <v>43168</v>
      </c>
      <c r="C389" s="166" t="s">
        <v>88</v>
      </c>
      <c r="D389" s="206">
        <f t="shared" si="6"/>
        <v>5</v>
      </c>
      <c r="E389" s="206" t="s">
        <v>82</v>
      </c>
      <c r="F389" s="206" t="s">
        <v>105</v>
      </c>
      <c r="G389" s="206">
        <v>13</v>
      </c>
      <c r="H389" s="206" t="s">
        <v>37</v>
      </c>
      <c r="I389" s="379" t="s">
        <v>1836</v>
      </c>
      <c r="J389" s="206" t="s">
        <v>105</v>
      </c>
      <c r="K389" s="206" t="s">
        <v>84</v>
      </c>
      <c r="L389" s="206">
        <v>17</v>
      </c>
      <c r="M389" s="206" t="s">
        <v>44</v>
      </c>
      <c r="N389" s="379" t="s">
        <v>1947</v>
      </c>
      <c r="O389" s="206"/>
      <c r="P389" s="206"/>
    </row>
    <row r="390" spans="1:16" ht="15.75">
      <c r="A390" s="206">
        <v>372</v>
      </c>
      <c r="B390" s="340">
        <v>43169</v>
      </c>
      <c r="C390" s="166" t="s">
        <v>88</v>
      </c>
      <c r="D390" s="206">
        <f t="shared" si="6"/>
        <v>6</v>
      </c>
      <c r="E390" s="206" t="s">
        <v>83</v>
      </c>
      <c r="F390" s="206" t="s">
        <v>84</v>
      </c>
      <c r="G390" s="206"/>
      <c r="H390" s="206"/>
      <c r="I390" s="206"/>
      <c r="J390" s="206" t="s">
        <v>84</v>
      </c>
      <c r="K390" s="206" t="s">
        <v>105</v>
      </c>
      <c r="L390" s="206">
        <v>17</v>
      </c>
      <c r="M390" s="206"/>
      <c r="N390" s="206"/>
      <c r="O390" s="206" t="s">
        <v>45</v>
      </c>
      <c r="P390" s="379" t="s">
        <v>98</v>
      </c>
    </row>
    <row r="391" spans="1:16" ht="15.75">
      <c r="A391" s="206">
        <v>373</v>
      </c>
      <c r="B391" s="340">
        <v>43170</v>
      </c>
      <c r="C391" s="166" t="s">
        <v>88</v>
      </c>
      <c r="D391" s="206">
        <f t="shared" si="6"/>
        <v>7</v>
      </c>
      <c r="E391" s="206" t="s">
        <v>85</v>
      </c>
      <c r="F391" s="206" t="s">
        <v>84</v>
      </c>
      <c r="G391" s="206"/>
      <c r="H391" s="206"/>
      <c r="I391" s="206"/>
      <c r="J391" s="206" t="s">
        <v>84</v>
      </c>
      <c r="K391" s="206" t="s">
        <v>84</v>
      </c>
      <c r="L391" s="206"/>
      <c r="M391" s="206"/>
      <c r="N391" s="206"/>
      <c r="O391" s="206"/>
      <c r="P391" s="206"/>
    </row>
    <row r="392" spans="1:16" ht="15.75">
      <c r="A392" s="206">
        <v>374</v>
      </c>
      <c r="B392" s="340">
        <v>43171</v>
      </c>
      <c r="C392" s="166" t="s">
        <v>88</v>
      </c>
      <c r="D392" s="206">
        <f t="shared" si="6"/>
        <v>1</v>
      </c>
      <c r="E392" s="206" t="s">
        <v>86</v>
      </c>
      <c r="F392" s="206" t="s">
        <v>105</v>
      </c>
      <c r="G392" s="206">
        <v>13</v>
      </c>
      <c r="H392" s="206" t="s">
        <v>18</v>
      </c>
      <c r="I392" s="379" t="s">
        <v>1602</v>
      </c>
      <c r="J392" s="206" t="s">
        <v>105</v>
      </c>
      <c r="K392" s="206" t="s">
        <v>84</v>
      </c>
      <c r="L392" s="206">
        <v>17</v>
      </c>
      <c r="M392" s="379" t="s">
        <v>46</v>
      </c>
      <c r="N392" s="379" t="s">
        <v>1895</v>
      </c>
      <c r="O392" s="206"/>
      <c r="P392" s="206"/>
    </row>
    <row r="393" spans="1:16" ht="15.75">
      <c r="A393" s="206">
        <v>375</v>
      </c>
      <c r="B393" s="340">
        <v>43172</v>
      </c>
      <c r="C393" s="166" t="s">
        <v>88</v>
      </c>
      <c r="D393" s="206">
        <f t="shared" si="6"/>
        <v>2</v>
      </c>
      <c r="E393" s="206" t="s">
        <v>87</v>
      </c>
      <c r="F393" s="206" t="s">
        <v>105</v>
      </c>
      <c r="G393" s="206">
        <v>14</v>
      </c>
      <c r="H393" s="206" t="s">
        <v>23</v>
      </c>
      <c r="I393" s="379" t="s">
        <v>2492</v>
      </c>
      <c r="J393" s="206" t="s">
        <v>105</v>
      </c>
      <c r="K393" s="206" t="s">
        <v>84</v>
      </c>
      <c r="L393" s="206">
        <v>17</v>
      </c>
      <c r="M393" s="379" t="s">
        <v>47</v>
      </c>
      <c r="N393" s="379" t="s">
        <v>1886</v>
      </c>
      <c r="O393" s="206"/>
      <c r="P393" s="206"/>
    </row>
    <row r="394" spans="1:16" ht="15.75">
      <c r="A394" s="206">
        <v>376</v>
      </c>
      <c r="B394" s="340">
        <v>43173</v>
      </c>
      <c r="C394" s="166" t="s">
        <v>88</v>
      </c>
      <c r="D394" s="206">
        <f t="shared" si="6"/>
        <v>3</v>
      </c>
      <c r="E394" s="206" t="s">
        <v>80</v>
      </c>
      <c r="F394" s="206" t="s">
        <v>105</v>
      </c>
      <c r="G394" s="206">
        <v>14</v>
      </c>
      <c r="H394" s="206" t="s">
        <v>24</v>
      </c>
      <c r="I394" s="379" t="s">
        <v>1799</v>
      </c>
      <c r="J394" s="206" t="s">
        <v>105</v>
      </c>
      <c r="K394" s="206" t="s">
        <v>84</v>
      </c>
      <c r="L394" s="206">
        <v>17</v>
      </c>
      <c r="M394" s="379" t="s">
        <v>50</v>
      </c>
      <c r="N394" s="206" t="s">
        <v>98</v>
      </c>
      <c r="O394" s="206"/>
      <c r="P394" s="206"/>
    </row>
    <row r="395" spans="1:16" ht="15.75">
      <c r="A395" s="206">
        <v>377</v>
      </c>
      <c r="B395" s="340">
        <v>43174</v>
      </c>
      <c r="C395" s="166" t="s">
        <v>88</v>
      </c>
      <c r="D395" s="206">
        <f t="shared" si="6"/>
        <v>4</v>
      </c>
      <c r="E395" s="206" t="s">
        <v>81</v>
      </c>
      <c r="F395" s="206" t="s">
        <v>105</v>
      </c>
      <c r="G395" s="206">
        <v>14</v>
      </c>
      <c r="H395" s="206" t="s">
        <v>25</v>
      </c>
      <c r="I395" s="379" t="s">
        <v>2493</v>
      </c>
      <c r="J395" s="206" t="s">
        <v>105</v>
      </c>
      <c r="K395" s="206" t="s">
        <v>84</v>
      </c>
      <c r="L395" s="206">
        <v>17</v>
      </c>
      <c r="M395" s="379" t="s">
        <v>51</v>
      </c>
      <c r="N395" s="206" t="s">
        <v>98</v>
      </c>
      <c r="O395" s="206"/>
      <c r="P395" s="206"/>
    </row>
    <row r="396" spans="1:16" ht="15.75">
      <c r="A396" s="206">
        <v>378</v>
      </c>
      <c r="B396" s="340">
        <v>43175</v>
      </c>
      <c r="C396" s="166" t="s">
        <v>88</v>
      </c>
      <c r="D396" s="206">
        <f t="shared" si="6"/>
        <v>5</v>
      </c>
      <c r="E396" s="206" t="s">
        <v>82</v>
      </c>
      <c r="F396" s="206" t="s">
        <v>105</v>
      </c>
      <c r="G396" s="206">
        <v>14</v>
      </c>
      <c r="H396" s="206" t="s">
        <v>26</v>
      </c>
      <c r="I396" s="379" t="s">
        <v>1603</v>
      </c>
      <c r="J396" s="206" t="s">
        <v>105</v>
      </c>
      <c r="K396" s="206" t="s">
        <v>84</v>
      </c>
      <c r="L396" s="206">
        <v>17</v>
      </c>
      <c r="M396" s="206" t="s">
        <v>53</v>
      </c>
      <c r="N396" s="379" t="s">
        <v>2503</v>
      </c>
      <c r="O396" s="206"/>
      <c r="P396" s="206"/>
    </row>
    <row r="397" spans="1:16" ht="15.75">
      <c r="A397" s="206">
        <v>379</v>
      </c>
      <c r="B397" s="340">
        <v>43176</v>
      </c>
      <c r="C397" s="166" t="s">
        <v>88</v>
      </c>
      <c r="D397" s="206">
        <f t="shared" si="6"/>
        <v>6</v>
      </c>
      <c r="E397" s="206" t="s">
        <v>83</v>
      </c>
      <c r="F397" s="206" t="s">
        <v>84</v>
      </c>
      <c r="G397" s="206"/>
      <c r="H397" s="206"/>
      <c r="I397" s="206"/>
      <c r="J397" s="206" t="s">
        <v>84</v>
      </c>
      <c r="K397" s="206" t="s">
        <v>105</v>
      </c>
      <c r="L397" s="206">
        <v>17</v>
      </c>
      <c r="M397" s="206"/>
      <c r="N397" s="206"/>
      <c r="O397" s="206" t="s">
        <v>54</v>
      </c>
      <c r="P397" s="379" t="s">
        <v>1902</v>
      </c>
    </row>
    <row r="398" spans="1:16" ht="15.75">
      <c r="A398" s="206">
        <v>380</v>
      </c>
      <c r="B398" s="340">
        <v>43177</v>
      </c>
      <c r="C398" s="166" t="s">
        <v>88</v>
      </c>
      <c r="D398" s="206">
        <f t="shared" si="6"/>
        <v>7</v>
      </c>
      <c r="E398" s="206" t="s">
        <v>85</v>
      </c>
      <c r="F398" s="206" t="s">
        <v>84</v>
      </c>
      <c r="G398" s="206"/>
      <c r="H398" s="206"/>
      <c r="I398" s="206"/>
      <c r="J398" s="206" t="s">
        <v>84</v>
      </c>
      <c r="K398" s="206" t="s">
        <v>84</v>
      </c>
      <c r="L398" s="206"/>
      <c r="M398" s="206"/>
      <c r="N398" s="206"/>
      <c r="O398" s="206"/>
      <c r="P398" s="206"/>
    </row>
    <row r="399" spans="1:16" ht="15.75">
      <c r="A399" s="207">
        <v>381</v>
      </c>
      <c r="B399" s="341">
        <v>43178</v>
      </c>
      <c r="C399" s="168" t="s">
        <v>88</v>
      </c>
      <c r="D399" s="207">
        <f t="shared" si="6"/>
        <v>1</v>
      </c>
      <c r="E399" s="207" t="s">
        <v>86</v>
      </c>
      <c r="F399" s="207" t="s">
        <v>84</v>
      </c>
      <c r="G399" s="207">
        <v>14</v>
      </c>
      <c r="H399" s="207" t="s">
        <v>2456</v>
      </c>
      <c r="I399" s="207"/>
      <c r="J399" s="207" t="s">
        <v>84</v>
      </c>
      <c r="K399" s="207" t="s">
        <v>84</v>
      </c>
      <c r="L399" s="207">
        <v>17</v>
      </c>
      <c r="M399" s="207" t="s">
        <v>2468</v>
      </c>
      <c r="N399" s="207"/>
      <c r="O399" s="207"/>
      <c r="P399" s="207"/>
    </row>
    <row r="400" spans="1:16" ht="15.75">
      <c r="A400" s="206">
        <v>382</v>
      </c>
      <c r="B400" s="340">
        <v>43179</v>
      </c>
      <c r="C400" s="166" t="s">
        <v>88</v>
      </c>
      <c r="D400" s="206">
        <f t="shared" si="6"/>
        <v>2</v>
      </c>
      <c r="E400" s="206" t="s">
        <v>87</v>
      </c>
      <c r="F400" s="206" t="s">
        <v>105</v>
      </c>
      <c r="G400" s="206">
        <v>14</v>
      </c>
      <c r="H400" s="206" t="s">
        <v>28</v>
      </c>
      <c r="I400" s="379" t="s">
        <v>2494</v>
      </c>
      <c r="J400" s="206" t="s">
        <v>105</v>
      </c>
      <c r="K400" s="206" t="s">
        <v>84</v>
      </c>
      <c r="L400" s="206">
        <v>17</v>
      </c>
      <c r="M400" s="379" t="s">
        <v>58</v>
      </c>
      <c r="N400" s="379" t="s">
        <v>1923</v>
      </c>
      <c r="O400" s="206"/>
      <c r="P400" s="206"/>
    </row>
    <row r="401" spans="1:16" ht="15.75">
      <c r="A401" s="206">
        <v>383</v>
      </c>
      <c r="B401" s="340">
        <v>43180</v>
      </c>
      <c r="C401" s="166" t="s">
        <v>88</v>
      </c>
      <c r="D401" s="206">
        <f t="shared" si="6"/>
        <v>3</v>
      </c>
      <c r="E401" s="206" t="s">
        <v>80</v>
      </c>
      <c r="F401" s="206" t="s">
        <v>105</v>
      </c>
      <c r="G401" s="206">
        <v>14</v>
      </c>
      <c r="H401" s="206" t="s">
        <v>29</v>
      </c>
      <c r="I401" s="379" t="s">
        <v>1808</v>
      </c>
      <c r="J401" s="206" t="s">
        <v>105</v>
      </c>
      <c r="K401" s="206" t="s">
        <v>84</v>
      </c>
      <c r="L401" s="206">
        <v>18</v>
      </c>
      <c r="M401" s="379" t="s">
        <v>38</v>
      </c>
      <c r="N401" s="379" t="s">
        <v>2510</v>
      </c>
      <c r="O401" s="206"/>
      <c r="P401" s="206"/>
    </row>
    <row r="402" spans="1:16" ht="15.75">
      <c r="A402" s="206">
        <v>384</v>
      </c>
      <c r="B402" s="340">
        <v>43181</v>
      </c>
      <c r="C402" s="166" t="s">
        <v>88</v>
      </c>
      <c r="D402" s="206">
        <f t="shared" si="6"/>
        <v>4</v>
      </c>
      <c r="E402" s="206" t="s">
        <v>81</v>
      </c>
      <c r="F402" s="206" t="s">
        <v>105</v>
      </c>
      <c r="G402" s="206">
        <v>14</v>
      </c>
      <c r="H402" s="206" t="s">
        <v>30</v>
      </c>
      <c r="I402" s="206" t="s">
        <v>98</v>
      </c>
      <c r="J402" s="206" t="s">
        <v>105</v>
      </c>
      <c r="K402" s="206" t="s">
        <v>84</v>
      </c>
      <c r="L402" s="206">
        <v>18</v>
      </c>
      <c r="M402" s="206" t="s">
        <v>40</v>
      </c>
      <c r="N402" s="379" t="s">
        <v>1891</v>
      </c>
      <c r="O402" s="206"/>
      <c r="P402" s="206"/>
    </row>
    <row r="403" spans="1:16" ht="15.75">
      <c r="A403" s="206">
        <v>385</v>
      </c>
      <c r="B403" s="340">
        <v>43182</v>
      </c>
      <c r="C403" s="166" t="s">
        <v>88</v>
      </c>
      <c r="D403" s="206">
        <f t="shared" si="6"/>
        <v>5</v>
      </c>
      <c r="E403" s="206" t="s">
        <v>82</v>
      </c>
      <c r="F403" s="206" t="s">
        <v>105</v>
      </c>
      <c r="G403" s="206">
        <v>14</v>
      </c>
      <c r="H403" s="206" t="s">
        <v>31</v>
      </c>
      <c r="I403" s="379" t="s">
        <v>2477</v>
      </c>
      <c r="J403" s="206" t="s">
        <v>105</v>
      </c>
      <c r="K403" s="206" t="s">
        <v>84</v>
      </c>
      <c r="L403" s="206">
        <v>18</v>
      </c>
      <c r="M403" s="206" t="s">
        <v>41</v>
      </c>
      <c r="N403" s="379" t="s">
        <v>1928</v>
      </c>
      <c r="O403" s="206"/>
      <c r="P403" s="206"/>
    </row>
    <row r="404" spans="1:16" ht="15.75">
      <c r="A404" s="206">
        <v>386</v>
      </c>
      <c r="B404" s="340">
        <v>43183</v>
      </c>
      <c r="C404" s="166" t="s">
        <v>88</v>
      </c>
      <c r="D404" s="206">
        <f t="shared" si="6"/>
        <v>6</v>
      </c>
      <c r="E404" s="206" t="s">
        <v>83</v>
      </c>
      <c r="F404" s="206" t="s">
        <v>84</v>
      </c>
      <c r="G404" s="206"/>
      <c r="H404" s="206"/>
      <c r="I404" s="206"/>
      <c r="J404" s="206" t="s">
        <v>84</v>
      </c>
      <c r="K404" s="206" t="s">
        <v>105</v>
      </c>
      <c r="L404" s="206">
        <v>18</v>
      </c>
      <c r="M404" s="206"/>
      <c r="N404" s="206"/>
      <c r="O404" s="206" t="s">
        <v>42</v>
      </c>
      <c r="P404" s="379" t="s">
        <v>1870</v>
      </c>
    </row>
    <row r="405" spans="1:16" ht="15.75">
      <c r="A405" s="206">
        <v>387</v>
      </c>
      <c r="B405" s="340">
        <v>43184</v>
      </c>
      <c r="C405" s="166" t="s">
        <v>88</v>
      </c>
      <c r="D405" s="206">
        <f t="shared" si="6"/>
        <v>7</v>
      </c>
      <c r="E405" s="206" t="s">
        <v>85</v>
      </c>
      <c r="F405" s="206" t="s">
        <v>84</v>
      </c>
      <c r="G405" s="206"/>
      <c r="H405" s="206"/>
      <c r="I405" s="206"/>
      <c r="J405" s="206" t="s">
        <v>84</v>
      </c>
      <c r="K405" s="206" t="s">
        <v>84</v>
      </c>
      <c r="L405" s="206"/>
      <c r="M405" s="206"/>
      <c r="N405" s="206"/>
      <c r="O405" s="206"/>
      <c r="P405" s="206"/>
    </row>
    <row r="406" spans="1:16" ht="15.75">
      <c r="A406" s="208">
        <v>388</v>
      </c>
      <c r="B406" s="342">
        <v>43185</v>
      </c>
      <c r="C406" s="170" t="s">
        <v>88</v>
      </c>
      <c r="D406" s="208">
        <f t="shared" si="6"/>
        <v>1</v>
      </c>
      <c r="E406" s="208" t="s">
        <v>86</v>
      </c>
      <c r="F406" s="208" t="s">
        <v>84</v>
      </c>
      <c r="G406" s="208"/>
      <c r="H406" s="208" t="s">
        <v>90</v>
      </c>
      <c r="I406" s="208"/>
      <c r="J406" s="208" t="s">
        <v>84</v>
      </c>
      <c r="K406" s="208" t="s">
        <v>84</v>
      </c>
      <c r="L406" s="208"/>
      <c r="M406" s="208" t="s">
        <v>90</v>
      </c>
      <c r="N406" s="208"/>
      <c r="O406" s="208"/>
      <c r="P406" s="208"/>
    </row>
    <row r="407" spans="1:16" ht="15.75">
      <c r="A407" s="208">
        <v>389</v>
      </c>
      <c r="B407" s="342">
        <v>43186</v>
      </c>
      <c r="C407" s="170" t="s">
        <v>88</v>
      </c>
      <c r="D407" s="208">
        <f t="shared" si="6"/>
        <v>2</v>
      </c>
      <c r="E407" s="208" t="s">
        <v>87</v>
      </c>
      <c r="F407" s="208" t="s">
        <v>84</v>
      </c>
      <c r="G407" s="208"/>
      <c r="H407" s="208" t="s">
        <v>90</v>
      </c>
      <c r="I407" s="208"/>
      <c r="J407" s="208" t="s">
        <v>84</v>
      </c>
      <c r="K407" s="208" t="s">
        <v>84</v>
      </c>
      <c r="L407" s="208"/>
      <c r="M407" s="208" t="s">
        <v>90</v>
      </c>
      <c r="N407" s="208"/>
      <c r="O407" s="208"/>
      <c r="P407" s="208"/>
    </row>
    <row r="408" spans="1:16" ht="15.75">
      <c r="A408" s="208">
        <v>390</v>
      </c>
      <c r="B408" s="342">
        <v>43187</v>
      </c>
      <c r="C408" s="170" t="s">
        <v>88</v>
      </c>
      <c r="D408" s="208">
        <f t="shared" si="6"/>
        <v>3</v>
      </c>
      <c r="E408" s="208" t="s">
        <v>80</v>
      </c>
      <c r="F408" s="208" t="s">
        <v>84</v>
      </c>
      <c r="G408" s="208"/>
      <c r="H408" s="208" t="s">
        <v>90</v>
      </c>
      <c r="I408" s="208"/>
      <c r="J408" s="208" t="s">
        <v>84</v>
      </c>
      <c r="K408" s="208" t="s">
        <v>84</v>
      </c>
      <c r="L408" s="208"/>
      <c r="M408" s="208" t="s">
        <v>90</v>
      </c>
      <c r="N408" s="208"/>
      <c r="O408" s="208"/>
      <c r="P408" s="208"/>
    </row>
    <row r="409" spans="1:16" ht="15.75">
      <c r="A409" s="208">
        <v>391</v>
      </c>
      <c r="B409" s="342">
        <v>43188</v>
      </c>
      <c r="C409" s="170" t="s">
        <v>88</v>
      </c>
      <c r="D409" s="208">
        <f t="shared" si="6"/>
        <v>4</v>
      </c>
      <c r="E409" s="208" t="s">
        <v>81</v>
      </c>
      <c r="F409" s="208" t="s">
        <v>84</v>
      </c>
      <c r="G409" s="208"/>
      <c r="H409" s="208" t="s">
        <v>90</v>
      </c>
      <c r="I409" s="208"/>
      <c r="J409" s="208" t="s">
        <v>84</v>
      </c>
      <c r="K409" s="208" t="s">
        <v>84</v>
      </c>
      <c r="L409" s="208"/>
      <c r="M409" s="208" t="s">
        <v>90</v>
      </c>
      <c r="N409" s="208"/>
      <c r="O409" s="208"/>
      <c r="P409" s="208"/>
    </row>
    <row r="410" spans="1:16" ht="15.75">
      <c r="A410" s="208">
        <v>392</v>
      </c>
      <c r="B410" s="342">
        <v>43189</v>
      </c>
      <c r="C410" s="170" t="s">
        <v>88</v>
      </c>
      <c r="D410" s="208">
        <f t="shared" si="6"/>
        <v>5</v>
      </c>
      <c r="E410" s="208" t="s">
        <v>82</v>
      </c>
      <c r="F410" s="208" t="s">
        <v>84</v>
      </c>
      <c r="G410" s="208"/>
      <c r="H410" s="208" t="s">
        <v>90</v>
      </c>
      <c r="I410" s="208"/>
      <c r="J410" s="208" t="s">
        <v>84</v>
      </c>
      <c r="K410" s="208" t="s">
        <v>84</v>
      </c>
      <c r="L410" s="208"/>
      <c r="M410" s="208" t="s">
        <v>90</v>
      </c>
      <c r="N410" s="208"/>
      <c r="O410" s="208"/>
      <c r="P410" s="208"/>
    </row>
    <row r="411" spans="1:16" ht="15.75">
      <c r="A411" s="208">
        <v>393</v>
      </c>
      <c r="B411" s="342">
        <v>43190</v>
      </c>
      <c r="C411" s="170" t="s">
        <v>88</v>
      </c>
      <c r="D411" s="208">
        <f t="shared" si="6"/>
        <v>6</v>
      </c>
      <c r="E411" s="208" t="s">
        <v>83</v>
      </c>
      <c r="F411" s="208" t="s">
        <v>84</v>
      </c>
      <c r="G411" s="208"/>
      <c r="H411" s="208"/>
      <c r="I411" s="208"/>
      <c r="J411" s="208" t="s">
        <v>84</v>
      </c>
      <c r="K411" s="208" t="s">
        <v>84</v>
      </c>
      <c r="L411" s="208"/>
      <c r="M411" s="208"/>
      <c r="N411" s="208"/>
      <c r="O411" s="208"/>
      <c r="P411" s="208"/>
    </row>
    <row r="412" spans="1:16" ht="15.75">
      <c r="A412" s="208">
        <v>394</v>
      </c>
      <c r="B412" s="342">
        <v>43191</v>
      </c>
      <c r="C412" s="170" t="s">
        <v>89</v>
      </c>
      <c r="D412" s="208">
        <f t="shared" si="6"/>
        <v>7</v>
      </c>
      <c r="E412" s="208" t="s">
        <v>85</v>
      </c>
      <c r="F412" s="208" t="s">
        <v>84</v>
      </c>
      <c r="G412" s="208"/>
      <c r="H412" s="208"/>
      <c r="I412" s="208"/>
      <c r="J412" s="208" t="s">
        <v>84</v>
      </c>
      <c r="K412" s="208" t="s">
        <v>84</v>
      </c>
      <c r="L412" s="208"/>
      <c r="M412" s="208"/>
      <c r="N412" s="208"/>
      <c r="O412" s="208"/>
      <c r="P412" s="208"/>
    </row>
    <row r="413" spans="1:16" ht="15.75">
      <c r="A413" s="206">
        <v>395</v>
      </c>
      <c r="B413" s="340">
        <v>43192</v>
      </c>
      <c r="C413" s="166" t="s">
        <v>89</v>
      </c>
      <c r="D413" s="206">
        <f t="shared" si="6"/>
        <v>1</v>
      </c>
      <c r="E413" s="206" t="s">
        <v>86</v>
      </c>
      <c r="F413" s="206" t="s">
        <v>105</v>
      </c>
      <c r="G413" s="206">
        <v>14</v>
      </c>
      <c r="H413" s="206" t="s">
        <v>32</v>
      </c>
      <c r="I413" s="379" t="s">
        <v>98</v>
      </c>
      <c r="J413" s="206" t="s">
        <v>105</v>
      </c>
      <c r="K413" s="206" t="s">
        <v>84</v>
      </c>
      <c r="L413" s="206">
        <v>18</v>
      </c>
      <c r="M413" s="379" t="s">
        <v>43</v>
      </c>
      <c r="N413" s="379" t="s">
        <v>1919</v>
      </c>
      <c r="O413" s="206"/>
      <c r="P413" s="206"/>
    </row>
    <row r="414" spans="1:16" ht="15.75">
      <c r="A414" s="206">
        <v>396</v>
      </c>
      <c r="B414" s="340">
        <v>43193</v>
      </c>
      <c r="C414" s="166" t="s">
        <v>89</v>
      </c>
      <c r="D414" s="206">
        <f t="shared" si="6"/>
        <v>2</v>
      </c>
      <c r="E414" s="206" t="s">
        <v>87</v>
      </c>
      <c r="F414" s="206" t="s">
        <v>105</v>
      </c>
      <c r="G414" s="206">
        <v>14</v>
      </c>
      <c r="H414" s="206" t="s">
        <v>33</v>
      </c>
      <c r="I414" s="379" t="s">
        <v>2495</v>
      </c>
      <c r="J414" s="206" t="s">
        <v>105</v>
      </c>
      <c r="K414" s="206" t="s">
        <v>84</v>
      </c>
      <c r="L414" s="206">
        <v>18</v>
      </c>
      <c r="M414" s="379" t="s">
        <v>44</v>
      </c>
      <c r="N414" s="379" t="s">
        <v>1852</v>
      </c>
      <c r="O414" s="206"/>
      <c r="P414" s="206"/>
    </row>
    <row r="415" spans="1:16" ht="15.75">
      <c r="A415" s="206">
        <v>397</v>
      </c>
      <c r="B415" s="340">
        <v>43194</v>
      </c>
      <c r="C415" s="166" t="s">
        <v>89</v>
      </c>
      <c r="D415" s="206">
        <f t="shared" si="6"/>
        <v>3</v>
      </c>
      <c r="E415" s="206" t="s">
        <v>80</v>
      </c>
      <c r="F415" s="206" t="s">
        <v>105</v>
      </c>
      <c r="G415" s="206">
        <v>14</v>
      </c>
      <c r="H415" s="206" t="s">
        <v>34</v>
      </c>
      <c r="I415" s="379" t="s">
        <v>1601</v>
      </c>
      <c r="J415" s="206" t="s">
        <v>105</v>
      </c>
      <c r="K415" s="206" t="s">
        <v>84</v>
      </c>
      <c r="L415" s="206">
        <v>18</v>
      </c>
      <c r="M415" s="379" t="s">
        <v>45</v>
      </c>
      <c r="N415" s="206" t="s">
        <v>98</v>
      </c>
      <c r="O415" s="206"/>
      <c r="P415" s="206"/>
    </row>
    <row r="416" spans="1:16" ht="15.75">
      <c r="A416" s="206">
        <v>398</v>
      </c>
      <c r="B416" s="340">
        <v>43195</v>
      </c>
      <c r="C416" s="166" t="s">
        <v>89</v>
      </c>
      <c r="D416" s="206">
        <f t="shared" si="6"/>
        <v>4</v>
      </c>
      <c r="E416" s="206" t="s">
        <v>81</v>
      </c>
      <c r="F416" s="206" t="s">
        <v>105</v>
      </c>
      <c r="G416" s="206">
        <v>14</v>
      </c>
      <c r="H416" s="206" t="s">
        <v>35</v>
      </c>
      <c r="I416" s="379" t="s">
        <v>1824</v>
      </c>
      <c r="J416" s="206" t="s">
        <v>105</v>
      </c>
      <c r="K416" s="206" t="s">
        <v>84</v>
      </c>
      <c r="L416" s="206">
        <v>18</v>
      </c>
      <c r="M416" s="379" t="s">
        <v>46</v>
      </c>
      <c r="N416" s="379" t="s">
        <v>1913</v>
      </c>
      <c r="O416" s="206"/>
      <c r="P416" s="206"/>
    </row>
    <row r="417" spans="1:16" ht="15.75">
      <c r="A417" s="206">
        <v>399</v>
      </c>
      <c r="B417" s="340">
        <v>43196</v>
      </c>
      <c r="C417" s="166" t="s">
        <v>89</v>
      </c>
      <c r="D417" s="206">
        <f t="shared" si="6"/>
        <v>5</v>
      </c>
      <c r="E417" s="206" t="s">
        <v>82</v>
      </c>
      <c r="F417" s="206" t="s">
        <v>105</v>
      </c>
      <c r="G417" s="206">
        <v>14</v>
      </c>
      <c r="H417" s="206" t="s">
        <v>36</v>
      </c>
      <c r="I417" s="379" t="s">
        <v>1829</v>
      </c>
      <c r="J417" s="206" t="s">
        <v>105</v>
      </c>
      <c r="K417" s="206" t="s">
        <v>84</v>
      </c>
      <c r="L417" s="206">
        <v>18</v>
      </c>
      <c r="M417" s="206" t="s">
        <v>47</v>
      </c>
      <c r="N417" s="379" t="s">
        <v>2511</v>
      </c>
      <c r="O417" s="206"/>
      <c r="P417" s="206"/>
    </row>
    <row r="418" spans="1:16" ht="15.75">
      <c r="A418" s="206">
        <v>400</v>
      </c>
      <c r="B418" s="340">
        <v>43197</v>
      </c>
      <c r="C418" s="166" t="s">
        <v>89</v>
      </c>
      <c r="D418" s="206">
        <f t="shared" si="6"/>
        <v>6</v>
      </c>
      <c r="E418" s="206" t="s">
        <v>83</v>
      </c>
      <c r="F418" s="206" t="s">
        <v>84</v>
      </c>
      <c r="G418" s="206"/>
      <c r="H418" s="206"/>
      <c r="I418" s="206"/>
      <c r="J418" s="206" t="s">
        <v>84</v>
      </c>
      <c r="K418" s="206" t="s">
        <v>105</v>
      </c>
      <c r="L418" s="206">
        <v>18</v>
      </c>
      <c r="M418" s="206"/>
      <c r="N418" s="206"/>
      <c r="O418" s="206" t="s">
        <v>50</v>
      </c>
      <c r="P418" s="379" t="s">
        <v>98</v>
      </c>
    </row>
    <row r="419" spans="1:16" ht="15.75">
      <c r="A419" s="206">
        <v>401</v>
      </c>
      <c r="B419" s="340">
        <v>43198</v>
      </c>
      <c r="C419" s="166" t="s">
        <v>89</v>
      </c>
      <c r="D419" s="206">
        <f t="shared" si="6"/>
        <v>7</v>
      </c>
      <c r="E419" s="206" t="s">
        <v>85</v>
      </c>
      <c r="F419" s="206" t="s">
        <v>84</v>
      </c>
      <c r="G419" s="206"/>
      <c r="H419" s="206"/>
      <c r="I419" s="206"/>
      <c r="J419" s="206" t="s">
        <v>84</v>
      </c>
      <c r="K419" s="206" t="s">
        <v>84</v>
      </c>
      <c r="L419" s="206"/>
      <c r="M419" s="206"/>
      <c r="N419" s="206"/>
      <c r="O419" s="206"/>
      <c r="P419" s="206"/>
    </row>
    <row r="420" spans="1:16" ht="15.75">
      <c r="A420" s="206">
        <v>402</v>
      </c>
      <c r="B420" s="340">
        <v>43199</v>
      </c>
      <c r="C420" s="166" t="s">
        <v>89</v>
      </c>
      <c r="D420" s="206">
        <f t="shared" si="6"/>
        <v>1</v>
      </c>
      <c r="E420" s="206" t="s">
        <v>86</v>
      </c>
      <c r="F420" s="206" t="s">
        <v>105</v>
      </c>
      <c r="G420" s="206">
        <v>14</v>
      </c>
      <c r="H420" s="206" t="s">
        <v>37</v>
      </c>
      <c r="I420" s="379" t="s">
        <v>1831</v>
      </c>
      <c r="J420" s="206" t="s">
        <v>105</v>
      </c>
      <c r="K420" s="206" t="s">
        <v>84</v>
      </c>
      <c r="L420" s="206">
        <v>18</v>
      </c>
      <c r="M420" s="379" t="s">
        <v>51</v>
      </c>
      <c r="N420" s="206" t="s">
        <v>98</v>
      </c>
      <c r="O420" s="206"/>
      <c r="P420" s="206"/>
    </row>
    <row r="421" spans="1:16" ht="15.75">
      <c r="A421" s="206">
        <v>403</v>
      </c>
      <c r="B421" s="340">
        <v>43200</v>
      </c>
      <c r="C421" s="166" t="s">
        <v>89</v>
      </c>
      <c r="D421" s="206">
        <f t="shared" si="6"/>
        <v>2</v>
      </c>
      <c r="E421" s="206" t="s">
        <v>87</v>
      </c>
      <c r="F421" s="206" t="s">
        <v>105</v>
      </c>
      <c r="G421" s="206">
        <v>14</v>
      </c>
      <c r="H421" s="206" t="s">
        <v>21</v>
      </c>
      <c r="I421" s="379" t="s">
        <v>1594</v>
      </c>
      <c r="J421" s="206" t="s">
        <v>105</v>
      </c>
      <c r="K421" s="206" t="s">
        <v>84</v>
      </c>
      <c r="L421" s="206">
        <v>18</v>
      </c>
      <c r="M421" s="379" t="s">
        <v>53</v>
      </c>
      <c r="N421" s="379" t="s">
        <v>1901</v>
      </c>
      <c r="O421" s="206"/>
      <c r="P421" s="206"/>
    </row>
    <row r="422" spans="1:16" ht="15.75">
      <c r="A422" s="206">
        <v>404</v>
      </c>
      <c r="B422" s="340">
        <v>43201</v>
      </c>
      <c r="C422" s="166" t="s">
        <v>89</v>
      </c>
      <c r="D422" s="206">
        <f t="shared" si="6"/>
        <v>3</v>
      </c>
      <c r="E422" s="206" t="s">
        <v>80</v>
      </c>
      <c r="F422" s="206" t="s">
        <v>105</v>
      </c>
      <c r="G422" s="206">
        <v>15</v>
      </c>
      <c r="H422" s="206" t="s">
        <v>23</v>
      </c>
      <c r="I422" s="379" t="s">
        <v>1839</v>
      </c>
      <c r="J422" s="206" t="s">
        <v>105</v>
      </c>
      <c r="K422" s="206" t="s">
        <v>84</v>
      </c>
      <c r="L422" s="206">
        <v>18</v>
      </c>
      <c r="M422" s="379" t="s">
        <v>54</v>
      </c>
      <c r="N422" s="379" t="s">
        <v>1922</v>
      </c>
      <c r="O422" s="206"/>
      <c r="P422" s="206"/>
    </row>
    <row r="423" spans="1:16" ht="15.75">
      <c r="A423" s="206">
        <v>405</v>
      </c>
      <c r="B423" s="340">
        <v>43202</v>
      </c>
      <c r="C423" s="166" t="s">
        <v>89</v>
      </c>
      <c r="D423" s="206">
        <f t="shared" si="6"/>
        <v>4</v>
      </c>
      <c r="E423" s="206" t="s">
        <v>81</v>
      </c>
      <c r="F423" s="206" t="s">
        <v>105</v>
      </c>
      <c r="G423" s="206">
        <v>15</v>
      </c>
      <c r="H423" s="206" t="s">
        <v>24</v>
      </c>
      <c r="I423" s="379" t="s">
        <v>1633</v>
      </c>
      <c r="J423" s="206" t="s">
        <v>105</v>
      </c>
      <c r="K423" s="206" t="s">
        <v>84</v>
      </c>
      <c r="L423" s="206">
        <v>18</v>
      </c>
      <c r="M423" s="379" t="s">
        <v>55</v>
      </c>
      <c r="N423" s="379" t="s">
        <v>1914</v>
      </c>
      <c r="O423" s="206"/>
      <c r="P423" s="206"/>
    </row>
    <row r="424" spans="1:16" ht="15.75">
      <c r="A424" s="206">
        <v>406</v>
      </c>
      <c r="B424" s="340">
        <v>43203</v>
      </c>
      <c r="C424" s="166" t="s">
        <v>89</v>
      </c>
      <c r="D424" s="206">
        <f t="shared" si="6"/>
        <v>5</v>
      </c>
      <c r="E424" s="206" t="s">
        <v>82</v>
      </c>
      <c r="F424" s="206" t="s">
        <v>105</v>
      </c>
      <c r="G424" s="206">
        <v>15</v>
      </c>
      <c r="H424" s="206" t="s">
        <v>25</v>
      </c>
      <c r="I424" s="379" t="s">
        <v>2496</v>
      </c>
      <c r="J424" s="206" t="s">
        <v>105</v>
      </c>
      <c r="K424" s="206" t="s">
        <v>84</v>
      </c>
      <c r="L424" s="206">
        <v>18</v>
      </c>
      <c r="M424" s="206" t="s">
        <v>58</v>
      </c>
      <c r="N424" s="379" t="s">
        <v>2505</v>
      </c>
      <c r="O424" s="206"/>
      <c r="P424" s="206"/>
    </row>
    <row r="425" spans="1:16" ht="15.75">
      <c r="A425" s="206">
        <v>407</v>
      </c>
      <c r="B425" s="340">
        <v>43204</v>
      </c>
      <c r="C425" s="166" t="s">
        <v>89</v>
      </c>
      <c r="D425" s="206">
        <f t="shared" si="6"/>
        <v>6</v>
      </c>
      <c r="E425" s="206" t="s">
        <v>83</v>
      </c>
      <c r="F425" s="206" t="s">
        <v>84</v>
      </c>
      <c r="G425" s="206"/>
      <c r="H425" s="206"/>
      <c r="I425" s="206"/>
      <c r="J425" s="206" t="s">
        <v>84</v>
      </c>
      <c r="K425" s="206" t="s">
        <v>105</v>
      </c>
      <c r="L425" s="206">
        <v>19</v>
      </c>
      <c r="M425" s="206"/>
      <c r="N425" s="206"/>
      <c r="O425" s="206" t="s">
        <v>38</v>
      </c>
      <c r="P425" s="379" t="s">
        <v>1904</v>
      </c>
    </row>
    <row r="426" spans="1:16" ht="15.75">
      <c r="A426" s="206">
        <v>408</v>
      </c>
      <c r="B426" s="340">
        <v>43205</v>
      </c>
      <c r="C426" s="166" t="s">
        <v>89</v>
      </c>
      <c r="D426" s="206">
        <f t="shared" si="6"/>
        <v>7</v>
      </c>
      <c r="E426" s="206" t="s">
        <v>85</v>
      </c>
      <c r="F426" s="206" t="s">
        <v>84</v>
      </c>
      <c r="G426" s="206"/>
      <c r="H426" s="206"/>
      <c r="I426" s="206"/>
      <c r="J426" s="206" t="s">
        <v>84</v>
      </c>
      <c r="K426" s="206" t="s">
        <v>84</v>
      </c>
      <c r="L426" s="206"/>
      <c r="M426" s="206"/>
      <c r="N426" s="206"/>
      <c r="O426" s="206"/>
      <c r="P426" s="206"/>
    </row>
    <row r="427" spans="1:16" ht="15.75">
      <c r="A427" s="206">
        <v>409</v>
      </c>
      <c r="B427" s="340">
        <v>43206</v>
      </c>
      <c r="C427" s="166" t="s">
        <v>89</v>
      </c>
      <c r="D427" s="206">
        <f t="shared" si="6"/>
        <v>1</v>
      </c>
      <c r="E427" s="206" t="s">
        <v>86</v>
      </c>
      <c r="F427" s="206" t="s">
        <v>105</v>
      </c>
      <c r="G427" s="206">
        <v>15</v>
      </c>
      <c r="H427" s="206" t="s">
        <v>26</v>
      </c>
      <c r="I427" s="379" t="s">
        <v>2478</v>
      </c>
      <c r="J427" s="206" t="s">
        <v>105</v>
      </c>
      <c r="K427" s="206" t="s">
        <v>84</v>
      </c>
      <c r="L427" s="206">
        <v>19</v>
      </c>
      <c r="M427" s="379" t="s">
        <v>40</v>
      </c>
      <c r="N427" s="379" t="s">
        <v>1927</v>
      </c>
      <c r="O427" s="206"/>
      <c r="P427" s="206"/>
    </row>
    <row r="428" spans="1:16" ht="15.75">
      <c r="A428" s="206">
        <v>410</v>
      </c>
      <c r="B428" s="340">
        <v>43207</v>
      </c>
      <c r="C428" s="166" t="s">
        <v>89</v>
      </c>
      <c r="D428" s="206">
        <f t="shared" si="6"/>
        <v>2</v>
      </c>
      <c r="E428" s="206" t="s">
        <v>87</v>
      </c>
      <c r="F428" s="206" t="s">
        <v>105</v>
      </c>
      <c r="G428" s="206">
        <v>15</v>
      </c>
      <c r="H428" s="206" t="s">
        <v>27</v>
      </c>
      <c r="I428" s="379" t="s">
        <v>98</v>
      </c>
      <c r="J428" s="206" t="s">
        <v>105</v>
      </c>
      <c r="K428" s="206" t="s">
        <v>84</v>
      </c>
      <c r="L428" s="206">
        <v>19</v>
      </c>
      <c r="M428" s="379" t="s">
        <v>41</v>
      </c>
      <c r="N428" s="379" t="s">
        <v>1849</v>
      </c>
      <c r="O428" s="206"/>
      <c r="P428" s="206"/>
    </row>
    <row r="429" spans="1:16" ht="15.75">
      <c r="A429" s="206">
        <v>411</v>
      </c>
      <c r="B429" s="340">
        <v>43208</v>
      </c>
      <c r="C429" s="166" t="s">
        <v>89</v>
      </c>
      <c r="D429" s="206">
        <f t="shared" si="6"/>
        <v>3</v>
      </c>
      <c r="E429" s="206" t="s">
        <v>80</v>
      </c>
      <c r="F429" s="206" t="s">
        <v>105</v>
      </c>
      <c r="G429" s="206">
        <v>15</v>
      </c>
      <c r="H429" s="206" t="s">
        <v>28</v>
      </c>
      <c r="I429" s="379" t="s">
        <v>2494</v>
      </c>
      <c r="J429" s="206" t="s">
        <v>105</v>
      </c>
      <c r="K429" s="206" t="s">
        <v>84</v>
      </c>
      <c r="L429" s="206">
        <v>19</v>
      </c>
      <c r="M429" s="379" t="s">
        <v>42</v>
      </c>
      <c r="N429" s="379" t="s">
        <v>1941</v>
      </c>
      <c r="O429" s="206"/>
      <c r="P429" s="206"/>
    </row>
    <row r="430" spans="1:16" ht="15.75">
      <c r="A430" s="206">
        <v>412</v>
      </c>
      <c r="B430" s="340">
        <v>43209</v>
      </c>
      <c r="C430" s="166" t="s">
        <v>89</v>
      </c>
      <c r="D430" s="206">
        <f t="shared" si="6"/>
        <v>4</v>
      </c>
      <c r="E430" s="206" t="s">
        <v>81</v>
      </c>
      <c r="F430" s="206" t="s">
        <v>105</v>
      </c>
      <c r="G430" s="206">
        <v>15</v>
      </c>
      <c r="H430" s="206" t="s">
        <v>29</v>
      </c>
      <c r="I430" s="379" t="s">
        <v>2497</v>
      </c>
      <c r="J430" s="206" t="s">
        <v>105</v>
      </c>
      <c r="K430" s="206" t="s">
        <v>84</v>
      </c>
      <c r="L430" s="206">
        <v>19</v>
      </c>
      <c r="M430" s="379" t="s">
        <v>43</v>
      </c>
      <c r="N430" s="379" t="s">
        <v>1918</v>
      </c>
      <c r="O430" s="206"/>
      <c r="P430" s="206"/>
    </row>
    <row r="431" spans="1:16" ht="15.75">
      <c r="A431" s="206">
        <v>413</v>
      </c>
      <c r="B431" s="340">
        <v>43210</v>
      </c>
      <c r="C431" s="166" t="s">
        <v>89</v>
      </c>
      <c r="D431" s="206">
        <f t="shared" si="6"/>
        <v>5</v>
      </c>
      <c r="E431" s="206" t="s">
        <v>82</v>
      </c>
      <c r="F431" s="206" t="s">
        <v>105</v>
      </c>
      <c r="G431" s="206">
        <v>15</v>
      </c>
      <c r="H431" s="206" t="s">
        <v>30</v>
      </c>
      <c r="I431" s="206" t="s">
        <v>98</v>
      </c>
      <c r="J431" s="206" t="s">
        <v>105</v>
      </c>
      <c r="K431" s="206" t="s">
        <v>84</v>
      </c>
      <c r="L431" s="206">
        <v>19</v>
      </c>
      <c r="M431" s="206" t="s">
        <v>44</v>
      </c>
      <c r="N431" s="379" t="s">
        <v>2512</v>
      </c>
      <c r="O431" s="206"/>
      <c r="P431" s="206"/>
    </row>
    <row r="432" spans="1:16" ht="15.75">
      <c r="A432" s="206">
        <v>414</v>
      </c>
      <c r="B432" s="340">
        <v>43211</v>
      </c>
      <c r="C432" s="166" t="s">
        <v>89</v>
      </c>
      <c r="D432" s="206">
        <f t="shared" si="6"/>
        <v>6</v>
      </c>
      <c r="E432" s="206" t="s">
        <v>83</v>
      </c>
      <c r="F432" s="206" t="s">
        <v>84</v>
      </c>
      <c r="G432" s="206"/>
      <c r="H432" s="206"/>
      <c r="I432" s="206"/>
      <c r="J432" s="206" t="s">
        <v>84</v>
      </c>
      <c r="K432" s="206" t="s">
        <v>105</v>
      </c>
      <c r="L432" s="206">
        <v>19</v>
      </c>
      <c r="M432" s="206"/>
      <c r="N432" s="206"/>
      <c r="O432" s="206" t="s">
        <v>45</v>
      </c>
      <c r="P432" s="379" t="s">
        <v>98</v>
      </c>
    </row>
    <row r="433" spans="1:16" ht="15.75">
      <c r="A433" s="206">
        <v>415</v>
      </c>
      <c r="B433" s="340">
        <v>43212</v>
      </c>
      <c r="C433" s="166" t="s">
        <v>89</v>
      </c>
      <c r="D433" s="206">
        <f t="shared" si="6"/>
        <v>7</v>
      </c>
      <c r="E433" s="206" t="s">
        <v>85</v>
      </c>
      <c r="F433" s="206" t="s">
        <v>84</v>
      </c>
      <c r="G433" s="206"/>
      <c r="H433" s="206"/>
      <c r="I433" s="206"/>
      <c r="J433" s="206" t="s">
        <v>84</v>
      </c>
      <c r="K433" s="206" t="s">
        <v>84</v>
      </c>
      <c r="L433" s="206"/>
      <c r="M433" s="206"/>
      <c r="N433" s="206"/>
      <c r="O433" s="206"/>
      <c r="P433" s="206"/>
    </row>
    <row r="434" spans="1:16" ht="15.75">
      <c r="A434" s="206">
        <v>416</v>
      </c>
      <c r="B434" s="340">
        <v>43213</v>
      </c>
      <c r="C434" s="166" t="s">
        <v>89</v>
      </c>
      <c r="D434" s="206">
        <f t="shared" si="6"/>
        <v>1</v>
      </c>
      <c r="E434" s="206" t="s">
        <v>86</v>
      </c>
      <c r="F434" s="206" t="s">
        <v>105</v>
      </c>
      <c r="G434" s="206">
        <v>15</v>
      </c>
      <c r="H434" s="206" t="s">
        <v>31</v>
      </c>
      <c r="I434" s="379" t="s">
        <v>1818</v>
      </c>
      <c r="J434" s="206" t="s">
        <v>105</v>
      </c>
      <c r="K434" s="206" t="s">
        <v>84</v>
      </c>
      <c r="L434" s="206">
        <v>19</v>
      </c>
      <c r="M434" s="379" t="s">
        <v>46</v>
      </c>
      <c r="N434" s="379" t="s">
        <v>1897</v>
      </c>
      <c r="O434" s="206"/>
      <c r="P434" s="206"/>
    </row>
    <row r="435" spans="1:16" ht="15.75">
      <c r="A435" s="206">
        <v>417</v>
      </c>
      <c r="B435" s="340">
        <v>43214</v>
      </c>
      <c r="C435" s="166" t="s">
        <v>89</v>
      </c>
      <c r="D435" s="206">
        <f t="shared" si="6"/>
        <v>2</v>
      </c>
      <c r="E435" s="206" t="s">
        <v>87</v>
      </c>
      <c r="F435" s="206" t="s">
        <v>105</v>
      </c>
      <c r="G435" s="206">
        <v>15</v>
      </c>
      <c r="H435" s="206" t="s">
        <v>32</v>
      </c>
      <c r="I435" s="379" t="s">
        <v>98</v>
      </c>
      <c r="J435" s="206" t="s">
        <v>105</v>
      </c>
      <c r="K435" s="206" t="s">
        <v>84</v>
      </c>
      <c r="L435" s="206">
        <v>19</v>
      </c>
      <c r="M435" s="379" t="s">
        <v>47</v>
      </c>
      <c r="N435" s="379" t="s">
        <v>1884</v>
      </c>
      <c r="O435" s="206"/>
      <c r="P435" s="206"/>
    </row>
    <row r="436" spans="1:16" ht="15.75">
      <c r="A436" s="206">
        <v>418</v>
      </c>
      <c r="B436" s="340">
        <v>43215</v>
      </c>
      <c r="C436" s="166" t="s">
        <v>89</v>
      </c>
      <c r="D436" s="206">
        <f t="shared" si="6"/>
        <v>3</v>
      </c>
      <c r="E436" s="206" t="s">
        <v>80</v>
      </c>
      <c r="F436" s="206" t="s">
        <v>105</v>
      </c>
      <c r="G436" s="206">
        <v>15</v>
      </c>
      <c r="H436" s="206" t="s">
        <v>33</v>
      </c>
      <c r="I436" s="379" t="s">
        <v>1805</v>
      </c>
      <c r="J436" s="206" t="s">
        <v>105</v>
      </c>
      <c r="K436" s="206" t="s">
        <v>84</v>
      </c>
      <c r="L436" s="206">
        <v>19</v>
      </c>
      <c r="M436" s="379" t="s">
        <v>50</v>
      </c>
      <c r="N436" s="206" t="s">
        <v>98</v>
      </c>
      <c r="O436" s="206"/>
      <c r="P436" s="206"/>
    </row>
    <row r="437" spans="1:16" ht="15.75">
      <c r="A437" s="206">
        <v>419</v>
      </c>
      <c r="B437" s="340">
        <v>43216</v>
      </c>
      <c r="C437" s="166" t="s">
        <v>89</v>
      </c>
      <c r="D437" s="206">
        <f t="shared" si="6"/>
        <v>4</v>
      </c>
      <c r="E437" s="206" t="s">
        <v>81</v>
      </c>
      <c r="F437" s="206" t="s">
        <v>105</v>
      </c>
      <c r="G437" s="206">
        <v>15</v>
      </c>
      <c r="H437" s="206" t="s">
        <v>34</v>
      </c>
      <c r="I437" s="379" t="s">
        <v>1634</v>
      </c>
      <c r="J437" s="206" t="s">
        <v>105</v>
      </c>
      <c r="K437" s="206" t="s">
        <v>84</v>
      </c>
      <c r="L437" s="206">
        <v>19</v>
      </c>
      <c r="M437" s="379" t="s">
        <v>51</v>
      </c>
      <c r="N437" s="206" t="s">
        <v>98</v>
      </c>
      <c r="O437" s="206"/>
      <c r="P437" s="206"/>
    </row>
    <row r="438" spans="1:16" ht="15.75">
      <c r="A438" s="206">
        <v>420</v>
      </c>
      <c r="B438" s="340">
        <v>43217</v>
      </c>
      <c r="C438" s="166" t="s">
        <v>89</v>
      </c>
      <c r="D438" s="206">
        <f t="shared" si="6"/>
        <v>5</v>
      </c>
      <c r="E438" s="206" t="s">
        <v>82</v>
      </c>
      <c r="F438" s="206" t="s">
        <v>105</v>
      </c>
      <c r="G438" s="206">
        <v>15</v>
      </c>
      <c r="H438" s="206" t="s">
        <v>35</v>
      </c>
      <c r="I438" s="379" t="s">
        <v>1824</v>
      </c>
      <c r="J438" s="206" t="s">
        <v>105</v>
      </c>
      <c r="K438" s="206" t="s">
        <v>84</v>
      </c>
      <c r="L438" s="206">
        <v>19</v>
      </c>
      <c r="M438" s="206" t="s">
        <v>53</v>
      </c>
      <c r="N438" s="379" t="s">
        <v>1921</v>
      </c>
      <c r="O438" s="206"/>
      <c r="P438" s="206"/>
    </row>
    <row r="439" spans="1:16" ht="15.75">
      <c r="A439" s="206">
        <v>421</v>
      </c>
      <c r="B439" s="340">
        <v>43218</v>
      </c>
      <c r="C439" s="166" t="s">
        <v>89</v>
      </c>
      <c r="D439" s="206">
        <f t="shared" si="6"/>
        <v>6</v>
      </c>
      <c r="E439" s="206" t="s">
        <v>83</v>
      </c>
      <c r="F439" s="206" t="s">
        <v>84</v>
      </c>
      <c r="G439" s="206"/>
      <c r="H439" s="206"/>
      <c r="I439" s="206"/>
      <c r="J439" s="206" t="s">
        <v>84</v>
      </c>
      <c r="K439" s="206" t="s">
        <v>105</v>
      </c>
      <c r="L439" s="206">
        <v>19</v>
      </c>
      <c r="M439" s="206"/>
      <c r="N439" s="206"/>
      <c r="O439" s="206" t="s">
        <v>54</v>
      </c>
      <c r="P439" s="379" t="s">
        <v>1909</v>
      </c>
    </row>
    <row r="440" spans="1:16" ht="15.75">
      <c r="A440" s="206">
        <v>422</v>
      </c>
      <c r="B440" s="340">
        <v>43219</v>
      </c>
      <c r="C440" s="166" t="s">
        <v>89</v>
      </c>
      <c r="D440" s="206">
        <f t="shared" si="6"/>
        <v>7</v>
      </c>
      <c r="E440" s="206" t="s">
        <v>85</v>
      </c>
      <c r="F440" s="206" t="s">
        <v>84</v>
      </c>
      <c r="G440" s="206"/>
      <c r="H440" s="206"/>
      <c r="I440" s="206"/>
      <c r="J440" s="206" t="s">
        <v>84</v>
      </c>
      <c r="K440" s="206" t="s">
        <v>84</v>
      </c>
      <c r="L440" s="206"/>
      <c r="M440" s="206"/>
      <c r="N440" s="206"/>
      <c r="O440" s="206"/>
      <c r="P440" s="206"/>
    </row>
    <row r="441" spans="1:16" ht="15.75">
      <c r="A441" s="206">
        <v>423</v>
      </c>
      <c r="B441" s="340">
        <v>43220</v>
      </c>
      <c r="C441" s="166" t="s">
        <v>89</v>
      </c>
      <c r="D441" s="206">
        <f t="shared" si="6"/>
        <v>1</v>
      </c>
      <c r="E441" s="206" t="s">
        <v>86</v>
      </c>
      <c r="F441" s="206" t="s">
        <v>105</v>
      </c>
      <c r="G441" s="206">
        <v>15</v>
      </c>
      <c r="H441" s="206" t="s">
        <v>36</v>
      </c>
      <c r="I441" s="379" t="s">
        <v>1588</v>
      </c>
      <c r="J441" s="206" t="s">
        <v>105</v>
      </c>
      <c r="K441" s="206" t="s">
        <v>84</v>
      </c>
      <c r="L441" s="347">
        <v>19</v>
      </c>
      <c r="M441" s="379" t="s">
        <v>55</v>
      </c>
      <c r="N441" s="379" t="s">
        <v>2513</v>
      </c>
      <c r="O441" s="206"/>
      <c r="P441" s="206"/>
    </row>
    <row r="442" spans="1:16" ht="15.75">
      <c r="A442" s="207">
        <v>424</v>
      </c>
      <c r="B442" s="341">
        <v>43221</v>
      </c>
      <c r="C442" s="168" t="s">
        <v>91</v>
      </c>
      <c r="D442" s="207">
        <f t="shared" si="6"/>
        <v>2</v>
      </c>
      <c r="E442" s="207" t="s">
        <v>87</v>
      </c>
      <c r="F442" s="207" t="s">
        <v>84</v>
      </c>
      <c r="G442" s="207">
        <v>15</v>
      </c>
      <c r="H442" s="207" t="s">
        <v>2457</v>
      </c>
      <c r="I442" s="207"/>
      <c r="J442" s="207" t="s">
        <v>84</v>
      </c>
      <c r="K442" s="207" t="s">
        <v>84</v>
      </c>
      <c r="L442" s="207">
        <v>19</v>
      </c>
      <c r="M442" s="207" t="s">
        <v>2457</v>
      </c>
      <c r="N442" s="207"/>
      <c r="O442" s="207"/>
      <c r="P442" s="207"/>
    </row>
    <row r="443" spans="1:16" ht="15.75">
      <c r="A443" s="206">
        <v>425</v>
      </c>
      <c r="B443" s="340">
        <v>43222</v>
      </c>
      <c r="C443" s="166" t="s">
        <v>91</v>
      </c>
      <c r="D443" s="206">
        <f t="shared" si="6"/>
        <v>3</v>
      </c>
      <c r="E443" s="206" t="s">
        <v>80</v>
      </c>
      <c r="F443" s="206" t="s">
        <v>105</v>
      </c>
      <c r="G443" s="206">
        <v>15</v>
      </c>
      <c r="H443" s="206" t="s">
        <v>22</v>
      </c>
      <c r="I443" s="379" t="s">
        <v>1598</v>
      </c>
      <c r="J443" s="206" t="s">
        <v>105</v>
      </c>
      <c r="K443" s="206" t="s">
        <v>84</v>
      </c>
      <c r="L443" s="206">
        <v>20</v>
      </c>
      <c r="M443" s="379" t="s">
        <v>38</v>
      </c>
      <c r="N443" s="379" t="s">
        <v>1879</v>
      </c>
      <c r="O443" s="206"/>
      <c r="P443" s="206"/>
    </row>
    <row r="444" spans="1:16" ht="15.75">
      <c r="A444" s="206">
        <v>426</v>
      </c>
      <c r="B444" s="340">
        <v>43223</v>
      </c>
      <c r="C444" s="166" t="s">
        <v>91</v>
      </c>
      <c r="D444" s="206">
        <f t="shared" si="6"/>
        <v>4</v>
      </c>
      <c r="E444" s="206" t="s">
        <v>81</v>
      </c>
      <c r="F444" s="206" t="s">
        <v>105</v>
      </c>
      <c r="G444" s="206">
        <v>16</v>
      </c>
      <c r="H444" s="206" t="s">
        <v>23</v>
      </c>
      <c r="I444" s="379" t="s">
        <v>2499</v>
      </c>
      <c r="J444" s="206" t="s">
        <v>105</v>
      </c>
      <c r="K444" s="206" t="s">
        <v>84</v>
      </c>
      <c r="L444" s="379">
        <v>20</v>
      </c>
      <c r="M444" s="379" t="s">
        <v>40</v>
      </c>
      <c r="N444" s="379" t="s">
        <v>1951</v>
      </c>
      <c r="O444" s="206"/>
      <c r="P444" s="206"/>
    </row>
    <row r="445" spans="1:16" ht="15.75">
      <c r="A445" s="206">
        <v>427</v>
      </c>
      <c r="B445" s="340">
        <v>43224</v>
      </c>
      <c r="C445" s="166" t="s">
        <v>91</v>
      </c>
      <c r="D445" s="206">
        <f t="shared" si="6"/>
        <v>5</v>
      </c>
      <c r="E445" s="206" t="s">
        <v>82</v>
      </c>
      <c r="F445" s="206" t="s">
        <v>105</v>
      </c>
      <c r="G445" s="206">
        <v>16</v>
      </c>
      <c r="H445" s="206" t="s">
        <v>24</v>
      </c>
      <c r="I445" s="379" t="s">
        <v>2500</v>
      </c>
      <c r="J445" s="206" t="s">
        <v>105</v>
      </c>
      <c r="K445" s="206" t="s">
        <v>84</v>
      </c>
      <c r="L445" s="206">
        <v>20</v>
      </c>
      <c r="M445" s="206" t="s">
        <v>41</v>
      </c>
      <c r="N445" s="379" t="s">
        <v>1911</v>
      </c>
      <c r="O445" s="206"/>
      <c r="P445" s="206"/>
    </row>
    <row r="446" spans="1:16" ht="15.75">
      <c r="A446" s="206">
        <v>428</v>
      </c>
      <c r="B446" s="340">
        <v>43225</v>
      </c>
      <c r="C446" s="166" t="s">
        <v>91</v>
      </c>
      <c r="D446" s="206">
        <f t="shared" si="6"/>
        <v>6</v>
      </c>
      <c r="E446" s="206" t="s">
        <v>83</v>
      </c>
      <c r="F446" s="206" t="s">
        <v>84</v>
      </c>
      <c r="G446" s="206"/>
      <c r="H446" s="206"/>
      <c r="I446" s="206"/>
      <c r="J446" s="206" t="s">
        <v>84</v>
      </c>
      <c r="K446" s="206" t="s">
        <v>105</v>
      </c>
      <c r="L446" s="206">
        <v>20</v>
      </c>
      <c r="M446" s="206"/>
      <c r="N446" s="206"/>
      <c r="O446" s="206" t="s">
        <v>42</v>
      </c>
      <c r="P446" s="379" t="s">
        <v>1906</v>
      </c>
    </row>
    <row r="447" spans="1:16" ht="15.75">
      <c r="A447" s="206">
        <v>429</v>
      </c>
      <c r="B447" s="340">
        <v>43226</v>
      </c>
      <c r="C447" s="166" t="s">
        <v>91</v>
      </c>
      <c r="D447" s="206">
        <f t="shared" si="6"/>
        <v>7</v>
      </c>
      <c r="E447" s="206" t="s">
        <v>85</v>
      </c>
      <c r="F447" s="206" t="s">
        <v>84</v>
      </c>
      <c r="G447" s="206"/>
      <c r="H447" s="206"/>
      <c r="I447" s="206"/>
      <c r="J447" s="206" t="s">
        <v>84</v>
      </c>
      <c r="K447" s="206" t="s">
        <v>84</v>
      </c>
      <c r="L447" s="206"/>
      <c r="M447" s="206"/>
      <c r="N447" s="206"/>
      <c r="O447" s="206"/>
      <c r="P447" s="206"/>
    </row>
    <row r="448" spans="1:16" ht="15.75">
      <c r="A448" s="206">
        <v>430</v>
      </c>
      <c r="B448" s="340">
        <v>43227</v>
      </c>
      <c r="C448" s="166" t="s">
        <v>91</v>
      </c>
      <c r="D448" s="206">
        <f t="shared" si="6"/>
        <v>1</v>
      </c>
      <c r="E448" s="206" t="s">
        <v>86</v>
      </c>
      <c r="F448" s="206" t="s">
        <v>105</v>
      </c>
      <c r="G448" s="206">
        <v>16</v>
      </c>
      <c r="H448" s="206" t="s">
        <v>25</v>
      </c>
      <c r="I448" s="379" t="s">
        <v>1595</v>
      </c>
      <c r="J448" s="206" t="s">
        <v>105</v>
      </c>
      <c r="K448" s="206" t="s">
        <v>84</v>
      </c>
      <c r="L448" s="206">
        <v>20</v>
      </c>
      <c r="M448" s="379" t="s">
        <v>43</v>
      </c>
      <c r="N448" s="379" t="s">
        <v>1930</v>
      </c>
      <c r="O448" s="206"/>
      <c r="P448" s="206"/>
    </row>
    <row r="449" spans="1:16" ht="15.75">
      <c r="A449" s="206">
        <v>431</v>
      </c>
      <c r="B449" s="340">
        <v>43228</v>
      </c>
      <c r="C449" s="166" t="s">
        <v>91</v>
      </c>
      <c r="D449" s="206">
        <f t="shared" ref="D449:D502" si="7">WEEKDAY(B449,2)</f>
        <v>2</v>
      </c>
      <c r="E449" s="206" t="s">
        <v>87</v>
      </c>
      <c r="F449" s="206" t="s">
        <v>105</v>
      </c>
      <c r="G449" s="206">
        <v>16</v>
      </c>
      <c r="H449" s="206" t="s">
        <v>26</v>
      </c>
      <c r="I449" s="379" t="s">
        <v>1801</v>
      </c>
      <c r="J449" s="206" t="s">
        <v>105</v>
      </c>
      <c r="K449" s="206" t="s">
        <v>84</v>
      </c>
      <c r="L449" s="206">
        <v>20</v>
      </c>
      <c r="M449" s="379" t="s">
        <v>44</v>
      </c>
      <c r="N449" s="379" t="s">
        <v>1852</v>
      </c>
      <c r="O449" s="206"/>
      <c r="P449" s="206"/>
    </row>
    <row r="450" spans="1:16" ht="15.75">
      <c r="A450" s="206">
        <v>432</v>
      </c>
      <c r="B450" s="340">
        <v>43229</v>
      </c>
      <c r="C450" s="166" t="s">
        <v>91</v>
      </c>
      <c r="D450" s="206">
        <f t="shared" si="7"/>
        <v>3</v>
      </c>
      <c r="E450" s="206" t="s">
        <v>80</v>
      </c>
      <c r="F450" s="206" t="s">
        <v>105</v>
      </c>
      <c r="G450" s="206">
        <v>16</v>
      </c>
      <c r="H450" s="206" t="s">
        <v>27</v>
      </c>
      <c r="I450" s="379" t="s">
        <v>98</v>
      </c>
      <c r="J450" s="206" t="s">
        <v>105</v>
      </c>
      <c r="K450" s="206" t="s">
        <v>84</v>
      </c>
      <c r="L450" s="206">
        <v>20</v>
      </c>
      <c r="M450" s="379" t="s">
        <v>45</v>
      </c>
      <c r="N450" s="206" t="s">
        <v>98</v>
      </c>
      <c r="O450" s="206"/>
      <c r="P450" s="206"/>
    </row>
    <row r="451" spans="1:16" ht="15.75">
      <c r="A451" s="206">
        <v>433</v>
      </c>
      <c r="B451" s="340">
        <v>43230</v>
      </c>
      <c r="C451" s="166" t="s">
        <v>91</v>
      </c>
      <c r="D451" s="206">
        <f t="shared" si="7"/>
        <v>4</v>
      </c>
      <c r="E451" s="206" t="s">
        <v>81</v>
      </c>
      <c r="F451" s="206" t="s">
        <v>105</v>
      </c>
      <c r="G451" s="206">
        <v>16</v>
      </c>
      <c r="H451" s="206" t="s">
        <v>28</v>
      </c>
      <c r="I451" s="379" t="s">
        <v>2498</v>
      </c>
      <c r="J451" s="206" t="s">
        <v>105</v>
      </c>
      <c r="K451" s="206" t="s">
        <v>84</v>
      </c>
      <c r="L451" s="206">
        <v>20</v>
      </c>
      <c r="M451" s="206" t="s">
        <v>46</v>
      </c>
      <c r="N451" s="379" t="s">
        <v>1872</v>
      </c>
      <c r="O451" s="206"/>
      <c r="P451" s="206"/>
    </row>
    <row r="452" spans="1:16" ht="15.75">
      <c r="A452" s="206">
        <v>434</v>
      </c>
      <c r="B452" s="340">
        <v>43231</v>
      </c>
      <c r="C452" s="166" t="s">
        <v>91</v>
      </c>
      <c r="D452" s="206">
        <f t="shared" si="7"/>
        <v>5</v>
      </c>
      <c r="E452" s="206" t="s">
        <v>82</v>
      </c>
      <c r="F452" s="206" t="s">
        <v>105</v>
      </c>
      <c r="G452" s="206">
        <v>16</v>
      </c>
      <c r="H452" s="206" t="s">
        <v>29</v>
      </c>
      <c r="I452" s="379" t="s">
        <v>2501</v>
      </c>
      <c r="J452" s="206" t="s">
        <v>105</v>
      </c>
      <c r="K452" s="206" t="s">
        <v>84</v>
      </c>
      <c r="L452" s="206">
        <v>20</v>
      </c>
      <c r="M452" s="206" t="s">
        <v>47</v>
      </c>
      <c r="N452" s="379" t="s">
        <v>2504</v>
      </c>
      <c r="O452" s="206"/>
      <c r="P452" s="206"/>
    </row>
    <row r="453" spans="1:16" ht="15.75">
      <c r="A453" s="206">
        <v>435</v>
      </c>
      <c r="B453" s="340">
        <v>43232</v>
      </c>
      <c r="C453" s="166" t="s">
        <v>91</v>
      </c>
      <c r="D453" s="206">
        <f t="shared" si="7"/>
        <v>6</v>
      </c>
      <c r="E453" s="206" t="s">
        <v>83</v>
      </c>
      <c r="F453" s="206" t="s">
        <v>84</v>
      </c>
      <c r="G453" s="206"/>
      <c r="H453" s="206"/>
      <c r="I453" s="206"/>
      <c r="J453" s="206" t="s">
        <v>84</v>
      </c>
      <c r="K453" s="206" t="s">
        <v>105</v>
      </c>
      <c r="L453" s="206">
        <v>20</v>
      </c>
      <c r="M453" s="206"/>
      <c r="N453" s="206"/>
      <c r="O453" s="206" t="s">
        <v>50</v>
      </c>
      <c r="P453" s="379" t="s">
        <v>98</v>
      </c>
    </row>
    <row r="454" spans="1:16" ht="15.75">
      <c r="A454" s="206">
        <v>436</v>
      </c>
      <c r="B454" s="340">
        <v>43233</v>
      </c>
      <c r="C454" s="166" t="s">
        <v>91</v>
      </c>
      <c r="D454" s="206">
        <f t="shared" si="7"/>
        <v>7</v>
      </c>
      <c r="E454" s="206" t="s">
        <v>85</v>
      </c>
      <c r="F454" s="206" t="s">
        <v>84</v>
      </c>
      <c r="G454" s="206"/>
      <c r="H454" s="206"/>
      <c r="I454" s="206"/>
      <c r="J454" s="206" t="s">
        <v>84</v>
      </c>
      <c r="K454" s="206" t="s">
        <v>84</v>
      </c>
      <c r="L454" s="206"/>
      <c r="M454" s="206"/>
      <c r="N454" s="206"/>
      <c r="O454" s="206"/>
      <c r="P454" s="206"/>
    </row>
    <row r="455" spans="1:16" ht="15.75">
      <c r="A455" s="207">
        <v>437</v>
      </c>
      <c r="B455" s="341">
        <v>43234</v>
      </c>
      <c r="C455" s="168" t="s">
        <v>91</v>
      </c>
      <c r="D455" s="207">
        <f t="shared" si="7"/>
        <v>1</v>
      </c>
      <c r="E455" s="207" t="s">
        <v>86</v>
      </c>
      <c r="F455" s="207" t="s">
        <v>84</v>
      </c>
      <c r="G455" s="207">
        <v>16</v>
      </c>
      <c r="H455" s="207" t="s">
        <v>1778</v>
      </c>
      <c r="I455" s="207"/>
      <c r="J455" s="207" t="s">
        <v>84</v>
      </c>
      <c r="K455" s="207" t="s">
        <v>84</v>
      </c>
      <c r="L455" s="207">
        <v>20</v>
      </c>
      <c r="M455" s="207" t="s">
        <v>121</v>
      </c>
      <c r="N455" s="207"/>
      <c r="O455" s="207"/>
      <c r="P455" s="207"/>
    </row>
    <row r="456" spans="1:16" ht="15.75">
      <c r="A456" s="206">
        <v>438</v>
      </c>
      <c r="B456" s="340">
        <v>43235</v>
      </c>
      <c r="C456" s="166" t="s">
        <v>91</v>
      </c>
      <c r="D456" s="206">
        <f t="shared" si="7"/>
        <v>2</v>
      </c>
      <c r="E456" s="206" t="s">
        <v>87</v>
      </c>
      <c r="F456" s="206" t="s">
        <v>105</v>
      </c>
      <c r="G456" s="206">
        <v>16</v>
      </c>
      <c r="H456" s="206" t="s">
        <v>31</v>
      </c>
      <c r="I456" s="379" t="s">
        <v>2502</v>
      </c>
      <c r="J456" s="206" t="s">
        <v>105</v>
      </c>
      <c r="K456" s="206" t="s">
        <v>84</v>
      </c>
      <c r="L456" s="206">
        <v>20</v>
      </c>
      <c r="M456" s="379" t="s">
        <v>53</v>
      </c>
      <c r="N456" s="379" t="s">
        <v>1938</v>
      </c>
      <c r="O456" s="206"/>
      <c r="P456" s="206"/>
    </row>
    <row r="457" spans="1:16" ht="15.75">
      <c r="A457" s="206">
        <v>439</v>
      </c>
      <c r="B457" s="340">
        <v>43236</v>
      </c>
      <c r="C457" s="166" t="s">
        <v>91</v>
      </c>
      <c r="D457" s="206">
        <f t="shared" si="7"/>
        <v>3</v>
      </c>
      <c r="E457" s="206" t="s">
        <v>80</v>
      </c>
      <c r="F457" s="206" t="s">
        <v>105</v>
      </c>
      <c r="G457" s="206">
        <v>16</v>
      </c>
      <c r="H457" s="206" t="s">
        <v>32</v>
      </c>
      <c r="I457" s="379" t="s">
        <v>98</v>
      </c>
      <c r="J457" s="206" t="s">
        <v>105</v>
      </c>
      <c r="K457" s="206" t="s">
        <v>84</v>
      </c>
      <c r="L457" s="206">
        <v>20</v>
      </c>
      <c r="M457" s="379" t="s">
        <v>54</v>
      </c>
      <c r="N457" s="379" t="s">
        <v>2507</v>
      </c>
      <c r="O457" s="206"/>
      <c r="P457" s="206"/>
    </row>
    <row r="458" spans="1:16" ht="15.75">
      <c r="A458" s="206">
        <v>440</v>
      </c>
      <c r="B458" s="340">
        <v>43237</v>
      </c>
      <c r="C458" s="166" t="s">
        <v>91</v>
      </c>
      <c r="D458" s="206">
        <f t="shared" si="7"/>
        <v>4</v>
      </c>
      <c r="E458" s="206" t="s">
        <v>81</v>
      </c>
      <c r="F458" s="206" t="s">
        <v>105</v>
      </c>
      <c r="G458" s="206">
        <v>16</v>
      </c>
      <c r="H458" s="206" t="s">
        <v>33</v>
      </c>
      <c r="I458" s="379" t="s">
        <v>2487</v>
      </c>
      <c r="J458" s="206" t="s">
        <v>105</v>
      </c>
      <c r="K458" s="206" t="s">
        <v>84</v>
      </c>
      <c r="L458" s="206">
        <v>20</v>
      </c>
      <c r="M458" s="206" t="s">
        <v>55</v>
      </c>
      <c r="N458" s="379" t="s">
        <v>1877</v>
      </c>
      <c r="O458" s="206"/>
      <c r="P458" s="206"/>
    </row>
    <row r="459" spans="1:16" ht="15.75">
      <c r="A459" s="206">
        <v>441</v>
      </c>
      <c r="B459" s="340">
        <v>43238</v>
      </c>
      <c r="C459" s="166" t="s">
        <v>91</v>
      </c>
      <c r="D459" s="206">
        <f t="shared" si="7"/>
        <v>5</v>
      </c>
      <c r="E459" s="206" t="s">
        <v>82</v>
      </c>
      <c r="F459" s="206" t="s">
        <v>105</v>
      </c>
      <c r="G459" s="206">
        <v>16</v>
      </c>
      <c r="H459" s="206" t="s">
        <v>34</v>
      </c>
      <c r="I459" s="379" t="s">
        <v>2479</v>
      </c>
      <c r="J459" s="206" t="s">
        <v>105</v>
      </c>
      <c r="K459" s="206" t="s">
        <v>84</v>
      </c>
      <c r="L459" s="206">
        <v>20</v>
      </c>
      <c r="M459" s="206" t="s">
        <v>58</v>
      </c>
      <c r="N459" s="379" t="s">
        <v>1903</v>
      </c>
      <c r="O459" s="206"/>
      <c r="P459" s="206"/>
    </row>
    <row r="460" spans="1:16" ht="15.75">
      <c r="A460" s="206">
        <v>442</v>
      </c>
      <c r="B460" s="340">
        <v>43239</v>
      </c>
      <c r="C460" s="166" t="s">
        <v>91</v>
      </c>
      <c r="D460" s="206">
        <f t="shared" si="7"/>
        <v>6</v>
      </c>
      <c r="E460" s="206" t="s">
        <v>83</v>
      </c>
      <c r="F460" s="206" t="s">
        <v>84</v>
      </c>
      <c r="G460" s="206"/>
      <c r="H460" s="206"/>
      <c r="I460" s="206"/>
      <c r="J460" s="206" t="s">
        <v>84</v>
      </c>
      <c r="K460" s="206" t="s">
        <v>105</v>
      </c>
      <c r="L460" s="206">
        <v>21</v>
      </c>
      <c r="M460" s="206"/>
      <c r="N460" s="206"/>
      <c r="O460" s="206" t="s">
        <v>38</v>
      </c>
      <c r="P460" s="379" t="s">
        <v>1924</v>
      </c>
    </row>
    <row r="461" spans="1:16" ht="15.75">
      <c r="A461" s="206">
        <v>443</v>
      </c>
      <c r="B461" s="340">
        <v>43240</v>
      </c>
      <c r="C461" s="166" t="s">
        <v>91</v>
      </c>
      <c r="D461" s="206">
        <f t="shared" si="7"/>
        <v>7</v>
      </c>
      <c r="E461" s="206" t="s">
        <v>85</v>
      </c>
      <c r="F461" s="206" t="s">
        <v>84</v>
      </c>
      <c r="G461" s="206"/>
      <c r="H461" s="206"/>
      <c r="I461" s="206"/>
      <c r="J461" s="206" t="s">
        <v>84</v>
      </c>
      <c r="K461" s="206" t="s">
        <v>84</v>
      </c>
      <c r="L461" s="206"/>
      <c r="M461" s="206"/>
      <c r="N461" s="206"/>
      <c r="O461" s="206"/>
      <c r="P461" s="206"/>
    </row>
    <row r="462" spans="1:16" ht="15.75">
      <c r="A462" s="206">
        <v>444</v>
      </c>
      <c r="B462" s="340">
        <v>43241</v>
      </c>
      <c r="C462" s="166" t="s">
        <v>91</v>
      </c>
      <c r="D462" s="206">
        <f t="shared" si="7"/>
        <v>1</v>
      </c>
      <c r="E462" s="206" t="s">
        <v>86</v>
      </c>
      <c r="F462" s="206" t="s">
        <v>105</v>
      </c>
      <c r="G462" s="206">
        <v>16</v>
      </c>
      <c r="H462" s="206" t="s">
        <v>35</v>
      </c>
      <c r="I462" s="379" t="s">
        <v>2489</v>
      </c>
      <c r="J462" s="206" t="s">
        <v>105</v>
      </c>
      <c r="K462" s="206" t="s">
        <v>84</v>
      </c>
      <c r="L462" s="206">
        <v>21</v>
      </c>
      <c r="M462" s="379" t="s">
        <v>40</v>
      </c>
      <c r="N462" s="379" t="s">
        <v>1856</v>
      </c>
      <c r="O462" s="206"/>
      <c r="P462" s="206"/>
    </row>
    <row r="463" spans="1:16" ht="15.75">
      <c r="A463" s="206">
        <v>445</v>
      </c>
      <c r="B463" s="340">
        <v>43242</v>
      </c>
      <c r="C463" s="166" t="s">
        <v>91</v>
      </c>
      <c r="D463" s="206">
        <f t="shared" si="7"/>
        <v>2</v>
      </c>
      <c r="E463" s="206" t="s">
        <v>87</v>
      </c>
      <c r="F463" s="206" t="s">
        <v>105</v>
      </c>
      <c r="G463" s="206">
        <v>16</v>
      </c>
      <c r="H463" s="206" t="s">
        <v>36</v>
      </c>
      <c r="I463" s="379" t="s">
        <v>1588</v>
      </c>
      <c r="J463" s="206" t="s">
        <v>105</v>
      </c>
      <c r="K463" s="206" t="s">
        <v>84</v>
      </c>
      <c r="L463" s="206">
        <v>21</v>
      </c>
      <c r="M463" s="379" t="s">
        <v>41</v>
      </c>
      <c r="N463" s="379" t="s">
        <v>1916</v>
      </c>
      <c r="O463" s="206"/>
      <c r="P463" s="206"/>
    </row>
    <row r="464" spans="1:16" ht="15.75">
      <c r="A464" s="206">
        <v>446</v>
      </c>
      <c r="B464" s="340">
        <v>43243</v>
      </c>
      <c r="C464" s="166" t="s">
        <v>91</v>
      </c>
      <c r="D464" s="206">
        <f t="shared" si="7"/>
        <v>3</v>
      </c>
      <c r="E464" s="206" t="s">
        <v>80</v>
      </c>
      <c r="F464" s="206" t="s">
        <v>105</v>
      </c>
      <c r="G464" s="206">
        <v>16</v>
      </c>
      <c r="H464" s="206" t="s">
        <v>37</v>
      </c>
      <c r="I464" s="379" t="s">
        <v>1593</v>
      </c>
      <c r="J464" s="206" t="s">
        <v>105</v>
      </c>
      <c r="K464" s="206" t="s">
        <v>84</v>
      </c>
      <c r="L464" s="206">
        <v>21</v>
      </c>
      <c r="M464" s="379" t="s">
        <v>42</v>
      </c>
      <c r="N464" s="379" t="s">
        <v>2509</v>
      </c>
      <c r="O464" s="206"/>
      <c r="P464" s="206"/>
    </row>
    <row r="465" spans="1:16" ht="15.75">
      <c r="A465" s="206">
        <v>447</v>
      </c>
      <c r="B465" s="340">
        <v>43244</v>
      </c>
      <c r="C465" s="166" t="s">
        <v>91</v>
      </c>
      <c r="D465" s="206">
        <f t="shared" si="7"/>
        <v>4</v>
      </c>
      <c r="E465" s="206" t="s">
        <v>81</v>
      </c>
      <c r="F465" s="206" t="s">
        <v>105</v>
      </c>
      <c r="G465" s="206">
        <v>16</v>
      </c>
      <c r="H465" s="206" t="s">
        <v>18</v>
      </c>
      <c r="I465" s="379" t="s">
        <v>1792</v>
      </c>
      <c r="J465" s="206" t="s">
        <v>105</v>
      </c>
      <c r="K465" s="206" t="s">
        <v>84</v>
      </c>
      <c r="L465" s="206">
        <v>21</v>
      </c>
      <c r="M465" s="206" t="s">
        <v>43</v>
      </c>
      <c r="N465" s="379" t="s">
        <v>1882</v>
      </c>
      <c r="O465" s="206"/>
      <c r="P465" s="206"/>
    </row>
    <row r="466" spans="1:16" ht="15.75">
      <c r="A466" s="206">
        <v>448</v>
      </c>
      <c r="B466" s="340">
        <v>43245</v>
      </c>
      <c r="C466" s="166" t="s">
        <v>91</v>
      </c>
      <c r="D466" s="206">
        <f t="shared" si="7"/>
        <v>5</v>
      </c>
      <c r="E466" s="206" t="s">
        <v>82</v>
      </c>
      <c r="F466" s="206" t="s">
        <v>105</v>
      </c>
      <c r="G466" s="206">
        <v>17</v>
      </c>
      <c r="H466" s="206" t="s">
        <v>23</v>
      </c>
      <c r="I466" s="379" t="s">
        <v>1841</v>
      </c>
      <c r="J466" s="206" t="s">
        <v>105</v>
      </c>
      <c r="K466" s="206" t="s">
        <v>84</v>
      </c>
      <c r="L466" s="206">
        <v>21</v>
      </c>
      <c r="M466" s="206" t="s">
        <v>44</v>
      </c>
      <c r="N466" s="379" t="s">
        <v>2514</v>
      </c>
      <c r="O466" s="206"/>
      <c r="P466" s="206"/>
    </row>
    <row r="467" spans="1:16" ht="15.75">
      <c r="A467" s="206">
        <v>449</v>
      </c>
      <c r="B467" s="340">
        <v>43246</v>
      </c>
      <c r="C467" s="166" t="s">
        <v>91</v>
      </c>
      <c r="D467" s="206">
        <f t="shared" si="7"/>
        <v>6</v>
      </c>
      <c r="E467" s="206" t="s">
        <v>83</v>
      </c>
      <c r="F467" s="206" t="s">
        <v>84</v>
      </c>
      <c r="G467" s="206"/>
      <c r="H467" s="206"/>
      <c r="I467" s="206"/>
      <c r="J467" s="206" t="s">
        <v>84</v>
      </c>
      <c r="K467" s="206" t="s">
        <v>105</v>
      </c>
      <c r="L467" s="206">
        <v>21</v>
      </c>
      <c r="M467" s="206"/>
      <c r="N467" s="206"/>
      <c r="O467" s="206" t="s">
        <v>45</v>
      </c>
      <c r="P467" s="379" t="s">
        <v>98</v>
      </c>
    </row>
    <row r="468" spans="1:16" ht="15.75">
      <c r="A468" s="206">
        <v>450</v>
      </c>
      <c r="B468" s="340">
        <v>43247</v>
      </c>
      <c r="C468" s="166" t="s">
        <v>91</v>
      </c>
      <c r="D468" s="206">
        <f t="shared" si="7"/>
        <v>7</v>
      </c>
      <c r="E468" s="206" t="s">
        <v>85</v>
      </c>
      <c r="F468" s="206" t="s">
        <v>84</v>
      </c>
      <c r="G468" s="206"/>
      <c r="H468" s="206"/>
      <c r="I468" s="206"/>
      <c r="J468" s="206" t="s">
        <v>84</v>
      </c>
      <c r="K468" s="206" t="s">
        <v>84</v>
      </c>
      <c r="L468" s="206"/>
      <c r="M468" s="206"/>
      <c r="N468" s="206"/>
      <c r="O468" s="206"/>
      <c r="P468" s="206"/>
    </row>
    <row r="469" spans="1:16" ht="15.75">
      <c r="A469" s="206">
        <v>451</v>
      </c>
      <c r="B469" s="340">
        <v>43248</v>
      </c>
      <c r="C469" s="166" t="s">
        <v>91</v>
      </c>
      <c r="D469" s="206">
        <f t="shared" si="7"/>
        <v>1</v>
      </c>
      <c r="E469" s="206" t="s">
        <v>86</v>
      </c>
      <c r="F469" s="206" t="s">
        <v>105</v>
      </c>
      <c r="G469" s="206">
        <v>17</v>
      </c>
      <c r="H469" s="206" t="s">
        <v>24</v>
      </c>
      <c r="I469" s="379" t="s">
        <v>1800</v>
      </c>
      <c r="J469" s="206" t="s">
        <v>105</v>
      </c>
      <c r="K469" s="206" t="s">
        <v>84</v>
      </c>
      <c r="L469" s="206">
        <v>21</v>
      </c>
      <c r="M469" s="379" t="s">
        <v>46</v>
      </c>
      <c r="N469" s="379" t="s">
        <v>1937</v>
      </c>
      <c r="O469" s="206"/>
      <c r="P469" s="206"/>
    </row>
    <row r="470" spans="1:16" ht="15.75">
      <c r="A470" s="206">
        <v>452</v>
      </c>
      <c r="B470" s="340">
        <v>43249</v>
      </c>
      <c r="C470" s="166" t="s">
        <v>91</v>
      </c>
      <c r="D470" s="206">
        <f t="shared" si="7"/>
        <v>2</v>
      </c>
      <c r="E470" s="206" t="s">
        <v>87</v>
      </c>
      <c r="F470" s="206" t="s">
        <v>105</v>
      </c>
      <c r="G470" s="206">
        <v>17</v>
      </c>
      <c r="H470" s="206" t="s">
        <v>25</v>
      </c>
      <c r="I470" s="379" t="s">
        <v>1830</v>
      </c>
      <c r="J470" s="206" t="s">
        <v>105</v>
      </c>
      <c r="K470" s="206" t="s">
        <v>84</v>
      </c>
      <c r="L470" s="206">
        <v>21</v>
      </c>
      <c r="M470" s="379" t="s">
        <v>47</v>
      </c>
      <c r="N470" s="379" t="s">
        <v>1920</v>
      </c>
      <c r="O470" s="206"/>
      <c r="P470" s="206"/>
    </row>
    <row r="471" spans="1:16" ht="15.75">
      <c r="A471" s="206">
        <v>453</v>
      </c>
      <c r="B471" s="340">
        <v>43250</v>
      </c>
      <c r="C471" s="166" t="s">
        <v>91</v>
      </c>
      <c r="D471" s="206">
        <f t="shared" si="7"/>
        <v>3</v>
      </c>
      <c r="E471" s="206" t="s">
        <v>80</v>
      </c>
      <c r="F471" s="206" t="s">
        <v>105</v>
      </c>
      <c r="G471" s="206">
        <v>17</v>
      </c>
      <c r="H471" s="206" t="s">
        <v>26</v>
      </c>
      <c r="I471" s="379" t="s">
        <v>1580</v>
      </c>
      <c r="J471" s="206" t="s">
        <v>105</v>
      </c>
      <c r="K471" s="206" t="s">
        <v>84</v>
      </c>
      <c r="L471" s="206">
        <v>21</v>
      </c>
      <c r="M471" s="379" t="s">
        <v>50</v>
      </c>
      <c r="N471" s="206" t="s">
        <v>98</v>
      </c>
      <c r="O471" s="206"/>
      <c r="P471" s="206"/>
    </row>
    <row r="472" spans="1:16" ht="15.75">
      <c r="A472" s="206">
        <v>454</v>
      </c>
      <c r="B472" s="340">
        <v>43251</v>
      </c>
      <c r="C472" s="166" t="s">
        <v>91</v>
      </c>
      <c r="D472" s="206">
        <f t="shared" si="7"/>
        <v>4</v>
      </c>
      <c r="E472" s="206" t="s">
        <v>81</v>
      </c>
      <c r="F472" s="206" t="s">
        <v>105</v>
      </c>
      <c r="G472" s="206">
        <v>17</v>
      </c>
      <c r="H472" s="206" t="s">
        <v>27</v>
      </c>
      <c r="I472" s="379" t="s">
        <v>98</v>
      </c>
      <c r="J472" s="206" t="s">
        <v>105</v>
      </c>
      <c r="K472" s="206" t="s">
        <v>84</v>
      </c>
      <c r="L472" s="206">
        <v>21</v>
      </c>
      <c r="M472" s="206" t="s">
        <v>51</v>
      </c>
      <c r="N472" s="206" t="s">
        <v>98</v>
      </c>
      <c r="O472" s="206"/>
      <c r="P472" s="206"/>
    </row>
    <row r="473" spans="1:16" ht="15.75">
      <c r="A473" s="206">
        <v>455</v>
      </c>
      <c r="B473" s="340">
        <v>43252</v>
      </c>
      <c r="C473" s="166" t="s">
        <v>92</v>
      </c>
      <c r="D473" s="206">
        <f t="shared" si="7"/>
        <v>5</v>
      </c>
      <c r="E473" s="206" t="s">
        <v>82</v>
      </c>
      <c r="F473" s="206" t="s">
        <v>105</v>
      </c>
      <c r="G473" s="206">
        <v>17</v>
      </c>
      <c r="H473" s="206" t="s">
        <v>28</v>
      </c>
      <c r="I473" s="379" t="s">
        <v>1826</v>
      </c>
      <c r="J473" s="206" t="s">
        <v>105</v>
      </c>
      <c r="K473" s="206" t="s">
        <v>84</v>
      </c>
      <c r="L473" s="206">
        <v>21</v>
      </c>
      <c r="M473" s="206" t="s">
        <v>53</v>
      </c>
      <c r="N473" s="379" t="s">
        <v>1859</v>
      </c>
      <c r="O473" s="206"/>
      <c r="P473" s="206"/>
    </row>
    <row r="474" spans="1:16" ht="15.75">
      <c r="A474" s="206">
        <v>456</v>
      </c>
      <c r="B474" s="340">
        <v>43253</v>
      </c>
      <c r="C474" s="166" t="s">
        <v>92</v>
      </c>
      <c r="D474" s="206">
        <f t="shared" si="7"/>
        <v>6</v>
      </c>
      <c r="E474" s="206" t="s">
        <v>83</v>
      </c>
      <c r="F474" s="206" t="s">
        <v>84</v>
      </c>
      <c r="G474" s="206"/>
      <c r="H474" s="206"/>
      <c r="I474" s="206"/>
      <c r="J474" s="206" t="s">
        <v>84</v>
      </c>
      <c r="K474" s="206" t="s">
        <v>105</v>
      </c>
      <c r="L474" s="206">
        <v>21</v>
      </c>
      <c r="M474" s="206"/>
      <c r="N474" s="206"/>
      <c r="O474" s="206" t="s">
        <v>54</v>
      </c>
      <c r="P474" s="379" t="s">
        <v>1944</v>
      </c>
    </row>
    <row r="475" spans="1:16" ht="15.75">
      <c r="A475" s="206">
        <v>457</v>
      </c>
      <c r="B475" s="340">
        <v>43254</v>
      </c>
      <c r="C475" s="166" t="s">
        <v>92</v>
      </c>
      <c r="D475" s="206">
        <f t="shared" si="7"/>
        <v>7</v>
      </c>
      <c r="E475" s="206" t="s">
        <v>85</v>
      </c>
      <c r="F475" s="206" t="s">
        <v>84</v>
      </c>
      <c r="G475" s="206"/>
      <c r="H475" s="206"/>
      <c r="I475" s="206"/>
      <c r="J475" s="206" t="s">
        <v>84</v>
      </c>
      <c r="K475" s="206" t="s">
        <v>84</v>
      </c>
      <c r="L475" s="206"/>
      <c r="M475" s="206"/>
      <c r="N475" s="206"/>
      <c r="O475" s="206"/>
      <c r="P475" s="206"/>
    </row>
    <row r="476" spans="1:16" ht="15.75">
      <c r="A476" s="207">
        <v>458</v>
      </c>
      <c r="B476" s="341">
        <v>43255</v>
      </c>
      <c r="C476" s="168" t="s">
        <v>92</v>
      </c>
      <c r="D476" s="207">
        <f t="shared" si="7"/>
        <v>1</v>
      </c>
      <c r="E476" s="207" t="s">
        <v>86</v>
      </c>
      <c r="F476" s="207" t="s">
        <v>84</v>
      </c>
      <c r="G476" s="207">
        <v>17</v>
      </c>
      <c r="H476" s="207" t="s">
        <v>2458</v>
      </c>
      <c r="I476" s="207"/>
      <c r="J476" s="207" t="s">
        <v>84</v>
      </c>
      <c r="K476" s="207" t="s">
        <v>84</v>
      </c>
      <c r="L476" s="207">
        <v>21</v>
      </c>
      <c r="M476" s="207" t="s">
        <v>2468</v>
      </c>
      <c r="N476" s="207"/>
      <c r="O476" s="207"/>
      <c r="P476" s="207"/>
    </row>
    <row r="477" spans="1:16" ht="15.75">
      <c r="A477" s="206">
        <v>459</v>
      </c>
      <c r="B477" s="340">
        <v>43256</v>
      </c>
      <c r="C477" s="166" t="s">
        <v>92</v>
      </c>
      <c r="D477" s="206">
        <f t="shared" si="7"/>
        <v>2</v>
      </c>
      <c r="E477" s="206" t="s">
        <v>87</v>
      </c>
      <c r="F477" s="206" t="s">
        <v>105</v>
      </c>
      <c r="G477" s="206">
        <v>17</v>
      </c>
      <c r="H477" s="206" t="s">
        <v>30</v>
      </c>
      <c r="I477" s="206" t="s">
        <v>98</v>
      </c>
      <c r="J477" s="206" t="s">
        <v>105</v>
      </c>
      <c r="K477" s="206" t="s">
        <v>84</v>
      </c>
      <c r="L477" s="206">
        <v>21</v>
      </c>
      <c r="M477" s="206" t="s">
        <v>58</v>
      </c>
      <c r="N477" s="379" t="s">
        <v>2515</v>
      </c>
      <c r="O477" s="206"/>
      <c r="P477" s="206"/>
    </row>
    <row r="478" spans="1:16" ht="15.75">
      <c r="A478" s="206">
        <v>460</v>
      </c>
      <c r="B478" s="340">
        <v>43257</v>
      </c>
      <c r="C478" s="166" t="s">
        <v>92</v>
      </c>
      <c r="D478" s="206">
        <f t="shared" si="7"/>
        <v>3</v>
      </c>
      <c r="E478" s="206" t="s">
        <v>80</v>
      </c>
      <c r="F478" s="206" t="s">
        <v>105</v>
      </c>
      <c r="G478" s="206">
        <v>17</v>
      </c>
      <c r="H478" s="206" t="s">
        <v>31</v>
      </c>
      <c r="I478" s="379" t="s">
        <v>1796</v>
      </c>
      <c r="J478" s="206" t="s">
        <v>105</v>
      </c>
      <c r="K478" s="206" t="s">
        <v>84</v>
      </c>
      <c r="L478" s="206">
        <v>22</v>
      </c>
      <c r="M478" s="206" t="s">
        <v>38</v>
      </c>
      <c r="N478" s="379" t="s">
        <v>2510</v>
      </c>
      <c r="O478" s="206"/>
      <c r="P478" s="206"/>
    </row>
    <row r="479" spans="1:16" ht="15.75">
      <c r="A479" s="206">
        <v>461</v>
      </c>
      <c r="B479" s="340">
        <v>43258</v>
      </c>
      <c r="C479" s="166" t="s">
        <v>92</v>
      </c>
      <c r="D479" s="206">
        <f t="shared" si="7"/>
        <v>4</v>
      </c>
      <c r="E479" s="206" t="s">
        <v>81</v>
      </c>
      <c r="F479" s="206" t="s">
        <v>105</v>
      </c>
      <c r="G479" s="206">
        <v>17</v>
      </c>
      <c r="H479" s="206" t="s">
        <v>32</v>
      </c>
      <c r="I479" s="379" t="s">
        <v>98</v>
      </c>
      <c r="J479" s="206" t="s">
        <v>105</v>
      </c>
      <c r="K479" s="206" t="s">
        <v>84</v>
      </c>
      <c r="L479" s="379">
        <v>22</v>
      </c>
      <c r="M479" s="206" t="s">
        <v>40</v>
      </c>
      <c r="N479" s="379" t="s">
        <v>1891</v>
      </c>
      <c r="O479" s="206"/>
      <c r="P479" s="206"/>
    </row>
    <row r="480" spans="1:16" ht="15.75">
      <c r="A480" s="206">
        <v>462</v>
      </c>
      <c r="B480" s="340">
        <v>43259</v>
      </c>
      <c r="C480" s="166" t="s">
        <v>92</v>
      </c>
      <c r="D480" s="206">
        <f t="shared" si="7"/>
        <v>5</v>
      </c>
      <c r="E480" s="206" t="s">
        <v>82</v>
      </c>
      <c r="F480" s="206" t="s">
        <v>105</v>
      </c>
      <c r="G480" s="206">
        <v>17</v>
      </c>
      <c r="H480" s="206" t="s">
        <v>33</v>
      </c>
      <c r="I480" s="379" t="s">
        <v>2484</v>
      </c>
      <c r="J480" s="206" t="s">
        <v>105</v>
      </c>
      <c r="K480" s="206" t="s">
        <v>84</v>
      </c>
      <c r="L480" s="379">
        <v>22</v>
      </c>
      <c r="M480" s="206" t="s">
        <v>41</v>
      </c>
      <c r="N480" s="379" t="s">
        <v>2516</v>
      </c>
      <c r="O480" s="206"/>
      <c r="P480" s="206"/>
    </row>
    <row r="481" spans="1:16" ht="15.75">
      <c r="A481" s="206">
        <v>463</v>
      </c>
      <c r="B481" s="340">
        <v>43260</v>
      </c>
      <c r="C481" s="166" t="s">
        <v>92</v>
      </c>
      <c r="D481" s="206">
        <f t="shared" si="7"/>
        <v>6</v>
      </c>
      <c r="E481" s="206" t="s">
        <v>83</v>
      </c>
      <c r="F481" s="206" t="s">
        <v>84</v>
      </c>
      <c r="G481" s="206"/>
      <c r="H481" s="206"/>
      <c r="I481" s="206"/>
      <c r="J481" s="206" t="s">
        <v>84</v>
      </c>
      <c r="K481" s="206" t="s">
        <v>105</v>
      </c>
      <c r="L481" s="379">
        <v>22</v>
      </c>
      <c r="M481" s="206"/>
      <c r="N481" s="206"/>
      <c r="O481" s="206" t="s">
        <v>42</v>
      </c>
      <c r="P481" s="379" t="s">
        <v>1881</v>
      </c>
    </row>
    <row r="482" spans="1:16" ht="15.75">
      <c r="A482" s="206">
        <v>464</v>
      </c>
      <c r="B482" s="340">
        <v>43261</v>
      </c>
      <c r="C482" s="166" t="s">
        <v>92</v>
      </c>
      <c r="D482" s="206">
        <f t="shared" si="7"/>
        <v>7</v>
      </c>
      <c r="E482" s="206" t="s">
        <v>85</v>
      </c>
      <c r="F482" s="206" t="s">
        <v>84</v>
      </c>
      <c r="G482" s="206"/>
      <c r="H482" s="206"/>
      <c r="I482" s="206"/>
      <c r="J482" s="206" t="s">
        <v>84</v>
      </c>
      <c r="K482" s="206" t="s">
        <v>84</v>
      </c>
      <c r="L482" s="206"/>
      <c r="M482" s="206"/>
      <c r="N482" s="206"/>
      <c r="O482" s="206"/>
      <c r="P482" s="206"/>
    </row>
    <row r="483" spans="1:16" ht="15.75">
      <c r="A483" s="206">
        <v>465</v>
      </c>
      <c r="B483" s="340">
        <v>43262</v>
      </c>
      <c r="C483" s="166" t="s">
        <v>92</v>
      </c>
      <c r="D483" s="206">
        <f t="shared" si="7"/>
        <v>1</v>
      </c>
      <c r="E483" s="206" t="s">
        <v>86</v>
      </c>
      <c r="F483" s="206" t="s">
        <v>105</v>
      </c>
      <c r="G483" s="206">
        <v>17</v>
      </c>
      <c r="H483" s="206" t="s">
        <v>34</v>
      </c>
      <c r="I483" s="379" t="s">
        <v>1821</v>
      </c>
      <c r="J483" s="206" t="s">
        <v>105</v>
      </c>
      <c r="K483" s="206" t="s">
        <v>84</v>
      </c>
      <c r="L483" s="206">
        <v>22</v>
      </c>
      <c r="M483" s="379" t="s">
        <v>43</v>
      </c>
      <c r="N483" s="379" t="s">
        <v>1867</v>
      </c>
      <c r="O483" s="206"/>
      <c r="P483" s="206"/>
    </row>
    <row r="484" spans="1:16" ht="15.75">
      <c r="A484" s="206">
        <v>466</v>
      </c>
      <c r="B484" s="340">
        <v>43263</v>
      </c>
      <c r="C484" s="166" t="s">
        <v>92</v>
      </c>
      <c r="D484" s="206">
        <f t="shared" si="7"/>
        <v>2</v>
      </c>
      <c r="E484" s="206" t="s">
        <v>87</v>
      </c>
      <c r="F484" s="206" t="s">
        <v>105</v>
      </c>
      <c r="G484" s="206">
        <v>17</v>
      </c>
      <c r="H484" s="206" t="s">
        <v>35</v>
      </c>
      <c r="I484" s="379" t="s">
        <v>2480</v>
      </c>
      <c r="J484" s="206" t="s">
        <v>105</v>
      </c>
      <c r="K484" s="206" t="s">
        <v>84</v>
      </c>
      <c r="L484" s="206">
        <v>22</v>
      </c>
      <c r="M484" s="379" t="s">
        <v>44</v>
      </c>
      <c r="N484" s="379" t="s">
        <v>2514</v>
      </c>
      <c r="O484" s="206"/>
      <c r="P484" s="206"/>
    </row>
    <row r="485" spans="1:16" ht="15.75">
      <c r="A485" s="206">
        <v>467</v>
      </c>
      <c r="B485" s="340">
        <v>43264</v>
      </c>
      <c r="C485" s="166" t="s">
        <v>92</v>
      </c>
      <c r="D485" s="206">
        <f t="shared" si="7"/>
        <v>3</v>
      </c>
      <c r="E485" s="206" t="s">
        <v>80</v>
      </c>
      <c r="F485" s="206" t="s">
        <v>105</v>
      </c>
      <c r="G485" s="206">
        <v>17</v>
      </c>
      <c r="H485" s="206" t="s">
        <v>36</v>
      </c>
      <c r="I485" s="379" t="s">
        <v>1833</v>
      </c>
      <c r="J485" s="206" t="s">
        <v>105</v>
      </c>
      <c r="K485" s="206" t="s">
        <v>84</v>
      </c>
      <c r="L485" s="206">
        <v>22</v>
      </c>
      <c r="M485" s="379" t="s">
        <v>45</v>
      </c>
      <c r="N485" s="206" t="s">
        <v>98</v>
      </c>
      <c r="O485" s="206"/>
      <c r="P485" s="206"/>
    </row>
    <row r="486" spans="1:16" ht="15.75">
      <c r="A486" s="206">
        <v>468</v>
      </c>
      <c r="B486" s="340">
        <v>43265</v>
      </c>
      <c r="C486" s="166" t="s">
        <v>92</v>
      </c>
      <c r="D486" s="206">
        <f t="shared" si="7"/>
        <v>4</v>
      </c>
      <c r="E486" s="206" t="s">
        <v>81</v>
      </c>
      <c r="F486" s="206" t="s">
        <v>105</v>
      </c>
      <c r="G486" s="206">
        <v>17</v>
      </c>
      <c r="H486" s="206" t="s">
        <v>37</v>
      </c>
      <c r="I486" s="379" t="s">
        <v>1832</v>
      </c>
      <c r="J486" s="206" t="s">
        <v>105</v>
      </c>
      <c r="K486" s="206" t="s">
        <v>84</v>
      </c>
      <c r="L486" s="206">
        <v>22</v>
      </c>
      <c r="M486" s="206" t="s">
        <v>46</v>
      </c>
      <c r="N486" s="379" t="s">
        <v>1913</v>
      </c>
      <c r="O486" s="206"/>
      <c r="P486" s="206"/>
    </row>
    <row r="487" spans="1:16" ht="15.75">
      <c r="A487" s="206">
        <v>469</v>
      </c>
      <c r="B487" s="340">
        <v>43266</v>
      </c>
      <c r="C487" s="166" t="s">
        <v>92</v>
      </c>
      <c r="D487" s="206">
        <f t="shared" si="7"/>
        <v>5</v>
      </c>
      <c r="E487" s="206" t="s">
        <v>82</v>
      </c>
      <c r="F487" s="206" t="s">
        <v>105</v>
      </c>
      <c r="G487" s="206">
        <v>17</v>
      </c>
      <c r="H487" s="206" t="s">
        <v>21</v>
      </c>
      <c r="I487" s="379" t="s">
        <v>2481</v>
      </c>
      <c r="J487" s="206" t="s">
        <v>105</v>
      </c>
      <c r="K487" s="206" t="s">
        <v>84</v>
      </c>
      <c r="L487" s="206">
        <v>22</v>
      </c>
      <c r="M487" s="206" t="s">
        <v>47</v>
      </c>
      <c r="N487" s="379" t="s">
        <v>1854</v>
      </c>
      <c r="O487" s="206"/>
      <c r="P487" s="206"/>
    </row>
    <row r="488" spans="1:16" ht="15.75">
      <c r="A488" s="206">
        <v>470</v>
      </c>
      <c r="B488" s="340">
        <v>43267</v>
      </c>
      <c r="C488" s="166" t="s">
        <v>92</v>
      </c>
      <c r="D488" s="206">
        <f t="shared" si="7"/>
        <v>6</v>
      </c>
      <c r="E488" s="206" t="s">
        <v>83</v>
      </c>
      <c r="F488" s="206" t="s">
        <v>84</v>
      </c>
      <c r="G488" s="206"/>
      <c r="H488" s="206"/>
      <c r="I488" s="206"/>
      <c r="J488" s="206" t="s">
        <v>84</v>
      </c>
      <c r="K488" s="206" t="s">
        <v>105</v>
      </c>
      <c r="L488" s="206">
        <v>22</v>
      </c>
      <c r="M488" s="206"/>
      <c r="N488" s="206"/>
      <c r="O488" s="206" t="s">
        <v>50</v>
      </c>
      <c r="P488" s="379" t="s">
        <v>98</v>
      </c>
    </row>
    <row r="489" spans="1:16" ht="15.75">
      <c r="A489" s="206">
        <v>471</v>
      </c>
      <c r="B489" s="340">
        <v>43268</v>
      </c>
      <c r="C489" s="166" t="s">
        <v>92</v>
      </c>
      <c r="D489" s="206">
        <f t="shared" si="7"/>
        <v>7</v>
      </c>
      <c r="E489" s="206" t="s">
        <v>85</v>
      </c>
      <c r="F489" s="206" t="s">
        <v>84</v>
      </c>
      <c r="G489" s="206"/>
      <c r="H489" s="206"/>
      <c r="I489" s="206"/>
      <c r="J489" s="206" t="s">
        <v>84</v>
      </c>
      <c r="K489" s="206" t="s">
        <v>84</v>
      </c>
      <c r="L489" s="206"/>
      <c r="M489" s="206"/>
      <c r="N489" s="206"/>
      <c r="O489" s="206"/>
      <c r="P489" s="206"/>
    </row>
    <row r="490" spans="1:16" ht="15.75">
      <c r="A490" s="206">
        <v>472</v>
      </c>
      <c r="B490" s="340">
        <v>43269</v>
      </c>
      <c r="C490" s="166" t="s">
        <v>92</v>
      </c>
      <c r="D490" s="206">
        <f t="shared" si="7"/>
        <v>1</v>
      </c>
      <c r="E490" s="206" t="s">
        <v>86</v>
      </c>
      <c r="F490" s="208" t="s">
        <v>84</v>
      </c>
      <c r="G490" s="208"/>
      <c r="H490" s="208" t="s">
        <v>93</v>
      </c>
      <c r="I490" s="208"/>
      <c r="J490" s="208" t="s">
        <v>84</v>
      </c>
      <c r="K490" s="208" t="s">
        <v>84</v>
      </c>
      <c r="L490" s="208"/>
      <c r="M490" s="208" t="s">
        <v>93</v>
      </c>
      <c r="N490" s="208"/>
      <c r="O490" s="208"/>
      <c r="P490" s="208"/>
    </row>
    <row r="491" spans="1:16" ht="15.75">
      <c r="A491" s="206">
        <v>473</v>
      </c>
      <c r="B491" s="340">
        <v>43270</v>
      </c>
      <c r="C491" s="166" t="s">
        <v>92</v>
      </c>
      <c r="D491" s="206">
        <f t="shared" si="7"/>
        <v>2</v>
      </c>
      <c r="E491" s="206" t="s">
        <v>87</v>
      </c>
      <c r="F491" s="208" t="s">
        <v>84</v>
      </c>
      <c r="G491" s="208"/>
      <c r="H491" s="208" t="s">
        <v>93</v>
      </c>
      <c r="I491" s="208"/>
      <c r="J491" s="208" t="s">
        <v>84</v>
      </c>
      <c r="K491" s="208" t="s">
        <v>84</v>
      </c>
      <c r="L491" s="208"/>
      <c r="M491" s="208" t="s">
        <v>93</v>
      </c>
      <c r="N491" s="208"/>
      <c r="O491" s="208"/>
      <c r="P491" s="208"/>
    </row>
    <row r="492" spans="1:16" ht="15.75">
      <c r="A492" s="206">
        <v>474</v>
      </c>
      <c r="B492" s="340">
        <v>43271</v>
      </c>
      <c r="C492" s="166" t="s">
        <v>92</v>
      </c>
      <c r="D492" s="206">
        <f t="shared" si="7"/>
        <v>3</v>
      </c>
      <c r="E492" s="206" t="s">
        <v>80</v>
      </c>
      <c r="F492" s="208" t="s">
        <v>84</v>
      </c>
      <c r="G492" s="208"/>
      <c r="H492" s="208" t="s">
        <v>93</v>
      </c>
      <c r="I492" s="208"/>
      <c r="J492" s="208" t="s">
        <v>84</v>
      </c>
      <c r="K492" s="208" t="s">
        <v>84</v>
      </c>
      <c r="L492" s="208"/>
      <c r="M492" s="208" t="s">
        <v>93</v>
      </c>
      <c r="N492" s="208"/>
      <c r="O492" s="208"/>
      <c r="P492" s="208"/>
    </row>
    <row r="493" spans="1:16" ht="15.75">
      <c r="A493" s="206">
        <v>475</v>
      </c>
      <c r="B493" s="340">
        <v>43272</v>
      </c>
      <c r="C493" s="166" t="s">
        <v>92</v>
      </c>
      <c r="D493" s="206">
        <f t="shared" si="7"/>
        <v>4</v>
      </c>
      <c r="E493" s="206" t="s">
        <v>81</v>
      </c>
      <c r="F493" s="208" t="s">
        <v>84</v>
      </c>
      <c r="G493" s="208"/>
      <c r="H493" s="208" t="s">
        <v>93</v>
      </c>
      <c r="I493" s="208"/>
      <c r="J493" s="208" t="s">
        <v>84</v>
      </c>
      <c r="K493" s="208" t="s">
        <v>84</v>
      </c>
      <c r="L493" s="208"/>
      <c r="M493" s="208" t="s">
        <v>93</v>
      </c>
      <c r="N493" s="208"/>
      <c r="O493" s="208"/>
      <c r="P493" s="208"/>
    </row>
    <row r="494" spans="1:16" ht="15.75">
      <c r="A494" s="206">
        <v>476</v>
      </c>
      <c r="B494" s="340">
        <v>43273</v>
      </c>
      <c r="C494" s="166" t="s">
        <v>92</v>
      </c>
      <c r="D494" s="206">
        <f t="shared" si="7"/>
        <v>5</v>
      </c>
      <c r="E494" s="206" t="s">
        <v>82</v>
      </c>
      <c r="F494" s="208" t="s">
        <v>84</v>
      </c>
      <c r="G494" s="208"/>
      <c r="H494" s="208" t="s">
        <v>93</v>
      </c>
      <c r="I494" s="208"/>
      <c r="J494" s="208" t="s">
        <v>84</v>
      </c>
      <c r="K494" s="208" t="s">
        <v>84</v>
      </c>
      <c r="L494" s="208"/>
      <c r="M494" s="208" t="s">
        <v>93</v>
      </c>
      <c r="N494" s="208"/>
      <c r="O494" s="208"/>
      <c r="P494" s="208"/>
    </row>
    <row r="495" spans="1:16" ht="15.75">
      <c r="A495" s="206">
        <v>477</v>
      </c>
      <c r="B495" s="340">
        <v>43274</v>
      </c>
      <c r="C495" s="166" t="s">
        <v>92</v>
      </c>
      <c r="D495" s="206">
        <f t="shared" si="7"/>
        <v>6</v>
      </c>
      <c r="E495" s="206" t="s">
        <v>83</v>
      </c>
      <c r="F495" s="208" t="s">
        <v>84</v>
      </c>
      <c r="G495" s="208"/>
      <c r="H495" s="208"/>
      <c r="I495" s="208"/>
      <c r="J495" s="208" t="s">
        <v>84</v>
      </c>
      <c r="K495" s="208" t="s">
        <v>84</v>
      </c>
      <c r="L495" s="208"/>
      <c r="M495" s="208"/>
      <c r="N495" s="208"/>
      <c r="O495" s="208"/>
      <c r="P495" s="208"/>
    </row>
    <row r="496" spans="1:16" ht="15.75">
      <c r="A496" s="206">
        <v>478</v>
      </c>
      <c r="B496" s="340">
        <v>43275</v>
      </c>
      <c r="C496" s="166" t="s">
        <v>92</v>
      </c>
      <c r="D496" s="206">
        <f t="shared" si="7"/>
        <v>7</v>
      </c>
      <c r="E496" s="206" t="s">
        <v>85</v>
      </c>
      <c r="F496" s="208" t="s">
        <v>84</v>
      </c>
      <c r="G496" s="208"/>
      <c r="H496" s="208"/>
      <c r="I496" s="208"/>
      <c r="J496" s="208" t="s">
        <v>84</v>
      </c>
      <c r="K496" s="208" t="s">
        <v>84</v>
      </c>
      <c r="L496" s="208"/>
      <c r="M496" s="208"/>
      <c r="N496" s="208"/>
      <c r="O496" s="208"/>
      <c r="P496" s="208"/>
    </row>
    <row r="497" spans="1:16" ht="15.75">
      <c r="A497" s="206">
        <v>479</v>
      </c>
      <c r="B497" s="340">
        <v>43276</v>
      </c>
      <c r="C497" s="166" t="s">
        <v>92</v>
      </c>
      <c r="D497" s="206">
        <f t="shared" si="7"/>
        <v>1</v>
      </c>
      <c r="E497" s="206" t="s">
        <v>86</v>
      </c>
      <c r="F497" s="208" t="s">
        <v>84</v>
      </c>
      <c r="G497" s="208"/>
      <c r="H497" s="208" t="s">
        <v>93</v>
      </c>
      <c r="I497" s="208"/>
      <c r="J497" s="208" t="s">
        <v>84</v>
      </c>
      <c r="K497" s="208" t="s">
        <v>84</v>
      </c>
      <c r="L497" s="208"/>
      <c r="M497" s="208" t="s">
        <v>93</v>
      </c>
      <c r="N497" s="208"/>
      <c r="O497" s="208"/>
      <c r="P497" s="208"/>
    </row>
    <row r="498" spans="1:16" ht="15.75">
      <c r="A498" s="206">
        <v>480</v>
      </c>
      <c r="B498" s="340">
        <v>43277</v>
      </c>
      <c r="C498" s="166" t="s">
        <v>92</v>
      </c>
      <c r="D498" s="206">
        <f t="shared" si="7"/>
        <v>2</v>
      </c>
      <c r="E498" s="206" t="s">
        <v>87</v>
      </c>
      <c r="F498" s="208" t="s">
        <v>84</v>
      </c>
      <c r="G498" s="208"/>
      <c r="H498" s="208" t="s">
        <v>93</v>
      </c>
      <c r="I498" s="208"/>
      <c r="J498" s="208" t="s">
        <v>84</v>
      </c>
      <c r="K498" s="208" t="s">
        <v>84</v>
      </c>
      <c r="L498" s="208"/>
      <c r="M498" s="208" t="s">
        <v>93</v>
      </c>
      <c r="N498" s="208"/>
      <c r="O498" s="208"/>
      <c r="P498" s="208"/>
    </row>
    <row r="499" spans="1:16" ht="15.75">
      <c r="A499" s="206">
        <v>481</v>
      </c>
      <c r="B499" s="340">
        <v>43278</v>
      </c>
      <c r="C499" s="166" t="s">
        <v>92</v>
      </c>
      <c r="D499" s="206">
        <f t="shared" si="7"/>
        <v>3</v>
      </c>
      <c r="E499" s="206" t="s">
        <v>80</v>
      </c>
      <c r="F499" s="208" t="s">
        <v>84</v>
      </c>
      <c r="G499" s="208"/>
      <c r="H499" s="208" t="s">
        <v>93</v>
      </c>
      <c r="I499" s="208"/>
      <c r="J499" s="208" t="s">
        <v>84</v>
      </c>
      <c r="K499" s="208" t="s">
        <v>84</v>
      </c>
      <c r="L499" s="208"/>
      <c r="M499" s="208" t="s">
        <v>93</v>
      </c>
      <c r="N499" s="208"/>
      <c r="O499" s="208"/>
      <c r="P499" s="208"/>
    </row>
    <row r="500" spans="1:16" ht="15.75">
      <c r="A500" s="206">
        <v>482</v>
      </c>
      <c r="B500" s="340">
        <v>43279</v>
      </c>
      <c r="C500" s="166" t="s">
        <v>92</v>
      </c>
      <c r="D500" s="206">
        <f t="shared" si="7"/>
        <v>4</v>
      </c>
      <c r="E500" s="206" t="s">
        <v>81</v>
      </c>
      <c r="F500" s="208" t="s">
        <v>84</v>
      </c>
      <c r="G500" s="208"/>
      <c r="H500" s="208" t="s">
        <v>93</v>
      </c>
      <c r="I500" s="208"/>
      <c r="J500" s="208" t="s">
        <v>84</v>
      </c>
      <c r="K500" s="208" t="s">
        <v>84</v>
      </c>
      <c r="L500" s="208"/>
      <c r="M500" s="208" t="s">
        <v>93</v>
      </c>
      <c r="N500" s="208"/>
      <c r="O500" s="208"/>
      <c r="P500" s="208"/>
    </row>
    <row r="501" spans="1:16" ht="15.75">
      <c r="A501" s="206">
        <v>483</v>
      </c>
      <c r="B501" s="340">
        <v>43280</v>
      </c>
      <c r="C501" s="166" t="s">
        <v>92</v>
      </c>
      <c r="D501" s="206">
        <f t="shared" si="7"/>
        <v>5</v>
      </c>
      <c r="E501" s="206" t="s">
        <v>82</v>
      </c>
      <c r="F501" s="208" t="s">
        <v>84</v>
      </c>
      <c r="G501" s="208"/>
      <c r="H501" s="208" t="s">
        <v>93</v>
      </c>
      <c r="I501" s="208"/>
      <c r="J501" s="208" t="s">
        <v>84</v>
      </c>
      <c r="K501" s="208" t="s">
        <v>84</v>
      </c>
      <c r="L501" s="208"/>
      <c r="M501" s="208" t="s">
        <v>93</v>
      </c>
      <c r="N501" s="208"/>
      <c r="O501" s="208"/>
      <c r="P501" s="208"/>
    </row>
    <row r="502" spans="1:16" ht="15.75">
      <c r="A502" s="206">
        <v>484</v>
      </c>
      <c r="B502" s="340">
        <v>43281</v>
      </c>
      <c r="C502" s="166" t="s">
        <v>92</v>
      </c>
      <c r="D502" s="206">
        <f t="shared" si="7"/>
        <v>6</v>
      </c>
      <c r="E502" s="206" t="s">
        <v>83</v>
      </c>
      <c r="F502" s="208" t="s">
        <v>84</v>
      </c>
      <c r="G502" s="208"/>
      <c r="H502" s="208"/>
      <c r="I502" s="208"/>
      <c r="J502" s="208" t="s">
        <v>84</v>
      </c>
      <c r="K502" s="208" t="s">
        <v>84</v>
      </c>
      <c r="L502" s="208"/>
      <c r="M502" s="208"/>
      <c r="N502" s="208"/>
      <c r="O502" s="208"/>
      <c r="P502" s="208"/>
    </row>
    <row r="503" spans="1:16"/>
  </sheetData>
  <mergeCells count="7">
    <mergeCell ref="B2:F2"/>
    <mergeCell ref="F16:I16"/>
    <mergeCell ref="J16:P16"/>
    <mergeCell ref="A3:P3"/>
    <mergeCell ref="A4:P4"/>
    <mergeCell ref="A7:P7"/>
    <mergeCell ref="A5:P5"/>
  </mergeCells>
  <hyperlinks>
    <hyperlink ref="B2:C2" location="'INDICE_ MODELO'!A1" display="Ir a Indice"/>
    <hyperlink ref="B2:F2" location="'INDICE_ MODELO'!C133" display="Ir a Indice"/>
  </hyperlinks>
  <pageMargins left="0.7" right="0.7" top="0.75" bottom="0.75" header="0.3" footer="0.3"/>
  <pageSetup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T1917"/>
  <sheetViews>
    <sheetView zoomScaleNormal="100" workbookViewId="0"/>
  </sheetViews>
  <sheetFormatPr baseColWidth="10" defaultColWidth="0" defaultRowHeight="14.25"/>
  <cols>
    <col min="1" max="1" width="24.5703125" style="9" customWidth="1"/>
    <col min="2" max="2" width="9.5703125" style="9" customWidth="1"/>
    <col min="3" max="3" width="11.85546875" style="9" hidden="1" customWidth="1"/>
    <col min="4" max="4" width="12.28515625" style="355" hidden="1" customWidth="1"/>
    <col min="5" max="5" width="7.85546875" style="9" customWidth="1"/>
    <col min="6" max="7" width="12.42578125" style="9" customWidth="1"/>
    <col min="8" max="8" width="6.140625" style="9" customWidth="1"/>
    <col min="9" max="9" width="12" style="9" bestFit="1" customWidth="1"/>
    <col min="10" max="10" width="34.140625" style="9" customWidth="1"/>
    <col min="11" max="11" width="5.7109375" style="9" customWidth="1"/>
    <col min="12" max="12" width="36.5703125" style="9" customWidth="1"/>
    <col min="13" max="13" width="9" style="9" customWidth="1"/>
    <col min="14" max="14" width="4" style="9" customWidth="1"/>
    <col min="15" max="20" width="11" style="9" customWidth="1"/>
    <col min="21" max="16384" width="11" style="9" hidden="1"/>
  </cols>
  <sheetData>
    <row r="1" spans="1:20">
      <c r="A1" s="13"/>
      <c r="B1" s="14"/>
      <c r="C1" s="14"/>
      <c r="D1" s="357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25"/>
    </row>
    <row r="2" spans="1:20" ht="20.25">
      <c r="A2" s="17"/>
      <c r="B2" s="474" t="s">
        <v>1971</v>
      </c>
      <c r="C2" s="474"/>
      <c r="D2" s="474"/>
      <c r="E2" s="474"/>
      <c r="F2" s="84"/>
      <c r="G2" s="86"/>
      <c r="H2" s="84"/>
      <c r="I2" s="84"/>
      <c r="J2" s="84"/>
      <c r="K2" s="84"/>
      <c r="L2" s="84"/>
      <c r="M2" s="84"/>
      <c r="N2" s="84"/>
      <c r="O2" s="84"/>
      <c r="P2" s="84"/>
      <c r="Q2" s="84"/>
      <c r="R2" s="84"/>
      <c r="S2" s="84"/>
      <c r="T2" s="26"/>
    </row>
    <row r="3" spans="1:20" ht="18.75">
      <c r="A3" s="542" t="s">
        <v>1968</v>
      </c>
      <c r="B3" s="476"/>
      <c r="C3" s="476"/>
      <c r="D3" s="476"/>
      <c r="E3" s="476"/>
      <c r="F3" s="476"/>
      <c r="G3" s="476"/>
      <c r="H3" s="476"/>
      <c r="I3" s="476"/>
      <c r="J3" s="476"/>
      <c r="K3" s="476"/>
      <c r="L3" s="476"/>
      <c r="M3" s="476"/>
      <c r="N3" s="476"/>
      <c r="O3" s="476"/>
      <c r="P3" s="476"/>
      <c r="Q3" s="476"/>
      <c r="R3" s="476"/>
      <c r="S3" s="476"/>
      <c r="T3" s="543"/>
    </row>
    <row r="4" spans="1:20" ht="18.75">
      <c r="A4" s="542" t="s">
        <v>1969</v>
      </c>
      <c r="B4" s="476"/>
      <c r="C4" s="476"/>
      <c r="D4" s="476"/>
      <c r="E4" s="476"/>
      <c r="F4" s="476"/>
      <c r="G4" s="476"/>
      <c r="H4" s="476"/>
      <c r="I4" s="476"/>
      <c r="J4" s="476"/>
      <c r="K4" s="476"/>
      <c r="L4" s="476"/>
      <c r="M4" s="476"/>
      <c r="N4" s="476"/>
      <c r="O4" s="476"/>
      <c r="P4" s="476"/>
      <c r="Q4" s="476"/>
      <c r="R4" s="476"/>
      <c r="S4" s="476"/>
      <c r="T4" s="543"/>
    </row>
    <row r="5" spans="1:20" ht="18.75">
      <c r="A5" s="542" t="s">
        <v>1970</v>
      </c>
      <c r="B5" s="476"/>
      <c r="C5" s="476"/>
      <c r="D5" s="476"/>
      <c r="E5" s="476"/>
      <c r="F5" s="476"/>
      <c r="G5" s="476"/>
      <c r="H5" s="476"/>
      <c r="I5" s="476"/>
      <c r="J5" s="476"/>
      <c r="K5" s="476"/>
      <c r="L5" s="476"/>
      <c r="M5" s="476"/>
      <c r="N5" s="476"/>
      <c r="O5" s="476"/>
      <c r="P5" s="476"/>
      <c r="Q5" s="476"/>
      <c r="R5" s="476"/>
      <c r="S5" s="476"/>
      <c r="T5" s="543"/>
    </row>
    <row r="6" spans="1:20" ht="18.75">
      <c r="A6" s="102"/>
      <c r="B6" s="100"/>
      <c r="C6" s="100"/>
      <c r="D6" s="370"/>
      <c r="E6" s="100"/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T6" s="106"/>
    </row>
    <row r="7" spans="1:20" ht="18.75">
      <c r="A7" s="542" t="s">
        <v>1334</v>
      </c>
      <c r="B7" s="476"/>
      <c r="C7" s="476"/>
      <c r="D7" s="476"/>
      <c r="E7" s="476"/>
      <c r="F7" s="476"/>
      <c r="G7" s="476"/>
      <c r="H7" s="476"/>
      <c r="I7" s="476"/>
      <c r="J7" s="476"/>
      <c r="K7" s="476"/>
      <c r="L7" s="476"/>
      <c r="M7" s="476"/>
      <c r="N7" s="476"/>
      <c r="O7" s="476"/>
      <c r="P7" s="476"/>
      <c r="Q7" s="476"/>
      <c r="R7" s="476"/>
      <c r="S7" s="476"/>
      <c r="T7" s="543"/>
    </row>
    <row r="8" spans="1:20">
      <c r="A8" s="110"/>
      <c r="B8" s="111"/>
      <c r="C8" s="111"/>
      <c r="D8" s="373"/>
      <c r="E8" s="111"/>
      <c r="F8" s="111"/>
      <c r="G8" s="111"/>
      <c r="H8" s="111"/>
      <c r="I8" s="111"/>
      <c r="J8" s="111"/>
      <c r="K8" s="111"/>
      <c r="L8" s="111"/>
      <c r="M8" s="111"/>
      <c r="N8" s="111"/>
      <c r="O8" s="111"/>
      <c r="P8" s="111"/>
      <c r="Q8" s="111"/>
      <c r="R8" s="111"/>
      <c r="S8" s="111"/>
      <c r="T8" s="112"/>
    </row>
    <row r="9" spans="1:20">
      <c r="A9" s="110"/>
      <c r="B9" s="113" t="s">
        <v>1329</v>
      </c>
      <c r="C9" s="108"/>
      <c r="D9" s="372"/>
      <c r="E9" s="111"/>
      <c r="F9" s="111"/>
      <c r="G9" s="111"/>
      <c r="H9" s="111"/>
      <c r="I9" s="111"/>
      <c r="J9" s="111"/>
      <c r="K9" s="111"/>
      <c r="L9" s="111"/>
      <c r="M9" s="111"/>
      <c r="N9" s="111"/>
      <c r="O9" s="111"/>
      <c r="P9" s="111"/>
      <c r="Q9" s="111"/>
      <c r="R9" s="111"/>
      <c r="S9" s="111"/>
      <c r="T9" s="112"/>
    </row>
    <row r="10" spans="1:20">
      <c r="A10" s="110"/>
      <c r="B10" s="113" t="s">
        <v>2003</v>
      </c>
      <c r="C10" s="108"/>
      <c r="D10" s="372"/>
      <c r="E10" s="111"/>
      <c r="F10" s="111"/>
      <c r="G10" s="111"/>
      <c r="H10" s="111"/>
      <c r="I10" s="111"/>
      <c r="J10" s="111"/>
      <c r="K10" s="111"/>
      <c r="L10" s="111"/>
      <c r="M10" s="111"/>
      <c r="N10" s="111"/>
      <c r="O10" s="111"/>
      <c r="P10" s="111"/>
      <c r="Q10" s="111"/>
      <c r="R10" s="111"/>
      <c r="S10" s="111"/>
      <c r="T10" s="112"/>
    </row>
    <row r="11" spans="1:20">
      <c r="A11" s="110"/>
      <c r="B11" s="113" t="s">
        <v>2004</v>
      </c>
      <c r="C11" s="108"/>
      <c r="D11" s="372"/>
      <c r="E11" s="111"/>
      <c r="F11" s="111"/>
      <c r="G11" s="111"/>
      <c r="H11" s="111"/>
      <c r="I11" s="111"/>
      <c r="J11" s="111"/>
      <c r="K11" s="111"/>
      <c r="L11" s="111"/>
      <c r="M11" s="111"/>
      <c r="N11" s="111"/>
      <c r="O11" s="111"/>
      <c r="P11" s="111"/>
      <c r="Q11" s="111"/>
      <c r="R11" s="111"/>
      <c r="S11" s="111"/>
      <c r="T11" s="112"/>
    </row>
    <row r="12" spans="1:20" ht="15" thickBot="1">
      <c r="A12" s="27"/>
      <c r="B12" s="28"/>
      <c r="C12" s="28"/>
      <c r="D12" s="359"/>
      <c r="E12" s="28"/>
      <c r="F12" s="28"/>
      <c r="G12" s="28"/>
      <c r="H12" s="28"/>
      <c r="I12" s="28"/>
      <c r="J12" s="28"/>
      <c r="K12" s="28"/>
      <c r="L12" s="28"/>
      <c r="M12" s="28"/>
      <c r="N12" s="28"/>
      <c r="O12" s="28"/>
      <c r="P12" s="28"/>
      <c r="Q12" s="28"/>
      <c r="R12" s="28"/>
      <c r="S12" s="28"/>
      <c r="T12" s="29"/>
    </row>
    <row r="13" spans="1:20" ht="28.5">
      <c r="A13" s="23" t="s">
        <v>128</v>
      </c>
      <c r="B13" s="23" t="s">
        <v>129</v>
      </c>
      <c r="C13" s="23" t="s">
        <v>1330</v>
      </c>
      <c r="D13" s="358" t="s">
        <v>2459</v>
      </c>
      <c r="E13" s="23" t="s">
        <v>130</v>
      </c>
      <c r="F13" s="23" t="s">
        <v>131</v>
      </c>
      <c r="G13" s="23" t="s">
        <v>2460</v>
      </c>
      <c r="H13" s="23" t="s">
        <v>132</v>
      </c>
      <c r="I13" s="32" t="s">
        <v>133</v>
      </c>
      <c r="J13" s="23" t="s">
        <v>134</v>
      </c>
      <c r="K13" s="23" t="s">
        <v>135</v>
      </c>
      <c r="L13" s="23" t="s">
        <v>136</v>
      </c>
      <c r="M13" s="23" t="s">
        <v>137</v>
      </c>
      <c r="N13" s="23" t="s">
        <v>138</v>
      </c>
      <c r="O13" s="23" t="s">
        <v>139</v>
      </c>
      <c r="P13" s="23" t="s">
        <v>140</v>
      </c>
      <c r="Q13" s="23" t="s">
        <v>141</v>
      </c>
      <c r="R13" s="23" t="s">
        <v>142</v>
      </c>
      <c r="S13" s="23" t="s">
        <v>143</v>
      </c>
      <c r="T13" s="23" t="s">
        <v>102</v>
      </c>
    </row>
    <row r="14" spans="1:20">
      <c r="A14" s="9" t="s">
        <v>144</v>
      </c>
      <c r="B14" s="30" t="s">
        <v>145</v>
      </c>
      <c r="C14" s="30" t="str">
        <f>CONCATENATE(VOL_VOLUMEN_SUMINISTROS[[#This Row],[Proyecto]],VOL_VOLUMEN_SUMINISTROS[[#This Row],[J]],VOL_VOLUMEN_SUMINISTROS[[#This Row],[FIN DE SEMANA]])</f>
        <v>1052-1MNO</v>
      </c>
      <c r="D14" s="360" t="str">
        <f>CONCATENATE(VOL_VOLUMEN_SUMINISTROS[[#This Row],[Grupo]],VOL_VOLUMEN_SUMINISTROS[[#This Row],[Proyecto]],VOL_VOLUMEN_SUMINISTROS[[#This Row],[FIN DE SEMANA]])</f>
        <v>121052-1NO</v>
      </c>
      <c r="E14" s="30" t="s">
        <v>146</v>
      </c>
      <c r="F14" s="30" t="s">
        <v>147</v>
      </c>
      <c r="G14" s="360">
        <v>12</v>
      </c>
      <c r="H14" s="30">
        <v>8</v>
      </c>
      <c r="I14" s="9" t="s">
        <v>148</v>
      </c>
      <c r="J14" s="9" t="s">
        <v>149</v>
      </c>
      <c r="K14" s="30">
        <v>1</v>
      </c>
      <c r="L14" s="9" t="s">
        <v>150</v>
      </c>
      <c r="M14" s="30" t="s">
        <v>84</v>
      </c>
      <c r="N14" s="30" t="s">
        <v>151</v>
      </c>
      <c r="O14" s="24">
        <v>0</v>
      </c>
      <c r="P14" s="24">
        <v>357</v>
      </c>
      <c r="Q14" s="24">
        <v>988</v>
      </c>
      <c r="R14" s="24">
        <v>0</v>
      </c>
      <c r="S14" s="24">
        <v>0</v>
      </c>
      <c r="T14" s="24">
        <v>1345</v>
      </c>
    </row>
    <row r="15" spans="1:20">
      <c r="A15" s="9" t="s">
        <v>144</v>
      </c>
      <c r="B15" s="30" t="s">
        <v>145</v>
      </c>
      <c r="C15" s="30" t="str">
        <f>CONCATENATE(VOL_VOLUMEN_SUMINISTROS[[#This Row],[Proyecto]],VOL_VOLUMEN_SUMINISTROS[[#This Row],[J]],VOL_VOLUMEN_SUMINISTROS[[#This Row],[FIN DE SEMANA]])</f>
        <v>1052-1NNO</v>
      </c>
      <c r="D15" s="360" t="str">
        <f>CONCATENATE(VOL_VOLUMEN_SUMINISTROS[[#This Row],[Grupo]],VOL_VOLUMEN_SUMINISTROS[[#This Row],[Proyecto]],VOL_VOLUMEN_SUMINISTROS[[#This Row],[FIN DE SEMANA]])</f>
        <v>121052-1NO</v>
      </c>
      <c r="E15" s="30" t="s">
        <v>146</v>
      </c>
      <c r="F15" s="30" t="s">
        <v>147</v>
      </c>
      <c r="G15" s="360">
        <v>12</v>
      </c>
      <c r="H15" s="30">
        <v>8</v>
      </c>
      <c r="I15" s="9" t="s">
        <v>148</v>
      </c>
      <c r="J15" s="9" t="s">
        <v>149</v>
      </c>
      <c r="K15" s="30">
        <v>1</v>
      </c>
      <c r="L15" s="9" t="s">
        <v>152</v>
      </c>
      <c r="M15" s="30" t="s">
        <v>84</v>
      </c>
      <c r="N15" s="30" t="s">
        <v>153</v>
      </c>
      <c r="O15" s="24">
        <v>0</v>
      </c>
      <c r="P15" s="24">
        <v>0</v>
      </c>
      <c r="Q15" s="24">
        <v>0</v>
      </c>
      <c r="R15" s="24">
        <v>100</v>
      </c>
      <c r="S15" s="24">
        <v>250</v>
      </c>
      <c r="T15" s="24">
        <v>350</v>
      </c>
    </row>
    <row r="16" spans="1:20">
      <c r="A16" s="9" t="s">
        <v>144</v>
      </c>
      <c r="B16" s="30" t="s">
        <v>145</v>
      </c>
      <c r="C16" s="30" t="str">
        <f>CONCATENATE(VOL_VOLUMEN_SUMINISTROS[[#This Row],[Proyecto]],VOL_VOLUMEN_SUMINISTROS[[#This Row],[J]],VOL_VOLUMEN_SUMINISTROS[[#This Row],[FIN DE SEMANA]])</f>
        <v>1052-1TNO</v>
      </c>
      <c r="D16" s="360" t="str">
        <f>CONCATENATE(VOL_VOLUMEN_SUMINISTROS[[#This Row],[Grupo]],VOL_VOLUMEN_SUMINISTROS[[#This Row],[Proyecto]],VOL_VOLUMEN_SUMINISTROS[[#This Row],[FIN DE SEMANA]])</f>
        <v>121052-1NO</v>
      </c>
      <c r="E16" s="30" t="s">
        <v>146</v>
      </c>
      <c r="F16" s="30" t="s">
        <v>147</v>
      </c>
      <c r="G16" s="360">
        <v>12</v>
      </c>
      <c r="H16" s="30">
        <v>8</v>
      </c>
      <c r="I16" s="9" t="s">
        <v>148</v>
      </c>
      <c r="J16" s="9" t="s">
        <v>149</v>
      </c>
      <c r="K16" s="30">
        <v>1</v>
      </c>
      <c r="L16" s="9" t="s">
        <v>152</v>
      </c>
      <c r="M16" s="30" t="s">
        <v>84</v>
      </c>
      <c r="N16" s="30" t="s">
        <v>154</v>
      </c>
      <c r="O16" s="24">
        <v>0</v>
      </c>
      <c r="P16" s="24">
        <v>90</v>
      </c>
      <c r="Q16" s="24">
        <v>600</v>
      </c>
      <c r="R16" s="24">
        <v>0</v>
      </c>
      <c r="S16" s="24">
        <v>0</v>
      </c>
      <c r="T16" s="24">
        <v>690</v>
      </c>
    </row>
    <row r="17" spans="1:20">
      <c r="A17" s="9" t="s">
        <v>144</v>
      </c>
      <c r="B17" s="30" t="s">
        <v>145</v>
      </c>
      <c r="C17" s="30" t="str">
        <f>CONCATENATE(VOL_VOLUMEN_SUMINISTROS[[#This Row],[Proyecto]],VOL_VOLUMEN_SUMINISTROS[[#This Row],[J]],VOL_VOLUMEN_SUMINISTROS[[#This Row],[FIN DE SEMANA]])</f>
        <v>1052-1MNO</v>
      </c>
      <c r="D17" s="360" t="str">
        <f>CONCATENATE(VOL_VOLUMEN_SUMINISTROS[[#This Row],[Grupo]],VOL_VOLUMEN_SUMINISTROS[[#This Row],[Proyecto]],VOL_VOLUMEN_SUMINISTROS[[#This Row],[FIN DE SEMANA]])</f>
        <v>121052-1NO</v>
      </c>
      <c r="E17" s="30" t="s">
        <v>146</v>
      </c>
      <c r="F17" s="30" t="s">
        <v>147</v>
      </c>
      <c r="G17" s="360">
        <v>12</v>
      </c>
      <c r="H17" s="30">
        <v>8</v>
      </c>
      <c r="I17" s="9" t="s">
        <v>148</v>
      </c>
      <c r="J17" s="9" t="s">
        <v>155</v>
      </c>
      <c r="K17" s="30">
        <v>1</v>
      </c>
      <c r="L17" s="9" t="s">
        <v>156</v>
      </c>
      <c r="M17" s="30" t="s">
        <v>84</v>
      </c>
      <c r="N17" s="30" t="s">
        <v>151</v>
      </c>
      <c r="O17" s="24">
        <v>228</v>
      </c>
      <c r="P17" s="24">
        <v>350</v>
      </c>
      <c r="Q17" s="24">
        <v>456</v>
      </c>
      <c r="R17" s="24">
        <v>0</v>
      </c>
      <c r="S17" s="24">
        <v>0</v>
      </c>
      <c r="T17" s="24">
        <v>1034</v>
      </c>
    </row>
    <row r="18" spans="1:20">
      <c r="A18" s="9" t="s">
        <v>144</v>
      </c>
      <c r="B18" s="30" t="s">
        <v>145</v>
      </c>
      <c r="C18" s="30" t="str">
        <f>CONCATENATE(VOL_VOLUMEN_SUMINISTROS[[#This Row],[Proyecto]],VOL_VOLUMEN_SUMINISTROS[[#This Row],[J]],VOL_VOLUMEN_SUMINISTROS[[#This Row],[FIN DE SEMANA]])</f>
        <v>1052-1TNO</v>
      </c>
      <c r="D18" s="360" t="str">
        <f>CONCATENATE(VOL_VOLUMEN_SUMINISTROS[[#This Row],[Grupo]],VOL_VOLUMEN_SUMINISTROS[[#This Row],[Proyecto]],VOL_VOLUMEN_SUMINISTROS[[#This Row],[FIN DE SEMANA]])</f>
        <v>121052-1NO</v>
      </c>
      <c r="E18" s="30" t="s">
        <v>146</v>
      </c>
      <c r="F18" s="30" t="s">
        <v>147</v>
      </c>
      <c r="G18" s="360">
        <v>12</v>
      </c>
      <c r="H18" s="30">
        <v>8</v>
      </c>
      <c r="I18" s="9" t="s">
        <v>148</v>
      </c>
      <c r="J18" s="9" t="s">
        <v>155</v>
      </c>
      <c r="K18" s="30">
        <v>1</v>
      </c>
      <c r="L18" s="9" t="s">
        <v>156</v>
      </c>
      <c r="M18" s="30" t="s">
        <v>84</v>
      </c>
      <c r="N18" s="30" t="s">
        <v>154</v>
      </c>
      <c r="O18" s="24">
        <v>208</v>
      </c>
      <c r="P18" s="24">
        <v>340</v>
      </c>
      <c r="Q18" s="24">
        <v>410</v>
      </c>
      <c r="R18" s="24">
        <v>0</v>
      </c>
      <c r="S18" s="24">
        <v>0</v>
      </c>
      <c r="T18" s="24">
        <v>958</v>
      </c>
    </row>
    <row r="19" spans="1:20">
      <c r="A19" s="9" t="s">
        <v>144</v>
      </c>
      <c r="B19" s="30" t="s">
        <v>145</v>
      </c>
      <c r="C19" s="30" t="str">
        <f>CONCATENATE(VOL_VOLUMEN_SUMINISTROS[[#This Row],[Proyecto]],VOL_VOLUMEN_SUMINISTROS[[#This Row],[J]],VOL_VOLUMEN_SUMINISTROS[[#This Row],[FIN DE SEMANA]])</f>
        <v>1052-1MNO</v>
      </c>
      <c r="D19" s="360" t="str">
        <f>CONCATENATE(VOL_VOLUMEN_SUMINISTROS[[#This Row],[Grupo]],VOL_VOLUMEN_SUMINISTROS[[#This Row],[Proyecto]],VOL_VOLUMEN_SUMINISTROS[[#This Row],[FIN DE SEMANA]])</f>
        <v>121052-1NO</v>
      </c>
      <c r="E19" s="30" t="s">
        <v>146</v>
      </c>
      <c r="F19" s="30" t="s">
        <v>147</v>
      </c>
      <c r="G19" s="360">
        <v>12</v>
      </c>
      <c r="H19" s="30">
        <v>8</v>
      </c>
      <c r="I19" s="9" t="s">
        <v>148</v>
      </c>
      <c r="J19" s="9" t="s">
        <v>155</v>
      </c>
      <c r="K19" s="30">
        <v>2</v>
      </c>
      <c r="L19" s="9" t="s">
        <v>157</v>
      </c>
      <c r="M19" s="30" t="s">
        <v>84</v>
      </c>
      <c r="N19" s="30" t="s">
        <v>151</v>
      </c>
      <c r="O19" s="24">
        <v>123</v>
      </c>
      <c r="P19" s="24">
        <v>165</v>
      </c>
      <c r="Q19" s="24">
        <v>39</v>
      </c>
      <c r="R19" s="24">
        <v>0</v>
      </c>
      <c r="S19" s="24">
        <v>0</v>
      </c>
      <c r="T19" s="24">
        <v>327</v>
      </c>
    </row>
    <row r="20" spans="1:20">
      <c r="A20" s="9" t="s">
        <v>144</v>
      </c>
      <c r="B20" s="30" t="s">
        <v>145</v>
      </c>
      <c r="C20" s="30" t="str">
        <f>CONCATENATE(VOL_VOLUMEN_SUMINISTROS[[#This Row],[Proyecto]],VOL_VOLUMEN_SUMINISTROS[[#This Row],[J]],VOL_VOLUMEN_SUMINISTROS[[#This Row],[FIN DE SEMANA]])</f>
        <v>1052-1TNO</v>
      </c>
      <c r="D20" s="360" t="str">
        <f>CONCATENATE(VOL_VOLUMEN_SUMINISTROS[[#This Row],[Grupo]],VOL_VOLUMEN_SUMINISTROS[[#This Row],[Proyecto]],VOL_VOLUMEN_SUMINISTROS[[#This Row],[FIN DE SEMANA]])</f>
        <v>121052-1NO</v>
      </c>
      <c r="E20" s="30" t="s">
        <v>146</v>
      </c>
      <c r="F20" s="30" t="s">
        <v>147</v>
      </c>
      <c r="G20" s="360">
        <v>12</v>
      </c>
      <c r="H20" s="30">
        <v>8</v>
      </c>
      <c r="I20" s="9" t="s">
        <v>148</v>
      </c>
      <c r="J20" s="9" t="s">
        <v>155</v>
      </c>
      <c r="K20" s="30">
        <v>2</v>
      </c>
      <c r="L20" s="9" t="s">
        <v>158</v>
      </c>
      <c r="M20" s="30" t="s">
        <v>84</v>
      </c>
      <c r="N20" s="30" t="s">
        <v>154</v>
      </c>
      <c r="O20" s="24">
        <v>127</v>
      </c>
      <c r="P20" s="24">
        <v>167</v>
      </c>
      <c r="Q20" s="24">
        <v>39</v>
      </c>
      <c r="R20" s="24">
        <v>0</v>
      </c>
      <c r="S20" s="24">
        <v>0</v>
      </c>
      <c r="T20" s="24">
        <v>333</v>
      </c>
    </row>
    <row r="21" spans="1:20">
      <c r="A21" s="9" t="s">
        <v>144</v>
      </c>
      <c r="B21" s="30" t="s">
        <v>145</v>
      </c>
      <c r="C21" s="30" t="str">
        <f>CONCATENATE(VOL_VOLUMEN_SUMINISTROS[[#This Row],[Proyecto]],VOL_VOLUMEN_SUMINISTROS[[#This Row],[J]],VOL_VOLUMEN_SUMINISTROS[[#This Row],[FIN DE SEMANA]])</f>
        <v>1052-1MNO</v>
      </c>
      <c r="D21" s="360" t="str">
        <f>CONCATENATE(VOL_VOLUMEN_SUMINISTROS[[#This Row],[Grupo]],VOL_VOLUMEN_SUMINISTROS[[#This Row],[Proyecto]],VOL_VOLUMEN_SUMINISTROS[[#This Row],[FIN DE SEMANA]])</f>
        <v>121052-1NO</v>
      </c>
      <c r="E21" s="30" t="s">
        <v>146</v>
      </c>
      <c r="F21" s="30" t="s">
        <v>147</v>
      </c>
      <c r="G21" s="360">
        <v>12</v>
      </c>
      <c r="H21" s="30">
        <v>8</v>
      </c>
      <c r="I21" s="9" t="s">
        <v>148</v>
      </c>
      <c r="J21" s="9" t="s">
        <v>159</v>
      </c>
      <c r="K21" s="30">
        <v>1</v>
      </c>
      <c r="L21" s="9" t="s">
        <v>160</v>
      </c>
      <c r="M21" s="30" t="s">
        <v>84</v>
      </c>
      <c r="N21" s="30" t="s">
        <v>151</v>
      </c>
      <c r="O21" s="24">
        <v>350</v>
      </c>
      <c r="P21" s="24">
        <v>566</v>
      </c>
      <c r="Q21" s="24">
        <v>527</v>
      </c>
      <c r="R21" s="24">
        <v>0</v>
      </c>
      <c r="S21" s="24">
        <v>0</v>
      </c>
      <c r="T21" s="24">
        <v>1443</v>
      </c>
    </row>
    <row r="22" spans="1:20">
      <c r="A22" s="9" t="s">
        <v>144</v>
      </c>
      <c r="B22" s="30" t="s">
        <v>145</v>
      </c>
      <c r="C22" s="30" t="str">
        <f>CONCATENATE(VOL_VOLUMEN_SUMINISTROS[[#This Row],[Proyecto]],VOL_VOLUMEN_SUMINISTROS[[#This Row],[J]],VOL_VOLUMEN_SUMINISTROS[[#This Row],[FIN DE SEMANA]])</f>
        <v>1052-1TNO</v>
      </c>
      <c r="D22" s="360" t="str">
        <f>CONCATENATE(VOL_VOLUMEN_SUMINISTROS[[#This Row],[Grupo]],VOL_VOLUMEN_SUMINISTROS[[#This Row],[Proyecto]],VOL_VOLUMEN_SUMINISTROS[[#This Row],[FIN DE SEMANA]])</f>
        <v>121052-1NO</v>
      </c>
      <c r="E22" s="30" t="s">
        <v>146</v>
      </c>
      <c r="F22" s="30" t="s">
        <v>147</v>
      </c>
      <c r="G22" s="360">
        <v>12</v>
      </c>
      <c r="H22" s="30">
        <v>8</v>
      </c>
      <c r="I22" s="9" t="s">
        <v>148</v>
      </c>
      <c r="J22" s="9" t="s">
        <v>159</v>
      </c>
      <c r="K22" s="30">
        <v>1</v>
      </c>
      <c r="L22" s="9" t="s">
        <v>160</v>
      </c>
      <c r="M22" s="30" t="s">
        <v>84</v>
      </c>
      <c r="N22" s="30" t="s">
        <v>154</v>
      </c>
      <c r="O22" s="24">
        <v>329</v>
      </c>
      <c r="P22" s="24">
        <v>512</v>
      </c>
      <c r="Q22" s="24">
        <v>415</v>
      </c>
      <c r="R22" s="24">
        <v>0</v>
      </c>
      <c r="S22" s="24">
        <v>0</v>
      </c>
      <c r="T22" s="24">
        <v>1256</v>
      </c>
    </row>
    <row r="23" spans="1:20">
      <c r="A23" s="9" t="s">
        <v>144</v>
      </c>
      <c r="B23" s="30" t="s">
        <v>145</v>
      </c>
      <c r="C23" s="30" t="str">
        <f>CONCATENATE(VOL_VOLUMEN_SUMINISTROS[[#This Row],[Proyecto]],VOL_VOLUMEN_SUMINISTROS[[#This Row],[J]],VOL_VOLUMEN_SUMINISTROS[[#This Row],[FIN DE SEMANA]])</f>
        <v>1052-1MNO</v>
      </c>
      <c r="D23" s="360" t="str">
        <f>CONCATENATE(VOL_VOLUMEN_SUMINISTROS[[#This Row],[Grupo]],VOL_VOLUMEN_SUMINISTROS[[#This Row],[Proyecto]],VOL_VOLUMEN_SUMINISTROS[[#This Row],[FIN DE SEMANA]])</f>
        <v>121052-1NO</v>
      </c>
      <c r="E23" s="30" t="s">
        <v>146</v>
      </c>
      <c r="F23" s="30" t="s">
        <v>147</v>
      </c>
      <c r="G23" s="360">
        <v>12</v>
      </c>
      <c r="H23" s="30">
        <v>8</v>
      </c>
      <c r="I23" s="9" t="s">
        <v>148</v>
      </c>
      <c r="J23" s="9" t="s">
        <v>159</v>
      </c>
      <c r="K23" s="30">
        <v>4</v>
      </c>
      <c r="L23" s="9" t="s">
        <v>161</v>
      </c>
      <c r="M23" s="30" t="s">
        <v>84</v>
      </c>
      <c r="N23" s="30" t="s">
        <v>151</v>
      </c>
      <c r="O23" s="24">
        <v>0</v>
      </c>
      <c r="P23" s="24">
        <v>198</v>
      </c>
      <c r="Q23" s="24">
        <v>66</v>
      </c>
      <c r="R23" s="24">
        <v>0</v>
      </c>
      <c r="S23" s="24">
        <v>0</v>
      </c>
      <c r="T23" s="24">
        <v>264</v>
      </c>
    </row>
    <row r="24" spans="1:20">
      <c r="A24" s="9" t="s">
        <v>144</v>
      </c>
      <c r="B24" s="30" t="s">
        <v>145</v>
      </c>
      <c r="C24" s="30" t="str">
        <f>CONCATENATE(VOL_VOLUMEN_SUMINISTROS[[#This Row],[Proyecto]],VOL_VOLUMEN_SUMINISTROS[[#This Row],[J]],VOL_VOLUMEN_SUMINISTROS[[#This Row],[FIN DE SEMANA]])</f>
        <v>1052-1MNO</v>
      </c>
      <c r="D24" s="360" t="str">
        <f>CONCATENATE(VOL_VOLUMEN_SUMINISTROS[[#This Row],[Grupo]],VOL_VOLUMEN_SUMINISTROS[[#This Row],[Proyecto]],VOL_VOLUMEN_SUMINISTROS[[#This Row],[FIN DE SEMANA]])</f>
        <v>121052-1NO</v>
      </c>
      <c r="E24" s="30" t="s">
        <v>146</v>
      </c>
      <c r="F24" s="30" t="s">
        <v>147</v>
      </c>
      <c r="G24" s="360">
        <v>12</v>
      </c>
      <c r="H24" s="30">
        <v>8</v>
      </c>
      <c r="I24" s="9" t="s">
        <v>148</v>
      </c>
      <c r="J24" s="9" t="s">
        <v>162</v>
      </c>
      <c r="K24" s="30">
        <v>1</v>
      </c>
      <c r="L24" s="9" t="s">
        <v>163</v>
      </c>
      <c r="M24" s="30" t="s">
        <v>84</v>
      </c>
      <c r="N24" s="30" t="s">
        <v>151</v>
      </c>
      <c r="O24" s="24">
        <v>189</v>
      </c>
      <c r="P24" s="24">
        <v>334</v>
      </c>
      <c r="Q24" s="24">
        <v>191</v>
      </c>
      <c r="R24" s="24">
        <v>0</v>
      </c>
      <c r="S24" s="24">
        <v>0</v>
      </c>
      <c r="T24" s="24">
        <v>714</v>
      </c>
    </row>
    <row r="25" spans="1:20">
      <c r="A25" s="9" t="s">
        <v>144</v>
      </c>
      <c r="B25" s="30" t="s">
        <v>145</v>
      </c>
      <c r="C25" s="30" t="str">
        <f>CONCATENATE(VOL_VOLUMEN_SUMINISTROS[[#This Row],[Proyecto]],VOL_VOLUMEN_SUMINISTROS[[#This Row],[J]],VOL_VOLUMEN_SUMINISTROS[[#This Row],[FIN DE SEMANA]])</f>
        <v>1052-1TNO</v>
      </c>
      <c r="D25" s="360" t="str">
        <f>CONCATENATE(VOL_VOLUMEN_SUMINISTROS[[#This Row],[Grupo]],VOL_VOLUMEN_SUMINISTROS[[#This Row],[Proyecto]],VOL_VOLUMEN_SUMINISTROS[[#This Row],[FIN DE SEMANA]])</f>
        <v>121052-1NO</v>
      </c>
      <c r="E25" s="30" t="s">
        <v>146</v>
      </c>
      <c r="F25" s="30" t="s">
        <v>147</v>
      </c>
      <c r="G25" s="360">
        <v>12</v>
      </c>
      <c r="H25" s="30">
        <v>8</v>
      </c>
      <c r="I25" s="9" t="s">
        <v>148</v>
      </c>
      <c r="J25" s="9" t="s">
        <v>162</v>
      </c>
      <c r="K25" s="30">
        <v>1</v>
      </c>
      <c r="L25" s="9" t="s">
        <v>163</v>
      </c>
      <c r="M25" s="30" t="s">
        <v>84</v>
      </c>
      <c r="N25" s="30" t="s">
        <v>154</v>
      </c>
      <c r="O25" s="24">
        <v>180</v>
      </c>
      <c r="P25" s="24">
        <v>299</v>
      </c>
      <c r="Q25" s="24">
        <v>152</v>
      </c>
      <c r="R25" s="24">
        <v>0</v>
      </c>
      <c r="S25" s="24">
        <v>0</v>
      </c>
      <c r="T25" s="24">
        <v>631</v>
      </c>
    </row>
    <row r="26" spans="1:20">
      <c r="A26" s="9" t="s">
        <v>144</v>
      </c>
      <c r="B26" s="30" t="s">
        <v>145</v>
      </c>
      <c r="C26" s="30" t="str">
        <f>CONCATENATE(VOL_VOLUMEN_SUMINISTROS[[#This Row],[Proyecto]],VOL_VOLUMEN_SUMINISTROS[[#This Row],[J]],VOL_VOLUMEN_SUMINISTROS[[#This Row],[FIN DE SEMANA]])</f>
        <v>1052-1MNO</v>
      </c>
      <c r="D26" s="360" t="str">
        <f>CONCATENATE(VOL_VOLUMEN_SUMINISTROS[[#This Row],[Grupo]],VOL_VOLUMEN_SUMINISTROS[[#This Row],[Proyecto]],VOL_VOLUMEN_SUMINISTROS[[#This Row],[FIN DE SEMANA]])</f>
        <v>121052-1NO</v>
      </c>
      <c r="E26" s="30" t="s">
        <v>146</v>
      </c>
      <c r="F26" s="30" t="s">
        <v>147</v>
      </c>
      <c r="G26" s="360">
        <v>12</v>
      </c>
      <c r="H26" s="30">
        <v>8</v>
      </c>
      <c r="I26" s="9" t="s">
        <v>148</v>
      </c>
      <c r="J26" s="9" t="s">
        <v>162</v>
      </c>
      <c r="K26" s="30">
        <v>2</v>
      </c>
      <c r="L26" s="9" t="s">
        <v>164</v>
      </c>
      <c r="M26" s="30" t="s">
        <v>84</v>
      </c>
      <c r="N26" s="30" t="s">
        <v>151</v>
      </c>
      <c r="O26" s="24">
        <v>92</v>
      </c>
      <c r="P26" s="24">
        <v>0</v>
      </c>
      <c r="Q26" s="24">
        <v>0</v>
      </c>
      <c r="R26" s="24">
        <v>0</v>
      </c>
      <c r="S26" s="24">
        <v>0</v>
      </c>
      <c r="T26" s="24">
        <v>92</v>
      </c>
    </row>
    <row r="27" spans="1:20">
      <c r="A27" s="9" t="s">
        <v>144</v>
      </c>
      <c r="B27" s="30" t="s">
        <v>145</v>
      </c>
      <c r="C27" s="30" t="str">
        <f>CONCATENATE(VOL_VOLUMEN_SUMINISTROS[[#This Row],[Proyecto]],VOL_VOLUMEN_SUMINISTROS[[#This Row],[J]],VOL_VOLUMEN_SUMINISTROS[[#This Row],[FIN DE SEMANA]])</f>
        <v>1052-1TNO</v>
      </c>
      <c r="D27" s="360" t="str">
        <f>CONCATENATE(VOL_VOLUMEN_SUMINISTROS[[#This Row],[Grupo]],VOL_VOLUMEN_SUMINISTROS[[#This Row],[Proyecto]],VOL_VOLUMEN_SUMINISTROS[[#This Row],[FIN DE SEMANA]])</f>
        <v>121052-1NO</v>
      </c>
      <c r="E27" s="30" t="s">
        <v>146</v>
      </c>
      <c r="F27" s="30" t="s">
        <v>147</v>
      </c>
      <c r="G27" s="360">
        <v>12</v>
      </c>
      <c r="H27" s="30">
        <v>8</v>
      </c>
      <c r="I27" s="9" t="s">
        <v>148</v>
      </c>
      <c r="J27" s="9" t="s">
        <v>162</v>
      </c>
      <c r="K27" s="30">
        <v>2</v>
      </c>
      <c r="L27" s="9" t="s">
        <v>164</v>
      </c>
      <c r="M27" s="30" t="s">
        <v>84</v>
      </c>
      <c r="N27" s="30" t="s">
        <v>154</v>
      </c>
      <c r="O27" s="24">
        <v>87</v>
      </c>
      <c r="P27" s="24">
        <v>0</v>
      </c>
      <c r="Q27" s="24">
        <v>0</v>
      </c>
      <c r="R27" s="24">
        <v>0</v>
      </c>
      <c r="S27" s="24">
        <v>0</v>
      </c>
      <c r="T27" s="24">
        <v>87</v>
      </c>
    </row>
    <row r="28" spans="1:20">
      <c r="A28" s="9" t="s">
        <v>144</v>
      </c>
      <c r="B28" s="30" t="s">
        <v>145</v>
      </c>
      <c r="C28" s="30" t="str">
        <f>CONCATENATE(VOL_VOLUMEN_SUMINISTROS[[#This Row],[Proyecto]],VOL_VOLUMEN_SUMINISTROS[[#This Row],[J]],VOL_VOLUMEN_SUMINISTROS[[#This Row],[FIN DE SEMANA]])</f>
        <v>1052-1MNO</v>
      </c>
      <c r="D28" s="360" t="str">
        <f>CONCATENATE(VOL_VOLUMEN_SUMINISTROS[[#This Row],[Grupo]],VOL_VOLUMEN_SUMINISTROS[[#This Row],[Proyecto]],VOL_VOLUMEN_SUMINISTROS[[#This Row],[FIN DE SEMANA]])</f>
        <v>121052-1NO</v>
      </c>
      <c r="E28" s="30" t="s">
        <v>146</v>
      </c>
      <c r="F28" s="30" t="s">
        <v>147</v>
      </c>
      <c r="G28" s="360">
        <v>12</v>
      </c>
      <c r="H28" s="30">
        <v>8</v>
      </c>
      <c r="I28" s="9" t="s">
        <v>148</v>
      </c>
      <c r="J28" s="9" t="s">
        <v>165</v>
      </c>
      <c r="K28" s="30">
        <v>1</v>
      </c>
      <c r="L28" s="9" t="s">
        <v>166</v>
      </c>
      <c r="M28" s="30" t="s">
        <v>84</v>
      </c>
      <c r="N28" s="30" t="s">
        <v>151</v>
      </c>
      <c r="O28" s="24">
        <v>223</v>
      </c>
      <c r="P28" s="24">
        <v>211</v>
      </c>
      <c r="Q28" s="24">
        <v>44</v>
      </c>
      <c r="R28" s="24">
        <v>0</v>
      </c>
      <c r="S28" s="24">
        <v>0</v>
      </c>
      <c r="T28" s="24">
        <v>478</v>
      </c>
    </row>
    <row r="29" spans="1:20">
      <c r="A29" s="9" t="s">
        <v>144</v>
      </c>
      <c r="B29" s="30" t="s">
        <v>145</v>
      </c>
      <c r="C29" s="30" t="str">
        <f>CONCATENATE(VOL_VOLUMEN_SUMINISTROS[[#This Row],[Proyecto]],VOL_VOLUMEN_SUMINISTROS[[#This Row],[J]],VOL_VOLUMEN_SUMINISTROS[[#This Row],[FIN DE SEMANA]])</f>
        <v>1052-1TNO</v>
      </c>
      <c r="D29" s="360" t="str">
        <f>CONCATENATE(VOL_VOLUMEN_SUMINISTROS[[#This Row],[Grupo]],VOL_VOLUMEN_SUMINISTROS[[#This Row],[Proyecto]],VOL_VOLUMEN_SUMINISTROS[[#This Row],[FIN DE SEMANA]])</f>
        <v>121052-1NO</v>
      </c>
      <c r="E29" s="30" t="s">
        <v>146</v>
      </c>
      <c r="F29" s="30" t="s">
        <v>147</v>
      </c>
      <c r="G29" s="360">
        <v>12</v>
      </c>
      <c r="H29" s="30">
        <v>8</v>
      </c>
      <c r="I29" s="9" t="s">
        <v>148</v>
      </c>
      <c r="J29" s="9" t="s">
        <v>165</v>
      </c>
      <c r="K29" s="30">
        <v>1</v>
      </c>
      <c r="L29" s="9" t="s">
        <v>166</v>
      </c>
      <c r="M29" s="30" t="s">
        <v>84</v>
      </c>
      <c r="N29" s="30" t="s">
        <v>154</v>
      </c>
      <c r="O29" s="24">
        <v>0</v>
      </c>
      <c r="P29" s="24">
        <v>162</v>
      </c>
      <c r="Q29" s="24">
        <v>200</v>
      </c>
      <c r="R29" s="24">
        <v>0</v>
      </c>
      <c r="S29" s="24">
        <v>0</v>
      </c>
      <c r="T29" s="24">
        <v>362</v>
      </c>
    </row>
    <row r="30" spans="1:20">
      <c r="A30" s="9" t="s">
        <v>144</v>
      </c>
      <c r="B30" s="30" t="s">
        <v>145</v>
      </c>
      <c r="C30" s="30" t="str">
        <f>CONCATENATE(VOL_VOLUMEN_SUMINISTROS[[#This Row],[Proyecto]],VOL_VOLUMEN_SUMINISTROS[[#This Row],[J]],VOL_VOLUMEN_SUMINISTROS[[#This Row],[FIN DE SEMANA]])</f>
        <v>1052-1MNO</v>
      </c>
      <c r="D30" s="360" t="str">
        <f>CONCATENATE(VOL_VOLUMEN_SUMINISTROS[[#This Row],[Grupo]],VOL_VOLUMEN_SUMINISTROS[[#This Row],[Proyecto]],VOL_VOLUMEN_SUMINISTROS[[#This Row],[FIN DE SEMANA]])</f>
        <v>121052-1NO</v>
      </c>
      <c r="E30" s="30" t="s">
        <v>146</v>
      </c>
      <c r="F30" s="30" t="s">
        <v>147</v>
      </c>
      <c r="G30" s="360">
        <v>12</v>
      </c>
      <c r="H30" s="30">
        <v>8</v>
      </c>
      <c r="I30" s="9" t="s">
        <v>148</v>
      </c>
      <c r="J30" s="9" t="s">
        <v>167</v>
      </c>
      <c r="K30" s="30">
        <v>1</v>
      </c>
      <c r="L30" s="9" t="s">
        <v>168</v>
      </c>
      <c r="M30" s="30" t="s">
        <v>84</v>
      </c>
      <c r="N30" s="30" t="s">
        <v>151</v>
      </c>
      <c r="O30" s="24">
        <v>377</v>
      </c>
      <c r="P30" s="24">
        <v>326</v>
      </c>
      <c r="Q30" s="24">
        <v>60</v>
      </c>
      <c r="R30" s="24">
        <v>0</v>
      </c>
      <c r="S30" s="24">
        <v>0</v>
      </c>
      <c r="T30" s="24">
        <v>763</v>
      </c>
    </row>
    <row r="31" spans="1:20">
      <c r="A31" s="9" t="s">
        <v>144</v>
      </c>
      <c r="B31" s="30" t="s">
        <v>145</v>
      </c>
      <c r="C31" s="30" t="str">
        <f>CONCATENATE(VOL_VOLUMEN_SUMINISTROS[[#This Row],[Proyecto]],VOL_VOLUMEN_SUMINISTROS[[#This Row],[J]],VOL_VOLUMEN_SUMINISTROS[[#This Row],[FIN DE SEMANA]])</f>
        <v>1052-1TNO</v>
      </c>
      <c r="D31" s="360" t="str">
        <f>CONCATENATE(VOL_VOLUMEN_SUMINISTROS[[#This Row],[Grupo]],VOL_VOLUMEN_SUMINISTROS[[#This Row],[Proyecto]],VOL_VOLUMEN_SUMINISTROS[[#This Row],[FIN DE SEMANA]])</f>
        <v>121052-1NO</v>
      </c>
      <c r="E31" s="30" t="s">
        <v>146</v>
      </c>
      <c r="F31" s="30" t="s">
        <v>147</v>
      </c>
      <c r="G31" s="360">
        <v>12</v>
      </c>
      <c r="H31" s="30">
        <v>8</v>
      </c>
      <c r="I31" s="9" t="s">
        <v>148</v>
      </c>
      <c r="J31" s="9" t="s">
        <v>167</v>
      </c>
      <c r="K31" s="30">
        <v>1</v>
      </c>
      <c r="L31" s="9" t="s">
        <v>168</v>
      </c>
      <c r="M31" s="30" t="s">
        <v>84</v>
      </c>
      <c r="N31" s="30" t="s">
        <v>154</v>
      </c>
      <c r="O31" s="24">
        <v>85</v>
      </c>
      <c r="P31" s="24">
        <v>210</v>
      </c>
      <c r="Q31" s="24">
        <v>521</v>
      </c>
      <c r="R31" s="24">
        <v>0</v>
      </c>
      <c r="S31" s="24">
        <v>0</v>
      </c>
      <c r="T31" s="24">
        <v>816</v>
      </c>
    </row>
    <row r="32" spans="1:20">
      <c r="A32" s="9" t="s">
        <v>144</v>
      </c>
      <c r="B32" s="30" t="s">
        <v>145</v>
      </c>
      <c r="C32" s="30" t="str">
        <f>CONCATENATE(VOL_VOLUMEN_SUMINISTROS[[#This Row],[Proyecto]],VOL_VOLUMEN_SUMINISTROS[[#This Row],[J]],VOL_VOLUMEN_SUMINISTROS[[#This Row],[FIN DE SEMANA]])</f>
        <v>1052-1MNO</v>
      </c>
      <c r="D32" s="360" t="str">
        <f>CONCATENATE(VOL_VOLUMEN_SUMINISTROS[[#This Row],[Grupo]],VOL_VOLUMEN_SUMINISTROS[[#This Row],[Proyecto]],VOL_VOLUMEN_SUMINISTROS[[#This Row],[FIN DE SEMANA]])</f>
        <v>121052-1NO</v>
      </c>
      <c r="E32" s="30" t="s">
        <v>146</v>
      </c>
      <c r="F32" s="30" t="s">
        <v>147</v>
      </c>
      <c r="G32" s="360">
        <v>12</v>
      </c>
      <c r="H32" s="30">
        <v>8</v>
      </c>
      <c r="I32" s="9" t="s">
        <v>148</v>
      </c>
      <c r="J32" s="9" t="s">
        <v>169</v>
      </c>
      <c r="K32" s="30">
        <v>1</v>
      </c>
      <c r="L32" s="9" t="s">
        <v>170</v>
      </c>
      <c r="M32" s="30" t="s">
        <v>84</v>
      </c>
      <c r="N32" s="30" t="s">
        <v>151</v>
      </c>
      <c r="O32" s="24">
        <v>344</v>
      </c>
      <c r="P32" s="24">
        <v>574</v>
      </c>
      <c r="Q32" s="24">
        <v>260</v>
      </c>
      <c r="R32" s="24">
        <v>0</v>
      </c>
      <c r="S32" s="24">
        <v>0</v>
      </c>
      <c r="T32" s="24">
        <v>1178</v>
      </c>
    </row>
    <row r="33" spans="1:20">
      <c r="A33" s="9" t="s">
        <v>144</v>
      </c>
      <c r="B33" s="30" t="s">
        <v>145</v>
      </c>
      <c r="C33" s="30" t="str">
        <f>CONCATENATE(VOL_VOLUMEN_SUMINISTROS[[#This Row],[Proyecto]],VOL_VOLUMEN_SUMINISTROS[[#This Row],[J]],VOL_VOLUMEN_SUMINISTROS[[#This Row],[FIN DE SEMANA]])</f>
        <v>1052-1TNO</v>
      </c>
      <c r="D33" s="360" t="str">
        <f>CONCATENATE(VOL_VOLUMEN_SUMINISTROS[[#This Row],[Grupo]],VOL_VOLUMEN_SUMINISTROS[[#This Row],[Proyecto]],VOL_VOLUMEN_SUMINISTROS[[#This Row],[FIN DE SEMANA]])</f>
        <v>121052-1NO</v>
      </c>
      <c r="E33" s="30" t="s">
        <v>146</v>
      </c>
      <c r="F33" s="30" t="s">
        <v>147</v>
      </c>
      <c r="G33" s="360">
        <v>12</v>
      </c>
      <c r="H33" s="30">
        <v>8</v>
      </c>
      <c r="I33" s="9" t="s">
        <v>148</v>
      </c>
      <c r="J33" s="9" t="s">
        <v>169</v>
      </c>
      <c r="K33" s="30">
        <v>1</v>
      </c>
      <c r="L33" s="9" t="s">
        <v>170</v>
      </c>
      <c r="M33" s="30" t="s">
        <v>84</v>
      </c>
      <c r="N33" s="30" t="s">
        <v>154</v>
      </c>
      <c r="O33" s="24">
        <v>65</v>
      </c>
      <c r="P33" s="24">
        <v>177</v>
      </c>
      <c r="Q33" s="24">
        <v>288</v>
      </c>
      <c r="R33" s="24">
        <v>0</v>
      </c>
      <c r="S33" s="24">
        <v>0</v>
      </c>
      <c r="T33" s="24">
        <v>530</v>
      </c>
    </row>
    <row r="34" spans="1:20">
      <c r="A34" s="9" t="s">
        <v>144</v>
      </c>
      <c r="B34" s="30" t="s">
        <v>145</v>
      </c>
      <c r="C34" s="30" t="str">
        <f>CONCATENATE(VOL_VOLUMEN_SUMINISTROS[[#This Row],[Proyecto]],VOL_VOLUMEN_SUMINISTROS[[#This Row],[J]],VOL_VOLUMEN_SUMINISTROS[[#This Row],[FIN DE SEMANA]])</f>
        <v>1052-1MNO</v>
      </c>
      <c r="D34" s="360" t="str">
        <f>CONCATENATE(VOL_VOLUMEN_SUMINISTROS[[#This Row],[Grupo]],VOL_VOLUMEN_SUMINISTROS[[#This Row],[Proyecto]],VOL_VOLUMEN_SUMINISTROS[[#This Row],[FIN DE SEMANA]])</f>
        <v>121052-1NO</v>
      </c>
      <c r="E34" s="30" t="s">
        <v>146</v>
      </c>
      <c r="F34" s="30" t="s">
        <v>147</v>
      </c>
      <c r="G34" s="360">
        <v>12</v>
      </c>
      <c r="H34" s="30">
        <v>8</v>
      </c>
      <c r="I34" s="9" t="s">
        <v>148</v>
      </c>
      <c r="J34" s="9" t="s">
        <v>171</v>
      </c>
      <c r="K34" s="30">
        <v>1</v>
      </c>
      <c r="L34" s="9" t="s">
        <v>172</v>
      </c>
      <c r="M34" s="30" t="s">
        <v>84</v>
      </c>
      <c r="N34" s="30" t="s">
        <v>151</v>
      </c>
      <c r="O34" s="24">
        <v>374</v>
      </c>
      <c r="P34" s="24">
        <v>598</v>
      </c>
      <c r="Q34" s="24">
        <v>785</v>
      </c>
      <c r="R34" s="24">
        <v>0</v>
      </c>
      <c r="S34" s="24">
        <v>0</v>
      </c>
      <c r="T34" s="24">
        <v>1757</v>
      </c>
    </row>
    <row r="35" spans="1:20">
      <c r="A35" s="9" t="s">
        <v>144</v>
      </c>
      <c r="B35" s="30" t="s">
        <v>145</v>
      </c>
      <c r="C35" s="30" t="str">
        <f>CONCATENATE(VOL_VOLUMEN_SUMINISTROS[[#This Row],[Proyecto]],VOL_VOLUMEN_SUMINISTROS[[#This Row],[J]],VOL_VOLUMEN_SUMINISTROS[[#This Row],[FIN DE SEMANA]])</f>
        <v>1052-1TNO</v>
      </c>
      <c r="D35" s="360" t="str">
        <f>CONCATENATE(VOL_VOLUMEN_SUMINISTROS[[#This Row],[Grupo]],VOL_VOLUMEN_SUMINISTROS[[#This Row],[Proyecto]],VOL_VOLUMEN_SUMINISTROS[[#This Row],[FIN DE SEMANA]])</f>
        <v>121052-1NO</v>
      </c>
      <c r="E35" s="30" t="s">
        <v>146</v>
      </c>
      <c r="F35" s="30" t="s">
        <v>147</v>
      </c>
      <c r="G35" s="360">
        <v>12</v>
      </c>
      <c r="H35" s="30">
        <v>8</v>
      </c>
      <c r="I35" s="9" t="s">
        <v>148</v>
      </c>
      <c r="J35" s="9" t="s">
        <v>171</v>
      </c>
      <c r="K35" s="30">
        <v>1</v>
      </c>
      <c r="L35" s="9" t="s">
        <v>172</v>
      </c>
      <c r="M35" s="30" t="s">
        <v>84</v>
      </c>
      <c r="N35" s="30" t="s">
        <v>154</v>
      </c>
      <c r="O35" s="24">
        <v>374</v>
      </c>
      <c r="P35" s="24">
        <v>581</v>
      </c>
      <c r="Q35" s="24">
        <v>744</v>
      </c>
      <c r="R35" s="24">
        <v>0</v>
      </c>
      <c r="S35" s="24">
        <v>0</v>
      </c>
      <c r="T35" s="24">
        <v>1699</v>
      </c>
    </row>
    <row r="36" spans="1:20">
      <c r="A36" s="9" t="s">
        <v>144</v>
      </c>
      <c r="B36" s="30" t="s">
        <v>145</v>
      </c>
      <c r="C36" s="30" t="str">
        <f>CONCATENATE(VOL_VOLUMEN_SUMINISTROS[[#This Row],[Proyecto]],VOL_VOLUMEN_SUMINISTROS[[#This Row],[J]],VOL_VOLUMEN_SUMINISTROS[[#This Row],[FIN DE SEMANA]])</f>
        <v>1052-1MNO</v>
      </c>
      <c r="D36" s="360" t="str">
        <f>CONCATENATE(VOL_VOLUMEN_SUMINISTROS[[#This Row],[Grupo]],VOL_VOLUMEN_SUMINISTROS[[#This Row],[Proyecto]],VOL_VOLUMEN_SUMINISTROS[[#This Row],[FIN DE SEMANA]])</f>
        <v>121052-1NO</v>
      </c>
      <c r="E36" s="30" t="s">
        <v>146</v>
      </c>
      <c r="F36" s="30" t="s">
        <v>147</v>
      </c>
      <c r="G36" s="360">
        <v>12</v>
      </c>
      <c r="H36" s="30">
        <v>8</v>
      </c>
      <c r="I36" s="9" t="s">
        <v>148</v>
      </c>
      <c r="J36" s="9" t="s">
        <v>173</v>
      </c>
      <c r="K36" s="30">
        <v>1</v>
      </c>
      <c r="L36" s="9" t="s">
        <v>174</v>
      </c>
      <c r="M36" s="30" t="s">
        <v>84</v>
      </c>
      <c r="N36" s="30" t="s">
        <v>151</v>
      </c>
      <c r="O36" s="24">
        <v>306</v>
      </c>
      <c r="P36" s="24">
        <v>448</v>
      </c>
      <c r="Q36" s="24">
        <v>607</v>
      </c>
      <c r="R36" s="24">
        <v>0</v>
      </c>
      <c r="S36" s="24">
        <v>0</v>
      </c>
      <c r="T36" s="24">
        <v>1361</v>
      </c>
    </row>
    <row r="37" spans="1:20">
      <c r="A37" s="9" t="s">
        <v>144</v>
      </c>
      <c r="B37" s="30" t="s">
        <v>145</v>
      </c>
      <c r="C37" s="30" t="str">
        <f>CONCATENATE(VOL_VOLUMEN_SUMINISTROS[[#This Row],[Proyecto]],VOL_VOLUMEN_SUMINISTROS[[#This Row],[J]],VOL_VOLUMEN_SUMINISTROS[[#This Row],[FIN DE SEMANA]])</f>
        <v>1052-1TNO</v>
      </c>
      <c r="D37" s="360" t="str">
        <f>CONCATENATE(VOL_VOLUMEN_SUMINISTROS[[#This Row],[Grupo]],VOL_VOLUMEN_SUMINISTROS[[#This Row],[Proyecto]],VOL_VOLUMEN_SUMINISTROS[[#This Row],[FIN DE SEMANA]])</f>
        <v>121052-1NO</v>
      </c>
      <c r="E37" s="30" t="s">
        <v>146</v>
      </c>
      <c r="F37" s="30" t="s">
        <v>147</v>
      </c>
      <c r="G37" s="360">
        <v>12</v>
      </c>
      <c r="H37" s="30">
        <v>8</v>
      </c>
      <c r="I37" s="9" t="s">
        <v>148</v>
      </c>
      <c r="J37" s="9" t="s">
        <v>173</v>
      </c>
      <c r="K37" s="30">
        <v>1</v>
      </c>
      <c r="L37" s="9" t="s">
        <v>174</v>
      </c>
      <c r="M37" s="30" t="s">
        <v>84</v>
      </c>
      <c r="N37" s="30" t="s">
        <v>154</v>
      </c>
      <c r="O37" s="24">
        <v>303</v>
      </c>
      <c r="P37" s="24">
        <v>476</v>
      </c>
      <c r="Q37" s="24">
        <v>551</v>
      </c>
      <c r="R37" s="24">
        <v>0</v>
      </c>
      <c r="S37" s="24">
        <v>0</v>
      </c>
      <c r="T37" s="24">
        <v>1330</v>
      </c>
    </row>
    <row r="38" spans="1:20">
      <c r="A38" s="9" t="s">
        <v>144</v>
      </c>
      <c r="B38" s="30" t="s">
        <v>145</v>
      </c>
      <c r="C38" s="30" t="str">
        <f>CONCATENATE(VOL_VOLUMEN_SUMINISTROS[[#This Row],[Proyecto]],VOL_VOLUMEN_SUMINISTROS[[#This Row],[J]],VOL_VOLUMEN_SUMINISTROS[[#This Row],[FIN DE SEMANA]])</f>
        <v>1052-1MNO</v>
      </c>
      <c r="D38" s="360" t="str">
        <f>CONCATENATE(VOL_VOLUMEN_SUMINISTROS[[#This Row],[Grupo]],VOL_VOLUMEN_SUMINISTROS[[#This Row],[Proyecto]],VOL_VOLUMEN_SUMINISTROS[[#This Row],[FIN DE SEMANA]])</f>
        <v>121052-1NO</v>
      </c>
      <c r="E38" s="30" t="s">
        <v>146</v>
      </c>
      <c r="F38" s="30" t="s">
        <v>147</v>
      </c>
      <c r="G38" s="360">
        <v>12</v>
      </c>
      <c r="H38" s="30">
        <v>8</v>
      </c>
      <c r="I38" s="9" t="s">
        <v>148</v>
      </c>
      <c r="J38" s="9" t="s">
        <v>175</v>
      </c>
      <c r="K38" s="30">
        <v>2</v>
      </c>
      <c r="L38" s="9" t="s">
        <v>176</v>
      </c>
      <c r="M38" s="30" t="s">
        <v>84</v>
      </c>
      <c r="N38" s="30" t="s">
        <v>151</v>
      </c>
      <c r="O38" s="24">
        <v>84</v>
      </c>
      <c r="P38" s="24">
        <v>55</v>
      </c>
      <c r="Q38" s="24">
        <v>8</v>
      </c>
      <c r="R38" s="24">
        <v>0</v>
      </c>
      <c r="S38" s="24">
        <v>0</v>
      </c>
      <c r="T38" s="24">
        <v>147</v>
      </c>
    </row>
    <row r="39" spans="1:20">
      <c r="A39" s="9" t="s">
        <v>144</v>
      </c>
      <c r="B39" s="30" t="s">
        <v>145</v>
      </c>
      <c r="C39" s="30" t="str">
        <f>CONCATENATE(VOL_VOLUMEN_SUMINISTROS[[#This Row],[Proyecto]],VOL_VOLUMEN_SUMINISTROS[[#This Row],[J]],VOL_VOLUMEN_SUMINISTROS[[#This Row],[FIN DE SEMANA]])</f>
        <v>1052-1TNO</v>
      </c>
      <c r="D39" s="360" t="str">
        <f>CONCATENATE(VOL_VOLUMEN_SUMINISTROS[[#This Row],[Grupo]],VOL_VOLUMEN_SUMINISTROS[[#This Row],[Proyecto]],VOL_VOLUMEN_SUMINISTROS[[#This Row],[FIN DE SEMANA]])</f>
        <v>121052-1NO</v>
      </c>
      <c r="E39" s="30" t="s">
        <v>146</v>
      </c>
      <c r="F39" s="30" t="s">
        <v>147</v>
      </c>
      <c r="G39" s="360">
        <v>12</v>
      </c>
      <c r="H39" s="30">
        <v>8</v>
      </c>
      <c r="I39" s="9" t="s">
        <v>148</v>
      </c>
      <c r="J39" s="9" t="s">
        <v>175</v>
      </c>
      <c r="K39" s="30">
        <v>2</v>
      </c>
      <c r="L39" s="9" t="s">
        <v>176</v>
      </c>
      <c r="M39" s="30" t="s">
        <v>84</v>
      </c>
      <c r="N39" s="30" t="s">
        <v>154</v>
      </c>
      <c r="O39" s="24">
        <v>88</v>
      </c>
      <c r="P39" s="24">
        <v>54</v>
      </c>
      <c r="Q39" s="24">
        <v>7</v>
      </c>
      <c r="R39" s="24">
        <v>0</v>
      </c>
      <c r="S39" s="24">
        <v>0</v>
      </c>
      <c r="T39" s="24">
        <v>149</v>
      </c>
    </row>
    <row r="40" spans="1:20">
      <c r="A40" s="9" t="s">
        <v>144</v>
      </c>
      <c r="B40" s="30" t="s">
        <v>145</v>
      </c>
      <c r="C40" s="30" t="str">
        <f>CONCATENATE(VOL_VOLUMEN_SUMINISTROS[[#This Row],[Proyecto]],VOL_VOLUMEN_SUMINISTROS[[#This Row],[J]],VOL_VOLUMEN_SUMINISTROS[[#This Row],[FIN DE SEMANA]])</f>
        <v>1052-1MNO</v>
      </c>
      <c r="D40" s="360" t="str">
        <f>CONCATENATE(VOL_VOLUMEN_SUMINISTROS[[#This Row],[Grupo]],VOL_VOLUMEN_SUMINISTROS[[#This Row],[Proyecto]],VOL_VOLUMEN_SUMINISTROS[[#This Row],[FIN DE SEMANA]])</f>
        <v>121052-1NO</v>
      </c>
      <c r="E40" s="30" t="s">
        <v>146</v>
      </c>
      <c r="F40" s="30" t="s">
        <v>147</v>
      </c>
      <c r="G40" s="360">
        <v>12</v>
      </c>
      <c r="H40" s="30">
        <v>8</v>
      </c>
      <c r="I40" s="9" t="s">
        <v>148</v>
      </c>
      <c r="J40" s="9" t="s">
        <v>177</v>
      </c>
      <c r="K40" s="30">
        <v>2</v>
      </c>
      <c r="L40" s="9" t="s">
        <v>178</v>
      </c>
      <c r="M40" s="30" t="s">
        <v>84</v>
      </c>
      <c r="N40" s="30" t="s">
        <v>151</v>
      </c>
      <c r="O40" s="24">
        <v>90</v>
      </c>
      <c r="P40" s="24">
        <v>0</v>
      </c>
      <c r="Q40" s="24">
        <v>0</v>
      </c>
      <c r="R40" s="24">
        <v>0</v>
      </c>
      <c r="S40" s="24">
        <v>0</v>
      </c>
      <c r="T40" s="24">
        <v>90</v>
      </c>
    </row>
    <row r="41" spans="1:20">
      <c r="A41" s="9" t="s">
        <v>144</v>
      </c>
      <c r="B41" s="30" t="s">
        <v>145</v>
      </c>
      <c r="C41" s="30" t="str">
        <f>CONCATENATE(VOL_VOLUMEN_SUMINISTROS[[#This Row],[Proyecto]],VOL_VOLUMEN_SUMINISTROS[[#This Row],[J]],VOL_VOLUMEN_SUMINISTROS[[#This Row],[FIN DE SEMANA]])</f>
        <v>1052-1MNO</v>
      </c>
      <c r="D41" s="360" t="str">
        <f>CONCATENATE(VOL_VOLUMEN_SUMINISTROS[[#This Row],[Grupo]],VOL_VOLUMEN_SUMINISTROS[[#This Row],[Proyecto]],VOL_VOLUMEN_SUMINISTROS[[#This Row],[FIN DE SEMANA]])</f>
        <v>121052-1NO</v>
      </c>
      <c r="E41" s="30" t="s">
        <v>146</v>
      </c>
      <c r="F41" s="30" t="s">
        <v>147</v>
      </c>
      <c r="G41" s="360">
        <v>12</v>
      </c>
      <c r="H41" s="30">
        <v>8</v>
      </c>
      <c r="I41" s="9" t="s">
        <v>148</v>
      </c>
      <c r="J41" s="9" t="s">
        <v>179</v>
      </c>
      <c r="K41" s="30">
        <v>1</v>
      </c>
      <c r="L41" s="9" t="s">
        <v>180</v>
      </c>
      <c r="M41" s="30" t="s">
        <v>84</v>
      </c>
      <c r="N41" s="30" t="s">
        <v>151</v>
      </c>
      <c r="O41" s="24">
        <v>314</v>
      </c>
      <c r="P41" s="24">
        <v>304</v>
      </c>
      <c r="Q41" s="24">
        <v>407</v>
      </c>
      <c r="R41" s="24">
        <v>0</v>
      </c>
      <c r="S41" s="24">
        <v>0</v>
      </c>
      <c r="T41" s="24">
        <v>1025</v>
      </c>
    </row>
    <row r="42" spans="1:20">
      <c r="A42" s="9" t="s">
        <v>144</v>
      </c>
      <c r="B42" s="30" t="s">
        <v>145</v>
      </c>
      <c r="C42" s="30" t="str">
        <f>CONCATENATE(VOL_VOLUMEN_SUMINISTROS[[#This Row],[Proyecto]],VOL_VOLUMEN_SUMINISTROS[[#This Row],[J]],VOL_VOLUMEN_SUMINISTROS[[#This Row],[FIN DE SEMANA]])</f>
        <v>1052-1TNO</v>
      </c>
      <c r="D42" s="360" t="str">
        <f>CONCATENATE(VOL_VOLUMEN_SUMINISTROS[[#This Row],[Grupo]],VOL_VOLUMEN_SUMINISTROS[[#This Row],[Proyecto]],VOL_VOLUMEN_SUMINISTROS[[#This Row],[FIN DE SEMANA]])</f>
        <v>121052-1NO</v>
      </c>
      <c r="E42" s="30" t="s">
        <v>146</v>
      </c>
      <c r="F42" s="30" t="s">
        <v>147</v>
      </c>
      <c r="G42" s="360">
        <v>12</v>
      </c>
      <c r="H42" s="30">
        <v>8</v>
      </c>
      <c r="I42" s="9" t="s">
        <v>148</v>
      </c>
      <c r="J42" s="9" t="s">
        <v>179</v>
      </c>
      <c r="K42" s="30">
        <v>1</v>
      </c>
      <c r="L42" s="9" t="s">
        <v>180</v>
      </c>
      <c r="M42" s="30" t="s">
        <v>84</v>
      </c>
      <c r="N42" s="30" t="s">
        <v>154</v>
      </c>
      <c r="O42" s="24">
        <v>323</v>
      </c>
      <c r="P42" s="24">
        <v>330</v>
      </c>
      <c r="Q42" s="24">
        <v>352</v>
      </c>
      <c r="R42" s="24">
        <v>0</v>
      </c>
      <c r="S42" s="24">
        <v>0</v>
      </c>
      <c r="T42" s="24">
        <v>1005</v>
      </c>
    </row>
    <row r="43" spans="1:20">
      <c r="A43" s="9" t="s">
        <v>144</v>
      </c>
      <c r="B43" s="30" t="s">
        <v>181</v>
      </c>
      <c r="C43" s="30" t="str">
        <f>CONCATENATE(VOL_VOLUMEN_SUMINISTROS[[#This Row],[Proyecto]],VOL_VOLUMEN_SUMINISTROS[[#This Row],[J]],VOL_VOLUMEN_SUMINISTROS[[#This Row],[FIN DE SEMANA]])</f>
        <v>1052-2MNO</v>
      </c>
      <c r="D43" s="360" t="str">
        <f>CONCATENATE(VOL_VOLUMEN_SUMINISTROS[[#This Row],[Grupo]],VOL_VOLUMEN_SUMINISTROS[[#This Row],[Proyecto]],VOL_VOLUMEN_SUMINISTROS[[#This Row],[FIN DE SEMANA]])</f>
        <v>121052-2NO</v>
      </c>
      <c r="E43" s="30" t="s">
        <v>182</v>
      </c>
      <c r="F43" s="30" t="s">
        <v>147</v>
      </c>
      <c r="G43" s="360">
        <v>12</v>
      </c>
      <c r="H43" s="30">
        <v>8</v>
      </c>
      <c r="I43" s="9" t="s">
        <v>148</v>
      </c>
      <c r="J43" s="9" t="s">
        <v>155</v>
      </c>
      <c r="K43" s="30">
        <v>1</v>
      </c>
      <c r="L43" s="9" t="s">
        <v>156</v>
      </c>
      <c r="M43" s="30" t="s">
        <v>84</v>
      </c>
      <c r="N43" s="30" t="s">
        <v>151</v>
      </c>
      <c r="O43" s="24">
        <v>0</v>
      </c>
      <c r="P43" s="24">
        <v>0</v>
      </c>
      <c r="Q43" s="24">
        <v>135</v>
      </c>
      <c r="R43" s="24">
        <v>0</v>
      </c>
      <c r="S43" s="24">
        <v>0</v>
      </c>
      <c r="T43" s="24">
        <v>135</v>
      </c>
    </row>
    <row r="44" spans="1:20">
      <c r="A44" s="9" t="s">
        <v>144</v>
      </c>
      <c r="B44" s="30" t="s">
        <v>181</v>
      </c>
      <c r="C44" s="30" t="str">
        <f>CONCATENATE(VOL_VOLUMEN_SUMINISTROS[[#This Row],[Proyecto]],VOL_VOLUMEN_SUMINISTROS[[#This Row],[J]],VOL_VOLUMEN_SUMINISTROS[[#This Row],[FIN DE SEMANA]])</f>
        <v>1052-2TNO</v>
      </c>
      <c r="D44" s="360" t="str">
        <f>CONCATENATE(VOL_VOLUMEN_SUMINISTROS[[#This Row],[Grupo]],VOL_VOLUMEN_SUMINISTROS[[#This Row],[Proyecto]],VOL_VOLUMEN_SUMINISTROS[[#This Row],[FIN DE SEMANA]])</f>
        <v>121052-2NO</v>
      </c>
      <c r="E44" s="30" t="s">
        <v>182</v>
      </c>
      <c r="F44" s="30" t="s">
        <v>147</v>
      </c>
      <c r="G44" s="360">
        <v>12</v>
      </c>
      <c r="H44" s="30">
        <v>8</v>
      </c>
      <c r="I44" s="9" t="s">
        <v>148</v>
      </c>
      <c r="J44" s="9" t="s">
        <v>155</v>
      </c>
      <c r="K44" s="30">
        <v>1</v>
      </c>
      <c r="L44" s="9" t="s">
        <v>156</v>
      </c>
      <c r="M44" s="30" t="s">
        <v>84</v>
      </c>
      <c r="N44" s="30" t="s">
        <v>154</v>
      </c>
      <c r="O44" s="24">
        <v>0</v>
      </c>
      <c r="P44" s="24">
        <v>0</v>
      </c>
      <c r="Q44" s="24">
        <v>140</v>
      </c>
      <c r="R44" s="24">
        <v>0</v>
      </c>
      <c r="S44" s="24">
        <v>0</v>
      </c>
      <c r="T44" s="24">
        <v>140</v>
      </c>
    </row>
    <row r="45" spans="1:20">
      <c r="A45" s="9" t="s">
        <v>144</v>
      </c>
      <c r="B45" s="30" t="s">
        <v>181</v>
      </c>
      <c r="C45" s="30" t="str">
        <f>CONCATENATE(VOL_VOLUMEN_SUMINISTROS[[#This Row],[Proyecto]],VOL_VOLUMEN_SUMINISTROS[[#This Row],[J]],VOL_VOLUMEN_SUMINISTROS[[#This Row],[FIN DE SEMANA]])</f>
        <v>1052-2MNO</v>
      </c>
      <c r="D45" s="360" t="str">
        <f>CONCATENATE(VOL_VOLUMEN_SUMINISTROS[[#This Row],[Grupo]],VOL_VOLUMEN_SUMINISTROS[[#This Row],[Proyecto]],VOL_VOLUMEN_SUMINISTROS[[#This Row],[FIN DE SEMANA]])</f>
        <v>121052-2NO</v>
      </c>
      <c r="E45" s="30" t="s">
        <v>182</v>
      </c>
      <c r="F45" s="30" t="s">
        <v>147</v>
      </c>
      <c r="G45" s="360">
        <v>12</v>
      </c>
      <c r="H45" s="30">
        <v>8</v>
      </c>
      <c r="I45" s="9" t="s">
        <v>148</v>
      </c>
      <c r="J45" s="9" t="s">
        <v>169</v>
      </c>
      <c r="K45" s="30">
        <v>1</v>
      </c>
      <c r="L45" s="9" t="s">
        <v>170</v>
      </c>
      <c r="M45" s="30" t="s">
        <v>84</v>
      </c>
      <c r="N45" s="30" t="s">
        <v>151</v>
      </c>
      <c r="O45" s="24">
        <v>0</v>
      </c>
      <c r="P45" s="24">
        <v>0</v>
      </c>
      <c r="Q45" s="24">
        <v>62</v>
      </c>
      <c r="R45" s="24">
        <v>0</v>
      </c>
      <c r="S45" s="24">
        <v>0</v>
      </c>
      <c r="T45" s="24">
        <v>62</v>
      </c>
    </row>
    <row r="46" spans="1:20">
      <c r="A46" s="9" t="s">
        <v>144</v>
      </c>
      <c r="B46" s="30" t="s">
        <v>183</v>
      </c>
      <c r="C46" s="30" t="str">
        <f>CONCATENATE(VOL_VOLUMEN_SUMINISTROS[[#This Row],[Proyecto]],VOL_VOLUMEN_SUMINISTROS[[#This Row],[J]],VOL_VOLUMEN_SUMINISTROS[[#This Row],[FIN DE SEMANA]])</f>
        <v>1052-2MNO</v>
      </c>
      <c r="D46" s="360" t="str">
        <f>CONCATENATE(VOL_VOLUMEN_SUMINISTROS[[#This Row],[Grupo]],VOL_VOLUMEN_SUMINISTROS[[#This Row],[Proyecto]],VOL_VOLUMEN_SUMINISTROS[[#This Row],[FIN DE SEMANA]])</f>
        <v>121052-2NO</v>
      </c>
      <c r="E46" s="30" t="s">
        <v>182</v>
      </c>
      <c r="F46" s="30" t="s">
        <v>147</v>
      </c>
      <c r="G46" s="360">
        <v>12</v>
      </c>
      <c r="H46" s="30">
        <v>8</v>
      </c>
      <c r="I46" s="9" t="s">
        <v>148</v>
      </c>
      <c r="J46" s="9" t="s">
        <v>155</v>
      </c>
      <c r="K46" s="30">
        <v>1</v>
      </c>
      <c r="L46" s="9" t="s">
        <v>156</v>
      </c>
      <c r="M46" s="30" t="s">
        <v>84</v>
      </c>
      <c r="N46" s="30" t="s">
        <v>151</v>
      </c>
      <c r="O46" s="24">
        <v>82</v>
      </c>
      <c r="P46" s="24">
        <v>0</v>
      </c>
      <c r="Q46" s="24">
        <v>0</v>
      </c>
      <c r="R46" s="24">
        <v>0</v>
      </c>
      <c r="S46" s="24">
        <v>0</v>
      </c>
      <c r="T46" s="24">
        <v>82</v>
      </c>
    </row>
    <row r="47" spans="1:20">
      <c r="A47" s="9" t="s">
        <v>144</v>
      </c>
      <c r="B47" s="30" t="s">
        <v>183</v>
      </c>
      <c r="C47" s="30" t="str">
        <f>CONCATENATE(VOL_VOLUMEN_SUMINISTROS[[#This Row],[Proyecto]],VOL_VOLUMEN_SUMINISTROS[[#This Row],[J]],VOL_VOLUMEN_SUMINISTROS[[#This Row],[FIN DE SEMANA]])</f>
        <v>1052-2TNO</v>
      </c>
      <c r="D47" s="360" t="str">
        <f>CONCATENATE(VOL_VOLUMEN_SUMINISTROS[[#This Row],[Grupo]],VOL_VOLUMEN_SUMINISTROS[[#This Row],[Proyecto]],VOL_VOLUMEN_SUMINISTROS[[#This Row],[FIN DE SEMANA]])</f>
        <v>121052-2NO</v>
      </c>
      <c r="E47" s="30" t="s">
        <v>182</v>
      </c>
      <c r="F47" s="30" t="s">
        <v>147</v>
      </c>
      <c r="G47" s="360">
        <v>12</v>
      </c>
      <c r="H47" s="30">
        <v>8</v>
      </c>
      <c r="I47" s="9" t="s">
        <v>148</v>
      </c>
      <c r="J47" s="9" t="s">
        <v>155</v>
      </c>
      <c r="K47" s="30">
        <v>1</v>
      </c>
      <c r="L47" s="9" t="s">
        <v>156</v>
      </c>
      <c r="M47" s="30" t="s">
        <v>84</v>
      </c>
      <c r="N47" s="30" t="s">
        <v>154</v>
      </c>
      <c r="O47" s="24">
        <v>82</v>
      </c>
      <c r="P47" s="24">
        <v>0</v>
      </c>
      <c r="Q47" s="24">
        <v>0</v>
      </c>
      <c r="R47" s="24">
        <v>0</v>
      </c>
      <c r="S47" s="24">
        <v>0</v>
      </c>
      <c r="T47" s="24">
        <v>82</v>
      </c>
    </row>
    <row r="48" spans="1:20">
      <c r="A48" s="9" t="s">
        <v>144</v>
      </c>
      <c r="B48" s="30" t="s">
        <v>183</v>
      </c>
      <c r="C48" s="30" t="str">
        <f>CONCATENATE(VOL_VOLUMEN_SUMINISTROS[[#This Row],[Proyecto]],VOL_VOLUMEN_SUMINISTROS[[#This Row],[J]],VOL_VOLUMEN_SUMINISTROS[[#This Row],[FIN DE SEMANA]])</f>
        <v>1052-2MNO</v>
      </c>
      <c r="D48" s="360" t="str">
        <f>CONCATENATE(VOL_VOLUMEN_SUMINISTROS[[#This Row],[Grupo]],VOL_VOLUMEN_SUMINISTROS[[#This Row],[Proyecto]],VOL_VOLUMEN_SUMINISTROS[[#This Row],[FIN DE SEMANA]])</f>
        <v>121052-2NO</v>
      </c>
      <c r="E48" s="30" t="s">
        <v>182</v>
      </c>
      <c r="F48" s="30" t="s">
        <v>147</v>
      </c>
      <c r="G48" s="360">
        <v>12</v>
      </c>
      <c r="H48" s="30">
        <v>8</v>
      </c>
      <c r="I48" s="9" t="s">
        <v>148</v>
      </c>
      <c r="J48" s="9" t="s">
        <v>155</v>
      </c>
      <c r="K48" s="30">
        <v>2</v>
      </c>
      <c r="L48" s="9" t="s">
        <v>157</v>
      </c>
      <c r="M48" s="30" t="s">
        <v>84</v>
      </c>
      <c r="N48" s="30" t="s">
        <v>151</v>
      </c>
      <c r="O48" s="24">
        <v>27</v>
      </c>
      <c r="P48" s="24">
        <v>0</v>
      </c>
      <c r="Q48" s="24">
        <v>0</v>
      </c>
      <c r="R48" s="24">
        <v>0</v>
      </c>
      <c r="S48" s="24">
        <v>0</v>
      </c>
      <c r="T48" s="24">
        <v>27</v>
      </c>
    </row>
    <row r="49" spans="1:20">
      <c r="A49" s="9" t="s">
        <v>144</v>
      </c>
      <c r="B49" s="30" t="s">
        <v>183</v>
      </c>
      <c r="C49" s="30" t="str">
        <f>CONCATENATE(VOL_VOLUMEN_SUMINISTROS[[#This Row],[Proyecto]],VOL_VOLUMEN_SUMINISTROS[[#This Row],[J]],VOL_VOLUMEN_SUMINISTROS[[#This Row],[FIN DE SEMANA]])</f>
        <v>1052-2TNO</v>
      </c>
      <c r="D49" s="360" t="str">
        <f>CONCATENATE(VOL_VOLUMEN_SUMINISTROS[[#This Row],[Grupo]],VOL_VOLUMEN_SUMINISTROS[[#This Row],[Proyecto]],VOL_VOLUMEN_SUMINISTROS[[#This Row],[FIN DE SEMANA]])</f>
        <v>121052-2NO</v>
      </c>
      <c r="E49" s="30" t="s">
        <v>182</v>
      </c>
      <c r="F49" s="30" t="s">
        <v>147</v>
      </c>
      <c r="G49" s="360">
        <v>12</v>
      </c>
      <c r="H49" s="30">
        <v>8</v>
      </c>
      <c r="I49" s="9" t="s">
        <v>148</v>
      </c>
      <c r="J49" s="9" t="s">
        <v>155</v>
      </c>
      <c r="K49" s="30">
        <v>2</v>
      </c>
      <c r="L49" s="9" t="s">
        <v>158</v>
      </c>
      <c r="M49" s="30" t="s">
        <v>84</v>
      </c>
      <c r="N49" s="30" t="s">
        <v>154</v>
      </c>
      <c r="O49" s="24">
        <v>27</v>
      </c>
      <c r="P49" s="24">
        <v>0</v>
      </c>
      <c r="Q49" s="24">
        <v>0</v>
      </c>
      <c r="R49" s="24">
        <v>0</v>
      </c>
      <c r="S49" s="24">
        <v>0</v>
      </c>
      <c r="T49" s="24">
        <v>27</v>
      </c>
    </row>
    <row r="50" spans="1:20">
      <c r="A50" s="9" t="s">
        <v>144</v>
      </c>
      <c r="B50" s="30" t="s">
        <v>183</v>
      </c>
      <c r="C50" s="30" t="str">
        <f>CONCATENATE(VOL_VOLUMEN_SUMINISTROS[[#This Row],[Proyecto]],VOL_VOLUMEN_SUMINISTROS[[#This Row],[J]],VOL_VOLUMEN_SUMINISTROS[[#This Row],[FIN DE SEMANA]])</f>
        <v>1052-2MNO</v>
      </c>
      <c r="D50" s="360" t="str">
        <f>CONCATENATE(VOL_VOLUMEN_SUMINISTROS[[#This Row],[Grupo]],VOL_VOLUMEN_SUMINISTROS[[#This Row],[Proyecto]],VOL_VOLUMEN_SUMINISTROS[[#This Row],[FIN DE SEMANA]])</f>
        <v>121052-2NO</v>
      </c>
      <c r="E50" s="30" t="s">
        <v>182</v>
      </c>
      <c r="F50" s="30" t="s">
        <v>147</v>
      </c>
      <c r="G50" s="360">
        <v>12</v>
      </c>
      <c r="H50" s="30">
        <v>8</v>
      </c>
      <c r="I50" s="9" t="s">
        <v>148</v>
      </c>
      <c r="J50" s="9" t="s">
        <v>159</v>
      </c>
      <c r="K50" s="30">
        <v>1</v>
      </c>
      <c r="L50" s="9" t="s">
        <v>160</v>
      </c>
      <c r="M50" s="30" t="s">
        <v>84</v>
      </c>
      <c r="N50" s="30" t="s">
        <v>151</v>
      </c>
      <c r="O50" s="24">
        <v>122</v>
      </c>
      <c r="P50" s="24">
        <v>0</v>
      </c>
      <c r="Q50" s="24">
        <v>0</v>
      </c>
      <c r="R50" s="24">
        <v>0</v>
      </c>
      <c r="S50" s="24">
        <v>0</v>
      </c>
      <c r="T50" s="24">
        <v>122</v>
      </c>
    </row>
    <row r="51" spans="1:20">
      <c r="A51" s="9" t="s">
        <v>144</v>
      </c>
      <c r="B51" s="30" t="s">
        <v>183</v>
      </c>
      <c r="C51" s="30" t="str">
        <f>CONCATENATE(VOL_VOLUMEN_SUMINISTROS[[#This Row],[Proyecto]],VOL_VOLUMEN_SUMINISTROS[[#This Row],[J]],VOL_VOLUMEN_SUMINISTROS[[#This Row],[FIN DE SEMANA]])</f>
        <v>1052-2TNO</v>
      </c>
      <c r="D51" s="360" t="str">
        <f>CONCATENATE(VOL_VOLUMEN_SUMINISTROS[[#This Row],[Grupo]],VOL_VOLUMEN_SUMINISTROS[[#This Row],[Proyecto]],VOL_VOLUMEN_SUMINISTROS[[#This Row],[FIN DE SEMANA]])</f>
        <v>121052-2NO</v>
      </c>
      <c r="E51" s="30" t="s">
        <v>182</v>
      </c>
      <c r="F51" s="30" t="s">
        <v>147</v>
      </c>
      <c r="G51" s="360">
        <v>12</v>
      </c>
      <c r="H51" s="30">
        <v>8</v>
      </c>
      <c r="I51" s="9" t="s">
        <v>148</v>
      </c>
      <c r="J51" s="9" t="s">
        <v>159</v>
      </c>
      <c r="K51" s="30">
        <v>1</v>
      </c>
      <c r="L51" s="9" t="s">
        <v>160</v>
      </c>
      <c r="M51" s="30" t="s">
        <v>84</v>
      </c>
      <c r="N51" s="30" t="s">
        <v>154</v>
      </c>
      <c r="O51" s="24">
        <v>120</v>
      </c>
      <c r="P51" s="24">
        <v>0</v>
      </c>
      <c r="Q51" s="24">
        <v>0</v>
      </c>
      <c r="R51" s="24">
        <v>0</v>
      </c>
      <c r="S51" s="24">
        <v>0</v>
      </c>
      <c r="T51" s="24">
        <v>120</v>
      </c>
    </row>
    <row r="52" spans="1:20">
      <c r="A52" s="9" t="s">
        <v>144</v>
      </c>
      <c r="B52" s="30" t="s">
        <v>184</v>
      </c>
      <c r="C52" s="30" t="str">
        <f>CONCATENATE(VOL_VOLUMEN_SUMINISTROS[[#This Row],[Proyecto]],VOL_VOLUMEN_SUMINISTROS[[#This Row],[J]],VOL_VOLUMEN_SUMINISTROS[[#This Row],[FIN DE SEMANA]])</f>
        <v>1052-1MNO</v>
      </c>
      <c r="D52" s="360" t="str">
        <f>CONCATENATE(VOL_VOLUMEN_SUMINISTROS[[#This Row],[Grupo]],VOL_VOLUMEN_SUMINISTROS[[#This Row],[Proyecto]],VOL_VOLUMEN_SUMINISTROS[[#This Row],[FIN DE SEMANA]])</f>
        <v>41052-1NO</v>
      </c>
      <c r="E52" s="30" t="s">
        <v>146</v>
      </c>
      <c r="F52" s="30" t="s">
        <v>147</v>
      </c>
      <c r="G52" s="360">
        <v>4</v>
      </c>
      <c r="H52" s="30">
        <v>8</v>
      </c>
      <c r="I52" s="9" t="s">
        <v>148</v>
      </c>
      <c r="J52" s="9" t="s">
        <v>185</v>
      </c>
      <c r="K52" s="30">
        <v>1</v>
      </c>
      <c r="L52" s="9" t="s">
        <v>186</v>
      </c>
      <c r="M52" s="30" t="s">
        <v>84</v>
      </c>
      <c r="N52" s="30" t="s">
        <v>151</v>
      </c>
      <c r="O52" s="24">
        <v>176</v>
      </c>
      <c r="P52" s="24">
        <v>246</v>
      </c>
      <c r="Q52" s="24">
        <v>321</v>
      </c>
      <c r="R52" s="24">
        <v>0</v>
      </c>
      <c r="S52" s="24">
        <v>0</v>
      </c>
      <c r="T52" s="24">
        <v>743</v>
      </c>
    </row>
    <row r="53" spans="1:20">
      <c r="A53" s="9" t="s">
        <v>144</v>
      </c>
      <c r="B53" s="30" t="s">
        <v>184</v>
      </c>
      <c r="C53" s="30" t="str">
        <f>CONCATENATE(VOL_VOLUMEN_SUMINISTROS[[#This Row],[Proyecto]],VOL_VOLUMEN_SUMINISTROS[[#This Row],[J]],VOL_VOLUMEN_SUMINISTROS[[#This Row],[FIN DE SEMANA]])</f>
        <v>1052-1NNO</v>
      </c>
      <c r="D53" s="360" t="str">
        <f>CONCATENATE(VOL_VOLUMEN_SUMINISTROS[[#This Row],[Grupo]],VOL_VOLUMEN_SUMINISTROS[[#This Row],[Proyecto]],VOL_VOLUMEN_SUMINISTROS[[#This Row],[FIN DE SEMANA]])</f>
        <v>41052-1NO</v>
      </c>
      <c r="E53" s="30" t="s">
        <v>146</v>
      </c>
      <c r="F53" s="30" t="s">
        <v>147</v>
      </c>
      <c r="G53" s="360">
        <v>4</v>
      </c>
      <c r="H53" s="30">
        <v>8</v>
      </c>
      <c r="I53" s="9" t="s">
        <v>148</v>
      </c>
      <c r="J53" s="9" t="s">
        <v>185</v>
      </c>
      <c r="K53" s="30">
        <v>1</v>
      </c>
      <c r="L53" s="9" t="s">
        <v>186</v>
      </c>
      <c r="M53" s="30" t="s">
        <v>84</v>
      </c>
      <c r="N53" s="30" t="s">
        <v>153</v>
      </c>
      <c r="O53" s="24">
        <v>0</v>
      </c>
      <c r="P53" s="24">
        <v>0</v>
      </c>
      <c r="Q53" s="24">
        <v>0</v>
      </c>
      <c r="R53" s="24">
        <v>144</v>
      </c>
      <c r="S53" s="24">
        <v>144</v>
      </c>
      <c r="T53" s="24">
        <v>288</v>
      </c>
    </row>
    <row r="54" spans="1:20">
      <c r="A54" s="9" t="s">
        <v>144</v>
      </c>
      <c r="B54" s="30" t="s">
        <v>184</v>
      </c>
      <c r="C54" s="30" t="str">
        <f>CONCATENATE(VOL_VOLUMEN_SUMINISTROS[[#This Row],[Proyecto]],VOL_VOLUMEN_SUMINISTROS[[#This Row],[J]],VOL_VOLUMEN_SUMINISTROS[[#This Row],[FIN DE SEMANA]])</f>
        <v>1052-1TNO</v>
      </c>
      <c r="D54" s="360" t="str">
        <f>CONCATENATE(VOL_VOLUMEN_SUMINISTROS[[#This Row],[Grupo]],VOL_VOLUMEN_SUMINISTROS[[#This Row],[Proyecto]],VOL_VOLUMEN_SUMINISTROS[[#This Row],[FIN DE SEMANA]])</f>
        <v>41052-1NO</v>
      </c>
      <c r="E54" s="30" t="s">
        <v>146</v>
      </c>
      <c r="F54" s="30" t="s">
        <v>147</v>
      </c>
      <c r="G54" s="360">
        <v>4</v>
      </c>
      <c r="H54" s="30">
        <v>8</v>
      </c>
      <c r="I54" s="9" t="s">
        <v>148</v>
      </c>
      <c r="J54" s="9" t="s">
        <v>185</v>
      </c>
      <c r="K54" s="30">
        <v>1</v>
      </c>
      <c r="L54" s="9" t="s">
        <v>186</v>
      </c>
      <c r="M54" s="30" t="s">
        <v>84</v>
      </c>
      <c r="N54" s="30" t="s">
        <v>154</v>
      </c>
      <c r="O54" s="24">
        <v>189</v>
      </c>
      <c r="P54" s="24">
        <v>276</v>
      </c>
      <c r="Q54" s="24">
        <v>282</v>
      </c>
      <c r="R54" s="24">
        <v>0</v>
      </c>
      <c r="S54" s="24">
        <v>0</v>
      </c>
      <c r="T54" s="24">
        <v>747</v>
      </c>
    </row>
    <row r="55" spans="1:20">
      <c r="A55" s="9" t="s">
        <v>144</v>
      </c>
      <c r="B55" s="30" t="s">
        <v>184</v>
      </c>
      <c r="C55" s="30" t="str">
        <f>CONCATENATE(VOL_VOLUMEN_SUMINISTROS[[#This Row],[Proyecto]],VOL_VOLUMEN_SUMINISTROS[[#This Row],[J]],VOL_VOLUMEN_SUMINISTROS[[#This Row],[FIN DE SEMANA]])</f>
        <v>1052-1MNO</v>
      </c>
      <c r="D55" s="360" t="str">
        <f>CONCATENATE(VOL_VOLUMEN_SUMINISTROS[[#This Row],[Grupo]],VOL_VOLUMEN_SUMINISTROS[[#This Row],[Proyecto]],VOL_VOLUMEN_SUMINISTROS[[#This Row],[FIN DE SEMANA]])</f>
        <v>41052-1NO</v>
      </c>
      <c r="E55" s="30" t="s">
        <v>146</v>
      </c>
      <c r="F55" s="30" t="s">
        <v>147</v>
      </c>
      <c r="G55" s="360">
        <v>4</v>
      </c>
      <c r="H55" s="30">
        <v>8</v>
      </c>
      <c r="I55" s="9" t="s">
        <v>148</v>
      </c>
      <c r="J55" s="9" t="s">
        <v>185</v>
      </c>
      <c r="K55" s="30">
        <v>2</v>
      </c>
      <c r="L55" s="9" t="s">
        <v>187</v>
      </c>
      <c r="M55" s="30" t="s">
        <v>84</v>
      </c>
      <c r="N55" s="30" t="s">
        <v>151</v>
      </c>
      <c r="O55" s="24">
        <v>0</v>
      </c>
      <c r="P55" s="24">
        <v>54</v>
      </c>
      <c r="Q55" s="24">
        <v>18</v>
      </c>
      <c r="R55" s="24">
        <v>0</v>
      </c>
      <c r="S55" s="24">
        <v>0</v>
      </c>
      <c r="T55" s="24">
        <v>72</v>
      </c>
    </row>
    <row r="56" spans="1:20">
      <c r="A56" s="9" t="s">
        <v>144</v>
      </c>
      <c r="B56" s="30" t="s">
        <v>184</v>
      </c>
      <c r="C56" s="30" t="str">
        <f>CONCATENATE(VOL_VOLUMEN_SUMINISTROS[[#This Row],[Proyecto]],VOL_VOLUMEN_SUMINISTROS[[#This Row],[J]],VOL_VOLUMEN_SUMINISTROS[[#This Row],[FIN DE SEMANA]])</f>
        <v>1052-1TNO</v>
      </c>
      <c r="D56" s="360" t="str">
        <f>CONCATENATE(VOL_VOLUMEN_SUMINISTROS[[#This Row],[Grupo]],VOL_VOLUMEN_SUMINISTROS[[#This Row],[Proyecto]],VOL_VOLUMEN_SUMINISTROS[[#This Row],[FIN DE SEMANA]])</f>
        <v>41052-1NO</v>
      </c>
      <c r="E56" s="30" t="s">
        <v>146</v>
      </c>
      <c r="F56" s="30" t="s">
        <v>147</v>
      </c>
      <c r="G56" s="360">
        <v>4</v>
      </c>
      <c r="H56" s="30">
        <v>8</v>
      </c>
      <c r="I56" s="9" t="s">
        <v>148</v>
      </c>
      <c r="J56" s="9" t="s">
        <v>185</v>
      </c>
      <c r="K56" s="30">
        <v>2</v>
      </c>
      <c r="L56" s="9" t="s">
        <v>187</v>
      </c>
      <c r="M56" s="30" t="s">
        <v>84</v>
      </c>
      <c r="N56" s="30" t="s">
        <v>154</v>
      </c>
      <c r="O56" s="24">
        <v>0</v>
      </c>
      <c r="P56" s="24">
        <v>57</v>
      </c>
      <c r="Q56" s="24">
        <v>19</v>
      </c>
      <c r="R56" s="24">
        <v>0</v>
      </c>
      <c r="S56" s="24">
        <v>0</v>
      </c>
      <c r="T56" s="24">
        <v>76</v>
      </c>
    </row>
    <row r="57" spans="1:20">
      <c r="A57" s="9" t="s">
        <v>144</v>
      </c>
      <c r="B57" s="30" t="s">
        <v>184</v>
      </c>
      <c r="C57" s="30" t="str">
        <f>CONCATENATE(VOL_VOLUMEN_SUMINISTROS[[#This Row],[Proyecto]],VOL_VOLUMEN_SUMINISTROS[[#This Row],[J]],VOL_VOLUMEN_SUMINISTROS[[#This Row],[FIN DE SEMANA]])</f>
        <v>1052-1MNO</v>
      </c>
      <c r="D57" s="360" t="str">
        <f>CONCATENATE(VOL_VOLUMEN_SUMINISTROS[[#This Row],[Grupo]],VOL_VOLUMEN_SUMINISTROS[[#This Row],[Proyecto]],VOL_VOLUMEN_SUMINISTROS[[#This Row],[FIN DE SEMANA]])</f>
        <v>41052-1NO</v>
      </c>
      <c r="E57" s="30" t="s">
        <v>146</v>
      </c>
      <c r="F57" s="30" t="s">
        <v>147</v>
      </c>
      <c r="G57" s="360">
        <v>4</v>
      </c>
      <c r="H57" s="30">
        <v>8</v>
      </c>
      <c r="I57" s="9" t="s">
        <v>148</v>
      </c>
      <c r="J57" s="9" t="s">
        <v>188</v>
      </c>
      <c r="K57" s="30">
        <v>1</v>
      </c>
      <c r="L57" s="9" t="s">
        <v>189</v>
      </c>
      <c r="M57" s="30" t="s">
        <v>84</v>
      </c>
      <c r="N57" s="30" t="s">
        <v>151</v>
      </c>
      <c r="O57" s="24">
        <v>202</v>
      </c>
      <c r="P57" s="24">
        <v>310</v>
      </c>
      <c r="Q57" s="24">
        <v>553</v>
      </c>
      <c r="R57" s="24">
        <v>0</v>
      </c>
      <c r="S57" s="24">
        <v>0</v>
      </c>
      <c r="T57" s="24">
        <v>1065</v>
      </c>
    </row>
    <row r="58" spans="1:20">
      <c r="A58" s="9" t="s">
        <v>144</v>
      </c>
      <c r="B58" s="30" t="s">
        <v>184</v>
      </c>
      <c r="C58" s="30" t="str">
        <f>CONCATENATE(VOL_VOLUMEN_SUMINISTROS[[#This Row],[Proyecto]],VOL_VOLUMEN_SUMINISTROS[[#This Row],[J]],VOL_VOLUMEN_SUMINISTROS[[#This Row],[FIN DE SEMANA]])</f>
        <v>1052-1TNO</v>
      </c>
      <c r="D58" s="360" t="str">
        <f>CONCATENATE(VOL_VOLUMEN_SUMINISTROS[[#This Row],[Grupo]],VOL_VOLUMEN_SUMINISTROS[[#This Row],[Proyecto]],VOL_VOLUMEN_SUMINISTROS[[#This Row],[FIN DE SEMANA]])</f>
        <v>41052-1NO</v>
      </c>
      <c r="E58" s="30" t="s">
        <v>146</v>
      </c>
      <c r="F58" s="30" t="s">
        <v>147</v>
      </c>
      <c r="G58" s="360">
        <v>4</v>
      </c>
      <c r="H58" s="30">
        <v>8</v>
      </c>
      <c r="I58" s="9" t="s">
        <v>148</v>
      </c>
      <c r="J58" s="9" t="s">
        <v>188</v>
      </c>
      <c r="K58" s="30">
        <v>1</v>
      </c>
      <c r="L58" s="9" t="s">
        <v>189</v>
      </c>
      <c r="M58" s="30" t="s">
        <v>84</v>
      </c>
      <c r="N58" s="30" t="s">
        <v>154</v>
      </c>
      <c r="O58" s="24">
        <v>194</v>
      </c>
      <c r="P58" s="24">
        <v>299</v>
      </c>
      <c r="Q58" s="24">
        <v>318</v>
      </c>
      <c r="R58" s="24">
        <v>0</v>
      </c>
      <c r="S58" s="24">
        <v>0</v>
      </c>
      <c r="T58" s="24">
        <v>811</v>
      </c>
    </row>
    <row r="59" spans="1:20">
      <c r="A59" s="9" t="s">
        <v>144</v>
      </c>
      <c r="B59" s="30" t="s">
        <v>184</v>
      </c>
      <c r="C59" s="30" t="str">
        <f>CONCATENATE(VOL_VOLUMEN_SUMINISTROS[[#This Row],[Proyecto]],VOL_VOLUMEN_SUMINISTROS[[#This Row],[J]],VOL_VOLUMEN_SUMINISTROS[[#This Row],[FIN DE SEMANA]])</f>
        <v>1052-1MNO</v>
      </c>
      <c r="D59" s="360" t="str">
        <f>CONCATENATE(VOL_VOLUMEN_SUMINISTROS[[#This Row],[Grupo]],VOL_VOLUMEN_SUMINISTROS[[#This Row],[Proyecto]],VOL_VOLUMEN_SUMINISTROS[[#This Row],[FIN DE SEMANA]])</f>
        <v>41052-1NO</v>
      </c>
      <c r="E59" s="30" t="s">
        <v>146</v>
      </c>
      <c r="F59" s="30" t="s">
        <v>147</v>
      </c>
      <c r="G59" s="360">
        <v>4</v>
      </c>
      <c r="H59" s="30">
        <v>8</v>
      </c>
      <c r="I59" s="9" t="s">
        <v>148</v>
      </c>
      <c r="J59" s="9" t="s">
        <v>188</v>
      </c>
      <c r="K59" s="30">
        <v>2</v>
      </c>
      <c r="L59" s="9" t="s">
        <v>190</v>
      </c>
      <c r="M59" s="30" t="s">
        <v>84</v>
      </c>
      <c r="N59" s="30" t="s">
        <v>151</v>
      </c>
      <c r="O59" s="24">
        <v>259</v>
      </c>
      <c r="P59" s="24">
        <v>170</v>
      </c>
      <c r="Q59" s="24">
        <v>35</v>
      </c>
      <c r="R59" s="24">
        <v>0</v>
      </c>
      <c r="S59" s="24">
        <v>0</v>
      </c>
      <c r="T59" s="24">
        <v>464</v>
      </c>
    </row>
    <row r="60" spans="1:20">
      <c r="A60" s="9" t="s">
        <v>144</v>
      </c>
      <c r="B60" s="30" t="s">
        <v>184</v>
      </c>
      <c r="C60" s="30" t="str">
        <f>CONCATENATE(VOL_VOLUMEN_SUMINISTROS[[#This Row],[Proyecto]],VOL_VOLUMEN_SUMINISTROS[[#This Row],[J]],VOL_VOLUMEN_SUMINISTROS[[#This Row],[FIN DE SEMANA]])</f>
        <v>1052-1TNO</v>
      </c>
      <c r="D60" s="360" t="str">
        <f>CONCATENATE(VOL_VOLUMEN_SUMINISTROS[[#This Row],[Grupo]],VOL_VOLUMEN_SUMINISTROS[[#This Row],[Proyecto]],VOL_VOLUMEN_SUMINISTROS[[#This Row],[FIN DE SEMANA]])</f>
        <v>41052-1NO</v>
      </c>
      <c r="E60" s="30" t="s">
        <v>146</v>
      </c>
      <c r="F60" s="30" t="s">
        <v>147</v>
      </c>
      <c r="G60" s="360">
        <v>4</v>
      </c>
      <c r="H60" s="30">
        <v>8</v>
      </c>
      <c r="I60" s="9" t="s">
        <v>148</v>
      </c>
      <c r="J60" s="9" t="s">
        <v>188</v>
      </c>
      <c r="K60" s="30">
        <v>2</v>
      </c>
      <c r="L60" s="9" t="s">
        <v>190</v>
      </c>
      <c r="M60" s="30" t="s">
        <v>84</v>
      </c>
      <c r="N60" s="30" t="s">
        <v>154</v>
      </c>
      <c r="O60" s="24">
        <v>219</v>
      </c>
      <c r="P60" s="24">
        <v>186</v>
      </c>
      <c r="Q60" s="24">
        <v>38</v>
      </c>
      <c r="R60" s="24">
        <v>0</v>
      </c>
      <c r="S60" s="24">
        <v>0</v>
      </c>
      <c r="T60" s="24">
        <v>443</v>
      </c>
    </row>
    <row r="61" spans="1:20">
      <c r="A61" s="9" t="s">
        <v>144</v>
      </c>
      <c r="B61" s="30" t="s">
        <v>184</v>
      </c>
      <c r="C61" s="30" t="str">
        <f>CONCATENATE(VOL_VOLUMEN_SUMINISTROS[[#This Row],[Proyecto]],VOL_VOLUMEN_SUMINISTROS[[#This Row],[J]],VOL_VOLUMEN_SUMINISTROS[[#This Row],[FIN DE SEMANA]])</f>
        <v>1052-1MNO</v>
      </c>
      <c r="D61" s="360" t="str">
        <f>CONCATENATE(VOL_VOLUMEN_SUMINISTROS[[#This Row],[Grupo]],VOL_VOLUMEN_SUMINISTROS[[#This Row],[Proyecto]],VOL_VOLUMEN_SUMINISTROS[[#This Row],[FIN DE SEMANA]])</f>
        <v>11052-1NO</v>
      </c>
      <c r="E61" s="30" t="s">
        <v>146</v>
      </c>
      <c r="F61" s="30" t="s">
        <v>147</v>
      </c>
      <c r="G61" s="360">
        <v>1</v>
      </c>
      <c r="H61" s="30">
        <v>8</v>
      </c>
      <c r="I61" s="9" t="s">
        <v>148</v>
      </c>
      <c r="J61" s="9" t="s">
        <v>191</v>
      </c>
      <c r="K61" s="30">
        <v>1</v>
      </c>
      <c r="L61" s="9" t="s">
        <v>152</v>
      </c>
      <c r="M61" s="30" t="s">
        <v>84</v>
      </c>
      <c r="N61" s="30" t="s">
        <v>151</v>
      </c>
      <c r="O61" s="24">
        <v>0</v>
      </c>
      <c r="P61" s="24">
        <v>246</v>
      </c>
      <c r="Q61" s="24">
        <v>630</v>
      </c>
      <c r="R61" s="24">
        <v>0</v>
      </c>
      <c r="S61" s="24">
        <v>0</v>
      </c>
      <c r="T61" s="24">
        <v>876</v>
      </c>
    </row>
    <row r="62" spans="1:20">
      <c r="A62" s="9" t="s">
        <v>144</v>
      </c>
      <c r="B62" s="30" t="s">
        <v>184</v>
      </c>
      <c r="C62" s="30" t="str">
        <f>CONCATENATE(VOL_VOLUMEN_SUMINISTROS[[#This Row],[Proyecto]],VOL_VOLUMEN_SUMINISTROS[[#This Row],[J]],VOL_VOLUMEN_SUMINISTROS[[#This Row],[FIN DE SEMANA]])</f>
        <v>1052-1TNO</v>
      </c>
      <c r="D62" s="360" t="str">
        <f>CONCATENATE(VOL_VOLUMEN_SUMINISTROS[[#This Row],[Grupo]],VOL_VOLUMEN_SUMINISTROS[[#This Row],[Proyecto]],VOL_VOLUMEN_SUMINISTROS[[#This Row],[FIN DE SEMANA]])</f>
        <v>11052-1NO</v>
      </c>
      <c r="E62" s="30" t="s">
        <v>146</v>
      </c>
      <c r="F62" s="30" t="s">
        <v>147</v>
      </c>
      <c r="G62" s="360">
        <v>1</v>
      </c>
      <c r="H62" s="30">
        <v>8</v>
      </c>
      <c r="I62" s="9" t="s">
        <v>148</v>
      </c>
      <c r="J62" s="9" t="s">
        <v>191</v>
      </c>
      <c r="K62" s="30">
        <v>1</v>
      </c>
      <c r="L62" s="9" t="s">
        <v>152</v>
      </c>
      <c r="M62" s="30" t="s">
        <v>84</v>
      </c>
      <c r="N62" s="30" t="s">
        <v>154</v>
      </c>
      <c r="O62" s="24">
        <v>0</v>
      </c>
      <c r="P62" s="24">
        <v>210</v>
      </c>
      <c r="Q62" s="24">
        <v>537</v>
      </c>
      <c r="R62" s="24">
        <v>0</v>
      </c>
      <c r="S62" s="24">
        <v>0</v>
      </c>
      <c r="T62" s="24">
        <v>747</v>
      </c>
    </row>
    <row r="63" spans="1:20">
      <c r="A63" s="9" t="s">
        <v>144</v>
      </c>
      <c r="B63" s="30" t="s">
        <v>184</v>
      </c>
      <c r="C63" s="30" t="str">
        <f>CONCATENATE(VOL_VOLUMEN_SUMINISTROS[[#This Row],[Proyecto]],VOL_VOLUMEN_SUMINISTROS[[#This Row],[J]],VOL_VOLUMEN_SUMINISTROS[[#This Row],[FIN DE SEMANA]])</f>
        <v>1052-1MNO</v>
      </c>
      <c r="D63" s="360" t="str">
        <f>CONCATENATE(VOL_VOLUMEN_SUMINISTROS[[#This Row],[Grupo]],VOL_VOLUMEN_SUMINISTROS[[#This Row],[Proyecto]],VOL_VOLUMEN_SUMINISTROS[[#This Row],[FIN DE SEMANA]])</f>
        <v>11052-1NO</v>
      </c>
      <c r="E63" s="30" t="s">
        <v>146</v>
      </c>
      <c r="F63" s="30" t="s">
        <v>147</v>
      </c>
      <c r="G63" s="360">
        <v>1</v>
      </c>
      <c r="H63" s="30">
        <v>8</v>
      </c>
      <c r="I63" s="9" t="s">
        <v>148</v>
      </c>
      <c r="J63" s="9" t="s">
        <v>191</v>
      </c>
      <c r="K63" s="30">
        <v>2</v>
      </c>
      <c r="L63" s="9" t="s">
        <v>192</v>
      </c>
      <c r="M63" s="30" t="s">
        <v>84</v>
      </c>
      <c r="N63" s="30" t="s">
        <v>151</v>
      </c>
      <c r="O63" s="24">
        <v>339</v>
      </c>
      <c r="P63" s="24">
        <v>94</v>
      </c>
      <c r="Q63" s="24">
        <v>0</v>
      </c>
      <c r="R63" s="24">
        <v>0</v>
      </c>
      <c r="S63" s="24">
        <v>0</v>
      </c>
      <c r="T63" s="24">
        <v>433</v>
      </c>
    </row>
    <row r="64" spans="1:20">
      <c r="A64" s="9" t="s">
        <v>144</v>
      </c>
      <c r="B64" s="30" t="s">
        <v>184</v>
      </c>
      <c r="C64" s="30" t="str">
        <f>CONCATENATE(VOL_VOLUMEN_SUMINISTROS[[#This Row],[Proyecto]],VOL_VOLUMEN_SUMINISTROS[[#This Row],[J]],VOL_VOLUMEN_SUMINISTROS[[#This Row],[FIN DE SEMANA]])</f>
        <v>1052-1TNO</v>
      </c>
      <c r="D64" s="360" t="str">
        <f>CONCATENATE(VOL_VOLUMEN_SUMINISTROS[[#This Row],[Grupo]],VOL_VOLUMEN_SUMINISTROS[[#This Row],[Proyecto]],VOL_VOLUMEN_SUMINISTROS[[#This Row],[FIN DE SEMANA]])</f>
        <v>11052-1NO</v>
      </c>
      <c r="E64" s="30" t="s">
        <v>146</v>
      </c>
      <c r="F64" s="30" t="s">
        <v>147</v>
      </c>
      <c r="G64" s="360">
        <v>1</v>
      </c>
      <c r="H64" s="30">
        <v>8</v>
      </c>
      <c r="I64" s="9" t="s">
        <v>148</v>
      </c>
      <c r="J64" s="9" t="s">
        <v>191</v>
      </c>
      <c r="K64" s="30">
        <v>2</v>
      </c>
      <c r="L64" s="9" t="s">
        <v>192</v>
      </c>
      <c r="M64" s="30" t="s">
        <v>84</v>
      </c>
      <c r="N64" s="30" t="s">
        <v>154</v>
      </c>
      <c r="O64" s="24">
        <v>329</v>
      </c>
      <c r="P64" s="24">
        <v>81</v>
      </c>
      <c r="Q64" s="24">
        <v>0</v>
      </c>
      <c r="R64" s="24">
        <v>0</v>
      </c>
      <c r="S64" s="24">
        <v>0</v>
      </c>
      <c r="T64" s="24">
        <v>410</v>
      </c>
    </row>
    <row r="65" spans="1:20">
      <c r="A65" s="9" t="s">
        <v>144</v>
      </c>
      <c r="B65" s="30" t="s">
        <v>184</v>
      </c>
      <c r="C65" s="30" t="str">
        <f>CONCATENATE(VOL_VOLUMEN_SUMINISTROS[[#This Row],[Proyecto]],VOL_VOLUMEN_SUMINISTROS[[#This Row],[J]],VOL_VOLUMEN_SUMINISTROS[[#This Row],[FIN DE SEMANA]])</f>
        <v>1052-1MNO</v>
      </c>
      <c r="D65" s="360" t="str">
        <f>CONCATENATE(VOL_VOLUMEN_SUMINISTROS[[#This Row],[Grupo]],VOL_VOLUMEN_SUMINISTROS[[#This Row],[Proyecto]],VOL_VOLUMEN_SUMINISTROS[[#This Row],[FIN DE SEMANA]])</f>
        <v>11052-1NO</v>
      </c>
      <c r="E65" s="30" t="s">
        <v>146</v>
      </c>
      <c r="F65" s="30" t="s">
        <v>147</v>
      </c>
      <c r="G65" s="360">
        <v>1</v>
      </c>
      <c r="H65" s="30">
        <v>8</v>
      </c>
      <c r="I65" s="9" t="s">
        <v>148</v>
      </c>
      <c r="J65" s="9" t="s">
        <v>191</v>
      </c>
      <c r="K65" s="30">
        <v>3</v>
      </c>
      <c r="L65" s="9" t="s">
        <v>193</v>
      </c>
      <c r="M65" s="30" t="s">
        <v>84</v>
      </c>
      <c r="N65" s="30" t="s">
        <v>151</v>
      </c>
      <c r="O65" s="24">
        <v>134</v>
      </c>
      <c r="P65" s="24">
        <v>316</v>
      </c>
      <c r="Q65" s="24">
        <v>83</v>
      </c>
      <c r="R65" s="24">
        <v>0</v>
      </c>
      <c r="S65" s="24">
        <v>0</v>
      </c>
      <c r="T65" s="24">
        <v>533</v>
      </c>
    </row>
    <row r="66" spans="1:20">
      <c r="A66" s="9" t="s">
        <v>144</v>
      </c>
      <c r="B66" s="30" t="s">
        <v>184</v>
      </c>
      <c r="C66" s="30" t="str">
        <f>CONCATENATE(VOL_VOLUMEN_SUMINISTROS[[#This Row],[Proyecto]],VOL_VOLUMEN_SUMINISTROS[[#This Row],[J]],VOL_VOLUMEN_SUMINISTROS[[#This Row],[FIN DE SEMANA]])</f>
        <v>1052-1TNO</v>
      </c>
      <c r="D66" s="360" t="str">
        <f>CONCATENATE(VOL_VOLUMEN_SUMINISTROS[[#This Row],[Grupo]],VOL_VOLUMEN_SUMINISTROS[[#This Row],[Proyecto]],VOL_VOLUMEN_SUMINISTROS[[#This Row],[FIN DE SEMANA]])</f>
        <v>11052-1NO</v>
      </c>
      <c r="E66" s="30" t="s">
        <v>146</v>
      </c>
      <c r="F66" s="30" t="s">
        <v>147</v>
      </c>
      <c r="G66" s="360">
        <v>1</v>
      </c>
      <c r="H66" s="30">
        <v>8</v>
      </c>
      <c r="I66" s="9" t="s">
        <v>148</v>
      </c>
      <c r="J66" s="9" t="s">
        <v>191</v>
      </c>
      <c r="K66" s="30">
        <v>3</v>
      </c>
      <c r="L66" s="9" t="s">
        <v>193</v>
      </c>
      <c r="M66" s="30" t="s">
        <v>84</v>
      </c>
      <c r="N66" s="30" t="s">
        <v>154</v>
      </c>
      <c r="O66" s="24">
        <v>164</v>
      </c>
      <c r="P66" s="24">
        <v>307</v>
      </c>
      <c r="Q66" s="24">
        <v>75</v>
      </c>
      <c r="R66" s="24">
        <v>0</v>
      </c>
      <c r="S66" s="24">
        <v>0</v>
      </c>
      <c r="T66" s="24">
        <v>546</v>
      </c>
    </row>
    <row r="67" spans="1:20">
      <c r="A67" s="9" t="s">
        <v>144</v>
      </c>
      <c r="B67" s="30" t="s">
        <v>184</v>
      </c>
      <c r="C67" s="30" t="str">
        <f>CONCATENATE(VOL_VOLUMEN_SUMINISTROS[[#This Row],[Proyecto]],VOL_VOLUMEN_SUMINISTROS[[#This Row],[J]],VOL_VOLUMEN_SUMINISTROS[[#This Row],[FIN DE SEMANA]])</f>
        <v>1052-1MNO</v>
      </c>
      <c r="D67" s="360" t="str">
        <f>CONCATENATE(VOL_VOLUMEN_SUMINISTROS[[#This Row],[Grupo]],VOL_VOLUMEN_SUMINISTROS[[#This Row],[Proyecto]],VOL_VOLUMEN_SUMINISTROS[[#This Row],[FIN DE SEMANA]])</f>
        <v>41052-1NO</v>
      </c>
      <c r="E67" s="30" t="s">
        <v>146</v>
      </c>
      <c r="F67" s="30" t="s">
        <v>147</v>
      </c>
      <c r="G67" s="360">
        <v>4</v>
      </c>
      <c r="H67" s="30">
        <v>8</v>
      </c>
      <c r="I67" s="9" t="s">
        <v>148</v>
      </c>
      <c r="J67" s="9" t="s">
        <v>194</v>
      </c>
      <c r="K67" s="30">
        <v>1</v>
      </c>
      <c r="L67" s="9" t="s">
        <v>195</v>
      </c>
      <c r="M67" s="30" t="s">
        <v>84</v>
      </c>
      <c r="N67" s="30" t="s">
        <v>151</v>
      </c>
      <c r="O67" s="24">
        <v>346</v>
      </c>
      <c r="P67" s="24">
        <v>313</v>
      </c>
      <c r="Q67" s="24">
        <v>58</v>
      </c>
      <c r="R67" s="24">
        <v>0</v>
      </c>
      <c r="S67" s="24">
        <v>0</v>
      </c>
      <c r="T67" s="24">
        <v>717</v>
      </c>
    </row>
    <row r="68" spans="1:20">
      <c r="A68" s="9" t="s">
        <v>144</v>
      </c>
      <c r="B68" s="30" t="s">
        <v>184</v>
      </c>
      <c r="C68" s="30" t="str">
        <f>CONCATENATE(VOL_VOLUMEN_SUMINISTROS[[#This Row],[Proyecto]],VOL_VOLUMEN_SUMINISTROS[[#This Row],[J]],VOL_VOLUMEN_SUMINISTROS[[#This Row],[FIN DE SEMANA]])</f>
        <v>1052-1TNO</v>
      </c>
      <c r="D68" s="360" t="str">
        <f>CONCATENATE(VOL_VOLUMEN_SUMINISTROS[[#This Row],[Grupo]],VOL_VOLUMEN_SUMINISTROS[[#This Row],[Proyecto]],VOL_VOLUMEN_SUMINISTROS[[#This Row],[FIN DE SEMANA]])</f>
        <v>41052-1NO</v>
      </c>
      <c r="E68" s="30" t="s">
        <v>146</v>
      </c>
      <c r="F68" s="30" t="s">
        <v>147</v>
      </c>
      <c r="G68" s="360">
        <v>4</v>
      </c>
      <c r="H68" s="30">
        <v>8</v>
      </c>
      <c r="I68" s="9" t="s">
        <v>148</v>
      </c>
      <c r="J68" s="9" t="s">
        <v>194</v>
      </c>
      <c r="K68" s="30">
        <v>1</v>
      </c>
      <c r="L68" s="9" t="s">
        <v>195</v>
      </c>
      <c r="M68" s="30" t="s">
        <v>84</v>
      </c>
      <c r="N68" s="30" t="s">
        <v>154</v>
      </c>
      <c r="O68" s="24">
        <v>66</v>
      </c>
      <c r="P68" s="24">
        <v>198</v>
      </c>
      <c r="Q68" s="24">
        <v>431</v>
      </c>
      <c r="R68" s="24">
        <v>0</v>
      </c>
      <c r="S68" s="24">
        <v>0</v>
      </c>
      <c r="T68" s="24">
        <v>695</v>
      </c>
    </row>
    <row r="69" spans="1:20">
      <c r="A69" s="9" t="s">
        <v>144</v>
      </c>
      <c r="B69" s="30" t="s">
        <v>184</v>
      </c>
      <c r="C69" s="30" t="str">
        <f>CONCATENATE(VOL_VOLUMEN_SUMINISTROS[[#This Row],[Proyecto]],VOL_VOLUMEN_SUMINISTROS[[#This Row],[J]],VOL_VOLUMEN_SUMINISTROS[[#This Row],[FIN DE SEMANA]])</f>
        <v>1052-1MNO</v>
      </c>
      <c r="D69" s="360" t="str">
        <f>CONCATENATE(VOL_VOLUMEN_SUMINISTROS[[#This Row],[Grupo]],VOL_VOLUMEN_SUMINISTROS[[#This Row],[Proyecto]],VOL_VOLUMEN_SUMINISTROS[[#This Row],[FIN DE SEMANA]])</f>
        <v>41052-1NO</v>
      </c>
      <c r="E69" s="30" t="s">
        <v>146</v>
      </c>
      <c r="F69" s="30" t="s">
        <v>147</v>
      </c>
      <c r="G69" s="360">
        <v>4</v>
      </c>
      <c r="H69" s="30">
        <v>8</v>
      </c>
      <c r="I69" s="9" t="s">
        <v>148</v>
      </c>
      <c r="J69" s="9" t="s">
        <v>194</v>
      </c>
      <c r="K69" s="30">
        <v>2</v>
      </c>
      <c r="L69" s="9" t="s">
        <v>196</v>
      </c>
      <c r="M69" s="30" t="s">
        <v>84</v>
      </c>
      <c r="N69" s="30" t="s">
        <v>151</v>
      </c>
      <c r="O69" s="24">
        <v>89</v>
      </c>
      <c r="P69" s="24">
        <v>99</v>
      </c>
      <c r="Q69" s="24">
        <v>22</v>
      </c>
      <c r="R69" s="24">
        <v>0</v>
      </c>
      <c r="S69" s="24">
        <v>0</v>
      </c>
      <c r="T69" s="24">
        <v>210</v>
      </c>
    </row>
    <row r="70" spans="1:20">
      <c r="A70" s="9" t="s">
        <v>144</v>
      </c>
      <c r="B70" s="30" t="s">
        <v>184</v>
      </c>
      <c r="C70" s="30" t="str">
        <f>CONCATENATE(VOL_VOLUMEN_SUMINISTROS[[#This Row],[Proyecto]],VOL_VOLUMEN_SUMINISTROS[[#This Row],[J]],VOL_VOLUMEN_SUMINISTROS[[#This Row],[FIN DE SEMANA]])</f>
        <v>1052-1TNO</v>
      </c>
      <c r="D70" s="360" t="str">
        <f>CONCATENATE(VOL_VOLUMEN_SUMINISTROS[[#This Row],[Grupo]],VOL_VOLUMEN_SUMINISTROS[[#This Row],[Proyecto]],VOL_VOLUMEN_SUMINISTROS[[#This Row],[FIN DE SEMANA]])</f>
        <v>41052-1NO</v>
      </c>
      <c r="E70" s="30" t="s">
        <v>146</v>
      </c>
      <c r="F70" s="30" t="s">
        <v>147</v>
      </c>
      <c r="G70" s="360">
        <v>4</v>
      </c>
      <c r="H70" s="30">
        <v>8</v>
      </c>
      <c r="I70" s="9" t="s">
        <v>148</v>
      </c>
      <c r="J70" s="9" t="s">
        <v>194</v>
      </c>
      <c r="K70" s="30">
        <v>2</v>
      </c>
      <c r="L70" s="9" t="s">
        <v>196</v>
      </c>
      <c r="M70" s="30" t="s">
        <v>84</v>
      </c>
      <c r="N70" s="30" t="s">
        <v>154</v>
      </c>
      <c r="O70" s="24">
        <v>91</v>
      </c>
      <c r="P70" s="24">
        <v>100</v>
      </c>
      <c r="Q70" s="24">
        <v>22</v>
      </c>
      <c r="R70" s="24">
        <v>0</v>
      </c>
      <c r="S70" s="24">
        <v>0</v>
      </c>
      <c r="T70" s="24">
        <v>213</v>
      </c>
    </row>
    <row r="71" spans="1:20">
      <c r="A71" s="9" t="s">
        <v>144</v>
      </c>
      <c r="B71" s="30" t="s">
        <v>184</v>
      </c>
      <c r="C71" s="30" t="str">
        <f>CONCATENATE(VOL_VOLUMEN_SUMINISTROS[[#This Row],[Proyecto]],VOL_VOLUMEN_SUMINISTROS[[#This Row],[J]],VOL_VOLUMEN_SUMINISTROS[[#This Row],[FIN DE SEMANA]])</f>
        <v>1052-1MNO</v>
      </c>
      <c r="D71" s="360" t="str">
        <f>CONCATENATE(VOL_VOLUMEN_SUMINISTROS[[#This Row],[Grupo]],VOL_VOLUMEN_SUMINISTROS[[#This Row],[Proyecto]],VOL_VOLUMEN_SUMINISTROS[[#This Row],[FIN DE SEMANA]])</f>
        <v>41052-1NO</v>
      </c>
      <c r="E71" s="30" t="s">
        <v>146</v>
      </c>
      <c r="F71" s="30" t="s">
        <v>147</v>
      </c>
      <c r="G71" s="360">
        <v>4</v>
      </c>
      <c r="H71" s="30">
        <v>8</v>
      </c>
      <c r="I71" s="9" t="s">
        <v>148</v>
      </c>
      <c r="J71" s="9" t="s">
        <v>194</v>
      </c>
      <c r="K71" s="30">
        <v>3</v>
      </c>
      <c r="L71" s="9" t="s">
        <v>196</v>
      </c>
      <c r="M71" s="30" t="s">
        <v>84</v>
      </c>
      <c r="N71" s="30" t="s">
        <v>151</v>
      </c>
      <c r="O71" s="24">
        <v>83</v>
      </c>
      <c r="P71" s="24">
        <v>0</v>
      </c>
      <c r="Q71" s="24">
        <v>0</v>
      </c>
      <c r="R71" s="24">
        <v>0</v>
      </c>
      <c r="S71" s="24">
        <v>0</v>
      </c>
      <c r="T71" s="24">
        <v>83</v>
      </c>
    </row>
    <row r="72" spans="1:20">
      <c r="A72" s="9" t="s">
        <v>144</v>
      </c>
      <c r="B72" s="30" t="s">
        <v>184</v>
      </c>
      <c r="C72" s="30" t="str">
        <f>CONCATENATE(VOL_VOLUMEN_SUMINISTROS[[#This Row],[Proyecto]],VOL_VOLUMEN_SUMINISTROS[[#This Row],[J]],VOL_VOLUMEN_SUMINISTROS[[#This Row],[FIN DE SEMANA]])</f>
        <v>1052-1MNO</v>
      </c>
      <c r="D72" s="360" t="str">
        <f>CONCATENATE(VOL_VOLUMEN_SUMINISTROS[[#This Row],[Grupo]],VOL_VOLUMEN_SUMINISTROS[[#This Row],[Proyecto]],VOL_VOLUMEN_SUMINISTROS[[#This Row],[FIN DE SEMANA]])</f>
        <v>41052-1NO</v>
      </c>
      <c r="E72" s="30" t="s">
        <v>146</v>
      </c>
      <c r="F72" s="30" t="s">
        <v>147</v>
      </c>
      <c r="G72" s="360">
        <v>4</v>
      </c>
      <c r="H72" s="30">
        <v>8</v>
      </c>
      <c r="I72" s="9" t="s">
        <v>148</v>
      </c>
      <c r="J72" s="9" t="s">
        <v>197</v>
      </c>
      <c r="K72" s="30">
        <v>1</v>
      </c>
      <c r="L72" s="9" t="s">
        <v>198</v>
      </c>
      <c r="M72" s="30" t="s">
        <v>84</v>
      </c>
      <c r="N72" s="30" t="s">
        <v>151</v>
      </c>
      <c r="O72" s="24">
        <v>101</v>
      </c>
      <c r="P72" s="24">
        <v>275</v>
      </c>
      <c r="Q72" s="24">
        <v>523</v>
      </c>
      <c r="R72" s="24">
        <v>0</v>
      </c>
      <c r="S72" s="24">
        <v>0</v>
      </c>
      <c r="T72" s="24">
        <v>899</v>
      </c>
    </row>
    <row r="73" spans="1:20">
      <c r="A73" s="9" t="s">
        <v>144</v>
      </c>
      <c r="B73" s="30" t="s">
        <v>184</v>
      </c>
      <c r="C73" s="30" t="str">
        <f>CONCATENATE(VOL_VOLUMEN_SUMINISTROS[[#This Row],[Proyecto]],VOL_VOLUMEN_SUMINISTROS[[#This Row],[J]],VOL_VOLUMEN_SUMINISTROS[[#This Row],[FIN DE SEMANA]])</f>
        <v>1052-1TNO</v>
      </c>
      <c r="D73" s="360" t="str">
        <f>CONCATENATE(VOL_VOLUMEN_SUMINISTROS[[#This Row],[Grupo]],VOL_VOLUMEN_SUMINISTROS[[#This Row],[Proyecto]],VOL_VOLUMEN_SUMINISTROS[[#This Row],[FIN DE SEMANA]])</f>
        <v>41052-1NO</v>
      </c>
      <c r="E73" s="30" t="s">
        <v>146</v>
      </c>
      <c r="F73" s="30" t="s">
        <v>147</v>
      </c>
      <c r="G73" s="360">
        <v>4</v>
      </c>
      <c r="H73" s="30">
        <v>8</v>
      </c>
      <c r="I73" s="9" t="s">
        <v>148</v>
      </c>
      <c r="J73" s="9" t="s">
        <v>197</v>
      </c>
      <c r="K73" s="30">
        <v>1</v>
      </c>
      <c r="L73" s="9" t="s">
        <v>198</v>
      </c>
      <c r="M73" s="30" t="s">
        <v>84</v>
      </c>
      <c r="N73" s="30" t="s">
        <v>154</v>
      </c>
      <c r="O73" s="24">
        <v>113</v>
      </c>
      <c r="P73" s="24">
        <v>282</v>
      </c>
      <c r="Q73" s="24">
        <v>441</v>
      </c>
      <c r="R73" s="24">
        <v>0</v>
      </c>
      <c r="S73" s="24">
        <v>0</v>
      </c>
      <c r="T73" s="24">
        <v>836</v>
      </c>
    </row>
    <row r="74" spans="1:20">
      <c r="A74" s="9" t="s">
        <v>144</v>
      </c>
      <c r="B74" s="30" t="s">
        <v>184</v>
      </c>
      <c r="C74" s="30" t="str">
        <f>CONCATENATE(VOL_VOLUMEN_SUMINISTROS[[#This Row],[Proyecto]],VOL_VOLUMEN_SUMINISTROS[[#This Row],[J]],VOL_VOLUMEN_SUMINISTROS[[#This Row],[FIN DE SEMANA]])</f>
        <v>1052-1MNO</v>
      </c>
      <c r="D74" s="360" t="str">
        <f>CONCATENATE(VOL_VOLUMEN_SUMINISTROS[[#This Row],[Grupo]],VOL_VOLUMEN_SUMINISTROS[[#This Row],[Proyecto]],VOL_VOLUMEN_SUMINISTROS[[#This Row],[FIN DE SEMANA]])</f>
        <v>41052-1NO</v>
      </c>
      <c r="E74" s="30" t="s">
        <v>146</v>
      </c>
      <c r="F74" s="30" t="s">
        <v>147</v>
      </c>
      <c r="G74" s="360">
        <v>4</v>
      </c>
      <c r="H74" s="30">
        <v>8</v>
      </c>
      <c r="I74" s="9" t="s">
        <v>148</v>
      </c>
      <c r="J74" s="9" t="s">
        <v>197</v>
      </c>
      <c r="K74" s="30">
        <v>2</v>
      </c>
      <c r="L74" s="9" t="s">
        <v>199</v>
      </c>
      <c r="M74" s="30" t="s">
        <v>84</v>
      </c>
      <c r="N74" s="30" t="s">
        <v>151</v>
      </c>
      <c r="O74" s="24">
        <v>151</v>
      </c>
      <c r="P74" s="24">
        <v>92</v>
      </c>
      <c r="Q74" s="24">
        <v>13</v>
      </c>
      <c r="R74" s="24">
        <v>0</v>
      </c>
      <c r="S74" s="24">
        <v>0</v>
      </c>
      <c r="T74" s="24">
        <v>256</v>
      </c>
    </row>
    <row r="75" spans="1:20">
      <c r="A75" s="9" t="s">
        <v>144</v>
      </c>
      <c r="B75" s="30" t="s">
        <v>184</v>
      </c>
      <c r="C75" s="30" t="str">
        <f>CONCATENATE(VOL_VOLUMEN_SUMINISTROS[[#This Row],[Proyecto]],VOL_VOLUMEN_SUMINISTROS[[#This Row],[J]],VOL_VOLUMEN_SUMINISTROS[[#This Row],[FIN DE SEMANA]])</f>
        <v>1052-1TNO</v>
      </c>
      <c r="D75" s="360" t="str">
        <f>CONCATENATE(VOL_VOLUMEN_SUMINISTROS[[#This Row],[Grupo]],VOL_VOLUMEN_SUMINISTROS[[#This Row],[Proyecto]],VOL_VOLUMEN_SUMINISTROS[[#This Row],[FIN DE SEMANA]])</f>
        <v>41052-1NO</v>
      </c>
      <c r="E75" s="30" t="s">
        <v>146</v>
      </c>
      <c r="F75" s="30" t="s">
        <v>147</v>
      </c>
      <c r="G75" s="360">
        <v>4</v>
      </c>
      <c r="H75" s="30">
        <v>8</v>
      </c>
      <c r="I75" s="9" t="s">
        <v>148</v>
      </c>
      <c r="J75" s="9" t="s">
        <v>197</v>
      </c>
      <c r="K75" s="30">
        <v>2</v>
      </c>
      <c r="L75" s="9" t="s">
        <v>199</v>
      </c>
      <c r="M75" s="30" t="s">
        <v>84</v>
      </c>
      <c r="N75" s="30" t="s">
        <v>154</v>
      </c>
      <c r="O75" s="24">
        <v>135</v>
      </c>
      <c r="P75" s="24">
        <v>73</v>
      </c>
      <c r="Q75" s="24">
        <v>12</v>
      </c>
      <c r="R75" s="24">
        <v>0</v>
      </c>
      <c r="S75" s="24">
        <v>0</v>
      </c>
      <c r="T75" s="24">
        <v>220</v>
      </c>
    </row>
    <row r="76" spans="1:20">
      <c r="A76" s="9" t="s">
        <v>144</v>
      </c>
      <c r="B76" s="30" t="s">
        <v>184</v>
      </c>
      <c r="C76" s="30" t="str">
        <f>CONCATENATE(VOL_VOLUMEN_SUMINISTROS[[#This Row],[Proyecto]],VOL_VOLUMEN_SUMINISTROS[[#This Row],[J]],VOL_VOLUMEN_SUMINISTROS[[#This Row],[FIN DE SEMANA]])</f>
        <v>1052-1MNO</v>
      </c>
      <c r="D76" s="360" t="str">
        <f>CONCATENATE(VOL_VOLUMEN_SUMINISTROS[[#This Row],[Grupo]],VOL_VOLUMEN_SUMINISTROS[[#This Row],[Proyecto]],VOL_VOLUMEN_SUMINISTROS[[#This Row],[FIN DE SEMANA]])</f>
        <v>41052-1NO</v>
      </c>
      <c r="E76" s="30" t="s">
        <v>146</v>
      </c>
      <c r="F76" s="30" t="s">
        <v>147</v>
      </c>
      <c r="G76" s="360">
        <v>4</v>
      </c>
      <c r="H76" s="30">
        <v>8</v>
      </c>
      <c r="I76" s="9" t="s">
        <v>148</v>
      </c>
      <c r="J76" s="9" t="s">
        <v>200</v>
      </c>
      <c r="K76" s="30">
        <v>1</v>
      </c>
      <c r="L76" s="9" t="s">
        <v>201</v>
      </c>
      <c r="M76" s="30" t="s">
        <v>84</v>
      </c>
      <c r="N76" s="30" t="s">
        <v>151</v>
      </c>
      <c r="O76" s="24">
        <v>0</v>
      </c>
      <c r="P76" s="24">
        <v>237</v>
      </c>
      <c r="Q76" s="24">
        <v>671</v>
      </c>
      <c r="R76" s="24">
        <v>0</v>
      </c>
      <c r="S76" s="24">
        <v>0</v>
      </c>
      <c r="T76" s="24">
        <v>908</v>
      </c>
    </row>
    <row r="77" spans="1:20">
      <c r="A77" s="9" t="s">
        <v>144</v>
      </c>
      <c r="B77" s="30" t="s">
        <v>184</v>
      </c>
      <c r="C77" s="30" t="str">
        <f>CONCATENATE(VOL_VOLUMEN_SUMINISTROS[[#This Row],[Proyecto]],VOL_VOLUMEN_SUMINISTROS[[#This Row],[J]],VOL_VOLUMEN_SUMINISTROS[[#This Row],[FIN DE SEMANA]])</f>
        <v>1052-1TNO</v>
      </c>
      <c r="D77" s="360" t="str">
        <f>CONCATENATE(VOL_VOLUMEN_SUMINISTROS[[#This Row],[Grupo]],VOL_VOLUMEN_SUMINISTROS[[#This Row],[Proyecto]],VOL_VOLUMEN_SUMINISTROS[[#This Row],[FIN DE SEMANA]])</f>
        <v>41052-1NO</v>
      </c>
      <c r="E77" s="30" t="s">
        <v>146</v>
      </c>
      <c r="F77" s="30" t="s">
        <v>147</v>
      </c>
      <c r="G77" s="360">
        <v>4</v>
      </c>
      <c r="H77" s="30">
        <v>8</v>
      </c>
      <c r="I77" s="9" t="s">
        <v>148</v>
      </c>
      <c r="J77" s="9" t="s">
        <v>200</v>
      </c>
      <c r="K77" s="30">
        <v>1</v>
      </c>
      <c r="L77" s="9" t="s">
        <v>201</v>
      </c>
      <c r="M77" s="30" t="s">
        <v>84</v>
      </c>
      <c r="N77" s="30" t="s">
        <v>154</v>
      </c>
      <c r="O77" s="24">
        <v>0</v>
      </c>
      <c r="P77" s="24">
        <v>162</v>
      </c>
      <c r="Q77" s="24">
        <v>462</v>
      </c>
      <c r="R77" s="24">
        <v>0</v>
      </c>
      <c r="S77" s="24">
        <v>0</v>
      </c>
      <c r="T77" s="24">
        <v>624</v>
      </c>
    </row>
    <row r="78" spans="1:20">
      <c r="A78" s="9" t="s">
        <v>144</v>
      </c>
      <c r="B78" s="30" t="s">
        <v>184</v>
      </c>
      <c r="C78" s="30" t="str">
        <f>CONCATENATE(VOL_VOLUMEN_SUMINISTROS[[#This Row],[Proyecto]],VOL_VOLUMEN_SUMINISTROS[[#This Row],[J]],VOL_VOLUMEN_SUMINISTROS[[#This Row],[FIN DE SEMANA]])</f>
        <v>1052-1MNO</v>
      </c>
      <c r="D78" s="360" t="str">
        <f>CONCATENATE(VOL_VOLUMEN_SUMINISTROS[[#This Row],[Grupo]],VOL_VOLUMEN_SUMINISTROS[[#This Row],[Proyecto]],VOL_VOLUMEN_SUMINISTROS[[#This Row],[FIN DE SEMANA]])</f>
        <v>41052-1NO</v>
      </c>
      <c r="E78" s="30" t="s">
        <v>146</v>
      </c>
      <c r="F78" s="30" t="s">
        <v>147</v>
      </c>
      <c r="G78" s="360">
        <v>4</v>
      </c>
      <c r="H78" s="30">
        <v>8</v>
      </c>
      <c r="I78" s="9" t="s">
        <v>148</v>
      </c>
      <c r="J78" s="9" t="s">
        <v>200</v>
      </c>
      <c r="K78" s="30">
        <v>2</v>
      </c>
      <c r="L78" s="9" t="s">
        <v>202</v>
      </c>
      <c r="M78" s="30" t="s">
        <v>84</v>
      </c>
      <c r="N78" s="30" t="s">
        <v>151</v>
      </c>
      <c r="O78" s="24">
        <v>107</v>
      </c>
      <c r="P78" s="24">
        <v>89</v>
      </c>
      <c r="Q78" s="24">
        <v>18</v>
      </c>
      <c r="R78" s="24">
        <v>0</v>
      </c>
      <c r="S78" s="24">
        <v>0</v>
      </c>
      <c r="T78" s="24">
        <v>214</v>
      </c>
    </row>
    <row r="79" spans="1:20">
      <c r="A79" s="9" t="s">
        <v>144</v>
      </c>
      <c r="B79" s="30" t="s">
        <v>184</v>
      </c>
      <c r="C79" s="30" t="str">
        <f>CONCATENATE(VOL_VOLUMEN_SUMINISTROS[[#This Row],[Proyecto]],VOL_VOLUMEN_SUMINISTROS[[#This Row],[J]],VOL_VOLUMEN_SUMINISTROS[[#This Row],[FIN DE SEMANA]])</f>
        <v>1052-1TNO</v>
      </c>
      <c r="D79" s="360" t="str">
        <f>CONCATENATE(VOL_VOLUMEN_SUMINISTROS[[#This Row],[Grupo]],VOL_VOLUMEN_SUMINISTROS[[#This Row],[Proyecto]],VOL_VOLUMEN_SUMINISTROS[[#This Row],[FIN DE SEMANA]])</f>
        <v>41052-1NO</v>
      </c>
      <c r="E79" s="30" t="s">
        <v>146</v>
      </c>
      <c r="F79" s="30" t="s">
        <v>147</v>
      </c>
      <c r="G79" s="360">
        <v>4</v>
      </c>
      <c r="H79" s="30">
        <v>8</v>
      </c>
      <c r="I79" s="9" t="s">
        <v>148</v>
      </c>
      <c r="J79" s="9" t="s">
        <v>200</v>
      </c>
      <c r="K79" s="30">
        <v>2</v>
      </c>
      <c r="L79" s="9" t="s">
        <v>202</v>
      </c>
      <c r="M79" s="30" t="s">
        <v>84</v>
      </c>
      <c r="N79" s="30" t="s">
        <v>154</v>
      </c>
      <c r="O79" s="24">
        <v>108</v>
      </c>
      <c r="P79" s="24">
        <v>84</v>
      </c>
      <c r="Q79" s="24">
        <v>17</v>
      </c>
      <c r="R79" s="24">
        <v>0</v>
      </c>
      <c r="S79" s="24">
        <v>0</v>
      </c>
      <c r="T79" s="24">
        <v>209</v>
      </c>
    </row>
    <row r="80" spans="1:20">
      <c r="A80" s="9" t="s">
        <v>144</v>
      </c>
      <c r="B80" s="30" t="s">
        <v>184</v>
      </c>
      <c r="C80" s="30" t="str">
        <f>CONCATENATE(VOL_VOLUMEN_SUMINISTROS[[#This Row],[Proyecto]],VOL_VOLUMEN_SUMINISTROS[[#This Row],[J]],VOL_VOLUMEN_SUMINISTROS[[#This Row],[FIN DE SEMANA]])</f>
        <v>1052-1MNO</v>
      </c>
      <c r="D80" s="360" t="str">
        <f>CONCATENATE(VOL_VOLUMEN_SUMINISTROS[[#This Row],[Grupo]],VOL_VOLUMEN_SUMINISTROS[[#This Row],[Proyecto]],VOL_VOLUMEN_SUMINISTROS[[#This Row],[FIN DE SEMANA]])</f>
        <v>41052-1NO</v>
      </c>
      <c r="E80" s="30" t="s">
        <v>146</v>
      </c>
      <c r="F80" s="30" t="s">
        <v>147</v>
      </c>
      <c r="G80" s="360">
        <v>4</v>
      </c>
      <c r="H80" s="30">
        <v>8</v>
      </c>
      <c r="I80" s="9" t="s">
        <v>148</v>
      </c>
      <c r="J80" s="9" t="s">
        <v>200</v>
      </c>
      <c r="K80" s="30">
        <v>3</v>
      </c>
      <c r="L80" s="9" t="s">
        <v>203</v>
      </c>
      <c r="M80" s="30" t="s">
        <v>84</v>
      </c>
      <c r="N80" s="30" t="s">
        <v>151</v>
      </c>
      <c r="O80" s="24">
        <v>92</v>
      </c>
      <c r="P80" s="24">
        <v>151</v>
      </c>
      <c r="Q80" s="24">
        <v>35</v>
      </c>
      <c r="R80" s="24">
        <v>0</v>
      </c>
      <c r="S80" s="24">
        <v>0</v>
      </c>
      <c r="T80" s="24">
        <v>278</v>
      </c>
    </row>
    <row r="81" spans="1:20">
      <c r="A81" s="9" t="s">
        <v>144</v>
      </c>
      <c r="B81" s="30" t="s">
        <v>184</v>
      </c>
      <c r="C81" s="30" t="str">
        <f>CONCATENATE(VOL_VOLUMEN_SUMINISTROS[[#This Row],[Proyecto]],VOL_VOLUMEN_SUMINISTROS[[#This Row],[J]],VOL_VOLUMEN_SUMINISTROS[[#This Row],[FIN DE SEMANA]])</f>
        <v>1052-1TNO</v>
      </c>
      <c r="D81" s="360" t="str">
        <f>CONCATENATE(VOL_VOLUMEN_SUMINISTROS[[#This Row],[Grupo]],VOL_VOLUMEN_SUMINISTROS[[#This Row],[Proyecto]],VOL_VOLUMEN_SUMINISTROS[[#This Row],[FIN DE SEMANA]])</f>
        <v>41052-1NO</v>
      </c>
      <c r="E81" s="30" t="s">
        <v>146</v>
      </c>
      <c r="F81" s="30" t="s">
        <v>147</v>
      </c>
      <c r="G81" s="360">
        <v>4</v>
      </c>
      <c r="H81" s="30">
        <v>8</v>
      </c>
      <c r="I81" s="9" t="s">
        <v>148</v>
      </c>
      <c r="J81" s="9" t="s">
        <v>200</v>
      </c>
      <c r="K81" s="30">
        <v>3</v>
      </c>
      <c r="L81" s="9" t="s">
        <v>203</v>
      </c>
      <c r="M81" s="30" t="s">
        <v>84</v>
      </c>
      <c r="N81" s="30" t="s">
        <v>154</v>
      </c>
      <c r="O81" s="24">
        <v>70</v>
      </c>
      <c r="P81" s="24">
        <v>140</v>
      </c>
      <c r="Q81" s="24">
        <v>35</v>
      </c>
      <c r="R81" s="24">
        <v>0</v>
      </c>
      <c r="S81" s="24">
        <v>0</v>
      </c>
      <c r="T81" s="24">
        <v>245</v>
      </c>
    </row>
    <row r="82" spans="1:20">
      <c r="A82" s="9" t="s">
        <v>144</v>
      </c>
      <c r="B82" s="30" t="s">
        <v>184</v>
      </c>
      <c r="C82" s="30" t="str">
        <f>CONCATENATE(VOL_VOLUMEN_SUMINISTROS[[#This Row],[Proyecto]],VOL_VOLUMEN_SUMINISTROS[[#This Row],[J]],VOL_VOLUMEN_SUMINISTROS[[#This Row],[FIN DE SEMANA]])</f>
        <v>1052-1MNO</v>
      </c>
      <c r="D82" s="360" t="str">
        <f>CONCATENATE(VOL_VOLUMEN_SUMINISTROS[[#This Row],[Grupo]],VOL_VOLUMEN_SUMINISTROS[[#This Row],[Proyecto]],VOL_VOLUMEN_SUMINISTROS[[#This Row],[FIN DE SEMANA]])</f>
        <v>41052-1NO</v>
      </c>
      <c r="E82" s="30" t="s">
        <v>146</v>
      </c>
      <c r="F82" s="30" t="s">
        <v>147</v>
      </c>
      <c r="G82" s="360">
        <v>4</v>
      </c>
      <c r="H82" s="30">
        <v>8</v>
      </c>
      <c r="I82" s="9" t="s">
        <v>148</v>
      </c>
      <c r="J82" s="9" t="s">
        <v>200</v>
      </c>
      <c r="K82" s="30">
        <v>4</v>
      </c>
      <c r="L82" s="9" t="s">
        <v>204</v>
      </c>
      <c r="M82" s="30" t="s">
        <v>84</v>
      </c>
      <c r="N82" s="30" t="s">
        <v>151</v>
      </c>
      <c r="O82" s="24">
        <v>153</v>
      </c>
      <c r="P82" s="24">
        <v>34</v>
      </c>
      <c r="Q82" s="24">
        <v>0</v>
      </c>
      <c r="R82" s="24">
        <v>0</v>
      </c>
      <c r="S82" s="24">
        <v>0</v>
      </c>
      <c r="T82" s="24">
        <v>187</v>
      </c>
    </row>
    <row r="83" spans="1:20">
      <c r="A83" s="9" t="s">
        <v>144</v>
      </c>
      <c r="B83" s="30" t="s">
        <v>184</v>
      </c>
      <c r="C83" s="30" t="str">
        <f>CONCATENATE(VOL_VOLUMEN_SUMINISTROS[[#This Row],[Proyecto]],VOL_VOLUMEN_SUMINISTROS[[#This Row],[J]],VOL_VOLUMEN_SUMINISTROS[[#This Row],[FIN DE SEMANA]])</f>
        <v>1052-1TNO</v>
      </c>
      <c r="D83" s="360" t="str">
        <f>CONCATENATE(VOL_VOLUMEN_SUMINISTROS[[#This Row],[Grupo]],VOL_VOLUMEN_SUMINISTROS[[#This Row],[Proyecto]],VOL_VOLUMEN_SUMINISTROS[[#This Row],[FIN DE SEMANA]])</f>
        <v>41052-1NO</v>
      </c>
      <c r="E83" s="30" t="s">
        <v>146</v>
      </c>
      <c r="F83" s="30" t="s">
        <v>147</v>
      </c>
      <c r="G83" s="360">
        <v>4</v>
      </c>
      <c r="H83" s="30">
        <v>8</v>
      </c>
      <c r="I83" s="9" t="s">
        <v>148</v>
      </c>
      <c r="J83" s="9" t="s">
        <v>200</v>
      </c>
      <c r="K83" s="30">
        <v>4</v>
      </c>
      <c r="L83" s="9" t="s">
        <v>204</v>
      </c>
      <c r="M83" s="30" t="s">
        <v>84</v>
      </c>
      <c r="N83" s="30" t="s">
        <v>154</v>
      </c>
      <c r="O83" s="24">
        <v>148</v>
      </c>
      <c r="P83" s="24">
        <v>35</v>
      </c>
      <c r="Q83" s="24">
        <v>0</v>
      </c>
      <c r="R83" s="24">
        <v>0</v>
      </c>
      <c r="S83" s="24">
        <v>0</v>
      </c>
      <c r="T83" s="24">
        <v>183</v>
      </c>
    </row>
    <row r="84" spans="1:20">
      <c r="A84" s="9" t="s">
        <v>144</v>
      </c>
      <c r="B84" s="30" t="s">
        <v>184</v>
      </c>
      <c r="C84" s="30" t="str">
        <f>CONCATENATE(VOL_VOLUMEN_SUMINISTROS[[#This Row],[Proyecto]],VOL_VOLUMEN_SUMINISTROS[[#This Row],[J]],VOL_VOLUMEN_SUMINISTROS[[#This Row],[FIN DE SEMANA]])</f>
        <v>1052-1MNO</v>
      </c>
      <c r="D84" s="360" t="str">
        <f>CONCATENATE(VOL_VOLUMEN_SUMINISTROS[[#This Row],[Grupo]],VOL_VOLUMEN_SUMINISTROS[[#This Row],[Proyecto]],VOL_VOLUMEN_SUMINISTROS[[#This Row],[FIN DE SEMANA]])</f>
        <v>41052-1NO</v>
      </c>
      <c r="E84" s="30" t="s">
        <v>146</v>
      </c>
      <c r="F84" s="30" t="s">
        <v>147</v>
      </c>
      <c r="G84" s="360">
        <v>4</v>
      </c>
      <c r="H84" s="30">
        <v>8</v>
      </c>
      <c r="I84" s="9" t="s">
        <v>148</v>
      </c>
      <c r="J84" s="9" t="s">
        <v>205</v>
      </c>
      <c r="K84" s="30">
        <v>1</v>
      </c>
      <c r="L84" s="9" t="s">
        <v>206</v>
      </c>
      <c r="M84" s="30" t="s">
        <v>84</v>
      </c>
      <c r="N84" s="30" t="s">
        <v>151</v>
      </c>
      <c r="O84" s="24">
        <v>476</v>
      </c>
      <c r="P84" s="24">
        <v>672</v>
      </c>
      <c r="Q84" s="24">
        <v>747</v>
      </c>
      <c r="R84" s="24">
        <v>0</v>
      </c>
      <c r="S84" s="24">
        <v>0</v>
      </c>
      <c r="T84" s="24">
        <v>1895</v>
      </c>
    </row>
    <row r="85" spans="1:20">
      <c r="A85" s="9" t="s">
        <v>144</v>
      </c>
      <c r="B85" s="30" t="s">
        <v>184</v>
      </c>
      <c r="C85" s="30" t="str">
        <f>CONCATENATE(VOL_VOLUMEN_SUMINISTROS[[#This Row],[Proyecto]],VOL_VOLUMEN_SUMINISTROS[[#This Row],[J]],VOL_VOLUMEN_SUMINISTROS[[#This Row],[FIN DE SEMANA]])</f>
        <v>1052-1TNO</v>
      </c>
      <c r="D85" s="360" t="str">
        <f>CONCATENATE(VOL_VOLUMEN_SUMINISTROS[[#This Row],[Grupo]],VOL_VOLUMEN_SUMINISTROS[[#This Row],[Proyecto]],VOL_VOLUMEN_SUMINISTROS[[#This Row],[FIN DE SEMANA]])</f>
        <v>41052-1NO</v>
      </c>
      <c r="E85" s="30" t="s">
        <v>146</v>
      </c>
      <c r="F85" s="30" t="s">
        <v>147</v>
      </c>
      <c r="G85" s="360">
        <v>4</v>
      </c>
      <c r="H85" s="30">
        <v>8</v>
      </c>
      <c r="I85" s="9" t="s">
        <v>148</v>
      </c>
      <c r="J85" s="9" t="s">
        <v>205</v>
      </c>
      <c r="K85" s="30">
        <v>1</v>
      </c>
      <c r="L85" s="9" t="s">
        <v>206</v>
      </c>
      <c r="M85" s="30" t="s">
        <v>84</v>
      </c>
      <c r="N85" s="30" t="s">
        <v>154</v>
      </c>
      <c r="O85" s="24">
        <v>470</v>
      </c>
      <c r="P85" s="24">
        <v>726</v>
      </c>
      <c r="Q85" s="24">
        <v>610</v>
      </c>
      <c r="R85" s="24">
        <v>0</v>
      </c>
      <c r="S85" s="24">
        <v>0</v>
      </c>
      <c r="T85" s="24">
        <v>1806</v>
      </c>
    </row>
    <row r="86" spans="1:20">
      <c r="A86" s="9" t="s">
        <v>144</v>
      </c>
      <c r="B86" s="30" t="s">
        <v>184</v>
      </c>
      <c r="C86" s="30" t="str">
        <f>CONCATENATE(VOL_VOLUMEN_SUMINISTROS[[#This Row],[Proyecto]],VOL_VOLUMEN_SUMINISTROS[[#This Row],[J]],VOL_VOLUMEN_SUMINISTROS[[#This Row],[FIN DE SEMANA]])</f>
        <v>1052-1MNO</v>
      </c>
      <c r="D86" s="360" t="str">
        <f>CONCATENATE(VOL_VOLUMEN_SUMINISTROS[[#This Row],[Grupo]],VOL_VOLUMEN_SUMINISTROS[[#This Row],[Proyecto]],VOL_VOLUMEN_SUMINISTROS[[#This Row],[FIN DE SEMANA]])</f>
        <v>41052-1NO</v>
      </c>
      <c r="E86" s="30" t="s">
        <v>146</v>
      </c>
      <c r="F86" s="30" t="s">
        <v>147</v>
      </c>
      <c r="G86" s="360">
        <v>4</v>
      </c>
      <c r="H86" s="30">
        <v>8</v>
      </c>
      <c r="I86" s="9" t="s">
        <v>148</v>
      </c>
      <c r="J86" s="9" t="s">
        <v>205</v>
      </c>
      <c r="K86" s="30">
        <v>2</v>
      </c>
      <c r="L86" s="9" t="s">
        <v>207</v>
      </c>
      <c r="M86" s="30" t="s">
        <v>84</v>
      </c>
      <c r="N86" s="30" t="s">
        <v>151</v>
      </c>
      <c r="O86" s="24">
        <v>156</v>
      </c>
      <c r="P86" s="24">
        <v>252</v>
      </c>
      <c r="Q86" s="24">
        <v>58</v>
      </c>
      <c r="R86" s="24">
        <v>0</v>
      </c>
      <c r="S86" s="24">
        <v>0</v>
      </c>
      <c r="T86" s="24">
        <v>466</v>
      </c>
    </row>
    <row r="87" spans="1:20">
      <c r="A87" s="9" t="s">
        <v>144</v>
      </c>
      <c r="B87" s="30" t="s">
        <v>184</v>
      </c>
      <c r="C87" s="30" t="str">
        <f>CONCATENATE(VOL_VOLUMEN_SUMINISTROS[[#This Row],[Proyecto]],VOL_VOLUMEN_SUMINISTROS[[#This Row],[J]],VOL_VOLUMEN_SUMINISTROS[[#This Row],[FIN DE SEMANA]])</f>
        <v>1052-1TNO</v>
      </c>
      <c r="D87" s="360" t="str">
        <f>CONCATENATE(VOL_VOLUMEN_SUMINISTROS[[#This Row],[Grupo]],VOL_VOLUMEN_SUMINISTROS[[#This Row],[Proyecto]],VOL_VOLUMEN_SUMINISTROS[[#This Row],[FIN DE SEMANA]])</f>
        <v>41052-1NO</v>
      </c>
      <c r="E87" s="30" t="s">
        <v>146</v>
      </c>
      <c r="F87" s="30" t="s">
        <v>147</v>
      </c>
      <c r="G87" s="360">
        <v>4</v>
      </c>
      <c r="H87" s="30">
        <v>8</v>
      </c>
      <c r="I87" s="9" t="s">
        <v>148</v>
      </c>
      <c r="J87" s="9" t="s">
        <v>205</v>
      </c>
      <c r="K87" s="30">
        <v>2</v>
      </c>
      <c r="L87" s="9" t="s">
        <v>207</v>
      </c>
      <c r="M87" s="30" t="s">
        <v>84</v>
      </c>
      <c r="N87" s="30" t="s">
        <v>154</v>
      </c>
      <c r="O87" s="24">
        <v>152</v>
      </c>
      <c r="P87" s="24">
        <v>232</v>
      </c>
      <c r="Q87" s="24">
        <v>52</v>
      </c>
      <c r="R87" s="24">
        <v>0</v>
      </c>
      <c r="S87" s="24">
        <v>0</v>
      </c>
      <c r="T87" s="24">
        <v>436</v>
      </c>
    </row>
    <row r="88" spans="1:20">
      <c r="A88" s="9" t="s">
        <v>144</v>
      </c>
      <c r="B88" s="30" t="s">
        <v>184</v>
      </c>
      <c r="C88" s="30" t="str">
        <f>CONCATENATE(VOL_VOLUMEN_SUMINISTROS[[#This Row],[Proyecto]],VOL_VOLUMEN_SUMINISTROS[[#This Row],[J]],VOL_VOLUMEN_SUMINISTROS[[#This Row],[FIN DE SEMANA]])</f>
        <v>1052-1MNO</v>
      </c>
      <c r="D88" s="360" t="str">
        <f>CONCATENATE(VOL_VOLUMEN_SUMINISTROS[[#This Row],[Grupo]],VOL_VOLUMEN_SUMINISTROS[[#This Row],[Proyecto]],VOL_VOLUMEN_SUMINISTROS[[#This Row],[FIN DE SEMANA]])</f>
        <v>41052-1NO</v>
      </c>
      <c r="E88" s="30" t="s">
        <v>146</v>
      </c>
      <c r="F88" s="30" t="s">
        <v>147</v>
      </c>
      <c r="G88" s="360">
        <v>4</v>
      </c>
      <c r="H88" s="30">
        <v>8</v>
      </c>
      <c r="I88" s="9" t="s">
        <v>148</v>
      </c>
      <c r="J88" s="9" t="s">
        <v>205</v>
      </c>
      <c r="K88" s="30">
        <v>3</v>
      </c>
      <c r="L88" s="9" t="s">
        <v>208</v>
      </c>
      <c r="M88" s="30" t="s">
        <v>84</v>
      </c>
      <c r="N88" s="30" t="s">
        <v>151</v>
      </c>
      <c r="O88" s="24">
        <v>176</v>
      </c>
      <c r="P88" s="24">
        <v>36</v>
      </c>
      <c r="Q88" s="24">
        <v>0</v>
      </c>
      <c r="R88" s="24">
        <v>0</v>
      </c>
      <c r="S88" s="24">
        <v>0</v>
      </c>
      <c r="T88" s="24">
        <v>212</v>
      </c>
    </row>
    <row r="89" spans="1:20">
      <c r="A89" s="9" t="s">
        <v>144</v>
      </c>
      <c r="B89" s="30" t="s">
        <v>184</v>
      </c>
      <c r="C89" s="30" t="str">
        <f>CONCATENATE(VOL_VOLUMEN_SUMINISTROS[[#This Row],[Proyecto]],VOL_VOLUMEN_SUMINISTROS[[#This Row],[J]],VOL_VOLUMEN_SUMINISTROS[[#This Row],[FIN DE SEMANA]])</f>
        <v>1052-1TNO</v>
      </c>
      <c r="D89" s="360" t="str">
        <f>CONCATENATE(VOL_VOLUMEN_SUMINISTROS[[#This Row],[Grupo]],VOL_VOLUMEN_SUMINISTROS[[#This Row],[Proyecto]],VOL_VOLUMEN_SUMINISTROS[[#This Row],[FIN DE SEMANA]])</f>
        <v>41052-1NO</v>
      </c>
      <c r="E89" s="30" t="s">
        <v>146</v>
      </c>
      <c r="F89" s="30" t="s">
        <v>147</v>
      </c>
      <c r="G89" s="360">
        <v>4</v>
      </c>
      <c r="H89" s="30">
        <v>8</v>
      </c>
      <c r="I89" s="9" t="s">
        <v>148</v>
      </c>
      <c r="J89" s="9" t="s">
        <v>205</v>
      </c>
      <c r="K89" s="30">
        <v>3</v>
      </c>
      <c r="L89" s="9" t="s">
        <v>208</v>
      </c>
      <c r="M89" s="30" t="s">
        <v>84</v>
      </c>
      <c r="N89" s="30" t="s">
        <v>154</v>
      </c>
      <c r="O89" s="24">
        <v>164</v>
      </c>
      <c r="P89" s="24">
        <v>33</v>
      </c>
      <c r="Q89" s="24">
        <v>0</v>
      </c>
      <c r="R89" s="24">
        <v>0</v>
      </c>
      <c r="S89" s="24">
        <v>0</v>
      </c>
      <c r="T89" s="24">
        <v>197</v>
      </c>
    </row>
    <row r="90" spans="1:20">
      <c r="A90" s="9" t="s">
        <v>144</v>
      </c>
      <c r="B90" s="30" t="s">
        <v>184</v>
      </c>
      <c r="C90" s="30" t="str">
        <f>CONCATENATE(VOL_VOLUMEN_SUMINISTROS[[#This Row],[Proyecto]],VOL_VOLUMEN_SUMINISTROS[[#This Row],[J]],VOL_VOLUMEN_SUMINISTROS[[#This Row],[FIN DE SEMANA]])</f>
        <v>1052-1MNO</v>
      </c>
      <c r="D90" s="360" t="str">
        <f>CONCATENATE(VOL_VOLUMEN_SUMINISTROS[[#This Row],[Grupo]],VOL_VOLUMEN_SUMINISTROS[[#This Row],[Proyecto]],VOL_VOLUMEN_SUMINISTROS[[#This Row],[FIN DE SEMANA]])</f>
        <v>41052-1NO</v>
      </c>
      <c r="E90" s="30" t="s">
        <v>146</v>
      </c>
      <c r="F90" s="30" t="s">
        <v>147</v>
      </c>
      <c r="G90" s="360">
        <v>4</v>
      </c>
      <c r="H90" s="30">
        <v>8</v>
      </c>
      <c r="I90" s="9" t="s">
        <v>148</v>
      </c>
      <c r="J90" s="9" t="s">
        <v>209</v>
      </c>
      <c r="K90" s="30">
        <v>1</v>
      </c>
      <c r="L90" s="9" t="s">
        <v>210</v>
      </c>
      <c r="M90" s="30" t="s">
        <v>84</v>
      </c>
      <c r="N90" s="30" t="s">
        <v>151</v>
      </c>
      <c r="O90" s="24">
        <v>170</v>
      </c>
      <c r="P90" s="24">
        <v>378</v>
      </c>
      <c r="Q90" s="24">
        <v>543</v>
      </c>
      <c r="R90" s="24">
        <v>0</v>
      </c>
      <c r="S90" s="24">
        <v>0</v>
      </c>
      <c r="T90" s="24">
        <v>1091</v>
      </c>
    </row>
    <row r="91" spans="1:20">
      <c r="A91" s="9" t="s">
        <v>144</v>
      </c>
      <c r="B91" s="30" t="s">
        <v>184</v>
      </c>
      <c r="C91" s="30" t="str">
        <f>CONCATENATE(VOL_VOLUMEN_SUMINISTROS[[#This Row],[Proyecto]],VOL_VOLUMEN_SUMINISTROS[[#This Row],[J]],VOL_VOLUMEN_SUMINISTROS[[#This Row],[FIN DE SEMANA]])</f>
        <v>1052-1TNO</v>
      </c>
      <c r="D91" s="360" t="str">
        <f>CONCATENATE(VOL_VOLUMEN_SUMINISTROS[[#This Row],[Grupo]],VOL_VOLUMEN_SUMINISTROS[[#This Row],[Proyecto]],VOL_VOLUMEN_SUMINISTROS[[#This Row],[FIN DE SEMANA]])</f>
        <v>41052-1NO</v>
      </c>
      <c r="E91" s="30" t="s">
        <v>146</v>
      </c>
      <c r="F91" s="30" t="s">
        <v>147</v>
      </c>
      <c r="G91" s="360">
        <v>4</v>
      </c>
      <c r="H91" s="30">
        <v>8</v>
      </c>
      <c r="I91" s="9" t="s">
        <v>148</v>
      </c>
      <c r="J91" s="9" t="s">
        <v>209</v>
      </c>
      <c r="K91" s="30">
        <v>1</v>
      </c>
      <c r="L91" s="9" t="s">
        <v>152</v>
      </c>
      <c r="M91" s="30" t="s">
        <v>84</v>
      </c>
      <c r="N91" s="30" t="s">
        <v>154</v>
      </c>
      <c r="O91" s="24">
        <v>111</v>
      </c>
      <c r="P91" s="24">
        <v>362</v>
      </c>
      <c r="Q91" s="24">
        <v>448</v>
      </c>
      <c r="R91" s="24">
        <v>0</v>
      </c>
      <c r="S91" s="24">
        <v>0</v>
      </c>
      <c r="T91" s="24">
        <v>921</v>
      </c>
    </row>
    <row r="92" spans="1:20">
      <c r="A92" s="9" t="s">
        <v>144</v>
      </c>
      <c r="B92" s="30" t="s">
        <v>184</v>
      </c>
      <c r="C92" s="30" t="str">
        <f>CONCATENATE(VOL_VOLUMEN_SUMINISTROS[[#This Row],[Proyecto]],VOL_VOLUMEN_SUMINISTROS[[#This Row],[J]],VOL_VOLUMEN_SUMINISTROS[[#This Row],[FIN DE SEMANA]])</f>
        <v>1052-1MNO</v>
      </c>
      <c r="D92" s="360" t="str">
        <f>CONCATENATE(VOL_VOLUMEN_SUMINISTROS[[#This Row],[Grupo]],VOL_VOLUMEN_SUMINISTROS[[#This Row],[Proyecto]],VOL_VOLUMEN_SUMINISTROS[[#This Row],[FIN DE SEMANA]])</f>
        <v>41052-1NO</v>
      </c>
      <c r="E92" s="30" t="s">
        <v>146</v>
      </c>
      <c r="F92" s="30" t="s">
        <v>147</v>
      </c>
      <c r="G92" s="360">
        <v>4</v>
      </c>
      <c r="H92" s="30">
        <v>8</v>
      </c>
      <c r="I92" s="9" t="s">
        <v>148</v>
      </c>
      <c r="J92" s="9" t="s">
        <v>209</v>
      </c>
      <c r="K92" s="30">
        <v>2</v>
      </c>
      <c r="L92" s="9" t="s">
        <v>211</v>
      </c>
      <c r="M92" s="30" t="s">
        <v>84</v>
      </c>
      <c r="N92" s="30" t="s">
        <v>151</v>
      </c>
      <c r="O92" s="24">
        <v>234</v>
      </c>
      <c r="P92" s="24">
        <v>67</v>
      </c>
      <c r="Q92" s="24">
        <v>0</v>
      </c>
      <c r="R92" s="24">
        <v>0</v>
      </c>
      <c r="S92" s="24">
        <v>0</v>
      </c>
      <c r="T92" s="24">
        <v>301</v>
      </c>
    </row>
    <row r="93" spans="1:20">
      <c r="A93" s="9" t="s">
        <v>144</v>
      </c>
      <c r="B93" s="30" t="s">
        <v>184</v>
      </c>
      <c r="C93" s="30" t="str">
        <f>CONCATENATE(VOL_VOLUMEN_SUMINISTROS[[#This Row],[Proyecto]],VOL_VOLUMEN_SUMINISTROS[[#This Row],[J]],VOL_VOLUMEN_SUMINISTROS[[#This Row],[FIN DE SEMANA]])</f>
        <v>1052-1TNO</v>
      </c>
      <c r="D93" s="360" t="str">
        <f>CONCATENATE(VOL_VOLUMEN_SUMINISTROS[[#This Row],[Grupo]],VOL_VOLUMEN_SUMINISTROS[[#This Row],[Proyecto]],VOL_VOLUMEN_SUMINISTROS[[#This Row],[FIN DE SEMANA]])</f>
        <v>41052-1NO</v>
      </c>
      <c r="E93" s="30" t="s">
        <v>146</v>
      </c>
      <c r="F93" s="30" t="s">
        <v>147</v>
      </c>
      <c r="G93" s="360">
        <v>4</v>
      </c>
      <c r="H93" s="30">
        <v>8</v>
      </c>
      <c r="I93" s="9" t="s">
        <v>148</v>
      </c>
      <c r="J93" s="9" t="s">
        <v>209</v>
      </c>
      <c r="K93" s="30">
        <v>2</v>
      </c>
      <c r="L93" s="9" t="s">
        <v>164</v>
      </c>
      <c r="M93" s="30" t="s">
        <v>84</v>
      </c>
      <c r="N93" s="30" t="s">
        <v>154</v>
      </c>
      <c r="O93" s="24">
        <v>223</v>
      </c>
      <c r="P93" s="24">
        <v>49</v>
      </c>
      <c r="Q93" s="24">
        <v>0</v>
      </c>
      <c r="R93" s="24">
        <v>0</v>
      </c>
      <c r="S93" s="24">
        <v>0</v>
      </c>
      <c r="T93" s="24">
        <v>272</v>
      </c>
    </row>
    <row r="94" spans="1:20">
      <c r="A94" s="9" t="s">
        <v>144</v>
      </c>
      <c r="B94" s="30" t="s">
        <v>184</v>
      </c>
      <c r="C94" s="30" t="str">
        <f>CONCATENATE(VOL_VOLUMEN_SUMINISTROS[[#This Row],[Proyecto]],VOL_VOLUMEN_SUMINISTROS[[#This Row],[J]],VOL_VOLUMEN_SUMINISTROS[[#This Row],[FIN DE SEMANA]])</f>
        <v>1052-1MNO</v>
      </c>
      <c r="D94" s="360" t="str">
        <f>CONCATENATE(VOL_VOLUMEN_SUMINISTROS[[#This Row],[Grupo]],VOL_VOLUMEN_SUMINISTROS[[#This Row],[Proyecto]],VOL_VOLUMEN_SUMINISTROS[[#This Row],[FIN DE SEMANA]])</f>
        <v>41052-1NO</v>
      </c>
      <c r="E94" s="30" t="s">
        <v>146</v>
      </c>
      <c r="F94" s="30" t="s">
        <v>147</v>
      </c>
      <c r="G94" s="360">
        <v>4</v>
      </c>
      <c r="H94" s="30">
        <v>8</v>
      </c>
      <c r="I94" s="9" t="s">
        <v>148</v>
      </c>
      <c r="J94" s="9" t="s">
        <v>212</v>
      </c>
      <c r="K94" s="30">
        <v>2</v>
      </c>
      <c r="L94" s="9" t="s">
        <v>213</v>
      </c>
      <c r="M94" s="30" t="s">
        <v>84</v>
      </c>
      <c r="N94" s="30" t="s">
        <v>151</v>
      </c>
      <c r="O94" s="24">
        <v>185</v>
      </c>
      <c r="P94" s="24">
        <v>300</v>
      </c>
      <c r="Q94" s="24">
        <v>376</v>
      </c>
      <c r="R94" s="24">
        <v>0</v>
      </c>
      <c r="S94" s="24">
        <v>0</v>
      </c>
      <c r="T94" s="24">
        <v>861</v>
      </c>
    </row>
    <row r="95" spans="1:20">
      <c r="A95" s="9" t="s">
        <v>144</v>
      </c>
      <c r="B95" s="30" t="s">
        <v>184</v>
      </c>
      <c r="C95" s="30" t="str">
        <f>CONCATENATE(VOL_VOLUMEN_SUMINISTROS[[#This Row],[Proyecto]],VOL_VOLUMEN_SUMINISTROS[[#This Row],[J]],VOL_VOLUMEN_SUMINISTROS[[#This Row],[FIN DE SEMANA]])</f>
        <v>1052-1TNO</v>
      </c>
      <c r="D95" s="360" t="str">
        <f>CONCATENATE(VOL_VOLUMEN_SUMINISTROS[[#This Row],[Grupo]],VOL_VOLUMEN_SUMINISTROS[[#This Row],[Proyecto]],VOL_VOLUMEN_SUMINISTROS[[#This Row],[FIN DE SEMANA]])</f>
        <v>41052-1NO</v>
      </c>
      <c r="E95" s="30" t="s">
        <v>146</v>
      </c>
      <c r="F95" s="30" t="s">
        <v>147</v>
      </c>
      <c r="G95" s="360">
        <v>4</v>
      </c>
      <c r="H95" s="30">
        <v>8</v>
      </c>
      <c r="I95" s="9" t="s">
        <v>148</v>
      </c>
      <c r="J95" s="9" t="s">
        <v>212</v>
      </c>
      <c r="K95" s="30">
        <v>2</v>
      </c>
      <c r="L95" s="9" t="s">
        <v>213</v>
      </c>
      <c r="M95" s="30" t="s">
        <v>84</v>
      </c>
      <c r="N95" s="30" t="s">
        <v>154</v>
      </c>
      <c r="O95" s="24">
        <v>189</v>
      </c>
      <c r="P95" s="24">
        <v>294</v>
      </c>
      <c r="Q95" s="24">
        <v>370</v>
      </c>
      <c r="R95" s="24">
        <v>0</v>
      </c>
      <c r="S95" s="24">
        <v>0</v>
      </c>
      <c r="T95" s="24">
        <v>853</v>
      </c>
    </row>
    <row r="96" spans="1:20">
      <c r="A96" s="9" t="s">
        <v>144</v>
      </c>
      <c r="B96" s="30" t="s">
        <v>214</v>
      </c>
      <c r="C96" s="30" t="str">
        <f>CONCATENATE(VOL_VOLUMEN_SUMINISTROS[[#This Row],[Proyecto]],VOL_VOLUMEN_SUMINISTROS[[#This Row],[J]],VOL_VOLUMEN_SUMINISTROS[[#This Row],[FIN DE SEMANA]])</f>
        <v>1052-2M1NO</v>
      </c>
      <c r="D96" s="360" t="str">
        <f>CONCATENATE(VOL_VOLUMEN_SUMINISTROS[[#This Row],[Grupo]],VOL_VOLUMEN_SUMINISTROS[[#This Row],[Proyecto]],VOL_VOLUMEN_SUMINISTROS[[#This Row],[FIN DE SEMANA]])</f>
        <v>41052-2NO</v>
      </c>
      <c r="E96" s="30" t="s">
        <v>182</v>
      </c>
      <c r="F96" s="30" t="s">
        <v>147</v>
      </c>
      <c r="G96" s="360">
        <v>4</v>
      </c>
      <c r="H96" s="30">
        <v>8</v>
      </c>
      <c r="I96" s="9" t="s">
        <v>148</v>
      </c>
      <c r="J96" s="9" t="s">
        <v>197</v>
      </c>
      <c r="K96" s="30">
        <v>1</v>
      </c>
      <c r="L96" s="9" t="s">
        <v>198</v>
      </c>
      <c r="M96" s="30" t="s">
        <v>84</v>
      </c>
      <c r="N96" s="30" t="s">
        <v>215</v>
      </c>
      <c r="O96" s="24">
        <v>38</v>
      </c>
      <c r="P96" s="24">
        <v>139</v>
      </c>
      <c r="Q96" s="24">
        <v>100</v>
      </c>
      <c r="R96" s="24">
        <v>0</v>
      </c>
      <c r="S96" s="24">
        <v>0</v>
      </c>
      <c r="T96" s="24">
        <v>277</v>
      </c>
    </row>
    <row r="97" spans="1:20">
      <c r="A97" s="9" t="s">
        <v>144</v>
      </c>
      <c r="B97" s="30" t="s">
        <v>214</v>
      </c>
      <c r="C97" s="30" t="str">
        <f>CONCATENATE(VOL_VOLUMEN_SUMINISTROS[[#This Row],[Proyecto]],VOL_VOLUMEN_SUMINISTROS[[#This Row],[J]],VOL_VOLUMEN_SUMINISTROS[[#This Row],[FIN DE SEMANA]])</f>
        <v>1052-2TNO</v>
      </c>
      <c r="D97" s="360" t="str">
        <f>CONCATENATE(VOL_VOLUMEN_SUMINISTROS[[#This Row],[Grupo]],VOL_VOLUMEN_SUMINISTROS[[#This Row],[Proyecto]],VOL_VOLUMEN_SUMINISTROS[[#This Row],[FIN DE SEMANA]])</f>
        <v>41052-2NO</v>
      </c>
      <c r="E97" s="30" t="s">
        <v>182</v>
      </c>
      <c r="F97" s="30" t="s">
        <v>147</v>
      </c>
      <c r="G97" s="360">
        <v>4</v>
      </c>
      <c r="H97" s="30">
        <v>8</v>
      </c>
      <c r="I97" s="9" t="s">
        <v>148</v>
      </c>
      <c r="J97" s="9" t="s">
        <v>197</v>
      </c>
      <c r="K97" s="30">
        <v>1</v>
      </c>
      <c r="L97" s="9" t="s">
        <v>198</v>
      </c>
      <c r="M97" s="30" t="s">
        <v>84</v>
      </c>
      <c r="N97" s="30" t="s">
        <v>154</v>
      </c>
      <c r="O97" s="24">
        <v>40</v>
      </c>
      <c r="P97" s="24">
        <v>155</v>
      </c>
      <c r="Q97" s="24">
        <v>105</v>
      </c>
      <c r="R97" s="24">
        <v>0</v>
      </c>
      <c r="S97" s="24">
        <v>0</v>
      </c>
      <c r="T97" s="24">
        <v>300</v>
      </c>
    </row>
    <row r="98" spans="1:20">
      <c r="A98" s="9" t="s">
        <v>144</v>
      </c>
      <c r="B98" s="30" t="s">
        <v>214</v>
      </c>
      <c r="C98" s="30" t="str">
        <f>CONCATENATE(VOL_VOLUMEN_SUMINISTROS[[#This Row],[Proyecto]],VOL_VOLUMEN_SUMINISTROS[[#This Row],[J]],VOL_VOLUMEN_SUMINISTROS[[#This Row],[FIN DE SEMANA]])</f>
        <v>1052-2M1NO</v>
      </c>
      <c r="D98" s="360" t="str">
        <f>CONCATENATE(VOL_VOLUMEN_SUMINISTROS[[#This Row],[Grupo]],VOL_VOLUMEN_SUMINISTROS[[#This Row],[Proyecto]],VOL_VOLUMEN_SUMINISTROS[[#This Row],[FIN DE SEMANA]])</f>
        <v>41052-2NO</v>
      </c>
      <c r="E98" s="30" t="s">
        <v>182</v>
      </c>
      <c r="F98" s="30" t="s">
        <v>147</v>
      </c>
      <c r="G98" s="360">
        <v>4</v>
      </c>
      <c r="H98" s="30">
        <v>8</v>
      </c>
      <c r="I98" s="9" t="s">
        <v>148</v>
      </c>
      <c r="J98" s="9" t="s">
        <v>197</v>
      </c>
      <c r="K98" s="30">
        <v>2</v>
      </c>
      <c r="L98" s="9" t="s">
        <v>199</v>
      </c>
      <c r="M98" s="30" t="s">
        <v>84</v>
      </c>
      <c r="N98" s="30" t="s">
        <v>215</v>
      </c>
      <c r="O98" s="24">
        <v>50</v>
      </c>
      <c r="P98" s="24">
        <v>70</v>
      </c>
      <c r="Q98" s="24">
        <v>15</v>
      </c>
      <c r="R98" s="24">
        <v>0</v>
      </c>
      <c r="S98" s="24">
        <v>0</v>
      </c>
      <c r="T98" s="24">
        <v>135</v>
      </c>
    </row>
    <row r="99" spans="1:20">
      <c r="A99" s="9" t="s">
        <v>144</v>
      </c>
      <c r="B99" s="30" t="s">
        <v>214</v>
      </c>
      <c r="C99" s="30" t="str">
        <f>CONCATENATE(VOL_VOLUMEN_SUMINISTROS[[#This Row],[Proyecto]],VOL_VOLUMEN_SUMINISTROS[[#This Row],[J]],VOL_VOLUMEN_SUMINISTROS[[#This Row],[FIN DE SEMANA]])</f>
        <v>1052-2TNO</v>
      </c>
      <c r="D99" s="360" t="str">
        <f>CONCATENATE(VOL_VOLUMEN_SUMINISTROS[[#This Row],[Grupo]],VOL_VOLUMEN_SUMINISTROS[[#This Row],[Proyecto]],VOL_VOLUMEN_SUMINISTROS[[#This Row],[FIN DE SEMANA]])</f>
        <v>41052-2NO</v>
      </c>
      <c r="E99" s="30" t="s">
        <v>182</v>
      </c>
      <c r="F99" s="30" t="s">
        <v>147</v>
      </c>
      <c r="G99" s="360">
        <v>4</v>
      </c>
      <c r="H99" s="30">
        <v>8</v>
      </c>
      <c r="I99" s="9" t="s">
        <v>148</v>
      </c>
      <c r="J99" s="9" t="s">
        <v>197</v>
      </c>
      <c r="K99" s="30">
        <v>2</v>
      </c>
      <c r="L99" s="9" t="s">
        <v>199</v>
      </c>
      <c r="M99" s="30" t="s">
        <v>84</v>
      </c>
      <c r="N99" s="30" t="s">
        <v>154</v>
      </c>
      <c r="O99" s="24">
        <v>74</v>
      </c>
      <c r="P99" s="24">
        <v>82</v>
      </c>
      <c r="Q99" s="24">
        <v>15</v>
      </c>
      <c r="R99" s="24">
        <v>0</v>
      </c>
      <c r="S99" s="24">
        <v>0</v>
      </c>
      <c r="T99" s="24">
        <v>171</v>
      </c>
    </row>
    <row r="100" spans="1:20">
      <c r="A100" s="9" t="s">
        <v>144</v>
      </c>
      <c r="B100" s="30" t="s">
        <v>216</v>
      </c>
      <c r="C100" s="30" t="str">
        <f>CONCATENATE(VOL_VOLUMEN_SUMINISTROS[[#This Row],[Proyecto]],VOL_VOLUMEN_SUMINISTROS[[#This Row],[J]],VOL_VOLUMEN_SUMINISTROS[[#This Row],[FIN DE SEMANA]])</f>
        <v>1052-2MNO</v>
      </c>
      <c r="D100" s="360" t="str">
        <f>CONCATENATE(VOL_VOLUMEN_SUMINISTROS[[#This Row],[Grupo]],VOL_VOLUMEN_SUMINISTROS[[#This Row],[Proyecto]],VOL_VOLUMEN_SUMINISTROS[[#This Row],[FIN DE SEMANA]])</f>
        <v>41052-2NO</v>
      </c>
      <c r="E100" s="30" t="s">
        <v>182</v>
      </c>
      <c r="F100" s="30" t="s">
        <v>147</v>
      </c>
      <c r="G100" s="360">
        <v>4</v>
      </c>
      <c r="H100" s="30">
        <v>8</v>
      </c>
      <c r="I100" s="9" t="s">
        <v>148</v>
      </c>
      <c r="J100" s="9" t="s">
        <v>185</v>
      </c>
      <c r="K100" s="30">
        <v>1</v>
      </c>
      <c r="L100" s="9" t="s">
        <v>186</v>
      </c>
      <c r="M100" s="30" t="s">
        <v>84</v>
      </c>
      <c r="N100" s="30" t="s">
        <v>151</v>
      </c>
      <c r="O100" s="24">
        <v>0</v>
      </c>
      <c r="P100" s="24">
        <v>0</v>
      </c>
      <c r="Q100" s="24">
        <v>70</v>
      </c>
      <c r="R100" s="24">
        <v>0</v>
      </c>
      <c r="S100" s="24">
        <v>0</v>
      </c>
      <c r="T100" s="24">
        <v>70</v>
      </c>
    </row>
    <row r="101" spans="1:20">
      <c r="A101" s="9" t="s">
        <v>144</v>
      </c>
      <c r="B101" s="30" t="s">
        <v>216</v>
      </c>
      <c r="C101" s="30" t="str">
        <f>CONCATENATE(VOL_VOLUMEN_SUMINISTROS[[#This Row],[Proyecto]],VOL_VOLUMEN_SUMINISTROS[[#This Row],[J]],VOL_VOLUMEN_SUMINISTROS[[#This Row],[FIN DE SEMANA]])</f>
        <v>1052-2TNO</v>
      </c>
      <c r="D101" s="360" t="str">
        <f>CONCATENATE(VOL_VOLUMEN_SUMINISTROS[[#This Row],[Grupo]],VOL_VOLUMEN_SUMINISTROS[[#This Row],[Proyecto]],VOL_VOLUMEN_SUMINISTROS[[#This Row],[FIN DE SEMANA]])</f>
        <v>41052-2NO</v>
      </c>
      <c r="E101" s="30" t="s">
        <v>182</v>
      </c>
      <c r="F101" s="30" t="s">
        <v>147</v>
      </c>
      <c r="G101" s="360">
        <v>4</v>
      </c>
      <c r="H101" s="30">
        <v>8</v>
      </c>
      <c r="I101" s="9" t="s">
        <v>148</v>
      </c>
      <c r="J101" s="9" t="s">
        <v>185</v>
      </c>
      <c r="K101" s="30">
        <v>1</v>
      </c>
      <c r="L101" s="9" t="s">
        <v>186</v>
      </c>
      <c r="M101" s="30" t="s">
        <v>84</v>
      </c>
      <c r="N101" s="30" t="s">
        <v>154</v>
      </c>
      <c r="O101" s="24">
        <v>0</v>
      </c>
      <c r="P101" s="24">
        <v>0</v>
      </c>
      <c r="Q101" s="24">
        <v>70</v>
      </c>
      <c r="R101" s="24">
        <v>0</v>
      </c>
      <c r="S101" s="24">
        <v>0</v>
      </c>
      <c r="T101" s="24">
        <v>70</v>
      </c>
    </row>
    <row r="102" spans="1:20">
      <c r="A102" s="9" t="s">
        <v>144</v>
      </c>
      <c r="B102" s="30" t="s">
        <v>216</v>
      </c>
      <c r="C102" s="30" t="str">
        <f>CONCATENATE(VOL_VOLUMEN_SUMINISTROS[[#This Row],[Proyecto]],VOL_VOLUMEN_SUMINISTROS[[#This Row],[J]],VOL_VOLUMEN_SUMINISTROS[[#This Row],[FIN DE SEMANA]])</f>
        <v>1052-2MNO</v>
      </c>
      <c r="D102" s="360" t="str">
        <f>CONCATENATE(VOL_VOLUMEN_SUMINISTROS[[#This Row],[Grupo]],VOL_VOLUMEN_SUMINISTROS[[#This Row],[Proyecto]],VOL_VOLUMEN_SUMINISTROS[[#This Row],[FIN DE SEMANA]])</f>
        <v>41052-2NO</v>
      </c>
      <c r="E102" s="30" t="s">
        <v>182</v>
      </c>
      <c r="F102" s="30" t="s">
        <v>147</v>
      </c>
      <c r="G102" s="360">
        <v>4</v>
      </c>
      <c r="H102" s="30">
        <v>8</v>
      </c>
      <c r="I102" s="9" t="s">
        <v>148</v>
      </c>
      <c r="J102" s="9" t="s">
        <v>188</v>
      </c>
      <c r="K102" s="30">
        <v>1</v>
      </c>
      <c r="L102" s="9" t="s">
        <v>189</v>
      </c>
      <c r="M102" s="30" t="s">
        <v>84</v>
      </c>
      <c r="N102" s="30" t="s">
        <v>151</v>
      </c>
      <c r="O102" s="24">
        <v>0</v>
      </c>
      <c r="P102" s="24">
        <v>0</v>
      </c>
      <c r="Q102" s="24">
        <v>56</v>
      </c>
      <c r="R102" s="24">
        <v>0</v>
      </c>
      <c r="S102" s="24">
        <v>0</v>
      </c>
      <c r="T102" s="24">
        <v>56</v>
      </c>
    </row>
    <row r="103" spans="1:20">
      <c r="A103" s="9" t="s">
        <v>144</v>
      </c>
      <c r="B103" s="30" t="s">
        <v>216</v>
      </c>
      <c r="C103" s="30" t="str">
        <f>CONCATENATE(VOL_VOLUMEN_SUMINISTROS[[#This Row],[Proyecto]],VOL_VOLUMEN_SUMINISTROS[[#This Row],[J]],VOL_VOLUMEN_SUMINISTROS[[#This Row],[FIN DE SEMANA]])</f>
        <v>1052-2TNO</v>
      </c>
      <c r="D103" s="360" t="str">
        <f>CONCATENATE(VOL_VOLUMEN_SUMINISTROS[[#This Row],[Grupo]],VOL_VOLUMEN_SUMINISTROS[[#This Row],[Proyecto]],VOL_VOLUMEN_SUMINISTROS[[#This Row],[FIN DE SEMANA]])</f>
        <v>41052-2NO</v>
      </c>
      <c r="E103" s="30" t="s">
        <v>182</v>
      </c>
      <c r="F103" s="30" t="s">
        <v>147</v>
      </c>
      <c r="G103" s="360">
        <v>4</v>
      </c>
      <c r="H103" s="30">
        <v>8</v>
      </c>
      <c r="I103" s="9" t="s">
        <v>148</v>
      </c>
      <c r="J103" s="9" t="s">
        <v>188</v>
      </c>
      <c r="K103" s="30">
        <v>1</v>
      </c>
      <c r="L103" s="9" t="s">
        <v>189</v>
      </c>
      <c r="M103" s="30" t="s">
        <v>84</v>
      </c>
      <c r="N103" s="30" t="s">
        <v>154</v>
      </c>
      <c r="O103" s="24">
        <v>0</v>
      </c>
      <c r="P103" s="24">
        <v>0</v>
      </c>
      <c r="Q103" s="24">
        <v>119</v>
      </c>
      <c r="R103" s="24">
        <v>0</v>
      </c>
      <c r="S103" s="24">
        <v>0</v>
      </c>
      <c r="T103" s="24">
        <v>119</v>
      </c>
    </row>
    <row r="104" spans="1:20">
      <c r="A104" s="9" t="s">
        <v>144</v>
      </c>
      <c r="B104" s="30" t="s">
        <v>216</v>
      </c>
      <c r="C104" s="30" t="str">
        <f>CONCATENATE(VOL_VOLUMEN_SUMINISTROS[[#This Row],[Proyecto]],VOL_VOLUMEN_SUMINISTROS[[#This Row],[J]],VOL_VOLUMEN_SUMINISTROS[[#This Row],[FIN DE SEMANA]])</f>
        <v>1052-2MNO</v>
      </c>
      <c r="D104" s="360" t="str">
        <f>CONCATENATE(VOL_VOLUMEN_SUMINISTROS[[#This Row],[Grupo]],VOL_VOLUMEN_SUMINISTROS[[#This Row],[Proyecto]],VOL_VOLUMEN_SUMINISTROS[[#This Row],[FIN DE SEMANA]])</f>
        <v>11052-2NO</v>
      </c>
      <c r="E104" s="30" t="s">
        <v>182</v>
      </c>
      <c r="F104" s="30" t="s">
        <v>147</v>
      </c>
      <c r="G104" s="360">
        <v>1</v>
      </c>
      <c r="H104" s="30">
        <v>8</v>
      </c>
      <c r="I104" s="9" t="s">
        <v>148</v>
      </c>
      <c r="J104" s="9" t="s">
        <v>191</v>
      </c>
      <c r="K104" s="30">
        <v>1</v>
      </c>
      <c r="L104" s="9" t="s">
        <v>152</v>
      </c>
      <c r="M104" s="30" t="s">
        <v>84</v>
      </c>
      <c r="N104" s="30" t="s">
        <v>151</v>
      </c>
      <c r="O104" s="24">
        <v>0</v>
      </c>
      <c r="P104" s="24">
        <v>0</v>
      </c>
      <c r="Q104" s="24">
        <v>147</v>
      </c>
      <c r="R104" s="24">
        <v>0</v>
      </c>
      <c r="S104" s="24">
        <v>0</v>
      </c>
      <c r="T104" s="24">
        <v>147</v>
      </c>
    </row>
    <row r="105" spans="1:20">
      <c r="A105" s="9" t="s">
        <v>144</v>
      </c>
      <c r="B105" s="30" t="s">
        <v>216</v>
      </c>
      <c r="C105" s="30" t="str">
        <f>CONCATENATE(VOL_VOLUMEN_SUMINISTROS[[#This Row],[Proyecto]],VOL_VOLUMEN_SUMINISTROS[[#This Row],[J]],VOL_VOLUMEN_SUMINISTROS[[#This Row],[FIN DE SEMANA]])</f>
        <v>1052-2TNO</v>
      </c>
      <c r="D105" s="360" t="str">
        <f>CONCATENATE(VOL_VOLUMEN_SUMINISTROS[[#This Row],[Grupo]],VOL_VOLUMEN_SUMINISTROS[[#This Row],[Proyecto]],VOL_VOLUMEN_SUMINISTROS[[#This Row],[FIN DE SEMANA]])</f>
        <v>11052-2NO</v>
      </c>
      <c r="E105" s="30" t="s">
        <v>182</v>
      </c>
      <c r="F105" s="30" t="s">
        <v>147</v>
      </c>
      <c r="G105" s="360">
        <v>1</v>
      </c>
      <c r="H105" s="30">
        <v>8</v>
      </c>
      <c r="I105" s="9" t="s">
        <v>148</v>
      </c>
      <c r="J105" s="9" t="s">
        <v>191</v>
      </c>
      <c r="K105" s="30">
        <v>1</v>
      </c>
      <c r="L105" s="9" t="s">
        <v>152</v>
      </c>
      <c r="M105" s="30" t="s">
        <v>84</v>
      </c>
      <c r="N105" s="30" t="s">
        <v>154</v>
      </c>
      <c r="O105" s="24">
        <v>0</v>
      </c>
      <c r="P105" s="24">
        <v>0</v>
      </c>
      <c r="Q105" s="24">
        <v>152</v>
      </c>
      <c r="R105" s="24">
        <v>0</v>
      </c>
      <c r="S105" s="24">
        <v>0</v>
      </c>
      <c r="T105" s="24">
        <v>152</v>
      </c>
    </row>
    <row r="106" spans="1:20">
      <c r="A106" s="9" t="s">
        <v>144</v>
      </c>
      <c r="B106" s="30" t="s">
        <v>216</v>
      </c>
      <c r="C106" s="30" t="str">
        <f>CONCATENATE(VOL_VOLUMEN_SUMINISTROS[[#This Row],[Proyecto]],VOL_VOLUMEN_SUMINISTROS[[#This Row],[J]],VOL_VOLUMEN_SUMINISTROS[[#This Row],[FIN DE SEMANA]])</f>
        <v>1052-2MNO</v>
      </c>
      <c r="D106" s="360" t="str">
        <f>CONCATENATE(VOL_VOLUMEN_SUMINISTROS[[#This Row],[Grupo]],VOL_VOLUMEN_SUMINISTROS[[#This Row],[Proyecto]],VOL_VOLUMEN_SUMINISTROS[[#This Row],[FIN DE SEMANA]])</f>
        <v>41052-2NO</v>
      </c>
      <c r="E106" s="30" t="s">
        <v>182</v>
      </c>
      <c r="F106" s="30" t="s">
        <v>147</v>
      </c>
      <c r="G106" s="360">
        <v>4</v>
      </c>
      <c r="H106" s="30">
        <v>8</v>
      </c>
      <c r="I106" s="9" t="s">
        <v>148</v>
      </c>
      <c r="J106" s="9" t="s">
        <v>197</v>
      </c>
      <c r="K106" s="30">
        <v>1</v>
      </c>
      <c r="L106" s="9" t="s">
        <v>198</v>
      </c>
      <c r="M106" s="30" t="s">
        <v>84</v>
      </c>
      <c r="N106" s="30" t="s">
        <v>151</v>
      </c>
      <c r="O106" s="24">
        <v>0</v>
      </c>
      <c r="P106" s="24">
        <v>0</v>
      </c>
      <c r="Q106" s="24">
        <v>120</v>
      </c>
      <c r="R106" s="24">
        <v>0</v>
      </c>
      <c r="S106" s="24">
        <v>0</v>
      </c>
      <c r="T106" s="24">
        <v>120</v>
      </c>
    </row>
    <row r="107" spans="1:20">
      <c r="A107" s="9" t="s">
        <v>144</v>
      </c>
      <c r="B107" s="30" t="s">
        <v>216</v>
      </c>
      <c r="C107" s="30" t="str">
        <f>CONCATENATE(VOL_VOLUMEN_SUMINISTROS[[#This Row],[Proyecto]],VOL_VOLUMEN_SUMINISTROS[[#This Row],[J]],VOL_VOLUMEN_SUMINISTROS[[#This Row],[FIN DE SEMANA]])</f>
        <v>1052-2TNO</v>
      </c>
      <c r="D107" s="360" t="str">
        <f>CONCATENATE(VOL_VOLUMEN_SUMINISTROS[[#This Row],[Grupo]],VOL_VOLUMEN_SUMINISTROS[[#This Row],[Proyecto]],VOL_VOLUMEN_SUMINISTROS[[#This Row],[FIN DE SEMANA]])</f>
        <v>41052-2NO</v>
      </c>
      <c r="E107" s="30" t="s">
        <v>182</v>
      </c>
      <c r="F107" s="30" t="s">
        <v>147</v>
      </c>
      <c r="G107" s="360">
        <v>4</v>
      </c>
      <c r="H107" s="30">
        <v>8</v>
      </c>
      <c r="I107" s="9" t="s">
        <v>148</v>
      </c>
      <c r="J107" s="9" t="s">
        <v>197</v>
      </c>
      <c r="K107" s="30">
        <v>1</v>
      </c>
      <c r="L107" s="9" t="s">
        <v>198</v>
      </c>
      <c r="M107" s="30" t="s">
        <v>84</v>
      </c>
      <c r="N107" s="30" t="s">
        <v>154</v>
      </c>
      <c r="O107" s="24">
        <v>0</v>
      </c>
      <c r="P107" s="24">
        <v>0</v>
      </c>
      <c r="Q107" s="24">
        <v>150</v>
      </c>
      <c r="R107" s="24">
        <v>0</v>
      </c>
      <c r="S107" s="24">
        <v>0</v>
      </c>
      <c r="T107" s="24">
        <v>150</v>
      </c>
    </row>
    <row r="108" spans="1:20">
      <c r="A108" s="9" t="s">
        <v>144</v>
      </c>
      <c r="B108" s="30" t="s">
        <v>216</v>
      </c>
      <c r="C108" s="30" t="str">
        <f>CONCATENATE(VOL_VOLUMEN_SUMINISTROS[[#This Row],[Proyecto]],VOL_VOLUMEN_SUMINISTROS[[#This Row],[J]],VOL_VOLUMEN_SUMINISTROS[[#This Row],[FIN DE SEMANA]])</f>
        <v>1052-2MNO</v>
      </c>
      <c r="D108" s="360" t="str">
        <f>CONCATENATE(VOL_VOLUMEN_SUMINISTROS[[#This Row],[Grupo]],VOL_VOLUMEN_SUMINISTROS[[#This Row],[Proyecto]],VOL_VOLUMEN_SUMINISTROS[[#This Row],[FIN DE SEMANA]])</f>
        <v>41052-2NO</v>
      </c>
      <c r="E108" s="30" t="s">
        <v>182</v>
      </c>
      <c r="F108" s="30" t="s">
        <v>147</v>
      </c>
      <c r="G108" s="360">
        <v>4</v>
      </c>
      <c r="H108" s="30">
        <v>8</v>
      </c>
      <c r="I108" s="9" t="s">
        <v>148</v>
      </c>
      <c r="J108" s="9" t="s">
        <v>209</v>
      </c>
      <c r="K108" s="30">
        <v>1</v>
      </c>
      <c r="L108" s="9" t="s">
        <v>210</v>
      </c>
      <c r="M108" s="30" t="s">
        <v>84</v>
      </c>
      <c r="N108" s="30" t="s">
        <v>151</v>
      </c>
      <c r="O108" s="24">
        <v>0</v>
      </c>
      <c r="P108" s="24">
        <v>0</v>
      </c>
      <c r="Q108" s="24">
        <v>122</v>
      </c>
      <c r="R108" s="24">
        <v>0</v>
      </c>
      <c r="S108" s="24">
        <v>0</v>
      </c>
      <c r="T108" s="24">
        <v>122</v>
      </c>
    </row>
    <row r="109" spans="1:20">
      <c r="A109" s="9" t="s">
        <v>144</v>
      </c>
      <c r="B109" s="30" t="s">
        <v>216</v>
      </c>
      <c r="C109" s="30" t="str">
        <f>CONCATENATE(VOL_VOLUMEN_SUMINISTROS[[#This Row],[Proyecto]],VOL_VOLUMEN_SUMINISTROS[[#This Row],[J]],VOL_VOLUMEN_SUMINISTROS[[#This Row],[FIN DE SEMANA]])</f>
        <v>1052-2TNO</v>
      </c>
      <c r="D109" s="360" t="str">
        <f>CONCATENATE(VOL_VOLUMEN_SUMINISTROS[[#This Row],[Grupo]],VOL_VOLUMEN_SUMINISTROS[[#This Row],[Proyecto]],VOL_VOLUMEN_SUMINISTROS[[#This Row],[FIN DE SEMANA]])</f>
        <v>41052-2NO</v>
      </c>
      <c r="E109" s="30" t="s">
        <v>182</v>
      </c>
      <c r="F109" s="30" t="s">
        <v>147</v>
      </c>
      <c r="G109" s="360">
        <v>4</v>
      </c>
      <c r="H109" s="30">
        <v>8</v>
      </c>
      <c r="I109" s="9" t="s">
        <v>148</v>
      </c>
      <c r="J109" s="9" t="s">
        <v>209</v>
      </c>
      <c r="K109" s="30">
        <v>1</v>
      </c>
      <c r="L109" s="9" t="s">
        <v>152</v>
      </c>
      <c r="M109" s="30" t="s">
        <v>84</v>
      </c>
      <c r="N109" s="30" t="s">
        <v>154</v>
      </c>
      <c r="O109" s="24">
        <v>0</v>
      </c>
      <c r="P109" s="24">
        <v>0</v>
      </c>
      <c r="Q109" s="24">
        <v>172</v>
      </c>
      <c r="R109" s="24">
        <v>0</v>
      </c>
      <c r="S109" s="24">
        <v>0</v>
      </c>
      <c r="T109" s="24">
        <v>172</v>
      </c>
    </row>
    <row r="110" spans="1:20">
      <c r="A110" s="9" t="s">
        <v>144</v>
      </c>
      <c r="B110" s="30" t="s">
        <v>217</v>
      </c>
      <c r="C110" s="30" t="str">
        <f>CONCATENATE(VOL_VOLUMEN_SUMINISTROS[[#This Row],[Proyecto]],VOL_VOLUMEN_SUMINISTROS[[#This Row],[J]],VOL_VOLUMEN_SUMINISTROS[[#This Row],[FIN DE SEMANA]])</f>
        <v>1052-2MNO</v>
      </c>
      <c r="D110" s="360" t="str">
        <f>CONCATENATE(VOL_VOLUMEN_SUMINISTROS[[#This Row],[Grupo]],VOL_VOLUMEN_SUMINISTROS[[#This Row],[Proyecto]],VOL_VOLUMEN_SUMINISTROS[[#This Row],[FIN DE SEMANA]])</f>
        <v>41052-2NO</v>
      </c>
      <c r="E110" s="30" t="s">
        <v>182</v>
      </c>
      <c r="F110" s="30" t="s">
        <v>147</v>
      </c>
      <c r="G110" s="360">
        <v>4</v>
      </c>
      <c r="H110" s="30">
        <v>8</v>
      </c>
      <c r="I110" s="9" t="s">
        <v>148</v>
      </c>
      <c r="J110" s="9" t="s">
        <v>194</v>
      </c>
      <c r="K110" s="30">
        <v>3</v>
      </c>
      <c r="L110" s="9" t="s">
        <v>196</v>
      </c>
      <c r="M110" s="30" t="s">
        <v>84</v>
      </c>
      <c r="N110" s="30" t="s">
        <v>151</v>
      </c>
      <c r="O110" s="24">
        <v>90</v>
      </c>
      <c r="P110" s="24">
        <v>0</v>
      </c>
      <c r="Q110" s="24">
        <v>0</v>
      </c>
      <c r="R110" s="24">
        <v>0</v>
      </c>
      <c r="S110" s="24">
        <v>0</v>
      </c>
      <c r="T110" s="24">
        <v>90</v>
      </c>
    </row>
    <row r="111" spans="1:20">
      <c r="A111" s="9" t="s">
        <v>144</v>
      </c>
      <c r="B111" s="30" t="s">
        <v>217</v>
      </c>
      <c r="C111" s="30" t="str">
        <f>CONCATENATE(VOL_VOLUMEN_SUMINISTROS[[#This Row],[Proyecto]],VOL_VOLUMEN_SUMINISTROS[[#This Row],[J]],VOL_VOLUMEN_SUMINISTROS[[#This Row],[FIN DE SEMANA]])</f>
        <v>1052-2MNO</v>
      </c>
      <c r="D111" s="360" t="str">
        <f>CONCATENATE(VOL_VOLUMEN_SUMINISTROS[[#This Row],[Grupo]],VOL_VOLUMEN_SUMINISTROS[[#This Row],[Proyecto]],VOL_VOLUMEN_SUMINISTROS[[#This Row],[FIN DE SEMANA]])</f>
        <v>41052-2NO</v>
      </c>
      <c r="E111" s="30" t="s">
        <v>182</v>
      </c>
      <c r="F111" s="30" t="s">
        <v>147</v>
      </c>
      <c r="G111" s="360">
        <v>4</v>
      </c>
      <c r="H111" s="30">
        <v>8</v>
      </c>
      <c r="I111" s="9" t="s">
        <v>148</v>
      </c>
      <c r="J111" s="9" t="s">
        <v>197</v>
      </c>
      <c r="K111" s="30">
        <v>1</v>
      </c>
      <c r="L111" s="9" t="s">
        <v>198</v>
      </c>
      <c r="M111" s="30" t="s">
        <v>84</v>
      </c>
      <c r="N111" s="30" t="s">
        <v>151</v>
      </c>
      <c r="O111" s="24">
        <v>30</v>
      </c>
      <c r="P111" s="24">
        <v>0</v>
      </c>
      <c r="Q111" s="24">
        <v>0</v>
      </c>
      <c r="R111" s="24">
        <v>0</v>
      </c>
      <c r="S111" s="24">
        <v>0</v>
      </c>
      <c r="T111" s="24">
        <v>30</v>
      </c>
    </row>
    <row r="112" spans="1:20">
      <c r="A112" s="9" t="s">
        <v>144</v>
      </c>
      <c r="B112" s="30" t="s">
        <v>217</v>
      </c>
      <c r="C112" s="30" t="str">
        <f>CONCATENATE(VOL_VOLUMEN_SUMINISTROS[[#This Row],[Proyecto]],VOL_VOLUMEN_SUMINISTROS[[#This Row],[J]],VOL_VOLUMEN_SUMINISTROS[[#This Row],[FIN DE SEMANA]])</f>
        <v>1052-2TNO</v>
      </c>
      <c r="D112" s="360" t="str">
        <f>CONCATENATE(VOL_VOLUMEN_SUMINISTROS[[#This Row],[Grupo]],VOL_VOLUMEN_SUMINISTROS[[#This Row],[Proyecto]],VOL_VOLUMEN_SUMINISTROS[[#This Row],[FIN DE SEMANA]])</f>
        <v>41052-2NO</v>
      </c>
      <c r="E112" s="30" t="s">
        <v>182</v>
      </c>
      <c r="F112" s="30" t="s">
        <v>147</v>
      </c>
      <c r="G112" s="360">
        <v>4</v>
      </c>
      <c r="H112" s="30">
        <v>8</v>
      </c>
      <c r="I112" s="9" t="s">
        <v>148</v>
      </c>
      <c r="J112" s="9" t="s">
        <v>197</v>
      </c>
      <c r="K112" s="30">
        <v>1</v>
      </c>
      <c r="L112" s="9" t="s">
        <v>198</v>
      </c>
      <c r="M112" s="30" t="s">
        <v>84</v>
      </c>
      <c r="N112" s="30" t="s">
        <v>154</v>
      </c>
      <c r="O112" s="24">
        <v>25</v>
      </c>
      <c r="P112" s="24">
        <v>0</v>
      </c>
      <c r="Q112" s="24">
        <v>0</v>
      </c>
      <c r="R112" s="24">
        <v>0</v>
      </c>
      <c r="S112" s="24">
        <v>0</v>
      </c>
      <c r="T112" s="24">
        <v>25</v>
      </c>
    </row>
    <row r="113" spans="1:20">
      <c r="A113" s="9" t="s">
        <v>144</v>
      </c>
      <c r="B113" s="30" t="s">
        <v>217</v>
      </c>
      <c r="C113" s="30" t="str">
        <f>CONCATENATE(VOL_VOLUMEN_SUMINISTROS[[#This Row],[Proyecto]],VOL_VOLUMEN_SUMINISTROS[[#This Row],[J]],VOL_VOLUMEN_SUMINISTROS[[#This Row],[FIN DE SEMANA]])</f>
        <v>1052-2MNO</v>
      </c>
      <c r="D113" s="360" t="str">
        <f>CONCATENATE(VOL_VOLUMEN_SUMINISTROS[[#This Row],[Grupo]],VOL_VOLUMEN_SUMINISTROS[[#This Row],[Proyecto]],VOL_VOLUMEN_SUMINISTROS[[#This Row],[FIN DE SEMANA]])</f>
        <v>41052-2NO</v>
      </c>
      <c r="E113" s="30" t="s">
        <v>182</v>
      </c>
      <c r="F113" s="30" t="s">
        <v>147</v>
      </c>
      <c r="G113" s="360">
        <v>4</v>
      </c>
      <c r="H113" s="30">
        <v>8</v>
      </c>
      <c r="I113" s="9" t="s">
        <v>148</v>
      </c>
      <c r="J113" s="9" t="s">
        <v>197</v>
      </c>
      <c r="K113" s="30">
        <v>2</v>
      </c>
      <c r="L113" s="9" t="s">
        <v>199</v>
      </c>
      <c r="M113" s="30" t="s">
        <v>84</v>
      </c>
      <c r="N113" s="30" t="s">
        <v>151</v>
      </c>
      <c r="O113" s="24">
        <v>45</v>
      </c>
      <c r="P113" s="24">
        <v>0</v>
      </c>
      <c r="Q113" s="24">
        <v>0</v>
      </c>
      <c r="R113" s="24">
        <v>0</v>
      </c>
      <c r="S113" s="24">
        <v>0</v>
      </c>
      <c r="T113" s="24">
        <v>45</v>
      </c>
    </row>
    <row r="114" spans="1:20">
      <c r="A114" s="9" t="s">
        <v>144</v>
      </c>
      <c r="B114" s="30" t="s">
        <v>217</v>
      </c>
      <c r="C114" s="30" t="str">
        <f>CONCATENATE(VOL_VOLUMEN_SUMINISTROS[[#This Row],[Proyecto]],VOL_VOLUMEN_SUMINISTROS[[#This Row],[J]],VOL_VOLUMEN_SUMINISTROS[[#This Row],[FIN DE SEMANA]])</f>
        <v>1052-2TNO</v>
      </c>
      <c r="D114" s="360" t="str">
        <f>CONCATENATE(VOL_VOLUMEN_SUMINISTROS[[#This Row],[Grupo]],VOL_VOLUMEN_SUMINISTROS[[#This Row],[Proyecto]],VOL_VOLUMEN_SUMINISTROS[[#This Row],[FIN DE SEMANA]])</f>
        <v>41052-2NO</v>
      </c>
      <c r="E114" s="30" t="s">
        <v>182</v>
      </c>
      <c r="F114" s="30" t="s">
        <v>147</v>
      </c>
      <c r="G114" s="360">
        <v>4</v>
      </c>
      <c r="H114" s="30">
        <v>8</v>
      </c>
      <c r="I114" s="9" t="s">
        <v>148</v>
      </c>
      <c r="J114" s="9" t="s">
        <v>197</v>
      </c>
      <c r="K114" s="30">
        <v>2</v>
      </c>
      <c r="L114" s="9" t="s">
        <v>199</v>
      </c>
      <c r="M114" s="30" t="s">
        <v>84</v>
      </c>
      <c r="N114" s="30" t="s">
        <v>154</v>
      </c>
      <c r="O114" s="24">
        <v>60</v>
      </c>
      <c r="P114" s="24">
        <v>0</v>
      </c>
      <c r="Q114" s="24">
        <v>0</v>
      </c>
      <c r="R114" s="24">
        <v>0</v>
      </c>
      <c r="S114" s="24">
        <v>0</v>
      </c>
      <c r="T114" s="24">
        <v>60</v>
      </c>
    </row>
    <row r="115" spans="1:20">
      <c r="A115" s="9" t="s">
        <v>218</v>
      </c>
      <c r="B115" s="30" t="s">
        <v>219</v>
      </c>
      <c r="C115" s="30" t="str">
        <f>CONCATENATE(VOL_VOLUMEN_SUMINISTROS[[#This Row],[Proyecto]],VOL_VOLUMEN_SUMINISTROS[[#This Row],[J]],VOL_VOLUMEN_SUMINISTROS[[#This Row],[FIN DE SEMANA]])</f>
        <v>1052-1MNO</v>
      </c>
      <c r="D115" s="360" t="str">
        <f>CONCATENATE(VOL_VOLUMEN_SUMINISTROS[[#This Row],[Grupo]],VOL_VOLUMEN_SUMINISTROS[[#This Row],[Proyecto]],VOL_VOLUMEN_SUMINISTROS[[#This Row],[FIN DE SEMANA]])</f>
        <v>281052-1NO</v>
      </c>
      <c r="E115" s="30" t="s">
        <v>146</v>
      </c>
      <c r="F115" s="30" t="s">
        <v>147</v>
      </c>
      <c r="G115" s="360">
        <v>28</v>
      </c>
      <c r="H115" s="30">
        <v>7</v>
      </c>
      <c r="I115" s="9" t="s">
        <v>220</v>
      </c>
      <c r="J115" s="9" t="s">
        <v>221</v>
      </c>
      <c r="K115" s="30">
        <v>1</v>
      </c>
      <c r="L115" s="9" t="s">
        <v>222</v>
      </c>
      <c r="M115" s="30" t="s">
        <v>84</v>
      </c>
      <c r="N115" s="30" t="s">
        <v>151</v>
      </c>
      <c r="O115" s="24">
        <v>72</v>
      </c>
      <c r="P115" s="24">
        <v>417</v>
      </c>
      <c r="Q115" s="24">
        <v>547</v>
      </c>
      <c r="R115" s="24">
        <v>0</v>
      </c>
      <c r="S115" s="24">
        <v>0</v>
      </c>
      <c r="T115" s="24">
        <v>1036</v>
      </c>
    </row>
    <row r="116" spans="1:20">
      <c r="A116" s="9" t="s">
        <v>218</v>
      </c>
      <c r="B116" s="30" t="s">
        <v>219</v>
      </c>
      <c r="C116" s="30" t="str">
        <f>CONCATENATE(VOL_VOLUMEN_SUMINISTROS[[#This Row],[Proyecto]],VOL_VOLUMEN_SUMINISTROS[[#This Row],[J]],VOL_VOLUMEN_SUMINISTROS[[#This Row],[FIN DE SEMANA]])</f>
        <v>1052-1NNO</v>
      </c>
      <c r="D116" s="360" t="str">
        <f>CONCATENATE(VOL_VOLUMEN_SUMINISTROS[[#This Row],[Grupo]],VOL_VOLUMEN_SUMINISTROS[[#This Row],[Proyecto]],VOL_VOLUMEN_SUMINISTROS[[#This Row],[FIN DE SEMANA]])</f>
        <v>281052-1NO</v>
      </c>
      <c r="E116" s="30" t="s">
        <v>146</v>
      </c>
      <c r="F116" s="30" t="s">
        <v>147</v>
      </c>
      <c r="G116" s="360">
        <v>28</v>
      </c>
      <c r="H116" s="30">
        <v>7</v>
      </c>
      <c r="I116" s="9" t="s">
        <v>220</v>
      </c>
      <c r="J116" s="9" t="s">
        <v>221</v>
      </c>
      <c r="K116" s="30">
        <v>1</v>
      </c>
      <c r="L116" s="9" t="s">
        <v>222</v>
      </c>
      <c r="M116" s="30" t="s">
        <v>84</v>
      </c>
      <c r="N116" s="30" t="s">
        <v>153</v>
      </c>
      <c r="O116" s="24">
        <v>0</v>
      </c>
      <c r="P116" s="24">
        <v>0</v>
      </c>
      <c r="Q116" s="24">
        <v>0</v>
      </c>
      <c r="R116" s="24">
        <v>111</v>
      </c>
      <c r="S116" s="24">
        <v>105</v>
      </c>
      <c r="T116" s="24">
        <v>216</v>
      </c>
    </row>
    <row r="117" spans="1:20">
      <c r="A117" s="9" t="s">
        <v>218</v>
      </c>
      <c r="B117" s="30" t="s">
        <v>219</v>
      </c>
      <c r="C117" s="30" t="str">
        <f>CONCATENATE(VOL_VOLUMEN_SUMINISTROS[[#This Row],[Proyecto]],VOL_VOLUMEN_SUMINISTROS[[#This Row],[J]],VOL_VOLUMEN_SUMINISTROS[[#This Row],[FIN DE SEMANA]])</f>
        <v>1052-1TNO</v>
      </c>
      <c r="D117" s="360" t="str">
        <f>CONCATENATE(VOL_VOLUMEN_SUMINISTROS[[#This Row],[Grupo]],VOL_VOLUMEN_SUMINISTROS[[#This Row],[Proyecto]],VOL_VOLUMEN_SUMINISTROS[[#This Row],[FIN DE SEMANA]])</f>
        <v>281052-1NO</v>
      </c>
      <c r="E117" s="30" t="s">
        <v>146</v>
      </c>
      <c r="F117" s="30" t="s">
        <v>147</v>
      </c>
      <c r="G117" s="360">
        <v>28</v>
      </c>
      <c r="H117" s="30">
        <v>7</v>
      </c>
      <c r="I117" s="9" t="s">
        <v>220</v>
      </c>
      <c r="J117" s="9" t="s">
        <v>221</v>
      </c>
      <c r="K117" s="30">
        <v>1</v>
      </c>
      <c r="L117" s="9" t="s">
        <v>222</v>
      </c>
      <c r="M117" s="30" t="s">
        <v>84</v>
      </c>
      <c r="N117" s="30" t="s">
        <v>154</v>
      </c>
      <c r="O117" s="24">
        <v>92</v>
      </c>
      <c r="P117" s="24">
        <v>448</v>
      </c>
      <c r="Q117" s="24">
        <v>453</v>
      </c>
      <c r="R117" s="24">
        <v>0</v>
      </c>
      <c r="S117" s="24">
        <v>0</v>
      </c>
      <c r="T117" s="24">
        <v>993</v>
      </c>
    </row>
    <row r="118" spans="1:20">
      <c r="A118" s="9" t="s">
        <v>218</v>
      </c>
      <c r="B118" s="30" t="s">
        <v>219</v>
      </c>
      <c r="C118" s="30" t="str">
        <f>CONCATENATE(VOL_VOLUMEN_SUMINISTROS[[#This Row],[Proyecto]],VOL_VOLUMEN_SUMINISTROS[[#This Row],[J]],VOL_VOLUMEN_SUMINISTROS[[#This Row],[FIN DE SEMANA]])</f>
        <v>1052-1MNO</v>
      </c>
      <c r="D118" s="360" t="str">
        <f>CONCATENATE(VOL_VOLUMEN_SUMINISTROS[[#This Row],[Grupo]],VOL_VOLUMEN_SUMINISTROS[[#This Row],[Proyecto]],VOL_VOLUMEN_SUMINISTROS[[#This Row],[FIN DE SEMANA]])</f>
        <v>281052-1NO</v>
      </c>
      <c r="E118" s="30" t="s">
        <v>146</v>
      </c>
      <c r="F118" s="30" t="s">
        <v>147</v>
      </c>
      <c r="G118" s="360">
        <v>28</v>
      </c>
      <c r="H118" s="30">
        <v>7</v>
      </c>
      <c r="I118" s="9" t="s">
        <v>220</v>
      </c>
      <c r="J118" s="9" t="s">
        <v>221</v>
      </c>
      <c r="K118" s="30">
        <v>2</v>
      </c>
      <c r="L118" s="9" t="s">
        <v>223</v>
      </c>
      <c r="M118" s="30" t="s">
        <v>84</v>
      </c>
      <c r="N118" s="30" t="s">
        <v>151</v>
      </c>
      <c r="O118" s="24">
        <v>387</v>
      </c>
      <c r="P118" s="24">
        <v>73</v>
      </c>
      <c r="Q118" s="24">
        <v>0</v>
      </c>
      <c r="R118" s="24">
        <v>0</v>
      </c>
      <c r="S118" s="24">
        <v>0</v>
      </c>
      <c r="T118" s="24">
        <v>460</v>
      </c>
    </row>
    <row r="119" spans="1:20">
      <c r="A119" s="9" t="s">
        <v>218</v>
      </c>
      <c r="B119" s="30" t="s">
        <v>219</v>
      </c>
      <c r="C119" s="30" t="str">
        <f>CONCATENATE(VOL_VOLUMEN_SUMINISTROS[[#This Row],[Proyecto]],VOL_VOLUMEN_SUMINISTROS[[#This Row],[J]],VOL_VOLUMEN_SUMINISTROS[[#This Row],[FIN DE SEMANA]])</f>
        <v>1052-1TNO</v>
      </c>
      <c r="D119" s="360" t="str">
        <f>CONCATENATE(VOL_VOLUMEN_SUMINISTROS[[#This Row],[Grupo]],VOL_VOLUMEN_SUMINISTROS[[#This Row],[Proyecto]],VOL_VOLUMEN_SUMINISTROS[[#This Row],[FIN DE SEMANA]])</f>
        <v>281052-1NO</v>
      </c>
      <c r="E119" s="30" t="s">
        <v>146</v>
      </c>
      <c r="F119" s="30" t="s">
        <v>147</v>
      </c>
      <c r="G119" s="360">
        <v>28</v>
      </c>
      <c r="H119" s="30">
        <v>7</v>
      </c>
      <c r="I119" s="9" t="s">
        <v>220</v>
      </c>
      <c r="J119" s="9" t="s">
        <v>221</v>
      </c>
      <c r="K119" s="30">
        <v>2</v>
      </c>
      <c r="L119" s="9" t="s">
        <v>223</v>
      </c>
      <c r="M119" s="30" t="s">
        <v>84</v>
      </c>
      <c r="N119" s="30" t="s">
        <v>154</v>
      </c>
      <c r="O119" s="24">
        <v>278</v>
      </c>
      <c r="P119" s="24">
        <v>79</v>
      </c>
      <c r="Q119" s="24">
        <v>0</v>
      </c>
      <c r="R119" s="24">
        <v>0</v>
      </c>
      <c r="S119" s="24">
        <v>0</v>
      </c>
      <c r="T119" s="24">
        <v>357</v>
      </c>
    </row>
    <row r="120" spans="1:20">
      <c r="A120" s="9" t="s">
        <v>218</v>
      </c>
      <c r="B120" s="30" t="s">
        <v>219</v>
      </c>
      <c r="C120" s="30" t="str">
        <f>CONCATENATE(VOL_VOLUMEN_SUMINISTROS[[#This Row],[Proyecto]],VOL_VOLUMEN_SUMINISTROS[[#This Row],[J]],VOL_VOLUMEN_SUMINISTROS[[#This Row],[FIN DE SEMANA]])</f>
        <v>1052-1MNO</v>
      </c>
      <c r="D120" s="360" t="str">
        <f>CONCATENATE(VOL_VOLUMEN_SUMINISTROS[[#This Row],[Grupo]],VOL_VOLUMEN_SUMINISTROS[[#This Row],[Proyecto]],VOL_VOLUMEN_SUMINISTROS[[#This Row],[FIN DE SEMANA]])</f>
        <v>281052-1NO</v>
      </c>
      <c r="E120" s="30" t="s">
        <v>146</v>
      </c>
      <c r="F120" s="30" t="s">
        <v>147</v>
      </c>
      <c r="G120" s="360">
        <v>28</v>
      </c>
      <c r="H120" s="30">
        <v>7</v>
      </c>
      <c r="I120" s="9" t="s">
        <v>220</v>
      </c>
      <c r="J120" s="9" t="s">
        <v>221</v>
      </c>
      <c r="K120" s="30">
        <v>3</v>
      </c>
      <c r="L120" s="9" t="s">
        <v>224</v>
      </c>
      <c r="M120" s="30" t="s">
        <v>84</v>
      </c>
      <c r="N120" s="30" t="s">
        <v>151</v>
      </c>
      <c r="O120" s="24">
        <v>68</v>
      </c>
      <c r="P120" s="24">
        <v>0</v>
      </c>
      <c r="Q120" s="24">
        <v>0</v>
      </c>
      <c r="R120" s="24">
        <v>0</v>
      </c>
      <c r="S120" s="24">
        <v>0</v>
      </c>
      <c r="T120" s="24">
        <v>68</v>
      </c>
    </row>
    <row r="121" spans="1:20">
      <c r="A121" s="9" t="s">
        <v>218</v>
      </c>
      <c r="B121" s="30" t="s">
        <v>219</v>
      </c>
      <c r="C121" s="30" t="str">
        <f>CONCATENATE(VOL_VOLUMEN_SUMINISTROS[[#This Row],[Proyecto]],VOL_VOLUMEN_SUMINISTROS[[#This Row],[J]],VOL_VOLUMEN_SUMINISTROS[[#This Row],[FIN DE SEMANA]])</f>
        <v>1052-1MNO</v>
      </c>
      <c r="D121" s="360" t="str">
        <f>CONCATENATE(VOL_VOLUMEN_SUMINISTROS[[#This Row],[Grupo]],VOL_VOLUMEN_SUMINISTROS[[#This Row],[Proyecto]],VOL_VOLUMEN_SUMINISTROS[[#This Row],[FIN DE SEMANA]])</f>
        <v>281052-1NO</v>
      </c>
      <c r="E121" s="30" t="s">
        <v>146</v>
      </c>
      <c r="F121" s="30" t="s">
        <v>147</v>
      </c>
      <c r="G121" s="360">
        <v>28</v>
      </c>
      <c r="H121" s="30">
        <v>7</v>
      </c>
      <c r="I121" s="9" t="s">
        <v>220</v>
      </c>
      <c r="J121" s="9" t="s">
        <v>221</v>
      </c>
      <c r="K121" s="30">
        <v>4</v>
      </c>
      <c r="L121" s="9" t="s">
        <v>225</v>
      </c>
      <c r="M121" s="30" t="s">
        <v>84</v>
      </c>
      <c r="N121" s="30" t="s">
        <v>151</v>
      </c>
      <c r="O121" s="24">
        <v>58</v>
      </c>
      <c r="P121" s="24">
        <v>89</v>
      </c>
      <c r="Q121" s="24">
        <v>20</v>
      </c>
      <c r="R121" s="24">
        <v>0</v>
      </c>
      <c r="S121" s="24">
        <v>0</v>
      </c>
      <c r="T121" s="24">
        <v>167</v>
      </c>
    </row>
    <row r="122" spans="1:20">
      <c r="A122" s="9" t="s">
        <v>218</v>
      </c>
      <c r="B122" s="30" t="s">
        <v>219</v>
      </c>
      <c r="C122" s="30" t="str">
        <f>CONCATENATE(VOL_VOLUMEN_SUMINISTROS[[#This Row],[Proyecto]],VOL_VOLUMEN_SUMINISTROS[[#This Row],[J]],VOL_VOLUMEN_SUMINISTROS[[#This Row],[FIN DE SEMANA]])</f>
        <v>1052-1TNO</v>
      </c>
      <c r="D122" s="360" t="str">
        <f>CONCATENATE(VOL_VOLUMEN_SUMINISTROS[[#This Row],[Grupo]],VOL_VOLUMEN_SUMINISTROS[[#This Row],[Proyecto]],VOL_VOLUMEN_SUMINISTROS[[#This Row],[FIN DE SEMANA]])</f>
        <v>281052-1NO</v>
      </c>
      <c r="E122" s="30" t="s">
        <v>146</v>
      </c>
      <c r="F122" s="30" t="s">
        <v>147</v>
      </c>
      <c r="G122" s="360">
        <v>28</v>
      </c>
      <c r="H122" s="30">
        <v>7</v>
      </c>
      <c r="I122" s="9" t="s">
        <v>220</v>
      </c>
      <c r="J122" s="9" t="s">
        <v>221</v>
      </c>
      <c r="K122" s="30">
        <v>4</v>
      </c>
      <c r="L122" s="9" t="s">
        <v>225</v>
      </c>
      <c r="M122" s="30" t="s">
        <v>84</v>
      </c>
      <c r="N122" s="30" t="s">
        <v>154</v>
      </c>
      <c r="O122" s="24">
        <v>48</v>
      </c>
      <c r="P122" s="24">
        <v>0</v>
      </c>
      <c r="Q122" s="24">
        <v>0</v>
      </c>
      <c r="R122" s="24">
        <v>0</v>
      </c>
      <c r="S122" s="24">
        <v>0</v>
      </c>
      <c r="T122" s="24">
        <v>48</v>
      </c>
    </row>
    <row r="123" spans="1:20">
      <c r="A123" s="9" t="s">
        <v>218</v>
      </c>
      <c r="B123" s="30" t="s">
        <v>219</v>
      </c>
      <c r="C123" s="30" t="str">
        <f>CONCATENATE(VOL_VOLUMEN_SUMINISTROS[[#This Row],[Proyecto]],VOL_VOLUMEN_SUMINISTROS[[#This Row],[J]],VOL_VOLUMEN_SUMINISTROS[[#This Row],[FIN DE SEMANA]])</f>
        <v>1052-1MNO</v>
      </c>
      <c r="D123" s="360" t="str">
        <f>CONCATENATE(VOL_VOLUMEN_SUMINISTROS[[#This Row],[Grupo]],VOL_VOLUMEN_SUMINISTROS[[#This Row],[Proyecto]],VOL_VOLUMEN_SUMINISTROS[[#This Row],[FIN DE SEMANA]])</f>
        <v>281052-1NO</v>
      </c>
      <c r="E123" s="30" t="s">
        <v>146</v>
      </c>
      <c r="F123" s="30" t="s">
        <v>147</v>
      </c>
      <c r="G123" s="360">
        <v>28</v>
      </c>
      <c r="H123" s="30">
        <v>7</v>
      </c>
      <c r="I123" s="9" t="s">
        <v>220</v>
      </c>
      <c r="J123" s="9" t="s">
        <v>221</v>
      </c>
      <c r="K123" s="30">
        <v>5</v>
      </c>
      <c r="L123" s="9" t="s">
        <v>226</v>
      </c>
      <c r="M123" s="30" t="s">
        <v>84</v>
      </c>
      <c r="N123" s="30" t="s">
        <v>151</v>
      </c>
      <c r="O123" s="24">
        <v>0</v>
      </c>
      <c r="P123" s="24">
        <v>87</v>
      </c>
      <c r="Q123" s="24">
        <v>218</v>
      </c>
      <c r="R123" s="24">
        <v>0</v>
      </c>
      <c r="S123" s="24">
        <v>0</v>
      </c>
      <c r="T123" s="24">
        <v>305</v>
      </c>
    </row>
    <row r="124" spans="1:20">
      <c r="A124" s="9" t="s">
        <v>218</v>
      </c>
      <c r="B124" s="30" t="s">
        <v>219</v>
      </c>
      <c r="C124" s="30" t="str">
        <f>CONCATENATE(VOL_VOLUMEN_SUMINISTROS[[#This Row],[Proyecto]],VOL_VOLUMEN_SUMINISTROS[[#This Row],[J]],VOL_VOLUMEN_SUMINISTROS[[#This Row],[FIN DE SEMANA]])</f>
        <v>1052-1MNO</v>
      </c>
      <c r="D124" s="360" t="str">
        <f>CONCATENATE(VOL_VOLUMEN_SUMINISTROS[[#This Row],[Grupo]],VOL_VOLUMEN_SUMINISTROS[[#This Row],[Proyecto]],VOL_VOLUMEN_SUMINISTROS[[#This Row],[FIN DE SEMANA]])</f>
        <v>281052-1NO</v>
      </c>
      <c r="E124" s="30" t="s">
        <v>146</v>
      </c>
      <c r="F124" s="30" t="s">
        <v>147</v>
      </c>
      <c r="G124" s="360">
        <v>28</v>
      </c>
      <c r="H124" s="30">
        <v>7</v>
      </c>
      <c r="I124" s="9" t="s">
        <v>220</v>
      </c>
      <c r="J124" s="9" t="s">
        <v>227</v>
      </c>
      <c r="K124" s="30">
        <v>1</v>
      </c>
      <c r="L124" s="9" t="s">
        <v>228</v>
      </c>
      <c r="M124" s="30" t="s">
        <v>84</v>
      </c>
      <c r="N124" s="30" t="s">
        <v>151</v>
      </c>
      <c r="O124" s="24">
        <v>0</v>
      </c>
      <c r="P124" s="24">
        <v>0</v>
      </c>
      <c r="Q124" s="24">
        <v>944</v>
      </c>
      <c r="R124" s="24">
        <v>0</v>
      </c>
      <c r="S124" s="24">
        <v>0</v>
      </c>
      <c r="T124" s="24">
        <v>944</v>
      </c>
    </row>
    <row r="125" spans="1:20">
      <c r="A125" s="9" t="s">
        <v>218</v>
      </c>
      <c r="B125" s="30" t="s">
        <v>219</v>
      </c>
      <c r="C125" s="30" t="str">
        <f>CONCATENATE(VOL_VOLUMEN_SUMINISTROS[[#This Row],[Proyecto]],VOL_VOLUMEN_SUMINISTROS[[#This Row],[J]],VOL_VOLUMEN_SUMINISTROS[[#This Row],[FIN DE SEMANA]])</f>
        <v>1052-1TNO</v>
      </c>
      <c r="D125" s="360" t="str">
        <f>CONCATENATE(VOL_VOLUMEN_SUMINISTROS[[#This Row],[Grupo]],VOL_VOLUMEN_SUMINISTROS[[#This Row],[Proyecto]],VOL_VOLUMEN_SUMINISTROS[[#This Row],[FIN DE SEMANA]])</f>
        <v>281052-1NO</v>
      </c>
      <c r="E125" s="30" t="s">
        <v>146</v>
      </c>
      <c r="F125" s="30" t="s">
        <v>147</v>
      </c>
      <c r="G125" s="360">
        <v>28</v>
      </c>
      <c r="H125" s="30">
        <v>7</v>
      </c>
      <c r="I125" s="9" t="s">
        <v>220</v>
      </c>
      <c r="J125" s="9" t="s">
        <v>227</v>
      </c>
      <c r="K125" s="30">
        <v>1</v>
      </c>
      <c r="L125" s="9" t="s">
        <v>228</v>
      </c>
      <c r="M125" s="30" t="s">
        <v>84</v>
      </c>
      <c r="N125" s="30" t="s">
        <v>154</v>
      </c>
      <c r="O125" s="24">
        <v>0</v>
      </c>
      <c r="P125" s="24">
        <v>483</v>
      </c>
      <c r="Q125" s="24">
        <v>161</v>
      </c>
      <c r="R125" s="24">
        <v>0</v>
      </c>
      <c r="S125" s="24">
        <v>0</v>
      </c>
      <c r="T125" s="24">
        <v>644</v>
      </c>
    </row>
    <row r="126" spans="1:20">
      <c r="A126" s="9" t="s">
        <v>218</v>
      </c>
      <c r="B126" s="30" t="s">
        <v>219</v>
      </c>
      <c r="C126" s="30" t="str">
        <f>CONCATENATE(VOL_VOLUMEN_SUMINISTROS[[#This Row],[Proyecto]],VOL_VOLUMEN_SUMINISTROS[[#This Row],[J]],VOL_VOLUMEN_SUMINISTROS[[#This Row],[FIN DE SEMANA]])</f>
        <v>1052-1MNO</v>
      </c>
      <c r="D126" s="360" t="str">
        <f>CONCATENATE(VOL_VOLUMEN_SUMINISTROS[[#This Row],[Grupo]],VOL_VOLUMEN_SUMINISTROS[[#This Row],[Proyecto]],VOL_VOLUMEN_SUMINISTROS[[#This Row],[FIN DE SEMANA]])</f>
        <v>281052-1NO</v>
      </c>
      <c r="E126" s="30" t="s">
        <v>146</v>
      </c>
      <c r="F126" s="30" t="s">
        <v>147</v>
      </c>
      <c r="G126" s="360">
        <v>28</v>
      </c>
      <c r="H126" s="30">
        <v>7</v>
      </c>
      <c r="I126" s="9" t="s">
        <v>220</v>
      </c>
      <c r="J126" s="9" t="s">
        <v>227</v>
      </c>
      <c r="K126" s="30">
        <v>2</v>
      </c>
      <c r="L126" s="9" t="s">
        <v>229</v>
      </c>
      <c r="M126" s="30" t="s">
        <v>84</v>
      </c>
      <c r="N126" s="30" t="s">
        <v>151</v>
      </c>
      <c r="O126" s="24">
        <v>226</v>
      </c>
      <c r="P126" s="24">
        <v>608</v>
      </c>
      <c r="Q126" s="24">
        <v>165</v>
      </c>
      <c r="R126" s="24">
        <v>0</v>
      </c>
      <c r="S126" s="24">
        <v>0</v>
      </c>
      <c r="T126" s="24">
        <v>999</v>
      </c>
    </row>
    <row r="127" spans="1:20">
      <c r="A127" s="9" t="s">
        <v>218</v>
      </c>
      <c r="B127" s="30" t="s">
        <v>219</v>
      </c>
      <c r="C127" s="30" t="str">
        <f>CONCATENATE(VOL_VOLUMEN_SUMINISTROS[[#This Row],[Proyecto]],VOL_VOLUMEN_SUMINISTROS[[#This Row],[J]],VOL_VOLUMEN_SUMINISTROS[[#This Row],[FIN DE SEMANA]])</f>
        <v>1052-1TNO</v>
      </c>
      <c r="D127" s="360" t="str">
        <f>CONCATENATE(VOL_VOLUMEN_SUMINISTROS[[#This Row],[Grupo]],VOL_VOLUMEN_SUMINISTROS[[#This Row],[Proyecto]],VOL_VOLUMEN_SUMINISTROS[[#This Row],[FIN DE SEMANA]])</f>
        <v>281052-1NO</v>
      </c>
      <c r="E127" s="30" t="s">
        <v>146</v>
      </c>
      <c r="F127" s="30" t="s">
        <v>147</v>
      </c>
      <c r="G127" s="360">
        <v>28</v>
      </c>
      <c r="H127" s="30">
        <v>7</v>
      </c>
      <c r="I127" s="9" t="s">
        <v>220</v>
      </c>
      <c r="J127" s="9" t="s">
        <v>227</v>
      </c>
      <c r="K127" s="30">
        <v>2</v>
      </c>
      <c r="L127" s="9" t="s">
        <v>229</v>
      </c>
      <c r="M127" s="30" t="s">
        <v>84</v>
      </c>
      <c r="N127" s="30" t="s">
        <v>154</v>
      </c>
      <c r="O127" s="24">
        <v>252</v>
      </c>
      <c r="P127" s="24">
        <v>126</v>
      </c>
      <c r="Q127" s="24">
        <v>0</v>
      </c>
      <c r="R127" s="24">
        <v>0</v>
      </c>
      <c r="S127" s="24">
        <v>0</v>
      </c>
      <c r="T127" s="24">
        <v>378</v>
      </c>
    </row>
    <row r="128" spans="1:20">
      <c r="A128" s="9" t="s">
        <v>218</v>
      </c>
      <c r="B128" s="30" t="s">
        <v>219</v>
      </c>
      <c r="C128" s="30" t="str">
        <f>CONCATENATE(VOL_VOLUMEN_SUMINISTROS[[#This Row],[Proyecto]],VOL_VOLUMEN_SUMINISTROS[[#This Row],[J]],VOL_VOLUMEN_SUMINISTROS[[#This Row],[FIN DE SEMANA]])</f>
        <v>1052-1MNO</v>
      </c>
      <c r="D128" s="360" t="str">
        <f>CONCATENATE(VOL_VOLUMEN_SUMINISTROS[[#This Row],[Grupo]],VOL_VOLUMEN_SUMINISTROS[[#This Row],[Proyecto]],VOL_VOLUMEN_SUMINISTROS[[#This Row],[FIN DE SEMANA]])</f>
        <v>281052-1NO</v>
      </c>
      <c r="E128" s="30" t="s">
        <v>146</v>
      </c>
      <c r="F128" s="30" t="s">
        <v>147</v>
      </c>
      <c r="G128" s="360">
        <v>28</v>
      </c>
      <c r="H128" s="30">
        <v>7</v>
      </c>
      <c r="I128" s="9" t="s">
        <v>220</v>
      </c>
      <c r="J128" s="9" t="s">
        <v>227</v>
      </c>
      <c r="K128" s="30">
        <v>4</v>
      </c>
      <c r="L128" s="9" t="s">
        <v>230</v>
      </c>
      <c r="M128" s="30" t="s">
        <v>84</v>
      </c>
      <c r="N128" s="30" t="s">
        <v>151</v>
      </c>
      <c r="O128" s="24">
        <v>347</v>
      </c>
      <c r="P128" s="24">
        <v>61</v>
      </c>
      <c r="Q128" s="24">
        <v>0</v>
      </c>
      <c r="R128" s="24">
        <v>0</v>
      </c>
      <c r="S128" s="24">
        <v>0</v>
      </c>
      <c r="T128" s="24">
        <v>408</v>
      </c>
    </row>
    <row r="129" spans="1:20">
      <c r="A129" s="9" t="s">
        <v>218</v>
      </c>
      <c r="B129" s="30" t="s">
        <v>219</v>
      </c>
      <c r="C129" s="30" t="str">
        <f>CONCATENATE(VOL_VOLUMEN_SUMINISTROS[[#This Row],[Proyecto]],VOL_VOLUMEN_SUMINISTROS[[#This Row],[J]],VOL_VOLUMEN_SUMINISTROS[[#This Row],[FIN DE SEMANA]])</f>
        <v>1052-1TNO</v>
      </c>
      <c r="D129" s="360" t="str">
        <f>CONCATENATE(VOL_VOLUMEN_SUMINISTROS[[#This Row],[Grupo]],VOL_VOLUMEN_SUMINISTROS[[#This Row],[Proyecto]],VOL_VOLUMEN_SUMINISTROS[[#This Row],[FIN DE SEMANA]])</f>
        <v>281052-1NO</v>
      </c>
      <c r="E129" s="30" t="s">
        <v>146</v>
      </c>
      <c r="F129" s="30" t="s">
        <v>147</v>
      </c>
      <c r="G129" s="360">
        <v>28</v>
      </c>
      <c r="H129" s="30">
        <v>7</v>
      </c>
      <c r="I129" s="9" t="s">
        <v>220</v>
      </c>
      <c r="J129" s="9" t="s">
        <v>227</v>
      </c>
      <c r="K129" s="30">
        <v>4</v>
      </c>
      <c r="L129" s="9" t="s">
        <v>230</v>
      </c>
      <c r="M129" s="30" t="s">
        <v>84</v>
      </c>
      <c r="N129" s="30" t="s">
        <v>154</v>
      </c>
      <c r="O129" s="24">
        <v>347</v>
      </c>
      <c r="P129" s="24">
        <v>63</v>
      </c>
      <c r="Q129" s="24">
        <v>0</v>
      </c>
      <c r="R129" s="24">
        <v>0</v>
      </c>
      <c r="S129" s="24">
        <v>0</v>
      </c>
      <c r="T129" s="24">
        <v>410</v>
      </c>
    </row>
    <row r="130" spans="1:20">
      <c r="A130" s="9" t="s">
        <v>218</v>
      </c>
      <c r="B130" s="30" t="s">
        <v>219</v>
      </c>
      <c r="C130" s="30" t="str">
        <f>CONCATENATE(VOL_VOLUMEN_SUMINISTROS[[#This Row],[Proyecto]],VOL_VOLUMEN_SUMINISTROS[[#This Row],[J]],VOL_VOLUMEN_SUMINISTROS[[#This Row],[FIN DE SEMANA]])</f>
        <v>1052-1MNO</v>
      </c>
      <c r="D130" s="360" t="str">
        <f>CONCATENATE(VOL_VOLUMEN_SUMINISTROS[[#This Row],[Grupo]],VOL_VOLUMEN_SUMINISTROS[[#This Row],[Proyecto]],VOL_VOLUMEN_SUMINISTROS[[#This Row],[FIN DE SEMANA]])</f>
        <v>281052-1NO</v>
      </c>
      <c r="E130" s="30" t="s">
        <v>146</v>
      </c>
      <c r="F130" s="30" t="s">
        <v>147</v>
      </c>
      <c r="G130" s="360">
        <v>28</v>
      </c>
      <c r="H130" s="30">
        <v>7</v>
      </c>
      <c r="I130" s="9" t="s">
        <v>220</v>
      </c>
      <c r="J130" s="9" t="s">
        <v>231</v>
      </c>
      <c r="K130" s="30">
        <v>1</v>
      </c>
      <c r="L130" s="9" t="s">
        <v>232</v>
      </c>
      <c r="M130" s="30" t="s">
        <v>84</v>
      </c>
      <c r="N130" s="30" t="s">
        <v>151</v>
      </c>
      <c r="O130" s="24">
        <v>249</v>
      </c>
      <c r="P130" s="24">
        <v>223</v>
      </c>
      <c r="Q130" s="24">
        <v>45</v>
      </c>
      <c r="R130" s="24">
        <v>0</v>
      </c>
      <c r="S130" s="24">
        <v>0</v>
      </c>
      <c r="T130" s="24">
        <v>517</v>
      </c>
    </row>
    <row r="131" spans="1:20">
      <c r="A131" s="9" t="s">
        <v>218</v>
      </c>
      <c r="B131" s="30" t="s">
        <v>219</v>
      </c>
      <c r="C131" s="30" t="str">
        <f>CONCATENATE(VOL_VOLUMEN_SUMINISTROS[[#This Row],[Proyecto]],VOL_VOLUMEN_SUMINISTROS[[#This Row],[J]],VOL_VOLUMEN_SUMINISTROS[[#This Row],[FIN DE SEMANA]])</f>
        <v>1052-1TNO</v>
      </c>
      <c r="D131" s="360" t="str">
        <f>CONCATENATE(VOL_VOLUMEN_SUMINISTROS[[#This Row],[Grupo]],VOL_VOLUMEN_SUMINISTROS[[#This Row],[Proyecto]],VOL_VOLUMEN_SUMINISTROS[[#This Row],[FIN DE SEMANA]])</f>
        <v>281052-1NO</v>
      </c>
      <c r="E131" s="30" t="s">
        <v>146</v>
      </c>
      <c r="F131" s="30" t="s">
        <v>147</v>
      </c>
      <c r="G131" s="360">
        <v>28</v>
      </c>
      <c r="H131" s="30">
        <v>7</v>
      </c>
      <c r="I131" s="9" t="s">
        <v>220</v>
      </c>
      <c r="J131" s="9" t="s">
        <v>231</v>
      </c>
      <c r="K131" s="30">
        <v>1</v>
      </c>
      <c r="L131" s="9" t="s">
        <v>233</v>
      </c>
      <c r="M131" s="30" t="s">
        <v>84</v>
      </c>
      <c r="N131" s="30" t="s">
        <v>154</v>
      </c>
      <c r="O131" s="24">
        <v>0</v>
      </c>
      <c r="P131" s="24">
        <v>144</v>
      </c>
      <c r="Q131" s="24">
        <v>378</v>
      </c>
      <c r="R131" s="24">
        <v>0</v>
      </c>
      <c r="S131" s="24">
        <v>0</v>
      </c>
      <c r="T131" s="24">
        <v>522</v>
      </c>
    </row>
    <row r="132" spans="1:20">
      <c r="A132" s="9" t="s">
        <v>218</v>
      </c>
      <c r="B132" s="30" t="s">
        <v>219</v>
      </c>
      <c r="C132" s="30" t="str">
        <f>CONCATENATE(VOL_VOLUMEN_SUMINISTROS[[#This Row],[Proyecto]],VOL_VOLUMEN_SUMINISTROS[[#This Row],[J]],VOL_VOLUMEN_SUMINISTROS[[#This Row],[FIN DE SEMANA]])</f>
        <v>1052-1MNO</v>
      </c>
      <c r="D132" s="360" t="str">
        <f>CONCATENATE(VOL_VOLUMEN_SUMINISTROS[[#This Row],[Grupo]],VOL_VOLUMEN_SUMINISTROS[[#This Row],[Proyecto]],VOL_VOLUMEN_SUMINISTROS[[#This Row],[FIN DE SEMANA]])</f>
        <v>281052-1NO</v>
      </c>
      <c r="E132" s="30" t="s">
        <v>146</v>
      </c>
      <c r="F132" s="30" t="s">
        <v>147</v>
      </c>
      <c r="G132" s="360">
        <v>28</v>
      </c>
      <c r="H132" s="30">
        <v>7</v>
      </c>
      <c r="I132" s="9" t="s">
        <v>220</v>
      </c>
      <c r="J132" s="9" t="s">
        <v>234</v>
      </c>
      <c r="K132" s="30">
        <v>1</v>
      </c>
      <c r="L132" s="9" t="s">
        <v>235</v>
      </c>
      <c r="M132" s="30" t="s">
        <v>84</v>
      </c>
      <c r="N132" s="30" t="s">
        <v>151</v>
      </c>
      <c r="O132" s="24">
        <v>251</v>
      </c>
      <c r="P132" s="24">
        <v>419</v>
      </c>
      <c r="Q132" s="24">
        <v>556</v>
      </c>
      <c r="R132" s="24">
        <v>0</v>
      </c>
      <c r="S132" s="24">
        <v>0</v>
      </c>
      <c r="T132" s="24">
        <v>1226</v>
      </c>
    </row>
    <row r="133" spans="1:20">
      <c r="A133" s="9" t="s">
        <v>218</v>
      </c>
      <c r="B133" s="30" t="s">
        <v>219</v>
      </c>
      <c r="C133" s="30" t="str">
        <f>CONCATENATE(VOL_VOLUMEN_SUMINISTROS[[#This Row],[Proyecto]],VOL_VOLUMEN_SUMINISTROS[[#This Row],[J]],VOL_VOLUMEN_SUMINISTROS[[#This Row],[FIN DE SEMANA]])</f>
        <v>1052-1NNO</v>
      </c>
      <c r="D133" s="360" t="str">
        <f>CONCATENATE(VOL_VOLUMEN_SUMINISTROS[[#This Row],[Grupo]],VOL_VOLUMEN_SUMINISTROS[[#This Row],[Proyecto]],VOL_VOLUMEN_SUMINISTROS[[#This Row],[FIN DE SEMANA]])</f>
        <v>281052-1NO</v>
      </c>
      <c r="E133" s="30" t="s">
        <v>146</v>
      </c>
      <c r="F133" s="30" t="s">
        <v>147</v>
      </c>
      <c r="G133" s="360">
        <v>28</v>
      </c>
      <c r="H133" s="30">
        <v>7</v>
      </c>
      <c r="I133" s="9" t="s">
        <v>220</v>
      </c>
      <c r="J133" s="9" t="s">
        <v>234</v>
      </c>
      <c r="K133" s="30">
        <v>1</v>
      </c>
      <c r="L133" s="9" t="s">
        <v>235</v>
      </c>
      <c r="M133" s="30" t="s">
        <v>84</v>
      </c>
      <c r="N133" s="30" t="s">
        <v>153</v>
      </c>
      <c r="O133" s="24">
        <v>0</v>
      </c>
      <c r="P133" s="24">
        <v>0</v>
      </c>
      <c r="Q133" s="24">
        <v>0</v>
      </c>
      <c r="R133" s="24">
        <v>200</v>
      </c>
      <c r="S133" s="24">
        <v>217</v>
      </c>
      <c r="T133" s="24">
        <v>417</v>
      </c>
    </row>
    <row r="134" spans="1:20">
      <c r="A134" s="9" t="s">
        <v>218</v>
      </c>
      <c r="B134" s="30" t="s">
        <v>219</v>
      </c>
      <c r="C134" s="30" t="str">
        <f>CONCATENATE(VOL_VOLUMEN_SUMINISTROS[[#This Row],[Proyecto]],VOL_VOLUMEN_SUMINISTROS[[#This Row],[J]],VOL_VOLUMEN_SUMINISTROS[[#This Row],[FIN DE SEMANA]])</f>
        <v>1052-1TNO</v>
      </c>
      <c r="D134" s="360" t="str">
        <f>CONCATENATE(VOL_VOLUMEN_SUMINISTROS[[#This Row],[Grupo]],VOL_VOLUMEN_SUMINISTROS[[#This Row],[Proyecto]],VOL_VOLUMEN_SUMINISTROS[[#This Row],[FIN DE SEMANA]])</f>
        <v>281052-1NO</v>
      </c>
      <c r="E134" s="30" t="s">
        <v>146</v>
      </c>
      <c r="F134" s="30" t="s">
        <v>147</v>
      </c>
      <c r="G134" s="360">
        <v>28</v>
      </c>
      <c r="H134" s="30">
        <v>7</v>
      </c>
      <c r="I134" s="9" t="s">
        <v>220</v>
      </c>
      <c r="J134" s="9" t="s">
        <v>234</v>
      </c>
      <c r="K134" s="30">
        <v>1</v>
      </c>
      <c r="L134" s="9" t="s">
        <v>235</v>
      </c>
      <c r="M134" s="30" t="s">
        <v>84</v>
      </c>
      <c r="N134" s="30" t="s">
        <v>154</v>
      </c>
      <c r="O134" s="24">
        <v>242</v>
      </c>
      <c r="P134" s="24">
        <v>374</v>
      </c>
      <c r="Q134" s="24">
        <v>507</v>
      </c>
      <c r="R134" s="24">
        <v>0</v>
      </c>
      <c r="S134" s="24">
        <v>0</v>
      </c>
      <c r="T134" s="24">
        <v>1123</v>
      </c>
    </row>
    <row r="135" spans="1:20">
      <c r="A135" s="9" t="s">
        <v>218</v>
      </c>
      <c r="B135" s="30" t="s">
        <v>219</v>
      </c>
      <c r="C135" s="30" t="str">
        <f>CONCATENATE(VOL_VOLUMEN_SUMINISTROS[[#This Row],[Proyecto]],VOL_VOLUMEN_SUMINISTROS[[#This Row],[J]],VOL_VOLUMEN_SUMINISTROS[[#This Row],[FIN DE SEMANA]])</f>
        <v>1052-1MNO</v>
      </c>
      <c r="D135" s="360" t="str">
        <f>CONCATENATE(VOL_VOLUMEN_SUMINISTROS[[#This Row],[Grupo]],VOL_VOLUMEN_SUMINISTROS[[#This Row],[Proyecto]],VOL_VOLUMEN_SUMINISTROS[[#This Row],[FIN DE SEMANA]])</f>
        <v>281052-1NO</v>
      </c>
      <c r="E135" s="30" t="s">
        <v>146</v>
      </c>
      <c r="F135" s="30" t="s">
        <v>147</v>
      </c>
      <c r="G135" s="360">
        <v>28</v>
      </c>
      <c r="H135" s="30">
        <v>7</v>
      </c>
      <c r="I135" s="9" t="s">
        <v>220</v>
      </c>
      <c r="J135" s="9" t="s">
        <v>234</v>
      </c>
      <c r="K135" s="30">
        <v>2</v>
      </c>
      <c r="L135" s="9" t="s">
        <v>236</v>
      </c>
      <c r="M135" s="30" t="s">
        <v>84</v>
      </c>
      <c r="N135" s="30" t="s">
        <v>151</v>
      </c>
      <c r="O135" s="24">
        <v>108</v>
      </c>
      <c r="P135" s="24">
        <v>99</v>
      </c>
      <c r="Q135" s="24">
        <v>20</v>
      </c>
      <c r="R135" s="24">
        <v>0</v>
      </c>
      <c r="S135" s="24">
        <v>0</v>
      </c>
      <c r="T135" s="24">
        <v>227</v>
      </c>
    </row>
    <row r="136" spans="1:20">
      <c r="A136" s="9" t="s">
        <v>218</v>
      </c>
      <c r="B136" s="30" t="s">
        <v>219</v>
      </c>
      <c r="C136" s="30" t="str">
        <f>CONCATENATE(VOL_VOLUMEN_SUMINISTROS[[#This Row],[Proyecto]],VOL_VOLUMEN_SUMINISTROS[[#This Row],[J]],VOL_VOLUMEN_SUMINISTROS[[#This Row],[FIN DE SEMANA]])</f>
        <v>1052-1TNO</v>
      </c>
      <c r="D136" s="360" t="str">
        <f>CONCATENATE(VOL_VOLUMEN_SUMINISTROS[[#This Row],[Grupo]],VOL_VOLUMEN_SUMINISTROS[[#This Row],[Proyecto]],VOL_VOLUMEN_SUMINISTROS[[#This Row],[FIN DE SEMANA]])</f>
        <v>281052-1NO</v>
      </c>
      <c r="E136" s="30" t="s">
        <v>146</v>
      </c>
      <c r="F136" s="30" t="s">
        <v>147</v>
      </c>
      <c r="G136" s="360">
        <v>28</v>
      </c>
      <c r="H136" s="30">
        <v>7</v>
      </c>
      <c r="I136" s="9" t="s">
        <v>220</v>
      </c>
      <c r="J136" s="9" t="s">
        <v>234</v>
      </c>
      <c r="K136" s="30">
        <v>2</v>
      </c>
      <c r="L136" s="9" t="s">
        <v>236</v>
      </c>
      <c r="M136" s="30" t="s">
        <v>84</v>
      </c>
      <c r="N136" s="30" t="s">
        <v>154</v>
      </c>
      <c r="O136" s="24">
        <v>109</v>
      </c>
      <c r="P136" s="24">
        <v>100</v>
      </c>
      <c r="Q136" s="24">
        <v>20</v>
      </c>
      <c r="R136" s="24">
        <v>0</v>
      </c>
      <c r="S136" s="24">
        <v>0</v>
      </c>
      <c r="T136" s="24">
        <v>229</v>
      </c>
    </row>
    <row r="137" spans="1:20">
      <c r="A137" s="9" t="s">
        <v>218</v>
      </c>
      <c r="B137" s="30" t="s">
        <v>219</v>
      </c>
      <c r="C137" s="30" t="str">
        <f>CONCATENATE(VOL_VOLUMEN_SUMINISTROS[[#This Row],[Proyecto]],VOL_VOLUMEN_SUMINISTROS[[#This Row],[J]],VOL_VOLUMEN_SUMINISTROS[[#This Row],[FIN DE SEMANA]])</f>
        <v>1052-1MNO</v>
      </c>
      <c r="D137" s="360" t="str">
        <f>CONCATENATE(VOL_VOLUMEN_SUMINISTROS[[#This Row],[Grupo]],VOL_VOLUMEN_SUMINISTROS[[#This Row],[Proyecto]],VOL_VOLUMEN_SUMINISTROS[[#This Row],[FIN DE SEMANA]])</f>
        <v>281052-1NO</v>
      </c>
      <c r="E137" s="30" t="s">
        <v>146</v>
      </c>
      <c r="F137" s="30" t="s">
        <v>147</v>
      </c>
      <c r="G137" s="360">
        <v>28</v>
      </c>
      <c r="H137" s="30">
        <v>7</v>
      </c>
      <c r="I137" s="9" t="s">
        <v>220</v>
      </c>
      <c r="J137" s="9" t="s">
        <v>237</v>
      </c>
      <c r="K137" s="30">
        <v>1</v>
      </c>
      <c r="L137" s="9" t="s">
        <v>238</v>
      </c>
      <c r="M137" s="30" t="s">
        <v>84</v>
      </c>
      <c r="N137" s="30" t="s">
        <v>151</v>
      </c>
      <c r="O137" s="24">
        <v>157</v>
      </c>
      <c r="P137" s="24">
        <v>169</v>
      </c>
      <c r="Q137" s="24">
        <v>39</v>
      </c>
      <c r="R137" s="24">
        <v>0</v>
      </c>
      <c r="S137" s="24">
        <v>0</v>
      </c>
      <c r="T137" s="24">
        <v>365</v>
      </c>
    </row>
    <row r="138" spans="1:20">
      <c r="A138" s="9" t="s">
        <v>218</v>
      </c>
      <c r="B138" s="30" t="s">
        <v>219</v>
      </c>
      <c r="C138" s="30" t="str">
        <f>CONCATENATE(VOL_VOLUMEN_SUMINISTROS[[#This Row],[Proyecto]],VOL_VOLUMEN_SUMINISTROS[[#This Row],[J]],VOL_VOLUMEN_SUMINISTROS[[#This Row],[FIN DE SEMANA]])</f>
        <v>1052-1TNO</v>
      </c>
      <c r="D138" s="360" t="str">
        <f>CONCATENATE(VOL_VOLUMEN_SUMINISTROS[[#This Row],[Grupo]],VOL_VOLUMEN_SUMINISTROS[[#This Row],[Proyecto]],VOL_VOLUMEN_SUMINISTROS[[#This Row],[FIN DE SEMANA]])</f>
        <v>281052-1NO</v>
      </c>
      <c r="E138" s="30" t="s">
        <v>146</v>
      </c>
      <c r="F138" s="30" t="s">
        <v>147</v>
      </c>
      <c r="G138" s="360">
        <v>28</v>
      </c>
      <c r="H138" s="30">
        <v>7</v>
      </c>
      <c r="I138" s="9" t="s">
        <v>220</v>
      </c>
      <c r="J138" s="9" t="s">
        <v>237</v>
      </c>
      <c r="K138" s="30">
        <v>1</v>
      </c>
      <c r="L138" s="9" t="s">
        <v>238</v>
      </c>
      <c r="M138" s="30" t="s">
        <v>84</v>
      </c>
      <c r="N138" s="30" t="s">
        <v>154</v>
      </c>
      <c r="O138" s="24">
        <v>163</v>
      </c>
      <c r="P138" s="24">
        <v>174</v>
      </c>
      <c r="Q138" s="24">
        <v>40</v>
      </c>
      <c r="R138" s="24">
        <v>0</v>
      </c>
      <c r="S138" s="24">
        <v>0</v>
      </c>
      <c r="T138" s="24">
        <v>377</v>
      </c>
    </row>
    <row r="139" spans="1:20">
      <c r="A139" s="9" t="s">
        <v>218</v>
      </c>
      <c r="B139" s="30" t="s">
        <v>219</v>
      </c>
      <c r="C139" s="30" t="str">
        <f>CONCATENATE(VOL_VOLUMEN_SUMINISTROS[[#This Row],[Proyecto]],VOL_VOLUMEN_SUMINISTROS[[#This Row],[J]],VOL_VOLUMEN_SUMINISTROS[[#This Row],[FIN DE SEMANA]])</f>
        <v>1052-1MNO</v>
      </c>
      <c r="D139" s="360" t="str">
        <f>CONCATENATE(VOL_VOLUMEN_SUMINISTROS[[#This Row],[Grupo]],VOL_VOLUMEN_SUMINISTROS[[#This Row],[Proyecto]],VOL_VOLUMEN_SUMINISTROS[[#This Row],[FIN DE SEMANA]])</f>
        <v>281052-1NO</v>
      </c>
      <c r="E139" s="30" t="s">
        <v>146</v>
      </c>
      <c r="F139" s="30" t="s">
        <v>147</v>
      </c>
      <c r="G139" s="360">
        <v>28</v>
      </c>
      <c r="H139" s="30">
        <v>7</v>
      </c>
      <c r="I139" s="9" t="s">
        <v>220</v>
      </c>
      <c r="J139" s="9" t="s">
        <v>237</v>
      </c>
      <c r="K139" s="30">
        <v>2</v>
      </c>
      <c r="L139" s="9" t="s">
        <v>239</v>
      </c>
      <c r="M139" s="30" t="s">
        <v>84</v>
      </c>
      <c r="N139" s="30" t="s">
        <v>151</v>
      </c>
      <c r="O139" s="24">
        <v>311</v>
      </c>
      <c r="P139" s="24">
        <v>268</v>
      </c>
      <c r="Q139" s="24">
        <v>144</v>
      </c>
      <c r="R139" s="24">
        <v>0</v>
      </c>
      <c r="S139" s="24">
        <v>0</v>
      </c>
      <c r="T139" s="24">
        <v>723</v>
      </c>
    </row>
    <row r="140" spans="1:20">
      <c r="A140" s="9" t="s">
        <v>218</v>
      </c>
      <c r="B140" s="30" t="s">
        <v>219</v>
      </c>
      <c r="C140" s="30" t="str">
        <f>CONCATENATE(VOL_VOLUMEN_SUMINISTROS[[#This Row],[Proyecto]],VOL_VOLUMEN_SUMINISTROS[[#This Row],[J]],VOL_VOLUMEN_SUMINISTROS[[#This Row],[FIN DE SEMANA]])</f>
        <v>1052-1TNO</v>
      </c>
      <c r="D140" s="360" t="str">
        <f>CONCATENATE(VOL_VOLUMEN_SUMINISTROS[[#This Row],[Grupo]],VOL_VOLUMEN_SUMINISTROS[[#This Row],[Proyecto]],VOL_VOLUMEN_SUMINISTROS[[#This Row],[FIN DE SEMANA]])</f>
        <v>281052-1NO</v>
      </c>
      <c r="E140" s="30" t="s">
        <v>146</v>
      </c>
      <c r="F140" s="30" t="s">
        <v>147</v>
      </c>
      <c r="G140" s="360">
        <v>28</v>
      </c>
      <c r="H140" s="30">
        <v>7</v>
      </c>
      <c r="I140" s="9" t="s">
        <v>220</v>
      </c>
      <c r="J140" s="9" t="s">
        <v>237</v>
      </c>
      <c r="K140" s="30">
        <v>2</v>
      </c>
      <c r="L140" s="9" t="s">
        <v>239</v>
      </c>
      <c r="M140" s="30" t="s">
        <v>84</v>
      </c>
      <c r="N140" s="30" t="s">
        <v>154</v>
      </c>
      <c r="O140" s="24">
        <v>285</v>
      </c>
      <c r="P140" s="24">
        <v>239</v>
      </c>
      <c r="Q140" s="24">
        <v>101</v>
      </c>
      <c r="R140" s="24">
        <v>0</v>
      </c>
      <c r="S140" s="24">
        <v>0</v>
      </c>
      <c r="T140" s="24">
        <v>625</v>
      </c>
    </row>
    <row r="141" spans="1:20">
      <c r="A141" s="9" t="s">
        <v>218</v>
      </c>
      <c r="B141" s="30" t="s">
        <v>219</v>
      </c>
      <c r="C141" s="30" t="str">
        <f>CONCATENATE(VOL_VOLUMEN_SUMINISTROS[[#This Row],[Proyecto]],VOL_VOLUMEN_SUMINISTROS[[#This Row],[J]],VOL_VOLUMEN_SUMINISTROS[[#This Row],[FIN DE SEMANA]])</f>
        <v>1052-1MNO</v>
      </c>
      <c r="D141" s="360" t="str">
        <f>CONCATENATE(VOL_VOLUMEN_SUMINISTROS[[#This Row],[Grupo]],VOL_VOLUMEN_SUMINISTROS[[#This Row],[Proyecto]],VOL_VOLUMEN_SUMINISTROS[[#This Row],[FIN DE SEMANA]])</f>
        <v>281052-1NO</v>
      </c>
      <c r="E141" s="30" t="s">
        <v>146</v>
      </c>
      <c r="F141" s="30" t="s">
        <v>147</v>
      </c>
      <c r="G141" s="360">
        <v>28</v>
      </c>
      <c r="H141" s="30">
        <v>7</v>
      </c>
      <c r="I141" s="9" t="s">
        <v>220</v>
      </c>
      <c r="J141" s="9" t="s">
        <v>237</v>
      </c>
      <c r="K141" s="30">
        <v>3</v>
      </c>
      <c r="L141" s="9" t="s">
        <v>240</v>
      </c>
      <c r="M141" s="30" t="s">
        <v>84</v>
      </c>
      <c r="N141" s="30" t="s">
        <v>151</v>
      </c>
      <c r="O141" s="24">
        <v>538</v>
      </c>
      <c r="P141" s="24">
        <v>476</v>
      </c>
      <c r="Q141" s="24">
        <v>380</v>
      </c>
      <c r="R141" s="24">
        <v>0</v>
      </c>
      <c r="S141" s="24">
        <v>0</v>
      </c>
      <c r="T141" s="24">
        <v>1394</v>
      </c>
    </row>
    <row r="142" spans="1:20">
      <c r="A142" s="9" t="s">
        <v>218</v>
      </c>
      <c r="B142" s="30" t="s">
        <v>219</v>
      </c>
      <c r="C142" s="30" t="str">
        <f>CONCATENATE(VOL_VOLUMEN_SUMINISTROS[[#This Row],[Proyecto]],VOL_VOLUMEN_SUMINISTROS[[#This Row],[J]],VOL_VOLUMEN_SUMINISTROS[[#This Row],[FIN DE SEMANA]])</f>
        <v>1052-1TNO</v>
      </c>
      <c r="D142" s="360" t="str">
        <f>CONCATENATE(VOL_VOLUMEN_SUMINISTROS[[#This Row],[Grupo]],VOL_VOLUMEN_SUMINISTROS[[#This Row],[Proyecto]],VOL_VOLUMEN_SUMINISTROS[[#This Row],[FIN DE SEMANA]])</f>
        <v>281052-1NO</v>
      </c>
      <c r="E142" s="30" t="s">
        <v>146</v>
      </c>
      <c r="F142" s="30" t="s">
        <v>147</v>
      </c>
      <c r="G142" s="360">
        <v>28</v>
      </c>
      <c r="H142" s="30">
        <v>7</v>
      </c>
      <c r="I142" s="9" t="s">
        <v>220</v>
      </c>
      <c r="J142" s="9" t="s">
        <v>237</v>
      </c>
      <c r="K142" s="30">
        <v>3</v>
      </c>
      <c r="L142" s="9" t="s">
        <v>240</v>
      </c>
      <c r="M142" s="30" t="s">
        <v>84</v>
      </c>
      <c r="N142" s="30" t="s">
        <v>154</v>
      </c>
      <c r="O142" s="24">
        <v>562</v>
      </c>
      <c r="P142" s="24">
        <v>621</v>
      </c>
      <c r="Q142" s="24">
        <v>358</v>
      </c>
      <c r="R142" s="24">
        <v>0</v>
      </c>
      <c r="S142" s="24">
        <v>0</v>
      </c>
      <c r="T142" s="24">
        <v>1541</v>
      </c>
    </row>
    <row r="143" spans="1:20">
      <c r="A143" s="9" t="s">
        <v>218</v>
      </c>
      <c r="B143" s="30" t="s">
        <v>241</v>
      </c>
      <c r="C143" s="30" t="str">
        <f>CONCATENATE(VOL_VOLUMEN_SUMINISTROS[[#This Row],[Proyecto]],VOL_VOLUMEN_SUMINISTROS[[#This Row],[J]],VOL_VOLUMEN_SUMINISTROS[[#This Row],[FIN DE SEMANA]])</f>
        <v>1052-2MNO</v>
      </c>
      <c r="D143" s="360" t="str">
        <f>CONCATENATE(VOL_VOLUMEN_SUMINISTROS[[#This Row],[Grupo]],VOL_VOLUMEN_SUMINISTROS[[#This Row],[Proyecto]],VOL_VOLUMEN_SUMINISTROS[[#This Row],[FIN DE SEMANA]])</f>
        <v>91052-2NO</v>
      </c>
      <c r="E143" s="30" t="s">
        <v>182</v>
      </c>
      <c r="F143" s="30" t="s">
        <v>147</v>
      </c>
      <c r="G143" s="360">
        <v>9</v>
      </c>
      <c r="H143" s="30">
        <v>6</v>
      </c>
      <c r="I143" s="9" t="s">
        <v>242</v>
      </c>
      <c r="J143" s="9" t="s">
        <v>243</v>
      </c>
      <c r="K143" s="30">
        <v>1</v>
      </c>
      <c r="L143" s="9" t="s">
        <v>244</v>
      </c>
      <c r="M143" s="30" t="s">
        <v>84</v>
      </c>
      <c r="N143" s="30" t="s">
        <v>151</v>
      </c>
      <c r="O143" s="24">
        <v>0</v>
      </c>
      <c r="P143" s="24">
        <v>195</v>
      </c>
      <c r="Q143" s="24">
        <v>365</v>
      </c>
      <c r="R143" s="24">
        <v>0</v>
      </c>
      <c r="S143" s="24">
        <v>0</v>
      </c>
      <c r="T143" s="24">
        <v>560</v>
      </c>
    </row>
    <row r="144" spans="1:20">
      <c r="A144" s="9" t="s">
        <v>218</v>
      </c>
      <c r="B144" s="30" t="s">
        <v>241</v>
      </c>
      <c r="C144" s="30" t="str">
        <f>CONCATENATE(VOL_VOLUMEN_SUMINISTROS[[#This Row],[Proyecto]],VOL_VOLUMEN_SUMINISTROS[[#This Row],[J]],VOL_VOLUMEN_SUMINISTROS[[#This Row],[FIN DE SEMANA]])</f>
        <v>1052-2TNO</v>
      </c>
      <c r="D144" s="360" t="str">
        <f>CONCATENATE(VOL_VOLUMEN_SUMINISTROS[[#This Row],[Grupo]],VOL_VOLUMEN_SUMINISTROS[[#This Row],[Proyecto]],VOL_VOLUMEN_SUMINISTROS[[#This Row],[FIN DE SEMANA]])</f>
        <v>91052-2NO</v>
      </c>
      <c r="E144" s="30" t="s">
        <v>182</v>
      </c>
      <c r="F144" s="30" t="s">
        <v>147</v>
      </c>
      <c r="G144" s="360">
        <v>9</v>
      </c>
      <c r="H144" s="30">
        <v>6</v>
      </c>
      <c r="I144" s="9" t="s">
        <v>242</v>
      </c>
      <c r="J144" s="9" t="s">
        <v>243</v>
      </c>
      <c r="K144" s="30">
        <v>1</v>
      </c>
      <c r="L144" s="9" t="s">
        <v>244</v>
      </c>
      <c r="M144" s="30" t="s">
        <v>84</v>
      </c>
      <c r="N144" s="30" t="s">
        <v>154</v>
      </c>
      <c r="O144" s="24">
        <v>0</v>
      </c>
      <c r="P144" s="24">
        <v>195</v>
      </c>
      <c r="Q144" s="24">
        <v>365</v>
      </c>
      <c r="R144" s="24">
        <v>0</v>
      </c>
      <c r="S144" s="24">
        <v>0</v>
      </c>
      <c r="T144" s="24">
        <v>560</v>
      </c>
    </row>
    <row r="145" spans="1:20">
      <c r="A145" s="9" t="s">
        <v>218</v>
      </c>
      <c r="B145" s="30" t="s">
        <v>241</v>
      </c>
      <c r="C145" s="30" t="str">
        <f>CONCATENATE(VOL_VOLUMEN_SUMINISTROS[[#This Row],[Proyecto]],VOL_VOLUMEN_SUMINISTROS[[#This Row],[J]],VOL_VOLUMEN_SUMINISTROS[[#This Row],[FIN DE SEMANA]])</f>
        <v>1052-2MNO</v>
      </c>
      <c r="D145" s="360" t="str">
        <f>CONCATENATE(VOL_VOLUMEN_SUMINISTROS[[#This Row],[Grupo]],VOL_VOLUMEN_SUMINISTROS[[#This Row],[Proyecto]],VOL_VOLUMEN_SUMINISTROS[[#This Row],[FIN DE SEMANA]])</f>
        <v>91052-2NO</v>
      </c>
      <c r="E145" s="30" t="s">
        <v>182</v>
      </c>
      <c r="F145" s="30" t="s">
        <v>147</v>
      </c>
      <c r="G145" s="360">
        <v>9</v>
      </c>
      <c r="H145" s="30">
        <v>6</v>
      </c>
      <c r="I145" s="9" t="s">
        <v>242</v>
      </c>
      <c r="J145" s="9" t="s">
        <v>245</v>
      </c>
      <c r="K145" s="30">
        <v>1</v>
      </c>
      <c r="L145" s="9" t="s">
        <v>246</v>
      </c>
      <c r="M145" s="30" t="s">
        <v>84</v>
      </c>
      <c r="N145" s="30" t="s">
        <v>151</v>
      </c>
      <c r="O145" s="24">
        <v>0</v>
      </c>
      <c r="P145" s="24">
        <v>330</v>
      </c>
      <c r="Q145" s="24">
        <v>350</v>
      </c>
      <c r="R145" s="24">
        <v>0</v>
      </c>
      <c r="S145" s="24">
        <v>0</v>
      </c>
      <c r="T145" s="24">
        <v>680</v>
      </c>
    </row>
    <row r="146" spans="1:20">
      <c r="A146" s="9" t="s">
        <v>218</v>
      </c>
      <c r="B146" s="30" t="s">
        <v>241</v>
      </c>
      <c r="C146" s="30" t="str">
        <f>CONCATENATE(VOL_VOLUMEN_SUMINISTROS[[#This Row],[Proyecto]],VOL_VOLUMEN_SUMINISTROS[[#This Row],[J]],VOL_VOLUMEN_SUMINISTROS[[#This Row],[FIN DE SEMANA]])</f>
        <v>1052-2TNO</v>
      </c>
      <c r="D146" s="360" t="str">
        <f>CONCATENATE(VOL_VOLUMEN_SUMINISTROS[[#This Row],[Grupo]],VOL_VOLUMEN_SUMINISTROS[[#This Row],[Proyecto]],VOL_VOLUMEN_SUMINISTROS[[#This Row],[FIN DE SEMANA]])</f>
        <v>91052-2NO</v>
      </c>
      <c r="E146" s="30" t="s">
        <v>182</v>
      </c>
      <c r="F146" s="30" t="s">
        <v>147</v>
      </c>
      <c r="G146" s="360">
        <v>9</v>
      </c>
      <c r="H146" s="30">
        <v>6</v>
      </c>
      <c r="I146" s="9" t="s">
        <v>242</v>
      </c>
      <c r="J146" s="9" t="s">
        <v>245</v>
      </c>
      <c r="K146" s="30">
        <v>1</v>
      </c>
      <c r="L146" s="9" t="s">
        <v>246</v>
      </c>
      <c r="M146" s="30" t="s">
        <v>84</v>
      </c>
      <c r="N146" s="30" t="s">
        <v>154</v>
      </c>
      <c r="O146" s="24">
        <v>0</v>
      </c>
      <c r="P146" s="24">
        <v>114</v>
      </c>
      <c r="Q146" s="24">
        <v>38</v>
      </c>
      <c r="R146" s="24">
        <v>0</v>
      </c>
      <c r="S146" s="24">
        <v>0</v>
      </c>
      <c r="T146" s="24">
        <v>152</v>
      </c>
    </row>
    <row r="147" spans="1:20">
      <c r="A147" s="9" t="s">
        <v>218</v>
      </c>
      <c r="B147" s="30" t="s">
        <v>241</v>
      </c>
      <c r="C147" s="30" t="str">
        <f>CONCATENATE(VOL_VOLUMEN_SUMINISTROS[[#This Row],[Proyecto]],VOL_VOLUMEN_SUMINISTROS[[#This Row],[J]],VOL_VOLUMEN_SUMINISTROS[[#This Row],[FIN DE SEMANA]])</f>
        <v>1052-2MNO</v>
      </c>
      <c r="D147" s="360" t="str">
        <f>CONCATENATE(VOL_VOLUMEN_SUMINISTROS[[#This Row],[Grupo]],VOL_VOLUMEN_SUMINISTROS[[#This Row],[Proyecto]],VOL_VOLUMEN_SUMINISTROS[[#This Row],[FIN DE SEMANA]])</f>
        <v>91052-2NO</v>
      </c>
      <c r="E147" s="30" t="s">
        <v>182</v>
      </c>
      <c r="F147" s="30" t="s">
        <v>147</v>
      </c>
      <c r="G147" s="360">
        <v>9</v>
      </c>
      <c r="H147" s="30">
        <v>6</v>
      </c>
      <c r="I147" s="9" t="s">
        <v>242</v>
      </c>
      <c r="J147" s="9" t="s">
        <v>245</v>
      </c>
      <c r="K147" s="30">
        <v>2</v>
      </c>
      <c r="L147" s="9" t="s">
        <v>247</v>
      </c>
      <c r="M147" s="30" t="s">
        <v>84</v>
      </c>
      <c r="N147" s="30" t="s">
        <v>151</v>
      </c>
      <c r="O147" s="24">
        <v>110</v>
      </c>
      <c r="P147" s="24">
        <v>286</v>
      </c>
      <c r="Q147" s="24">
        <v>77</v>
      </c>
      <c r="R147" s="24">
        <v>0</v>
      </c>
      <c r="S147" s="24">
        <v>0</v>
      </c>
      <c r="T147" s="24">
        <v>473</v>
      </c>
    </row>
    <row r="148" spans="1:20">
      <c r="A148" s="9" t="s">
        <v>218</v>
      </c>
      <c r="B148" s="30" t="s">
        <v>241</v>
      </c>
      <c r="C148" s="30" t="str">
        <f>CONCATENATE(VOL_VOLUMEN_SUMINISTROS[[#This Row],[Proyecto]],VOL_VOLUMEN_SUMINISTROS[[#This Row],[J]],VOL_VOLUMEN_SUMINISTROS[[#This Row],[FIN DE SEMANA]])</f>
        <v>1052-2M1NO</v>
      </c>
      <c r="D148" s="360" t="str">
        <f>CONCATENATE(VOL_VOLUMEN_SUMINISTROS[[#This Row],[Grupo]],VOL_VOLUMEN_SUMINISTROS[[#This Row],[Proyecto]],VOL_VOLUMEN_SUMINISTROS[[#This Row],[FIN DE SEMANA]])</f>
        <v>281052-2NO</v>
      </c>
      <c r="E148" s="30" t="s">
        <v>182</v>
      </c>
      <c r="F148" s="30" t="s">
        <v>147</v>
      </c>
      <c r="G148" s="360">
        <v>28</v>
      </c>
      <c r="H148" s="30">
        <v>7</v>
      </c>
      <c r="I148" s="9" t="s">
        <v>220</v>
      </c>
      <c r="J148" s="9" t="s">
        <v>227</v>
      </c>
      <c r="K148" s="30">
        <v>2</v>
      </c>
      <c r="L148" s="9" t="s">
        <v>229</v>
      </c>
      <c r="M148" s="30" t="s">
        <v>84</v>
      </c>
      <c r="N148" s="30" t="s">
        <v>215</v>
      </c>
      <c r="O148" s="24">
        <v>0</v>
      </c>
      <c r="P148" s="24">
        <v>0</v>
      </c>
      <c r="Q148" s="24">
        <v>104</v>
      </c>
      <c r="R148" s="24">
        <v>0</v>
      </c>
      <c r="S148" s="24">
        <v>0</v>
      </c>
      <c r="T148" s="24">
        <v>104</v>
      </c>
    </row>
    <row r="149" spans="1:20">
      <c r="A149" s="9" t="s">
        <v>218</v>
      </c>
      <c r="B149" s="30" t="s">
        <v>241</v>
      </c>
      <c r="C149" s="30" t="str">
        <f>CONCATENATE(VOL_VOLUMEN_SUMINISTROS[[#This Row],[Proyecto]],VOL_VOLUMEN_SUMINISTROS[[#This Row],[J]],VOL_VOLUMEN_SUMINISTROS[[#This Row],[FIN DE SEMANA]])</f>
        <v>1052-2TNO</v>
      </c>
      <c r="D149" s="360" t="str">
        <f>CONCATENATE(VOL_VOLUMEN_SUMINISTROS[[#This Row],[Grupo]],VOL_VOLUMEN_SUMINISTROS[[#This Row],[Proyecto]],VOL_VOLUMEN_SUMINISTROS[[#This Row],[FIN DE SEMANA]])</f>
        <v>281052-2NO</v>
      </c>
      <c r="E149" s="30" t="s">
        <v>182</v>
      </c>
      <c r="F149" s="30" t="s">
        <v>147</v>
      </c>
      <c r="G149" s="360">
        <v>28</v>
      </c>
      <c r="H149" s="30">
        <v>7</v>
      </c>
      <c r="I149" s="9" t="s">
        <v>220</v>
      </c>
      <c r="J149" s="9" t="s">
        <v>227</v>
      </c>
      <c r="K149" s="30">
        <v>2</v>
      </c>
      <c r="L149" s="9" t="s">
        <v>229</v>
      </c>
      <c r="M149" s="30" t="s">
        <v>84</v>
      </c>
      <c r="N149" s="30" t="s">
        <v>154</v>
      </c>
      <c r="O149" s="24">
        <v>0</v>
      </c>
      <c r="P149" s="24">
        <v>0</v>
      </c>
      <c r="Q149" s="24">
        <v>225</v>
      </c>
      <c r="R149" s="24">
        <v>0</v>
      </c>
      <c r="S149" s="24">
        <v>0</v>
      </c>
      <c r="T149" s="24">
        <v>225</v>
      </c>
    </row>
    <row r="150" spans="1:20">
      <c r="A150" s="9" t="s">
        <v>218</v>
      </c>
      <c r="B150" s="30" t="s">
        <v>241</v>
      </c>
      <c r="C150" s="30" t="str">
        <f>CONCATENATE(VOL_VOLUMEN_SUMINISTROS[[#This Row],[Proyecto]],VOL_VOLUMEN_SUMINISTROS[[#This Row],[J]],VOL_VOLUMEN_SUMINISTROS[[#This Row],[FIN DE SEMANA]])</f>
        <v>1052-2MNO</v>
      </c>
      <c r="D150" s="360" t="str">
        <f>CONCATENATE(VOL_VOLUMEN_SUMINISTROS[[#This Row],[Grupo]],VOL_VOLUMEN_SUMINISTROS[[#This Row],[Proyecto]],VOL_VOLUMEN_SUMINISTROS[[#This Row],[FIN DE SEMANA]])</f>
        <v>281052-2NO</v>
      </c>
      <c r="E150" s="30" t="s">
        <v>182</v>
      </c>
      <c r="F150" s="30" t="s">
        <v>147</v>
      </c>
      <c r="G150" s="360">
        <v>28</v>
      </c>
      <c r="H150" s="30">
        <v>7</v>
      </c>
      <c r="I150" s="9" t="s">
        <v>220</v>
      </c>
      <c r="J150" s="9" t="s">
        <v>231</v>
      </c>
      <c r="K150" s="30">
        <v>1</v>
      </c>
      <c r="L150" s="9" t="s">
        <v>232</v>
      </c>
      <c r="M150" s="30" t="s">
        <v>84</v>
      </c>
      <c r="N150" s="30" t="s">
        <v>151</v>
      </c>
      <c r="O150" s="24">
        <v>0</v>
      </c>
      <c r="P150" s="24">
        <v>69</v>
      </c>
      <c r="Q150" s="24">
        <v>178</v>
      </c>
      <c r="R150" s="24">
        <v>0</v>
      </c>
      <c r="S150" s="24">
        <v>0</v>
      </c>
      <c r="T150" s="24">
        <v>247</v>
      </c>
    </row>
    <row r="151" spans="1:20">
      <c r="A151" s="9" t="s">
        <v>218</v>
      </c>
      <c r="B151" s="30" t="s">
        <v>241</v>
      </c>
      <c r="C151" s="30" t="str">
        <f>CONCATENATE(VOL_VOLUMEN_SUMINISTROS[[#This Row],[Proyecto]],VOL_VOLUMEN_SUMINISTROS[[#This Row],[J]],VOL_VOLUMEN_SUMINISTROS[[#This Row],[FIN DE SEMANA]])</f>
        <v>1052-2M1NO</v>
      </c>
      <c r="D151" s="360" t="str">
        <f>CONCATENATE(VOL_VOLUMEN_SUMINISTROS[[#This Row],[Grupo]],VOL_VOLUMEN_SUMINISTROS[[#This Row],[Proyecto]],VOL_VOLUMEN_SUMINISTROS[[#This Row],[FIN DE SEMANA]])</f>
        <v>281052-2NO</v>
      </c>
      <c r="E151" s="30" t="s">
        <v>182</v>
      </c>
      <c r="F151" s="30" t="s">
        <v>147</v>
      </c>
      <c r="G151" s="360">
        <v>28</v>
      </c>
      <c r="H151" s="30">
        <v>7</v>
      </c>
      <c r="I151" s="9" t="s">
        <v>220</v>
      </c>
      <c r="J151" s="9" t="s">
        <v>231</v>
      </c>
      <c r="K151" s="30">
        <v>1</v>
      </c>
      <c r="L151" s="9" t="s">
        <v>232</v>
      </c>
      <c r="M151" s="30" t="s">
        <v>84</v>
      </c>
      <c r="N151" s="30" t="s">
        <v>215</v>
      </c>
      <c r="O151" s="24">
        <v>0</v>
      </c>
      <c r="P151" s="24">
        <v>24</v>
      </c>
      <c r="Q151" s="24">
        <v>8</v>
      </c>
      <c r="R151" s="24">
        <v>0</v>
      </c>
      <c r="S151" s="24">
        <v>0</v>
      </c>
      <c r="T151" s="24">
        <v>32</v>
      </c>
    </row>
    <row r="152" spans="1:20">
      <c r="A152" s="9" t="s">
        <v>218</v>
      </c>
      <c r="B152" s="30" t="s">
        <v>241</v>
      </c>
      <c r="C152" s="30" t="str">
        <f>CONCATENATE(VOL_VOLUMEN_SUMINISTROS[[#This Row],[Proyecto]],VOL_VOLUMEN_SUMINISTROS[[#This Row],[J]],VOL_VOLUMEN_SUMINISTROS[[#This Row],[FIN DE SEMANA]])</f>
        <v>1052-2TNO</v>
      </c>
      <c r="D152" s="360" t="str">
        <f>CONCATENATE(VOL_VOLUMEN_SUMINISTROS[[#This Row],[Grupo]],VOL_VOLUMEN_SUMINISTROS[[#This Row],[Proyecto]],VOL_VOLUMEN_SUMINISTROS[[#This Row],[FIN DE SEMANA]])</f>
        <v>281052-2NO</v>
      </c>
      <c r="E152" s="30" t="s">
        <v>182</v>
      </c>
      <c r="F152" s="30" t="s">
        <v>147</v>
      </c>
      <c r="G152" s="360">
        <v>28</v>
      </c>
      <c r="H152" s="30">
        <v>7</v>
      </c>
      <c r="I152" s="9" t="s">
        <v>220</v>
      </c>
      <c r="J152" s="9" t="s">
        <v>231</v>
      </c>
      <c r="K152" s="30">
        <v>1</v>
      </c>
      <c r="L152" s="9" t="s">
        <v>233</v>
      </c>
      <c r="M152" s="30" t="s">
        <v>84</v>
      </c>
      <c r="N152" s="30" t="s">
        <v>154</v>
      </c>
      <c r="O152" s="24">
        <v>72</v>
      </c>
      <c r="P152" s="24">
        <v>99</v>
      </c>
      <c r="Q152" s="24">
        <v>21</v>
      </c>
      <c r="R152" s="24">
        <v>0</v>
      </c>
      <c r="S152" s="24">
        <v>0</v>
      </c>
      <c r="T152" s="24">
        <v>192</v>
      </c>
    </row>
    <row r="153" spans="1:20">
      <c r="A153" s="9" t="s">
        <v>218</v>
      </c>
      <c r="B153" s="30" t="s">
        <v>241</v>
      </c>
      <c r="C153" s="30" t="str">
        <f>CONCATENATE(VOL_VOLUMEN_SUMINISTROS[[#This Row],[Proyecto]],VOL_VOLUMEN_SUMINISTROS[[#This Row],[J]],VOL_VOLUMEN_SUMINISTROS[[#This Row],[FIN DE SEMANA]])</f>
        <v>1052-2MNO</v>
      </c>
      <c r="D153" s="360" t="str">
        <f>CONCATENATE(VOL_VOLUMEN_SUMINISTROS[[#This Row],[Grupo]],VOL_VOLUMEN_SUMINISTROS[[#This Row],[Proyecto]],VOL_VOLUMEN_SUMINISTROS[[#This Row],[FIN DE SEMANA]])</f>
        <v>281052-2NO</v>
      </c>
      <c r="E153" s="30" t="s">
        <v>182</v>
      </c>
      <c r="F153" s="30" t="s">
        <v>147</v>
      </c>
      <c r="G153" s="360">
        <v>28</v>
      </c>
      <c r="H153" s="30">
        <v>7</v>
      </c>
      <c r="I153" s="9" t="s">
        <v>220</v>
      </c>
      <c r="J153" s="9" t="s">
        <v>237</v>
      </c>
      <c r="K153" s="30">
        <v>1</v>
      </c>
      <c r="L153" s="9" t="s">
        <v>238</v>
      </c>
      <c r="M153" s="30" t="s">
        <v>84</v>
      </c>
      <c r="N153" s="30" t="s">
        <v>151</v>
      </c>
      <c r="O153" s="24">
        <v>60</v>
      </c>
      <c r="P153" s="24">
        <v>105</v>
      </c>
      <c r="Q153" s="24">
        <v>25</v>
      </c>
      <c r="R153" s="24">
        <v>0</v>
      </c>
      <c r="S153" s="24">
        <v>0</v>
      </c>
      <c r="T153" s="24">
        <v>190</v>
      </c>
    </row>
    <row r="154" spans="1:20">
      <c r="A154" s="9" t="s">
        <v>218</v>
      </c>
      <c r="B154" s="30" t="s">
        <v>241</v>
      </c>
      <c r="C154" s="30" t="str">
        <f>CONCATENATE(VOL_VOLUMEN_SUMINISTROS[[#This Row],[Proyecto]],VOL_VOLUMEN_SUMINISTROS[[#This Row],[J]],VOL_VOLUMEN_SUMINISTROS[[#This Row],[FIN DE SEMANA]])</f>
        <v>1052-2M1NO</v>
      </c>
      <c r="D154" s="360" t="str">
        <f>CONCATENATE(VOL_VOLUMEN_SUMINISTROS[[#This Row],[Grupo]],VOL_VOLUMEN_SUMINISTROS[[#This Row],[Proyecto]],VOL_VOLUMEN_SUMINISTROS[[#This Row],[FIN DE SEMANA]])</f>
        <v>281052-2NO</v>
      </c>
      <c r="E154" s="30" t="s">
        <v>182</v>
      </c>
      <c r="F154" s="30" t="s">
        <v>147</v>
      </c>
      <c r="G154" s="360">
        <v>28</v>
      </c>
      <c r="H154" s="30">
        <v>7</v>
      </c>
      <c r="I154" s="9" t="s">
        <v>220</v>
      </c>
      <c r="J154" s="9" t="s">
        <v>237</v>
      </c>
      <c r="K154" s="30">
        <v>1</v>
      </c>
      <c r="L154" s="9" t="s">
        <v>238</v>
      </c>
      <c r="M154" s="30" t="s">
        <v>84</v>
      </c>
      <c r="N154" s="30" t="s">
        <v>215</v>
      </c>
      <c r="O154" s="24">
        <v>60</v>
      </c>
      <c r="P154" s="24">
        <v>105</v>
      </c>
      <c r="Q154" s="24">
        <v>25</v>
      </c>
      <c r="R154" s="24">
        <v>0</v>
      </c>
      <c r="S154" s="24">
        <v>0</v>
      </c>
      <c r="T154" s="24">
        <v>190</v>
      </c>
    </row>
    <row r="155" spans="1:20">
      <c r="A155" s="9" t="s">
        <v>218</v>
      </c>
      <c r="B155" s="30" t="s">
        <v>241</v>
      </c>
      <c r="C155" s="30" t="str">
        <f>CONCATENATE(VOL_VOLUMEN_SUMINISTROS[[#This Row],[Proyecto]],VOL_VOLUMEN_SUMINISTROS[[#This Row],[J]],VOL_VOLUMEN_SUMINISTROS[[#This Row],[FIN DE SEMANA]])</f>
        <v>1052-2M1NO</v>
      </c>
      <c r="D155" s="360" t="str">
        <f>CONCATENATE(VOL_VOLUMEN_SUMINISTROS[[#This Row],[Grupo]],VOL_VOLUMEN_SUMINISTROS[[#This Row],[Proyecto]],VOL_VOLUMEN_SUMINISTROS[[#This Row],[FIN DE SEMANA]])</f>
        <v>281052-2NO</v>
      </c>
      <c r="E155" s="30" t="s">
        <v>182</v>
      </c>
      <c r="F155" s="30" t="s">
        <v>147</v>
      </c>
      <c r="G155" s="360">
        <v>28</v>
      </c>
      <c r="H155" s="30">
        <v>7</v>
      </c>
      <c r="I155" s="9" t="s">
        <v>220</v>
      </c>
      <c r="J155" s="9" t="s">
        <v>237</v>
      </c>
      <c r="K155" s="30">
        <v>3</v>
      </c>
      <c r="L155" s="9" t="s">
        <v>240</v>
      </c>
      <c r="M155" s="30" t="s">
        <v>84</v>
      </c>
      <c r="N155" s="30" t="s">
        <v>215</v>
      </c>
      <c r="O155" s="24">
        <v>0</v>
      </c>
      <c r="P155" s="24">
        <v>0</v>
      </c>
      <c r="Q155" s="24">
        <v>40</v>
      </c>
      <c r="R155" s="24">
        <v>0</v>
      </c>
      <c r="S155" s="24">
        <v>0</v>
      </c>
      <c r="T155" s="24">
        <v>40</v>
      </c>
    </row>
    <row r="156" spans="1:20">
      <c r="A156" s="9" t="s">
        <v>218</v>
      </c>
      <c r="B156" s="30" t="s">
        <v>241</v>
      </c>
      <c r="C156" s="30" t="str">
        <f>CONCATENATE(VOL_VOLUMEN_SUMINISTROS[[#This Row],[Proyecto]],VOL_VOLUMEN_SUMINISTROS[[#This Row],[J]],VOL_VOLUMEN_SUMINISTROS[[#This Row],[FIN DE SEMANA]])</f>
        <v>1052-2TNO</v>
      </c>
      <c r="D156" s="360" t="str">
        <f>CONCATENATE(VOL_VOLUMEN_SUMINISTROS[[#This Row],[Grupo]],VOL_VOLUMEN_SUMINISTROS[[#This Row],[Proyecto]],VOL_VOLUMEN_SUMINISTROS[[#This Row],[FIN DE SEMANA]])</f>
        <v>281052-2NO</v>
      </c>
      <c r="E156" s="30" t="s">
        <v>182</v>
      </c>
      <c r="F156" s="30" t="s">
        <v>147</v>
      </c>
      <c r="G156" s="360">
        <v>28</v>
      </c>
      <c r="H156" s="30">
        <v>7</v>
      </c>
      <c r="I156" s="9" t="s">
        <v>220</v>
      </c>
      <c r="J156" s="9" t="s">
        <v>237</v>
      </c>
      <c r="K156" s="30">
        <v>3</v>
      </c>
      <c r="L156" s="9" t="s">
        <v>240</v>
      </c>
      <c r="M156" s="30" t="s">
        <v>84</v>
      </c>
      <c r="N156" s="30" t="s">
        <v>154</v>
      </c>
      <c r="O156" s="24">
        <v>0</v>
      </c>
      <c r="P156" s="24">
        <v>0</v>
      </c>
      <c r="Q156" s="24">
        <v>172</v>
      </c>
      <c r="R156" s="24">
        <v>0</v>
      </c>
      <c r="S156" s="24">
        <v>0</v>
      </c>
      <c r="T156" s="24">
        <v>172</v>
      </c>
    </row>
    <row r="157" spans="1:20">
      <c r="A157" s="9" t="s">
        <v>218</v>
      </c>
      <c r="B157" s="30" t="s">
        <v>248</v>
      </c>
      <c r="C157" s="30" t="str">
        <f>CONCATENATE(VOL_VOLUMEN_SUMINISTROS[[#This Row],[Proyecto]],VOL_VOLUMEN_SUMINISTROS[[#This Row],[J]],VOL_VOLUMEN_SUMINISTROS[[#This Row],[FIN DE SEMANA]])</f>
        <v>1052-2MNO</v>
      </c>
      <c r="D157" s="360" t="str">
        <f>CONCATENATE(VOL_VOLUMEN_SUMINISTROS[[#This Row],[Grupo]],VOL_VOLUMEN_SUMINISTROS[[#This Row],[Proyecto]],VOL_VOLUMEN_SUMINISTROS[[#This Row],[FIN DE SEMANA]])</f>
        <v>91052-2NO</v>
      </c>
      <c r="E157" s="30" t="s">
        <v>182</v>
      </c>
      <c r="F157" s="30" t="s">
        <v>147</v>
      </c>
      <c r="G157" s="360">
        <v>9</v>
      </c>
      <c r="H157" s="30">
        <v>19</v>
      </c>
      <c r="I157" s="9" t="s">
        <v>249</v>
      </c>
      <c r="J157" s="9" t="s">
        <v>250</v>
      </c>
      <c r="K157" s="30">
        <v>1</v>
      </c>
      <c r="L157" s="9" t="s">
        <v>251</v>
      </c>
      <c r="M157" s="30" t="s">
        <v>84</v>
      </c>
      <c r="N157" s="30" t="s">
        <v>151</v>
      </c>
      <c r="O157" s="24">
        <v>0</v>
      </c>
      <c r="P157" s="24">
        <v>0</v>
      </c>
      <c r="Q157" s="24">
        <v>350</v>
      </c>
      <c r="R157" s="24">
        <v>0</v>
      </c>
      <c r="S157" s="24">
        <v>0</v>
      </c>
      <c r="T157" s="24">
        <v>350</v>
      </c>
    </row>
    <row r="158" spans="1:20">
      <c r="A158" s="9" t="s">
        <v>218</v>
      </c>
      <c r="B158" s="30" t="s">
        <v>248</v>
      </c>
      <c r="C158" s="30" t="str">
        <f>CONCATENATE(VOL_VOLUMEN_SUMINISTROS[[#This Row],[Proyecto]],VOL_VOLUMEN_SUMINISTROS[[#This Row],[J]],VOL_VOLUMEN_SUMINISTROS[[#This Row],[FIN DE SEMANA]])</f>
        <v>1052-2MNO</v>
      </c>
      <c r="D158" s="360" t="str">
        <f>CONCATENATE(VOL_VOLUMEN_SUMINISTROS[[#This Row],[Grupo]],VOL_VOLUMEN_SUMINISTROS[[#This Row],[Proyecto]],VOL_VOLUMEN_SUMINISTROS[[#This Row],[FIN DE SEMANA]])</f>
        <v>91052-2NO</v>
      </c>
      <c r="E158" s="30" t="s">
        <v>182</v>
      </c>
      <c r="F158" s="30" t="s">
        <v>147</v>
      </c>
      <c r="G158" s="360">
        <v>9</v>
      </c>
      <c r="H158" s="30">
        <v>19</v>
      </c>
      <c r="I158" s="9" t="s">
        <v>249</v>
      </c>
      <c r="J158" s="9" t="s">
        <v>252</v>
      </c>
      <c r="K158" s="30">
        <v>1</v>
      </c>
      <c r="L158" s="9" t="s">
        <v>253</v>
      </c>
      <c r="M158" s="30" t="s">
        <v>84</v>
      </c>
      <c r="N158" s="30" t="s">
        <v>151</v>
      </c>
      <c r="O158" s="24">
        <v>0</v>
      </c>
      <c r="P158" s="24">
        <v>0</v>
      </c>
      <c r="Q158" s="24">
        <v>77</v>
      </c>
      <c r="R158" s="24">
        <v>0</v>
      </c>
      <c r="S158" s="24">
        <v>0</v>
      </c>
      <c r="T158" s="24">
        <v>77</v>
      </c>
    </row>
    <row r="159" spans="1:20">
      <c r="A159" s="9" t="s">
        <v>218</v>
      </c>
      <c r="B159" s="30" t="s">
        <v>248</v>
      </c>
      <c r="C159" s="30" t="str">
        <f>CONCATENATE(VOL_VOLUMEN_SUMINISTROS[[#This Row],[Proyecto]],VOL_VOLUMEN_SUMINISTROS[[#This Row],[J]],VOL_VOLUMEN_SUMINISTROS[[#This Row],[FIN DE SEMANA]])</f>
        <v>1052-2MNO</v>
      </c>
      <c r="D159" s="360" t="str">
        <f>CONCATENATE(VOL_VOLUMEN_SUMINISTROS[[#This Row],[Grupo]],VOL_VOLUMEN_SUMINISTROS[[#This Row],[Proyecto]],VOL_VOLUMEN_SUMINISTROS[[#This Row],[FIN DE SEMANA]])</f>
        <v>91052-2NO</v>
      </c>
      <c r="E159" s="30" t="s">
        <v>182</v>
      </c>
      <c r="F159" s="30" t="s">
        <v>147</v>
      </c>
      <c r="G159" s="360">
        <v>9</v>
      </c>
      <c r="H159" s="30">
        <v>6</v>
      </c>
      <c r="I159" s="9" t="s">
        <v>242</v>
      </c>
      <c r="J159" s="9" t="s">
        <v>254</v>
      </c>
      <c r="K159" s="30">
        <v>1</v>
      </c>
      <c r="L159" s="9" t="s">
        <v>255</v>
      </c>
      <c r="M159" s="30" t="s">
        <v>84</v>
      </c>
      <c r="N159" s="30" t="s">
        <v>151</v>
      </c>
      <c r="O159" s="24">
        <v>0</v>
      </c>
      <c r="P159" s="24">
        <v>0</v>
      </c>
      <c r="Q159" s="24">
        <v>101</v>
      </c>
      <c r="R159" s="24">
        <v>0</v>
      </c>
      <c r="S159" s="24">
        <v>0</v>
      </c>
      <c r="T159" s="24">
        <v>101</v>
      </c>
    </row>
    <row r="160" spans="1:20">
      <c r="A160" s="9" t="s">
        <v>218</v>
      </c>
      <c r="B160" s="30" t="s">
        <v>248</v>
      </c>
      <c r="C160" s="30" t="str">
        <f>CONCATENATE(VOL_VOLUMEN_SUMINISTROS[[#This Row],[Proyecto]],VOL_VOLUMEN_SUMINISTROS[[#This Row],[J]],VOL_VOLUMEN_SUMINISTROS[[#This Row],[FIN DE SEMANA]])</f>
        <v>1052-2TNO</v>
      </c>
      <c r="D160" s="360" t="str">
        <f>CONCATENATE(VOL_VOLUMEN_SUMINISTROS[[#This Row],[Grupo]],VOL_VOLUMEN_SUMINISTROS[[#This Row],[Proyecto]],VOL_VOLUMEN_SUMINISTROS[[#This Row],[FIN DE SEMANA]])</f>
        <v>91052-2NO</v>
      </c>
      <c r="E160" s="30" t="s">
        <v>182</v>
      </c>
      <c r="F160" s="30" t="s">
        <v>147</v>
      </c>
      <c r="G160" s="360">
        <v>9</v>
      </c>
      <c r="H160" s="30">
        <v>6</v>
      </c>
      <c r="I160" s="9" t="s">
        <v>242</v>
      </c>
      <c r="J160" s="9" t="s">
        <v>254</v>
      </c>
      <c r="K160" s="30">
        <v>1</v>
      </c>
      <c r="L160" s="9" t="s">
        <v>255</v>
      </c>
      <c r="M160" s="30" t="s">
        <v>84</v>
      </c>
      <c r="N160" s="30" t="s">
        <v>154</v>
      </c>
      <c r="O160" s="24">
        <v>0</v>
      </c>
      <c r="P160" s="24">
        <v>0</v>
      </c>
      <c r="Q160" s="24">
        <v>108</v>
      </c>
      <c r="R160" s="24">
        <v>0</v>
      </c>
      <c r="S160" s="24">
        <v>0</v>
      </c>
      <c r="T160" s="24">
        <v>108</v>
      </c>
    </row>
    <row r="161" spans="1:20">
      <c r="A161" s="9" t="s">
        <v>218</v>
      </c>
      <c r="B161" s="30" t="s">
        <v>256</v>
      </c>
      <c r="C161" s="30" t="str">
        <f>CONCATENATE(VOL_VOLUMEN_SUMINISTROS[[#This Row],[Proyecto]],VOL_VOLUMEN_SUMINISTROS[[#This Row],[J]],VOL_VOLUMEN_SUMINISTROS[[#This Row],[FIN DE SEMANA]])</f>
        <v>1052-2MNO</v>
      </c>
      <c r="D161" s="360" t="str">
        <f>CONCATENATE(VOL_VOLUMEN_SUMINISTROS[[#This Row],[Grupo]],VOL_VOLUMEN_SUMINISTROS[[#This Row],[Proyecto]],VOL_VOLUMEN_SUMINISTROS[[#This Row],[FIN DE SEMANA]])</f>
        <v>281052-2NO</v>
      </c>
      <c r="E161" s="30" t="s">
        <v>182</v>
      </c>
      <c r="F161" s="30" t="s">
        <v>147</v>
      </c>
      <c r="G161" s="360">
        <v>28</v>
      </c>
      <c r="H161" s="30">
        <v>7</v>
      </c>
      <c r="I161" s="9" t="s">
        <v>220</v>
      </c>
      <c r="J161" s="9" t="s">
        <v>227</v>
      </c>
      <c r="K161" s="30">
        <v>4</v>
      </c>
      <c r="L161" s="9" t="s">
        <v>230</v>
      </c>
      <c r="M161" s="30" t="s">
        <v>84</v>
      </c>
      <c r="N161" s="30" t="s">
        <v>151</v>
      </c>
      <c r="O161" s="24">
        <v>188</v>
      </c>
      <c r="P161" s="24">
        <v>0</v>
      </c>
      <c r="Q161" s="24">
        <v>0</v>
      </c>
      <c r="R161" s="24">
        <v>0</v>
      </c>
      <c r="S161" s="24">
        <v>0</v>
      </c>
      <c r="T161" s="24">
        <v>188</v>
      </c>
    </row>
    <row r="162" spans="1:20">
      <c r="A162" s="9" t="s">
        <v>218</v>
      </c>
      <c r="B162" s="30" t="s">
        <v>256</v>
      </c>
      <c r="C162" s="30" t="str">
        <f>CONCATENATE(VOL_VOLUMEN_SUMINISTROS[[#This Row],[Proyecto]],VOL_VOLUMEN_SUMINISTROS[[#This Row],[J]],VOL_VOLUMEN_SUMINISTROS[[#This Row],[FIN DE SEMANA]])</f>
        <v>1052-2TNO</v>
      </c>
      <c r="D162" s="360" t="str">
        <f>CONCATENATE(VOL_VOLUMEN_SUMINISTROS[[#This Row],[Grupo]],VOL_VOLUMEN_SUMINISTROS[[#This Row],[Proyecto]],VOL_VOLUMEN_SUMINISTROS[[#This Row],[FIN DE SEMANA]])</f>
        <v>281052-2NO</v>
      </c>
      <c r="E162" s="30" t="s">
        <v>182</v>
      </c>
      <c r="F162" s="30" t="s">
        <v>147</v>
      </c>
      <c r="G162" s="360">
        <v>28</v>
      </c>
      <c r="H162" s="30">
        <v>7</v>
      </c>
      <c r="I162" s="9" t="s">
        <v>220</v>
      </c>
      <c r="J162" s="9" t="s">
        <v>227</v>
      </c>
      <c r="K162" s="30">
        <v>4</v>
      </c>
      <c r="L162" s="9" t="s">
        <v>230</v>
      </c>
      <c r="M162" s="30" t="s">
        <v>84</v>
      </c>
      <c r="N162" s="30" t="s">
        <v>154</v>
      </c>
      <c r="O162" s="24">
        <v>191</v>
      </c>
      <c r="P162" s="24">
        <v>0</v>
      </c>
      <c r="Q162" s="24">
        <v>0</v>
      </c>
      <c r="R162" s="24">
        <v>0</v>
      </c>
      <c r="S162" s="24">
        <v>0</v>
      </c>
      <c r="T162" s="24">
        <v>191</v>
      </c>
    </row>
    <row r="163" spans="1:20">
      <c r="A163" s="9" t="s">
        <v>218</v>
      </c>
      <c r="B163" s="30" t="s">
        <v>256</v>
      </c>
      <c r="C163" s="30" t="str">
        <f>CONCATENATE(VOL_VOLUMEN_SUMINISTROS[[#This Row],[Proyecto]],VOL_VOLUMEN_SUMINISTROS[[#This Row],[J]],VOL_VOLUMEN_SUMINISTROS[[#This Row],[FIN DE SEMANA]])</f>
        <v>1052-2MNO</v>
      </c>
      <c r="D163" s="360" t="str">
        <f>CONCATENATE(VOL_VOLUMEN_SUMINISTROS[[#This Row],[Grupo]],VOL_VOLUMEN_SUMINISTROS[[#This Row],[Proyecto]],VOL_VOLUMEN_SUMINISTROS[[#This Row],[FIN DE SEMANA]])</f>
        <v>281052-2NO</v>
      </c>
      <c r="E163" s="30" t="s">
        <v>182</v>
      </c>
      <c r="F163" s="30" t="s">
        <v>147</v>
      </c>
      <c r="G163" s="360">
        <v>28</v>
      </c>
      <c r="H163" s="30">
        <v>7</v>
      </c>
      <c r="I163" s="9" t="s">
        <v>220</v>
      </c>
      <c r="J163" s="9" t="s">
        <v>231</v>
      </c>
      <c r="K163" s="30">
        <v>1</v>
      </c>
      <c r="L163" s="9" t="s">
        <v>232</v>
      </c>
      <c r="M163" s="30" t="s">
        <v>84</v>
      </c>
      <c r="N163" s="30" t="s">
        <v>151</v>
      </c>
      <c r="O163" s="24">
        <v>72</v>
      </c>
      <c r="P163" s="24">
        <v>0</v>
      </c>
      <c r="Q163" s="24">
        <v>0</v>
      </c>
      <c r="R163" s="24">
        <v>0</v>
      </c>
      <c r="S163" s="24">
        <v>0</v>
      </c>
      <c r="T163" s="24">
        <v>72</v>
      </c>
    </row>
    <row r="164" spans="1:20">
      <c r="A164" s="9" t="s">
        <v>218</v>
      </c>
      <c r="B164" s="30" t="s">
        <v>256</v>
      </c>
      <c r="C164" s="30" t="str">
        <f>CONCATENATE(VOL_VOLUMEN_SUMINISTROS[[#This Row],[Proyecto]],VOL_VOLUMEN_SUMINISTROS[[#This Row],[J]],VOL_VOLUMEN_SUMINISTROS[[#This Row],[FIN DE SEMANA]])</f>
        <v>1052-2MNO</v>
      </c>
      <c r="D164" s="360" t="str">
        <f>CONCATENATE(VOL_VOLUMEN_SUMINISTROS[[#This Row],[Grupo]],VOL_VOLUMEN_SUMINISTROS[[#This Row],[Proyecto]],VOL_VOLUMEN_SUMINISTROS[[#This Row],[FIN DE SEMANA]])</f>
        <v>281052-2NO</v>
      </c>
      <c r="E164" s="30" t="s">
        <v>182</v>
      </c>
      <c r="F164" s="30" t="s">
        <v>147</v>
      </c>
      <c r="G164" s="360">
        <v>28</v>
      </c>
      <c r="H164" s="30">
        <v>7</v>
      </c>
      <c r="I164" s="9" t="s">
        <v>220</v>
      </c>
      <c r="J164" s="9" t="s">
        <v>257</v>
      </c>
      <c r="K164" s="30">
        <v>1</v>
      </c>
      <c r="L164" s="9" t="s">
        <v>258</v>
      </c>
      <c r="M164" s="30" t="s">
        <v>84</v>
      </c>
      <c r="N164" s="30" t="s">
        <v>151</v>
      </c>
      <c r="O164" s="24">
        <v>75</v>
      </c>
      <c r="P164" s="24">
        <v>0</v>
      </c>
      <c r="Q164" s="24">
        <v>0</v>
      </c>
      <c r="R164" s="24">
        <v>0</v>
      </c>
      <c r="S164" s="24">
        <v>0</v>
      </c>
      <c r="T164" s="24">
        <v>75</v>
      </c>
    </row>
    <row r="165" spans="1:20">
      <c r="A165" s="9" t="s">
        <v>218</v>
      </c>
      <c r="B165" s="30" t="s">
        <v>256</v>
      </c>
      <c r="C165" s="30" t="str">
        <f>CONCATENATE(VOL_VOLUMEN_SUMINISTROS[[#This Row],[Proyecto]],VOL_VOLUMEN_SUMINISTROS[[#This Row],[J]],VOL_VOLUMEN_SUMINISTROS[[#This Row],[FIN DE SEMANA]])</f>
        <v>1052-2TNO</v>
      </c>
      <c r="D165" s="360" t="str">
        <f>CONCATENATE(VOL_VOLUMEN_SUMINISTROS[[#This Row],[Grupo]],VOL_VOLUMEN_SUMINISTROS[[#This Row],[Proyecto]],VOL_VOLUMEN_SUMINISTROS[[#This Row],[FIN DE SEMANA]])</f>
        <v>281052-2NO</v>
      </c>
      <c r="E165" s="30" t="s">
        <v>182</v>
      </c>
      <c r="F165" s="30" t="s">
        <v>147</v>
      </c>
      <c r="G165" s="360">
        <v>28</v>
      </c>
      <c r="H165" s="30">
        <v>7</v>
      </c>
      <c r="I165" s="9" t="s">
        <v>220</v>
      </c>
      <c r="J165" s="9" t="s">
        <v>257</v>
      </c>
      <c r="K165" s="30">
        <v>1</v>
      </c>
      <c r="L165" s="9" t="s">
        <v>258</v>
      </c>
      <c r="M165" s="30" t="s">
        <v>84</v>
      </c>
      <c r="N165" s="30" t="s">
        <v>154</v>
      </c>
      <c r="O165" s="24">
        <v>75</v>
      </c>
      <c r="P165" s="24">
        <v>0</v>
      </c>
      <c r="Q165" s="24">
        <v>0</v>
      </c>
      <c r="R165" s="24">
        <v>0</v>
      </c>
      <c r="S165" s="24">
        <v>0</v>
      </c>
      <c r="T165" s="24">
        <v>75</v>
      </c>
    </row>
    <row r="166" spans="1:20">
      <c r="A166" s="9" t="s">
        <v>218</v>
      </c>
      <c r="B166" s="30" t="s">
        <v>256</v>
      </c>
      <c r="C166" s="30" t="str">
        <f>CONCATENATE(VOL_VOLUMEN_SUMINISTROS[[#This Row],[Proyecto]],VOL_VOLUMEN_SUMINISTROS[[#This Row],[J]],VOL_VOLUMEN_SUMINISTROS[[#This Row],[FIN DE SEMANA]])</f>
        <v>1052-2MNO</v>
      </c>
      <c r="D166" s="360" t="str">
        <f>CONCATENATE(VOL_VOLUMEN_SUMINISTROS[[#This Row],[Grupo]],VOL_VOLUMEN_SUMINISTROS[[#This Row],[Proyecto]],VOL_VOLUMEN_SUMINISTROS[[#This Row],[FIN DE SEMANA]])</f>
        <v>281052-2NO</v>
      </c>
      <c r="E166" s="30" t="s">
        <v>182</v>
      </c>
      <c r="F166" s="30" t="s">
        <v>147</v>
      </c>
      <c r="G166" s="360">
        <v>28</v>
      </c>
      <c r="H166" s="30">
        <v>7</v>
      </c>
      <c r="I166" s="9" t="s">
        <v>220</v>
      </c>
      <c r="J166" s="9" t="s">
        <v>234</v>
      </c>
      <c r="K166" s="30">
        <v>1</v>
      </c>
      <c r="L166" s="9" t="s">
        <v>235</v>
      </c>
      <c r="M166" s="30" t="s">
        <v>84</v>
      </c>
      <c r="N166" s="30" t="s">
        <v>151</v>
      </c>
      <c r="O166" s="24">
        <v>90</v>
      </c>
      <c r="P166" s="24">
        <v>0</v>
      </c>
      <c r="Q166" s="24">
        <v>0</v>
      </c>
      <c r="R166" s="24">
        <v>0</v>
      </c>
      <c r="S166" s="24">
        <v>0</v>
      </c>
      <c r="T166" s="24">
        <v>90</v>
      </c>
    </row>
    <row r="167" spans="1:20">
      <c r="A167" s="9" t="s">
        <v>218</v>
      </c>
      <c r="B167" s="30" t="s">
        <v>256</v>
      </c>
      <c r="C167" s="30" t="str">
        <f>CONCATENATE(VOL_VOLUMEN_SUMINISTROS[[#This Row],[Proyecto]],VOL_VOLUMEN_SUMINISTROS[[#This Row],[J]],VOL_VOLUMEN_SUMINISTROS[[#This Row],[FIN DE SEMANA]])</f>
        <v>1052-2TNO</v>
      </c>
      <c r="D167" s="360" t="str">
        <f>CONCATENATE(VOL_VOLUMEN_SUMINISTROS[[#This Row],[Grupo]],VOL_VOLUMEN_SUMINISTROS[[#This Row],[Proyecto]],VOL_VOLUMEN_SUMINISTROS[[#This Row],[FIN DE SEMANA]])</f>
        <v>281052-2NO</v>
      </c>
      <c r="E167" s="30" t="s">
        <v>182</v>
      </c>
      <c r="F167" s="30" t="s">
        <v>147</v>
      </c>
      <c r="G167" s="360">
        <v>28</v>
      </c>
      <c r="H167" s="30">
        <v>7</v>
      </c>
      <c r="I167" s="9" t="s">
        <v>220</v>
      </c>
      <c r="J167" s="9" t="s">
        <v>234</v>
      </c>
      <c r="K167" s="30">
        <v>1</v>
      </c>
      <c r="L167" s="9" t="s">
        <v>235</v>
      </c>
      <c r="M167" s="30" t="s">
        <v>84</v>
      </c>
      <c r="N167" s="30" t="s">
        <v>154</v>
      </c>
      <c r="O167" s="24">
        <v>90</v>
      </c>
      <c r="P167" s="24">
        <v>0</v>
      </c>
      <c r="Q167" s="24">
        <v>0</v>
      </c>
      <c r="R167" s="24">
        <v>0</v>
      </c>
      <c r="S167" s="24">
        <v>0</v>
      </c>
      <c r="T167" s="24">
        <v>90</v>
      </c>
    </row>
    <row r="168" spans="1:20">
      <c r="A168" s="9" t="s">
        <v>218</v>
      </c>
      <c r="B168" s="30" t="s">
        <v>256</v>
      </c>
      <c r="C168" s="30" t="str">
        <f>CONCATENATE(VOL_VOLUMEN_SUMINISTROS[[#This Row],[Proyecto]],VOL_VOLUMEN_SUMINISTROS[[#This Row],[J]],VOL_VOLUMEN_SUMINISTROS[[#This Row],[FIN DE SEMANA]])</f>
        <v>1052-2MNO</v>
      </c>
      <c r="D168" s="360" t="str">
        <f>CONCATENATE(VOL_VOLUMEN_SUMINISTROS[[#This Row],[Grupo]],VOL_VOLUMEN_SUMINISTROS[[#This Row],[Proyecto]],VOL_VOLUMEN_SUMINISTROS[[#This Row],[FIN DE SEMANA]])</f>
        <v>281052-2NO</v>
      </c>
      <c r="E168" s="30" t="s">
        <v>182</v>
      </c>
      <c r="F168" s="30" t="s">
        <v>147</v>
      </c>
      <c r="G168" s="360">
        <v>28</v>
      </c>
      <c r="H168" s="30">
        <v>7</v>
      </c>
      <c r="I168" s="9" t="s">
        <v>220</v>
      </c>
      <c r="J168" s="9" t="s">
        <v>234</v>
      </c>
      <c r="K168" s="30">
        <v>2</v>
      </c>
      <c r="L168" s="9" t="s">
        <v>236</v>
      </c>
      <c r="M168" s="30" t="s">
        <v>84</v>
      </c>
      <c r="N168" s="30" t="s">
        <v>151</v>
      </c>
      <c r="O168" s="24">
        <v>30</v>
      </c>
      <c r="P168" s="24">
        <v>0</v>
      </c>
      <c r="Q168" s="24">
        <v>0</v>
      </c>
      <c r="R168" s="24">
        <v>0</v>
      </c>
      <c r="S168" s="24">
        <v>0</v>
      </c>
      <c r="T168" s="24">
        <v>30</v>
      </c>
    </row>
    <row r="169" spans="1:20">
      <c r="A169" s="9" t="s">
        <v>218</v>
      </c>
      <c r="B169" s="30" t="s">
        <v>256</v>
      </c>
      <c r="C169" s="30" t="str">
        <f>CONCATENATE(VOL_VOLUMEN_SUMINISTROS[[#This Row],[Proyecto]],VOL_VOLUMEN_SUMINISTROS[[#This Row],[J]],VOL_VOLUMEN_SUMINISTROS[[#This Row],[FIN DE SEMANA]])</f>
        <v>1052-2TNO</v>
      </c>
      <c r="D169" s="360" t="str">
        <f>CONCATENATE(VOL_VOLUMEN_SUMINISTROS[[#This Row],[Grupo]],VOL_VOLUMEN_SUMINISTROS[[#This Row],[Proyecto]],VOL_VOLUMEN_SUMINISTROS[[#This Row],[FIN DE SEMANA]])</f>
        <v>281052-2NO</v>
      </c>
      <c r="E169" s="30" t="s">
        <v>182</v>
      </c>
      <c r="F169" s="30" t="s">
        <v>147</v>
      </c>
      <c r="G169" s="360">
        <v>28</v>
      </c>
      <c r="H169" s="30">
        <v>7</v>
      </c>
      <c r="I169" s="9" t="s">
        <v>220</v>
      </c>
      <c r="J169" s="9" t="s">
        <v>234</v>
      </c>
      <c r="K169" s="30">
        <v>2</v>
      </c>
      <c r="L169" s="9" t="s">
        <v>236</v>
      </c>
      <c r="M169" s="30" t="s">
        <v>84</v>
      </c>
      <c r="N169" s="30" t="s">
        <v>154</v>
      </c>
      <c r="O169" s="24">
        <v>30</v>
      </c>
      <c r="P169" s="24">
        <v>0</v>
      </c>
      <c r="Q169" s="24">
        <v>0</v>
      </c>
      <c r="R169" s="24">
        <v>0</v>
      </c>
      <c r="S169" s="24">
        <v>0</v>
      </c>
      <c r="T169" s="24">
        <v>30</v>
      </c>
    </row>
    <row r="170" spans="1:20">
      <c r="A170" s="9" t="s">
        <v>218</v>
      </c>
      <c r="B170" s="30" t="s">
        <v>256</v>
      </c>
      <c r="C170" s="30" t="str">
        <f>CONCATENATE(VOL_VOLUMEN_SUMINISTROS[[#This Row],[Proyecto]],VOL_VOLUMEN_SUMINISTROS[[#This Row],[J]],VOL_VOLUMEN_SUMINISTROS[[#This Row],[FIN DE SEMANA]])</f>
        <v>1052-2MNO</v>
      </c>
      <c r="D170" s="360" t="str">
        <f>CONCATENATE(VOL_VOLUMEN_SUMINISTROS[[#This Row],[Grupo]],VOL_VOLUMEN_SUMINISTROS[[#This Row],[Proyecto]],VOL_VOLUMEN_SUMINISTROS[[#This Row],[FIN DE SEMANA]])</f>
        <v>281052-2NO</v>
      </c>
      <c r="E170" s="30" t="s">
        <v>182</v>
      </c>
      <c r="F170" s="30" t="s">
        <v>147</v>
      </c>
      <c r="G170" s="360">
        <v>28</v>
      </c>
      <c r="H170" s="30">
        <v>7</v>
      </c>
      <c r="I170" s="9" t="s">
        <v>220</v>
      </c>
      <c r="J170" s="9" t="s">
        <v>237</v>
      </c>
      <c r="K170" s="30">
        <v>1</v>
      </c>
      <c r="L170" s="9" t="s">
        <v>238</v>
      </c>
      <c r="M170" s="30" t="s">
        <v>84</v>
      </c>
      <c r="N170" s="30" t="s">
        <v>151</v>
      </c>
      <c r="O170" s="24">
        <v>55</v>
      </c>
      <c r="P170" s="24">
        <v>0</v>
      </c>
      <c r="Q170" s="24">
        <v>0</v>
      </c>
      <c r="R170" s="24">
        <v>0</v>
      </c>
      <c r="S170" s="24">
        <v>0</v>
      </c>
      <c r="T170" s="24">
        <v>55</v>
      </c>
    </row>
    <row r="171" spans="1:20">
      <c r="A171" s="9" t="s">
        <v>218</v>
      </c>
      <c r="B171" s="30" t="s">
        <v>256</v>
      </c>
      <c r="C171" s="30" t="str">
        <f>CONCATENATE(VOL_VOLUMEN_SUMINISTROS[[#This Row],[Proyecto]],VOL_VOLUMEN_SUMINISTROS[[#This Row],[J]],VOL_VOLUMEN_SUMINISTROS[[#This Row],[FIN DE SEMANA]])</f>
        <v>1052-2TNO</v>
      </c>
      <c r="D171" s="360" t="str">
        <f>CONCATENATE(VOL_VOLUMEN_SUMINISTROS[[#This Row],[Grupo]],VOL_VOLUMEN_SUMINISTROS[[#This Row],[Proyecto]],VOL_VOLUMEN_SUMINISTROS[[#This Row],[FIN DE SEMANA]])</f>
        <v>281052-2NO</v>
      </c>
      <c r="E171" s="30" t="s">
        <v>182</v>
      </c>
      <c r="F171" s="30" t="s">
        <v>147</v>
      </c>
      <c r="G171" s="360">
        <v>28</v>
      </c>
      <c r="H171" s="30">
        <v>7</v>
      </c>
      <c r="I171" s="9" t="s">
        <v>220</v>
      </c>
      <c r="J171" s="9" t="s">
        <v>237</v>
      </c>
      <c r="K171" s="30">
        <v>1</v>
      </c>
      <c r="L171" s="9" t="s">
        <v>238</v>
      </c>
      <c r="M171" s="30" t="s">
        <v>84</v>
      </c>
      <c r="N171" s="30" t="s">
        <v>154</v>
      </c>
      <c r="O171" s="24">
        <v>54</v>
      </c>
      <c r="P171" s="24">
        <v>0</v>
      </c>
      <c r="Q171" s="24">
        <v>0</v>
      </c>
      <c r="R171" s="24">
        <v>0</v>
      </c>
      <c r="S171" s="24">
        <v>0</v>
      </c>
      <c r="T171" s="24">
        <v>54</v>
      </c>
    </row>
    <row r="172" spans="1:20">
      <c r="A172" s="9" t="s">
        <v>218</v>
      </c>
      <c r="B172" s="30" t="s">
        <v>256</v>
      </c>
      <c r="C172" s="30" t="str">
        <f>CONCATENATE(VOL_VOLUMEN_SUMINISTROS[[#This Row],[Proyecto]],VOL_VOLUMEN_SUMINISTROS[[#This Row],[J]],VOL_VOLUMEN_SUMINISTROS[[#This Row],[FIN DE SEMANA]])</f>
        <v>1052-2MNO</v>
      </c>
      <c r="D172" s="360" t="str">
        <f>CONCATENATE(VOL_VOLUMEN_SUMINISTROS[[#This Row],[Grupo]],VOL_VOLUMEN_SUMINISTROS[[#This Row],[Proyecto]],VOL_VOLUMEN_SUMINISTROS[[#This Row],[FIN DE SEMANA]])</f>
        <v>281052-2NO</v>
      </c>
      <c r="E172" s="30" t="s">
        <v>182</v>
      </c>
      <c r="F172" s="30" t="s">
        <v>147</v>
      </c>
      <c r="G172" s="360">
        <v>28</v>
      </c>
      <c r="H172" s="30">
        <v>7</v>
      </c>
      <c r="I172" s="9" t="s">
        <v>220</v>
      </c>
      <c r="J172" s="9" t="s">
        <v>237</v>
      </c>
      <c r="K172" s="30">
        <v>2</v>
      </c>
      <c r="L172" s="9" t="s">
        <v>239</v>
      </c>
      <c r="M172" s="30" t="s">
        <v>84</v>
      </c>
      <c r="N172" s="30" t="s">
        <v>151</v>
      </c>
      <c r="O172" s="24">
        <v>74</v>
      </c>
      <c r="P172" s="24">
        <v>0</v>
      </c>
      <c r="Q172" s="24">
        <v>0</v>
      </c>
      <c r="R172" s="24">
        <v>0</v>
      </c>
      <c r="S172" s="24">
        <v>0</v>
      </c>
      <c r="T172" s="24">
        <v>74</v>
      </c>
    </row>
    <row r="173" spans="1:20">
      <c r="A173" s="9" t="s">
        <v>218</v>
      </c>
      <c r="B173" s="30" t="s">
        <v>256</v>
      </c>
      <c r="C173" s="30" t="str">
        <f>CONCATENATE(VOL_VOLUMEN_SUMINISTROS[[#This Row],[Proyecto]],VOL_VOLUMEN_SUMINISTROS[[#This Row],[J]],VOL_VOLUMEN_SUMINISTROS[[#This Row],[FIN DE SEMANA]])</f>
        <v>1052-2TNO</v>
      </c>
      <c r="D173" s="360" t="str">
        <f>CONCATENATE(VOL_VOLUMEN_SUMINISTROS[[#This Row],[Grupo]],VOL_VOLUMEN_SUMINISTROS[[#This Row],[Proyecto]],VOL_VOLUMEN_SUMINISTROS[[#This Row],[FIN DE SEMANA]])</f>
        <v>281052-2NO</v>
      </c>
      <c r="E173" s="30" t="s">
        <v>182</v>
      </c>
      <c r="F173" s="30" t="s">
        <v>147</v>
      </c>
      <c r="G173" s="360">
        <v>28</v>
      </c>
      <c r="H173" s="30">
        <v>7</v>
      </c>
      <c r="I173" s="9" t="s">
        <v>220</v>
      </c>
      <c r="J173" s="9" t="s">
        <v>237</v>
      </c>
      <c r="K173" s="30">
        <v>2</v>
      </c>
      <c r="L173" s="9" t="s">
        <v>239</v>
      </c>
      <c r="M173" s="30" t="s">
        <v>84</v>
      </c>
      <c r="N173" s="30" t="s">
        <v>154</v>
      </c>
      <c r="O173" s="24">
        <v>141</v>
      </c>
      <c r="P173" s="24">
        <v>0</v>
      </c>
      <c r="Q173" s="24">
        <v>0</v>
      </c>
      <c r="R173" s="24">
        <v>0</v>
      </c>
      <c r="S173" s="24">
        <v>0</v>
      </c>
      <c r="T173" s="24">
        <v>141</v>
      </c>
    </row>
    <row r="174" spans="1:20">
      <c r="A174" s="9" t="s">
        <v>218</v>
      </c>
      <c r="B174" s="30" t="s">
        <v>256</v>
      </c>
      <c r="C174" s="30" t="str">
        <f>CONCATENATE(VOL_VOLUMEN_SUMINISTROS[[#This Row],[Proyecto]],VOL_VOLUMEN_SUMINISTROS[[#This Row],[J]],VOL_VOLUMEN_SUMINISTROS[[#This Row],[FIN DE SEMANA]])</f>
        <v>1052-2MNO</v>
      </c>
      <c r="D174" s="360" t="str">
        <f>CONCATENATE(VOL_VOLUMEN_SUMINISTROS[[#This Row],[Grupo]],VOL_VOLUMEN_SUMINISTROS[[#This Row],[Proyecto]],VOL_VOLUMEN_SUMINISTROS[[#This Row],[FIN DE SEMANA]])</f>
        <v>281052-2NO</v>
      </c>
      <c r="E174" s="30" t="s">
        <v>182</v>
      </c>
      <c r="F174" s="30" t="s">
        <v>147</v>
      </c>
      <c r="G174" s="360">
        <v>28</v>
      </c>
      <c r="H174" s="30">
        <v>7</v>
      </c>
      <c r="I174" s="9" t="s">
        <v>220</v>
      </c>
      <c r="J174" s="9" t="s">
        <v>237</v>
      </c>
      <c r="K174" s="30">
        <v>3</v>
      </c>
      <c r="L174" s="9" t="s">
        <v>240</v>
      </c>
      <c r="M174" s="30" t="s">
        <v>84</v>
      </c>
      <c r="N174" s="30" t="s">
        <v>151</v>
      </c>
      <c r="O174" s="24">
        <v>318</v>
      </c>
      <c r="P174" s="24">
        <v>0</v>
      </c>
      <c r="Q174" s="24">
        <v>0</v>
      </c>
      <c r="R174" s="24">
        <v>0</v>
      </c>
      <c r="S174" s="24">
        <v>0</v>
      </c>
      <c r="T174" s="24">
        <v>318</v>
      </c>
    </row>
    <row r="175" spans="1:20">
      <c r="A175" s="9" t="s">
        <v>218</v>
      </c>
      <c r="B175" s="30" t="s">
        <v>256</v>
      </c>
      <c r="C175" s="30" t="str">
        <f>CONCATENATE(VOL_VOLUMEN_SUMINISTROS[[#This Row],[Proyecto]],VOL_VOLUMEN_SUMINISTROS[[#This Row],[J]],VOL_VOLUMEN_SUMINISTROS[[#This Row],[FIN DE SEMANA]])</f>
        <v>1052-2TNO</v>
      </c>
      <c r="D175" s="360" t="str">
        <f>CONCATENATE(VOL_VOLUMEN_SUMINISTROS[[#This Row],[Grupo]],VOL_VOLUMEN_SUMINISTROS[[#This Row],[Proyecto]],VOL_VOLUMEN_SUMINISTROS[[#This Row],[FIN DE SEMANA]])</f>
        <v>281052-2NO</v>
      </c>
      <c r="E175" s="30" t="s">
        <v>182</v>
      </c>
      <c r="F175" s="30" t="s">
        <v>147</v>
      </c>
      <c r="G175" s="360">
        <v>28</v>
      </c>
      <c r="H175" s="30">
        <v>7</v>
      </c>
      <c r="I175" s="9" t="s">
        <v>220</v>
      </c>
      <c r="J175" s="9" t="s">
        <v>237</v>
      </c>
      <c r="K175" s="30">
        <v>3</v>
      </c>
      <c r="L175" s="9" t="s">
        <v>240</v>
      </c>
      <c r="M175" s="30" t="s">
        <v>84</v>
      </c>
      <c r="N175" s="30" t="s">
        <v>154</v>
      </c>
      <c r="O175" s="24">
        <v>223</v>
      </c>
      <c r="P175" s="24">
        <v>0</v>
      </c>
      <c r="Q175" s="24">
        <v>0</v>
      </c>
      <c r="R175" s="24">
        <v>0</v>
      </c>
      <c r="S175" s="24">
        <v>0</v>
      </c>
      <c r="T175" s="24">
        <v>223</v>
      </c>
    </row>
    <row r="176" spans="1:20">
      <c r="A176" s="9" t="s">
        <v>218</v>
      </c>
      <c r="B176" s="30" t="s">
        <v>259</v>
      </c>
      <c r="C176" s="30" t="str">
        <f>CONCATENATE(VOL_VOLUMEN_SUMINISTROS[[#This Row],[Proyecto]],VOL_VOLUMEN_SUMINISTROS[[#This Row],[J]],VOL_VOLUMEN_SUMINISTROS[[#This Row],[FIN DE SEMANA]])</f>
        <v>1052-1MNO</v>
      </c>
      <c r="D176" s="360" t="str">
        <f>CONCATENATE(VOL_VOLUMEN_SUMINISTROS[[#This Row],[Grupo]],VOL_VOLUMEN_SUMINISTROS[[#This Row],[Proyecto]],VOL_VOLUMEN_SUMINISTROS[[#This Row],[FIN DE SEMANA]])</f>
        <v>61052-1NO</v>
      </c>
      <c r="E176" s="30" t="s">
        <v>146</v>
      </c>
      <c r="F176" s="30" t="s">
        <v>147</v>
      </c>
      <c r="G176" s="360">
        <v>6</v>
      </c>
      <c r="H176" s="30">
        <v>19</v>
      </c>
      <c r="I176" s="9" t="s">
        <v>249</v>
      </c>
      <c r="J176" s="9" t="s">
        <v>260</v>
      </c>
      <c r="K176" s="30">
        <v>1</v>
      </c>
      <c r="L176" s="9" t="s">
        <v>261</v>
      </c>
      <c r="M176" s="30" t="s">
        <v>84</v>
      </c>
      <c r="N176" s="30" t="s">
        <v>151</v>
      </c>
      <c r="O176" s="24">
        <v>213</v>
      </c>
      <c r="P176" s="24">
        <v>341</v>
      </c>
      <c r="Q176" s="24">
        <v>365</v>
      </c>
      <c r="R176" s="24">
        <v>0</v>
      </c>
      <c r="S176" s="24">
        <v>0</v>
      </c>
      <c r="T176" s="24">
        <v>919</v>
      </c>
    </row>
    <row r="177" spans="1:20">
      <c r="A177" s="9" t="s">
        <v>218</v>
      </c>
      <c r="B177" s="30" t="s">
        <v>259</v>
      </c>
      <c r="C177" s="30" t="str">
        <f>CONCATENATE(VOL_VOLUMEN_SUMINISTROS[[#This Row],[Proyecto]],VOL_VOLUMEN_SUMINISTROS[[#This Row],[J]],VOL_VOLUMEN_SUMINISTROS[[#This Row],[FIN DE SEMANA]])</f>
        <v>1052-1TNO</v>
      </c>
      <c r="D177" s="360" t="str">
        <f>CONCATENATE(VOL_VOLUMEN_SUMINISTROS[[#This Row],[Grupo]],VOL_VOLUMEN_SUMINISTROS[[#This Row],[Proyecto]],VOL_VOLUMEN_SUMINISTROS[[#This Row],[FIN DE SEMANA]])</f>
        <v>61052-1NO</v>
      </c>
      <c r="E177" s="30" t="s">
        <v>146</v>
      </c>
      <c r="F177" s="30" t="s">
        <v>147</v>
      </c>
      <c r="G177" s="360">
        <v>6</v>
      </c>
      <c r="H177" s="30">
        <v>19</v>
      </c>
      <c r="I177" s="9" t="s">
        <v>249</v>
      </c>
      <c r="J177" s="9" t="s">
        <v>260</v>
      </c>
      <c r="K177" s="30">
        <v>1</v>
      </c>
      <c r="L177" s="9" t="s">
        <v>261</v>
      </c>
      <c r="M177" s="30" t="s">
        <v>84</v>
      </c>
      <c r="N177" s="30" t="s">
        <v>154</v>
      </c>
      <c r="O177" s="24">
        <v>243</v>
      </c>
      <c r="P177" s="24">
        <v>336</v>
      </c>
      <c r="Q177" s="24">
        <v>266</v>
      </c>
      <c r="R177" s="24">
        <v>0</v>
      </c>
      <c r="S177" s="24">
        <v>0</v>
      </c>
      <c r="T177" s="24">
        <v>845</v>
      </c>
    </row>
    <row r="178" spans="1:20">
      <c r="A178" s="9" t="s">
        <v>218</v>
      </c>
      <c r="B178" s="30" t="s">
        <v>259</v>
      </c>
      <c r="C178" s="30" t="str">
        <f>CONCATENATE(VOL_VOLUMEN_SUMINISTROS[[#This Row],[Proyecto]],VOL_VOLUMEN_SUMINISTROS[[#This Row],[J]],VOL_VOLUMEN_SUMINISTROS[[#This Row],[FIN DE SEMANA]])</f>
        <v>1052-1MNO</v>
      </c>
      <c r="D178" s="360" t="str">
        <f>CONCATENATE(VOL_VOLUMEN_SUMINISTROS[[#This Row],[Grupo]],VOL_VOLUMEN_SUMINISTROS[[#This Row],[Proyecto]],VOL_VOLUMEN_SUMINISTROS[[#This Row],[FIN DE SEMANA]])</f>
        <v>301052-1NO</v>
      </c>
      <c r="E178" s="30" t="s">
        <v>146</v>
      </c>
      <c r="F178" s="30" t="s">
        <v>147</v>
      </c>
      <c r="G178" s="360">
        <v>30</v>
      </c>
      <c r="H178" s="30">
        <v>6</v>
      </c>
      <c r="I178" s="9" t="s">
        <v>242</v>
      </c>
      <c r="J178" s="9" t="s">
        <v>262</v>
      </c>
      <c r="K178" s="30">
        <v>1</v>
      </c>
      <c r="L178" s="9" t="s">
        <v>263</v>
      </c>
      <c r="M178" s="30" t="s">
        <v>84</v>
      </c>
      <c r="N178" s="30" t="s">
        <v>151</v>
      </c>
      <c r="O178" s="24">
        <v>271</v>
      </c>
      <c r="P178" s="24">
        <v>530</v>
      </c>
      <c r="Q178" s="24">
        <v>779</v>
      </c>
      <c r="R178" s="24">
        <v>0</v>
      </c>
      <c r="S178" s="24">
        <v>0</v>
      </c>
      <c r="T178" s="24">
        <v>1580</v>
      </c>
    </row>
    <row r="179" spans="1:20">
      <c r="A179" s="9" t="s">
        <v>218</v>
      </c>
      <c r="B179" s="30" t="s">
        <v>259</v>
      </c>
      <c r="C179" s="30" t="str">
        <f>CONCATENATE(VOL_VOLUMEN_SUMINISTROS[[#This Row],[Proyecto]],VOL_VOLUMEN_SUMINISTROS[[#This Row],[J]],VOL_VOLUMEN_SUMINISTROS[[#This Row],[FIN DE SEMANA]])</f>
        <v>1052-1NNO</v>
      </c>
      <c r="D179" s="360" t="str">
        <f>CONCATENATE(VOL_VOLUMEN_SUMINISTROS[[#This Row],[Grupo]],VOL_VOLUMEN_SUMINISTROS[[#This Row],[Proyecto]],VOL_VOLUMEN_SUMINISTROS[[#This Row],[FIN DE SEMANA]])</f>
        <v>301052-1NO</v>
      </c>
      <c r="E179" s="30" t="s">
        <v>146</v>
      </c>
      <c r="F179" s="30" t="s">
        <v>147</v>
      </c>
      <c r="G179" s="360">
        <v>30</v>
      </c>
      <c r="H179" s="30">
        <v>6</v>
      </c>
      <c r="I179" s="9" t="s">
        <v>242</v>
      </c>
      <c r="J179" s="9" t="s">
        <v>262</v>
      </c>
      <c r="K179" s="30">
        <v>1</v>
      </c>
      <c r="L179" s="9" t="s">
        <v>263</v>
      </c>
      <c r="M179" s="30" t="s">
        <v>84</v>
      </c>
      <c r="N179" s="30" t="s">
        <v>153</v>
      </c>
      <c r="O179" s="24">
        <v>0</v>
      </c>
      <c r="P179" s="24">
        <v>0</v>
      </c>
      <c r="Q179" s="24">
        <v>0</v>
      </c>
      <c r="R179" s="24">
        <v>110</v>
      </c>
      <c r="S179" s="24">
        <v>90</v>
      </c>
      <c r="T179" s="24">
        <v>200</v>
      </c>
    </row>
    <row r="180" spans="1:20">
      <c r="A180" s="9" t="s">
        <v>218</v>
      </c>
      <c r="B180" s="30" t="s">
        <v>259</v>
      </c>
      <c r="C180" s="30" t="str">
        <f>CONCATENATE(VOL_VOLUMEN_SUMINISTROS[[#This Row],[Proyecto]],VOL_VOLUMEN_SUMINISTROS[[#This Row],[J]],VOL_VOLUMEN_SUMINISTROS[[#This Row],[FIN DE SEMANA]])</f>
        <v>1052-1TNO</v>
      </c>
      <c r="D180" s="360" t="str">
        <f>CONCATENATE(VOL_VOLUMEN_SUMINISTROS[[#This Row],[Grupo]],VOL_VOLUMEN_SUMINISTROS[[#This Row],[Proyecto]],VOL_VOLUMEN_SUMINISTROS[[#This Row],[FIN DE SEMANA]])</f>
        <v>301052-1NO</v>
      </c>
      <c r="E180" s="30" t="s">
        <v>146</v>
      </c>
      <c r="F180" s="30" t="s">
        <v>147</v>
      </c>
      <c r="G180" s="360">
        <v>30</v>
      </c>
      <c r="H180" s="30">
        <v>6</v>
      </c>
      <c r="I180" s="9" t="s">
        <v>242</v>
      </c>
      <c r="J180" s="9" t="s">
        <v>262</v>
      </c>
      <c r="K180" s="30">
        <v>1</v>
      </c>
      <c r="L180" s="9" t="s">
        <v>263</v>
      </c>
      <c r="M180" s="30" t="s">
        <v>84</v>
      </c>
      <c r="N180" s="30" t="s">
        <v>154</v>
      </c>
      <c r="O180" s="24">
        <v>276</v>
      </c>
      <c r="P180" s="24">
        <v>523</v>
      </c>
      <c r="Q180" s="24">
        <v>756</v>
      </c>
      <c r="R180" s="24">
        <v>0</v>
      </c>
      <c r="S180" s="24">
        <v>0</v>
      </c>
      <c r="T180" s="24">
        <v>1555</v>
      </c>
    </row>
    <row r="181" spans="1:20">
      <c r="A181" s="9" t="s">
        <v>218</v>
      </c>
      <c r="B181" s="30" t="s">
        <v>259</v>
      </c>
      <c r="C181" s="30" t="str">
        <f>CONCATENATE(VOL_VOLUMEN_SUMINISTROS[[#This Row],[Proyecto]],VOL_VOLUMEN_SUMINISTROS[[#This Row],[J]],VOL_VOLUMEN_SUMINISTROS[[#This Row],[FIN DE SEMANA]])</f>
        <v>1052-1MNO</v>
      </c>
      <c r="D181" s="360" t="str">
        <f>CONCATENATE(VOL_VOLUMEN_SUMINISTROS[[#This Row],[Grupo]],VOL_VOLUMEN_SUMINISTROS[[#This Row],[Proyecto]],VOL_VOLUMEN_SUMINISTROS[[#This Row],[FIN DE SEMANA]])</f>
        <v>301052-1NO</v>
      </c>
      <c r="E181" s="30" t="s">
        <v>146</v>
      </c>
      <c r="F181" s="30" t="s">
        <v>147</v>
      </c>
      <c r="G181" s="360">
        <v>30</v>
      </c>
      <c r="H181" s="30">
        <v>6</v>
      </c>
      <c r="I181" s="9" t="s">
        <v>242</v>
      </c>
      <c r="J181" s="9" t="s">
        <v>264</v>
      </c>
      <c r="K181" s="30">
        <v>1</v>
      </c>
      <c r="L181" s="9" t="s">
        <v>152</v>
      </c>
      <c r="M181" s="30" t="s">
        <v>84</v>
      </c>
      <c r="N181" s="30" t="s">
        <v>151</v>
      </c>
      <c r="O181" s="24">
        <v>211</v>
      </c>
      <c r="P181" s="24">
        <v>0</v>
      </c>
      <c r="Q181" s="24">
        <v>0</v>
      </c>
      <c r="R181" s="24">
        <v>0</v>
      </c>
      <c r="S181" s="24">
        <v>0</v>
      </c>
      <c r="T181" s="24">
        <v>211</v>
      </c>
    </row>
    <row r="182" spans="1:20">
      <c r="A182" s="9" t="s">
        <v>218</v>
      </c>
      <c r="B182" s="30" t="s">
        <v>259</v>
      </c>
      <c r="C182" s="30" t="str">
        <f>CONCATENATE(VOL_VOLUMEN_SUMINISTROS[[#This Row],[Proyecto]],VOL_VOLUMEN_SUMINISTROS[[#This Row],[J]],VOL_VOLUMEN_SUMINISTROS[[#This Row],[FIN DE SEMANA]])</f>
        <v>1052-1NNO</v>
      </c>
      <c r="D182" s="360" t="str">
        <f>CONCATENATE(VOL_VOLUMEN_SUMINISTROS[[#This Row],[Grupo]],VOL_VOLUMEN_SUMINISTROS[[#This Row],[Proyecto]],VOL_VOLUMEN_SUMINISTROS[[#This Row],[FIN DE SEMANA]])</f>
        <v>301052-1NO</v>
      </c>
      <c r="E182" s="30" t="s">
        <v>146</v>
      </c>
      <c r="F182" s="30" t="s">
        <v>147</v>
      </c>
      <c r="G182" s="360">
        <v>30</v>
      </c>
      <c r="H182" s="30">
        <v>6</v>
      </c>
      <c r="I182" s="9" t="s">
        <v>242</v>
      </c>
      <c r="J182" s="9" t="s">
        <v>264</v>
      </c>
      <c r="K182" s="30">
        <v>1</v>
      </c>
      <c r="L182" s="9" t="s">
        <v>152</v>
      </c>
      <c r="M182" s="30" t="s">
        <v>84</v>
      </c>
      <c r="N182" s="30" t="s">
        <v>153</v>
      </c>
      <c r="O182" s="24">
        <v>0</v>
      </c>
      <c r="P182" s="24">
        <v>0</v>
      </c>
      <c r="Q182" s="24">
        <v>0</v>
      </c>
      <c r="R182" s="24">
        <v>173</v>
      </c>
      <c r="S182" s="24">
        <v>187</v>
      </c>
      <c r="T182" s="24">
        <v>360</v>
      </c>
    </row>
    <row r="183" spans="1:20">
      <c r="A183" s="9" t="s">
        <v>218</v>
      </c>
      <c r="B183" s="30" t="s">
        <v>259</v>
      </c>
      <c r="C183" s="30" t="str">
        <f>CONCATENATE(VOL_VOLUMEN_SUMINISTROS[[#This Row],[Proyecto]],VOL_VOLUMEN_SUMINISTROS[[#This Row],[J]],VOL_VOLUMEN_SUMINISTROS[[#This Row],[FIN DE SEMANA]])</f>
        <v>1052-1MNO</v>
      </c>
      <c r="D183" s="360" t="str">
        <f>CONCATENATE(VOL_VOLUMEN_SUMINISTROS[[#This Row],[Grupo]],VOL_VOLUMEN_SUMINISTROS[[#This Row],[Proyecto]],VOL_VOLUMEN_SUMINISTROS[[#This Row],[FIN DE SEMANA]])</f>
        <v>301052-1NO</v>
      </c>
      <c r="E183" s="30" t="s">
        <v>146</v>
      </c>
      <c r="F183" s="30" t="s">
        <v>147</v>
      </c>
      <c r="G183" s="360">
        <v>30</v>
      </c>
      <c r="H183" s="30">
        <v>6</v>
      </c>
      <c r="I183" s="9" t="s">
        <v>242</v>
      </c>
      <c r="J183" s="9" t="s">
        <v>264</v>
      </c>
      <c r="K183" s="30">
        <v>2</v>
      </c>
      <c r="L183" s="9" t="s">
        <v>164</v>
      </c>
      <c r="M183" s="30" t="s">
        <v>84</v>
      </c>
      <c r="N183" s="30" t="s">
        <v>151</v>
      </c>
      <c r="O183" s="24">
        <v>182</v>
      </c>
      <c r="P183" s="24">
        <v>125</v>
      </c>
      <c r="Q183" s="24">
        <v>24</v>
      </c>
      <c r="R183" s="24">
        <v>0</v>
      </c>
      <c r="S183" s="24">
        <v>0</v>
      </c>
      <c r="T183" s="24">
        <v>331</v>
      </c>
    </row>
    <row r="184" spans="1:20">
      <c r="A184" s="9" t="s">
        <v>218</v>
      </c>
      <c r="B184" s="30" t="s">
        <v>259</v>
      </c>
      <c r="C184" s="30" t="str">
        <f>CONCATENATE(VOL_VOLUMEN_SUMINISTROS[[#This Row],[Proyecto]],VOL_VOLUMEN_SUMINISTROS[[#This Row],[J]],VOL_VOLUMEN_SUMINISTROS[[#This Row],[FIN DE SEMANA]])</f>
        <v>1052-1TNO</v>
      </c>
      <c r="D184" s="360" t="str">
        <f>CONCATENATE(VOL_VOLUMEN_SUMINISTROS[[#This Row],[Grupo]],VOL_VOLUMEN_SUMINISTROS[[#This Row],[Proyecto]],VOL_VOLUMEN_SUMINISTROS[[#This Row],[FIN DE SEMANA]])</f>
        <v>301052-1NO</v>
      </c>
      <c r="E184" s="30" t="s">
        <v>146</v>
      </c>
      <c r="F184" s="30" t="s">
        <v>147</v>
      </c>
      <c r="G184" s="360">
        <v>30</v>
      </c>
      <c r="H184" s="30">
        <v>6</v>
      </c>
      <c r="I184" s="9" t="s">
        <v>242</v>
      </c>
      <c r="J184" s="9" t="s">
        <v>264</v>
      </c>
      <c r="K184" s="30">
        <v>2</v>
      </c>
      <c r="L184" s="9" t="s">
        <v>164</v>
      </c>
      <c r="M184" s="30" t="s">
        <v>84</v>
      </c>
      <c r="N184" s="30" t="s">
        <v>154</v>
      </c>
      <c r="O184" s="24">
        <v>181</v>
      </c>
      <c r="P184" s="24">
        <v>131</v>
      </c>
      <c r="Q184" s="24">
        <v>26</v>
      </c>
      <c r="R184" s="24">
        <v>0</v>
      </c>
      <c r="S184" s="24">
        <v>0</v>
      </c>
      <c r="T184" s="24">
        <v>338</v>
      </c>
    </row>
    <row r="185" spans="1:20">
      <c r="A185" s="9" t="s">
        <v>218</v>
      </c>
      <c r="B185" s="30" t="s">
        <v>259</v>
      </c>
      <c r="C185" s="30" t="str">
        <f>CONCATENATE(VOL_VOLUMEN_SUMINISTROS[[#This Row],[Proyecto]],VOL_VOLUMEN_SUMINISTROS[[#This Row],[J]],VOL_VOLUMEN_SUMINISTROS[[#This Row],[FIN DE SEMANA]])</f>
        <v>1052-1MNO</v>
      </c>
      <c r="D185" s="360" t="str">
        <f>CONCATENATE(VOL_VOLUMEN_SUMINISTROS[[#This Row],[Grupo]],VOL_VOLUMEN_SUMINISTROS[[#This Row],[Proyecto]],VOL_VOLUMEN_SUMINISTROS[[#This Row],[FIN DE SEMANA]])</f>
        <v>301052-1NO</v>
      </c>
      <c r="E185" s="30" t="s">
        <v>146</v>
      </c>
      <c r="F185" s="30" t="s">
        <v>147</v>
      </c>
      <c r="G185" s="360">
        <v>30</v>
      </c>
      <c r="H185" s="30">
        <v>6</v>
      </c>
      <c r="I185" s="9" t="s">
        <v>242</v>
      </c>
      <c r="J185" s="9" t="s">
        <v>265</v>
      </c>
      <c r="K185" s="30">
        <v>1</v>
      </c>
      <c r="L185" s="9" t="s">
        <v>152</v>
      </c>
      <c r="M185" s="30" t="s">
        <v>84</v>
      </c>
      <c r="N185" s="30" t="s">
        <v>151</v>
      </c>
      <c r="O185" s="24">
        <v>233</v>
      </c>
      <c r="P185" s="24">
        <v>645</v>
      </c>
      <c r="Q185" s="24">
        <v>857</v>
      </c>
      <c r="R185" s="24">
        <v>0</v>
      </c>
      <c r="S185" s="24">
        <v>0</v>
      </c>
      <c r="T185" s="24">
        <v>1735</v>
      </c>
    </row>
    <row r="186" spans="1:20">
      <c r="A186" s="9" t="s">
        <v>218</v>
      </c>
      <c r="B186" s="30" t="s">
        <v>259</v>
      </c>
      <c r="C186" s="30" t="str">
        <f>CONCATENATE(VOL_VOLUMEN_SUMINISTROS[[#This Row],[Proyecto]],VOL_VOLUMEN_SUMINISTROS[[#This Row],[J]],VOL_VOLUMEN_SUMINISTROS[[#This Row],[FIN DE SEMANA]])</f>
        <v>1052-1TNO</v>
      </c>
      <c r="D186" s="360" t="str">
        <f>CONCATENATE(VOL_VOLUMEN_SUMINISTROS[[#This Row],[Grupo]],VOL_VOLUMEN_SUMINISTROS[[#This Row],[Proyecto]],VOL_VOLUMEN_SUMINISTROS[[#This Row],[FIN DE SEMANA]])</f>
        <v>301052-1NO</v>
      </c>
      <c r="E186" s="30" t="s">
        <v>146</v>
      </c>
      <c r="F186" s="30" t="s">
        <v>147</v>
      </c>
      <c r="G186" s="360">
        <v>30</v>
      </c>
      <c r="H186" s="30">
        <v>6</v>
      </c>
      <c r="I186" s="9" t="s">
        <v>242</v>
      </c>
      <c r="J186" s="9" t="s">
        <v>265</v>
      </c>
      <c r="K186" s="30">
        <v>1</v>
      </c>
      <c r="L186" s="9" t="s">
        <v>152</v>
      </c>
      <c r="M186" s="30" t="s">
        <v>84</v>
      </c>
      <c r="N186" s="30" t="s">
        <v>154</v>
      </c>
      <c r="O186" s="24">
        <v>84</v>
      </c>
      <c r="P186" s="24">
        <v>462</v>
      </c>
      <c r="Q186" s="24">
        <v>545</v>
      </c>
      <c r="R186" s="24">
        <v>0</v>
      </c>
      <c r="S186" s="24">
        <v>0</v>
      </c>
      <c r="T186" s="24">
        <v>1091</v>
      </c>
    </row>
    <row r="187" spans="1:20">
      <c r="A187" s="9" t="s">
        <v>218</v>
      </c>
      <c r="B187" s="30" t="s">
        <v>259</v>
      </c>
      <c r="C187" s="30" t="str">
        <f>CONCATENATE(VOL_VOLUMEN_SUMINISTROS[[#This Row],[Proyecto]],VOL_VOLUMEN_SUMINISTROS[[#This Row],[J]],VOL_VOLUMEN_SUMINISTROS[[#This Row],[FIN DE SEMANA]])</f>
        <v>1052-1MNO</v>
      </c>
      <c r="D187" s="360" t="str">
        <f>CONCATENATE(VOL_VOLUMEN_SUMINISTROS[[#This Row],[Grupo]],VOL_VOLUMEN_SUMINISTROS[[#This Row],[Proyecto]],VOL_VOLUMEN_SUMINISTROS[[#This Row],[FIN DE SEMANA]])</f>
        <v>301052-1NO</v>
      </c>
      <c r="E187" s="30" t="s">
        <v>146</v>
      </c>
      <c r="F187" s="30" t="s">
        <v>147</v>
      </c>
      <c r="G187" s="360">
        <v>30</v>
      </c>
      <c r="H187" s="30">
        <v>6</v>
      </c>
      <c r="I187" s="9" t="s">
        <v>242</v>
      </c>
      <c r="J187" s="9" t="s">
        <v>265</v>
      </c>
      <c r="K187" s="30">
        <v>2</v>
      </c>
      <c r="L187" s="9" t="s">
        <v>266</v>
      </c>
      <c r="M187" s="30" t="s">
        <v>84</v>
      </c>
      <c r="N187" s="30" t="s">
        <v>151</v>
      </c>
      <c r="O187" s="24">
        <v>339</v>
      </c>
      <c r="P187" s="24">
        <v>92</v>
      </c>
      <c r="Q187" s="24">
        <v>0</v>
      </c>
      <c r="R187" s="24">
        <v>0</v>
      </c>
      <c r="S187" s="24">
        <v>0</v>
      </c>
      <c r="T187" s="24">
        <v>431</v>
      </c>
    </row>
    <row r="188" spans="1:20">
      <c r="A188" s="9" t="s">
        <v>218</v>
      </c>
      <c r="B188" s="30" t="s">
        <v>259</v>
      </c>
      <c r="C188" s="30" t="str">
        <f>CONCATENATE(VOL_VOLUMEN_SUMINISTROS[[#This Row],[Proyecto]],VOL_VOLUMEN_SUMINISTROS[[#This Row],[J]],VOL_VOLUMEN_SUMINISTROS[[#This Row],[FIN DE SEMANA]])</f>
        <v>1052-1TNO</v>
      </c>
      <c r="D188" s="360" t="str">
        <f>CONCATENATE(VOL_VOLUMEN_SUMINISTROS[[#This Row],[Grupo]],VOL_VOLUMEN_SUMINISTROS[[#This Row],[Proyecto]],VOL_VOLUMEN_SUMINISTROS[[#This Row],[FIN DE SEMANA]])</f>
        <v>301052-1NO</v>
      </c>
      <c r="E188" s="30" t="s">
        <v>146</v>
      </c>
      <c r="F188" s="30" t="s">
        <v>147</v>
      </c>
      <c r="G188" s="360">
        <v>30</v>
      </c>
      <c r="H188" s="30">
        <v>6</v>
      </c>
      <c r="I188" s="9" t="s">
        <v>242</v>
      </c>
      <c r="J188" s="9" t="s">
        <v>265</v>
      </c>
      <c r="K188" s="30">
        <v>2</v>
      </c>
      <c r="L188" s="9" t="s">
        <v>266</v>
      </c>
      <c r="M188" s="30" t="s">
        <v>84</v>
      </c>
      <c r="N188" s="30" t="s">
        <v>154</v>
      </c>
      <c r="O188" s="24">
        <v>311</v>
      </c>
      <c r="P188" s="24">
        <v>82</v>
      </c>
      <c r="Q188" s="24">
        <v>0</v>
      </c>
      <c r="R188" s="24">
        <v>0</v>
      </c>
      <c r="S188" s="24">
        <v>0</v>
      </c>
      <c r="T188" s="24">
        <v>393</v>
      </c>
    </row>
    <row r="189" spans="1:20">
      <c r="A189" s="9" t="s">
        <v>218</v>
      </c>
      <c r="B189" s="30" t="s">
        <v>259</v>
      </c>
      <c r="C189" s="30" t="str">
        <f>CONCATENATE(VOL_VOLUMEN_SUMINISTROS[[#This Row],[Proyecto]],VOL_VOLUMEN_SUMINISTROS[[#This Row],[J]],VOL_VOLUMEN_SUMINISTROS[[#This Row],[FIN DE SEMANA]])</f>
        <v>1052-1MNO</v>
      </c>
      <c r="D189" s="360" t="str">
        <f>CONCATENATE(VOL_VOLUMEN_SUMINISTROS[[#This Row],[Grupo]],VOL_VOLUMEN_SUMINISTROS[[#This Row],[Proyecto]],VOL_VOLUMEN_SUMINISTROS[[#This Row],[FIN DE SEMANA]])</f>
        <v>301052-1NO</v>
      </c>
      <c r="E189" s="30" t="s">
        <v>146</v>
      </c>
      <c r="F189" s="30" t="s">
        <v>147</v>
      </c>
      <c r="G189" s="360">
        <v>30</v>
      </c>
      <c r="H189" s="30">
        <v>6</v>
      </c>
      <c r="I189" s="9" t="s">
        <v>242</v>
      </c>
      <c r="J189" s="9" t="s">
        <v>267</v>
      </c>
      <c r="K189" s="30">
        <v>1</v>
      </c>
      <c r="L189" s="9" t="s">
        <v>268</v>
      </c>
      <c r="M189" s="30" t="s">
        <v>84</v>
      </c>
      <c r="N189" s="30" t="s">
        <v>151</v>
      </c>
      <c r="O189" s="24">
        <v>34</v>
      </c>
      <c r="P189" s="24">
        <v>482</v>
      </c>
      <c r="Q189" s="24">
        <v>753</v>
      </c>
      <c r="R189" s="24">
        <v>0</v>
      </c>
      <c r="S189" s="24">
        <v>0</v>
      </c>
      <c r="T189" s="24">
        <v>1269</v>
      </c>
    </row>
    <row r="190" spans="1:20">
      <c r="A190" s="9" t="s">
        <v>218</v>
      </c>
      <c r="B190" s="30" t="s">
        <v>259</v>
      </c>
      <c r="C190" s="30" t="str">
        <f>CONCATENATE(VOL_VOLUMEN_SUMINISTROS[[#This Row],[Proyecto]],VOL_VOLUMEN_SUMINISTROS[[#This Row],[J]],VOL_VOLUMEN_SUMINISTROS[[#This Row],[FIN DE SEMANA]])</f>
        <v>1052-1TNO</v>
      </c>
      <c r="D190" s="360" t="str">
        <f>CONCATENATE(VOL_VOLUMEN_SUMINISTROS[[#This Row],[Grupo]],VOL_VOLUMEN_SUMINISTROS[[#This Row],[Proyecto]],VOL_VOLUMEN_SUMINISTROS[[#This Row],[FIN DE SEMANA]])</f>
        <v>301052-1NO</v>
      </c>
      <c r="E190" s="30" t="s">
        <v>146</v>
      </c>
      <c r="F190" s="30" t="s">
        <v>147</v>
      </c>
      <c r="G190" s="360">
        <v>30</v>
      </c>
      <c r="H190" s="30">
        <v>6</v>
      </c>
      <c r="I190" s="9" t="s">
        <v>242</v>
      </c>
      <c r="J190" s="9" t="s">
        <v>267</v>
      </c>
      <c r="K190" s="30">
        <v>1</v>
      </c>
      <c r="L190" s="9" t="s">
        <v>268</v>
      </c>
      <c r="M190" s="30" t="s">
        <v>84</v>
      </c>
      <c r="N190" s="30" t="s">
        <v>154</v>
      </c>
      <c r="O190" s="24">
        <v>184</v>
      </c>
      <c r="P190" s="24">
        <v>404</v>
      </c>
      <c r="Q190" s="24">
        <v>467</v>
      </c>
      <c r="R190" s="24">
        <v>0</v>
      </c>
      <c r="S190" s="24">
        <v>0</v>
      </c>
      <c r="T190" s="24">
        <v>1055</v>
      </c>
    </row>
    <row r="191" spans="1:20">
      <c r="A191" s="9" t="s">
        <v>218</v>
      </c>
      <c r="B191" s="30" t="s">
        <v>259</v>
      </c>
      <c r="C191" s="30" t="str">
        <f>CONCATENATE(VOL_VOLUMEN_SUMINISTROS[[#This Row],[Proyecto]],VOL_VOLUMEN_SUMINISTROS[[#This Row],[J]],VOL_VOLUMEN_SUMINISTROS[[#This Row],[FIN DE SEMANA]])</f>
        <v>1052-1MNO</v>
      </c>
      <c r="D191" s="360" t="str">
        <f>CONCATENATE(VOL_VOLUMEN_SUMINISTROS[[#This Row],[Grupo]],VOL_VOLUMEN_SUMINISTROS[[#This Row],[Proyecto]],VOL_VOLUMEN_SUMINISTROS[[#This Row],[FIN DE SEMANA]])</f>
        <v>301052-1NO</v>
      </c>
      <c r="E191" s="30" t="s">
        <v>146</v>
      </c>
      <c r="F191" s="30" t="s">
        <v>147</v>
      </c>
      <c r="G191" s="360">
        <v>30</v>
      </c>
      <c r="H191" s="30">
        <v>6</v>
      </c>
      <c r="I191" s="9" t="s">
        <v>242</v>
      </c>
      <c r="J191" s="9" t="s">
        <v>267</v>
      </c>
      <c r="K191" s="30">
        <v>2</v>
      </c>
      <c r="L191" s="9" t="s">
        <v>269</v>
      </c>
      <c r="M191" s="30" t="s">
        <v>84</v>
      </c>
      <c r="N191" s="30" t="s">
        <v>151</v>
      </c>
      <c r="O191" s="24">
        <v>347</v>
      </c>
      <c r="P191" s="24">
        <v>105</v>
      </c>
      <c r="Q191" s="24">
        <v>0</v>
      </c>
      <c r="R191" s="24">
        <v>0</v>
      </c>
      <c r="S191" s="24">
        <v>0</v>
      </c>
      <c r="T191" s="24">
        <v>452</v>
      </c>
    </row>
    <row r="192" spans="1:20">
      <c r="A192" s="9" t="s">
        <v>218</v>
      </c>
      <c r="B192" s="30" t="s">
        <v>259</v>
      </c>
      <c r="C192" s="30" t="str">
        <f>CONCATENATE(VOL_VOLUMEN_SUMINISTROS[[#This Row],[Proyecto]],VOL_VOLUMEN_SUMINISTROS[[#This Row],[J]],VOL_VOLUMEN_SUMINISTROS[[#This Row],[FIN DE SEMANA]])</f>
        <v>1052-1TNO</v>
      </c>
      <c r="D192" s="360" t="str">
        <f>CONCATENATE(VOL_VOLUMEN_SUMINISTROS[[#This Row],[Grupo]],VOL_VOLUMEN_SUMINISTROS[[#This Row],[Proyecto]],VOL_VOLUMEN_SUMINISTROS[[#This Row],[FIN DE SEMANA]])</f>
        <v>301052-1NO</v>
      </c>
      <c r="E192" s="30" t="s">
        <v>146</v>
      </c>
      <c r="F192" s="30" t="s">
        <v>147</v>
      </c>
      <c r="G192" s="360">
        <v>30</v>
      </c>
      <c r="H192" s="30">
        <v>6</v>
      </c>
      <c r="I192" s="9" t="s">
        <v>242</v>
      </c>
      <c r="J192" s="9" t="s">
        <v>267</v>
      </c>
      <c r="K192" s="30">
        <v>2</v>
      </c>
      <c r="L192" s="9" t="s">
        <v>269</v>
      </c>
      <c r="M192" s="30" t="s">
        <v>84</v>
      </c>
      <c r="N192" s="30" t="s">
        <v>154</v>
      </c>
      <c r="O192" s="24">
        <v>383</v>
      </c>
      <c r="P192" s="24">
        <v>59</v>
      </c>
      <c r="Q192" s="24">
        <v>0</v>
      </c>
      <c r="R192" s="24">
        <v>0</v>
      </c>
      <c r="S192" s="24">
        <v>0</v>
      </c>
      <c r="T192" s="24">
        <v>442</v>
      </c>
    </row>
    <row r="193" spans="1:20">
      <c r="A193" s="9" t="s">
        <v>218</v>
      </c>
      <c r="B193" s="30" t="s">
        <v>259</v>
      </c>
      <c r="C193" s="30" t="str">
        <f>CONCATENATE(VOL_VOLUMEN_SUMINISTROS[[#This Row],[Proyecto]],VOL_VOLUMEN_SUMINISTROS[[#This Row],[J]],VOL_VOLUMEN_SUMINISTROS[[#This Row],[FIN DE SEMANA]])</f>
        <v>1052-1MNO</v>
      </c>
      <c r="D193" s="360" t="str">
        <f>CONCATENATE(VOL_VOLUMEN_SUMINISTROS[[#This Row],[Grupo]],VOL_VOLUMEN_SUMINISTROS[[#This Row],[Proyecto]],VOL_VOLUMEN_SUMINISTROS[[#This Row],[FIN DE SEMANA]])</f>
        <v>301052-1NO</v>
      </c>
      <c r="E193" s="30" t="s">
        <v>146</v>
      </c>
      <c r="F193" s="30" t="s">
        <v>147</v>
      </c>
      <c r="G193" s="360">
        <v>30</v>
      </c>
      <c r="H193" s="30">
        <v>6</v>
      </c>
      <c r="I193" s="9" t="s">
        <v>242</v>
      </c>
      <c r="J193" s="9" t="s">
        <v>270</v>
      </c>
      <c r="K193" s="30">
        <v>2</v>
      </c>
      <c r="L193" s="9" t="s">
        <v>271</v>
      </c>
      <c r="M193" s="30" t="s">
        <v>84</v>
      </c>
      <c r="N193" s="30" t="s">
        <v>151</v>
      </c>
      <c r="O193" s="24">
        <v>234</v>
      </c>
      <c r="P193" s="24">
        <v>117</v>
      </c>
      <c r="Q193" s="24">
        <v>0</v>
      </c>
      <c r="R193" s="24">
        <v>0</v>
      </c>
      <c r="S193" s="24">
        <v>0</v>
      </c>
      <c r="T193" s="24">
        <v>351</v>
      </c>
    </row>
    <row r="194" spans="1:20">
      <c r="A194" s="9" t="s">
        <v>218</v>
      </c>
      <c r="B194" s="30" t="s">
        <v>259</v>
      </c>
      <c r="C194" s="30" t="str">
        <f>CONCATENATE(VOL_VOLUMEN_SUMINISTROS[[#This Row],[Proyecto]],VOL_VOLUMEN_SUMINISTROS[[#This Row],[J]],VOL_VOLUMEN_SUMINISTROS[[#This Row],[FIN DE SEMANA]])</f>
        <v>1052-1TNO</v>
      </c>
      <c r="D194" s="360" t="str">
        <f>CONCATENATE(VOL_VOLUMEN_SUMINISTROS[[#This Row],[Grupo]],VOL_VOLUMEN_SUMINISTROS[[#This Row],[Proyecto]],VOL_VOLUMEN_SUMINISTROS[[#This Row],[FIN DE SEMANA]])</f>
        <v>301052-1NO</v>
      </c>
      <c r="E194" s="30" t="s">
        <v>146</v>
      </c>
      <c r="F194" s="30" t="s">
        <v>147</v>
      </c>
      <c r="G194" s="360">
        <v>30</v>
      </c>
      <c r="H194" s="30">
        <v>6</v>
      </c>
      <c r="I194" s="9" t="s">
        <v>242</v>
      </c>
      <c r="J194" s="9" t="s">
        <v>270</v>
      </c>
      <c r="K194" s="30">
        <v>2</v>
      </c>
      <c r="L194" s="9" t="s">
        <v>271</v>
      </c>
      <c r="M194" s="30" t="s">
        <v>84</v>
      </c>
      <c r="N194" s="30" t="s">
        <v>154</v>
      </c>
      <c r="O194" s="24">
        <v>200</v>
      </c>
      <c r="P194" s="24">
        <v>100</v>
      </c>
      <c r="Q194" s="24">
        <v>0</v>
      </c>
      <c r="R194" s="24">
        <v>0</v>
      </c>
      <c r="S194" s="24">
        <v>0</v>
      </c>
      <c r="T194" s="24">
        <v>300</v>
      </c>
    </row>
    <row r="195" spans="1:20">
      <c r="A195" s="9" t="s">
        <v>218</v>
      </c>
      <c r="B195" s="30" t="s">
        <v>259</v>
      </c>
      <c r="C195" s="30" t="str">
        <f>CONCATENATE(VOL_VOLUMEN_SUMINISTROS[[#This Row],[Proyecto]],VOL_VOLUMEN_SUMINISTROS[[#This Row],[J]],VOL_VOLUMEN_SUMINISTROS[[#This Row],[FIN DE SEMANA]])</f>
        <v>1052-1MNO</v>
      </c>
      <c r="D195" s="360" t="str">
        <f>CONCATENATE(VOL_VOLUMEN_SUMINISTROS[[#This Row],[Grupo]],VOL_VOLUMEN_SUMINISTROS[[#This Row],[Proyecto]],VOL_VOLUMEN_SUMINISTROS[[#This Row],[FIN DE SEMANA]])</f>
        <v>301052-1NO</v>
      </c>
      <c r="E195" s="30" t="s">
        <v>146</v>
      </c>
      <c r="F195" s="30" t="s">
        <v>147</v>
      </c>
      <c r="G195" s="360">
        <v>30</v>
      </c>
      <c r="H195" s="30">
        <v>6</v>
      </c>
      <c r="I195" s="9" t="s">
        <v>242</v>
      </c>
      <c r="J195" s="9" t="s">
        <v>272</v>
      </c>
      <c r="K195" s="30">
        <v>1</v>
      </c>
      <c r="L195" s="9" t="s">
        <v>273</v>
      </c>
      <c r="M195" s="30" t="s">
        <v>84</v>
      </c>
      <c r="N195" s="30" t="s">
        <v>151</v>
      </c>
      <c r="O195" s="24">
        <v>122</v>
      </c>
      <c r="P195" s="24">
        <v>194</v>
      </c>
      <c r="Q195" s="24">
        <v>219</v>
      </c>
      <c r="R195" s="24">
        <v>0</v>
      </c>
      <c r="S195" s="24">
        <v>0</v>
      </c>
      <c r="T195" s="24">
        <v>535</v>
      </c>
    </row>
    <row r="196" spans="1:20">
      <c r="A196" s="9" t="s">
        <v>218</v>
      </c>
      <c r="B196" s="30" t="s">
        <v>259</v>
      </c>
      <c r="C196" s="30" t="str">
        <f>CONCATENATE(VOL_VOLUMEN_SUMINISTROS[[#This Row],[Proyecto]],VOL_VOLUMEN_SUMINISTROS[[#This Row],[J]],VOL_VOLUMEN_SUMINISTROS[[#This Row],[FIN DE SEMANA]])</f>
        <v>1052-1TNO</v>
      </c>
      <c r="D196" s="360" t="str">
        <f>CONCATENATE(VOL_VOLUMEN_SUMINISTROS[[#This Row],[Grupo]],VOL_VOLUMEN_SUMINISTROS[[#This Row],[Proyecto]],VOL_VOLUMEN_SUMINISTROS[[#This Row],[FIN DE SEMANA]])</f>
        <v>301052-1NO</v>
      </c>
      <c r="E196" s="30" t="s">
        <v>146</v>
      </c>
      <c r="F196" s="30" t="s">
        <v>147</v>
      </c>
      <c r="G196" s="360">
        <v>30</v>
      </c>
      <c r="H196" s="30">
        <v>6</v>
      </c>
      <c r="I196" s="9" t="s">
        <v>242</v>
      </c>
      <c r="J196" s="9" t="s">
        <v>272</v>
      </c>
      <c r="K196" s="30">
        <v>1</v>
      </c>
      <c r="L196" s="9" t="s">
        <v>273</v>
      </c>
      <c r="M196" s="30" t="s">
        <v>84</v>
      </c>
      <c r="N196" s="30" t="s">
        <v>154</v>
      </c>
      <c r="O196" s="24">
        <v>148</v>
      </c>
      <c r="P196" s="24">
        <v>190</v>
      </c>
      <c r="Q196" s="24">
        <v>147</v>
      </c>
      <c r="R196" s="24">
        <v>0</v>
      </c>
      <c r="S196" s="24">
        <v>0</v>
      </c>
      <c r="T196" s="24">
        <v>485</v>
      </c>
    </row>
    <row r="197" spans="1:20">
      <c r="A197" s="9" t="s">
        <v>218</v>
      </c>
      <c r="B197" s="30" t="s">
        <v>259</v>
      </c>
      <c r="C197" s="30" t="str">
        <f>CONCATENATE(VOL_VOLUMEN_SUMINISTROS[[#This Row],[Proyecto]],VOL_VOLUMEN_SUMINISTROS[[#This Row],[J]],VOL_VOLUMEN_SUMINISTROS[[#This Row],[FIN DE SEMANA]])</f>
        <v>1052-1MNO</v>
      </c>
      <c r="D197" s="360" t="str">
        <f>CONCATENATE(VOL_VOLUMEN_SUMINISTROS[[#This Row],[Grupo]],VOL_VOLUMEN_SUMINISTROS[[#This Row],[Proyecto]],VOL_VOLUMEN_SUMINISTROS[[#This Row],[FIN DE SEMANA]])</f>
        <v>301052-1NO</v>
      </c>
      <c r="E197" s="30" t="s">
        <v>146</v>
      </c>
      <c r="F197" s="30" t="s">
        <v>147</v>
      </c>
      <c r="G197" s="360">
        <v>30</v>
      </c>
      <c r="H197" s="30">
        <v>6</v>
      </c>
      <c r="I197" s="9" t="s">
        <v>242</v>
      </c>
      <c r="J197" s="9" t="s">
        <v>274</v>
      </c>
      <c r="K197" s="30">
        <v>1</v>
      </c>
      <c r="L197" s="9" t="s">
        <v>275</v>
      </c>
      <c r="M197" s="30" t="s">
        <v>84</v>
      </c>
      <c r="N197" s="30" t="s">
        <v>151</v>
      </c>
      <c r="O197" s="24">
        <v>0</v>
      </c>
      <c r="P197" s="24">
        <v>204</v>
      </c>
      <c r="Q197" s="24">
        <v>277</v>
      </c>
      <c r="R197" s="24">
        <v>0</v>
      </c>
      <c r="S197" s="24">
        <v>0</v>
      </c>
      <c r="T197" s="24">
        <v>481</v>
      </c>
    </row>
    <row r="198" spans="1:20">
      <c r="A198" s="9" t="s">
        <v>218</v>
      </c>
      <c r="B198" s="30" t="s">
        <v>259</v>
      </c>
      <c r="C198" s="30" t="str">
        <f>CONCATENATE(VOL_VOLUMEN_SUMINISTROS[[#This Row],[Proyecto]],VOL_VOLUMEN_SUMINISTROS[[#This Row],[J]],VOL_VOLUMEN_SUMINISTROS[[#This Row],[FIN DE SEMANA]])</f>
        <v>1052-1TNO</v>
      </c>
      <c r="D198" s="360" t="str">
        <f>CONCATENATE(VOL_VOLUMEN_SUMINISTROS[[#This Row],[Grupo]],VOL_VOLUMEN_SUMINISTROS[[#This Row],[Proyecto]],VOL_VOLUMEN_SUMINISTROS[[#This Row],[FIN DE SEMANA]])</f>
        <v>301052-1NO</v>
      </c>
      <c r="E198" s="30" t="s">
        <v>146</v>
      </c>
      <c r="F198" s="30" t="s">
        <v>147</v>
      </c>
      <c r="G198" s="360">
        <v>30</v>
      </c>
      <c r="H198" s="30">
        <v>6</v>
      </c>
      <c r="I198" s="9" t="s">
        <v>242</v>
      </c>
      <c r="J198" s="9" t="s">
        <v>274</v>
      </c>
      <c r="K198" s="30">
        <v>1</v>
      </c>
      <c r="L198" s="9" t="s">
        <v>275</v>
      </c>
      <c r="M198" s="30" t="s">
        <v>84</v>
      </c>
      <c r="N198" s="30" t="s">
        <v>154</v>
      </c>
      <c r="O198" s="24">
        <v>34</v>
      </c>
      <c r="P198" s="24">
        <v>173</v>
      </c>
      <c r="Q198" s="24">
        <v>128</v>
      </c>
      <c r="R198" s="24">
        <v>0</v>
      </c>
      <c r="S198" s="24">
        <v>0</v>
      </c>
      <c r="T198" s="24">
        <v>335</v>
      </c>
    </row>
    <row r="199" spans="1:20">
      <c r="A199" s="9" t="s">
        <v>218</v>
      </c>
      <c r="B199" s="30" t="s">
        <v>259</v>
      </c>
      <c r="C199" s="30" t="str">
        <f>CONCATENATE(VOL_VOLUMEN_SUMINISTROS[[#This Row],[Proyecto]],VOL_VOLUMEN_SUMINISTROS[[#This Row],[J]],VOL_VOLUMEN_SUMINISTROS[[#This Row],[FIN DE SEMANA]])</f>
        <v>1052-1MNO</v>
      </c>
      <c r="D199" s="360" t="str">
        <f>CONCATENATE(VOL_VOLUMEN_SUMINISTROS[[#This Row],[Grupo]],VOL_VOLUMEN_SUMINISTROS[[#This Row],[Proyecto]],VOL_VOLUMEN_SUMINISTROS[[#This Row],[FIN DE SEMANA]])</f>
        <v>301052-1NO</v>
      </c>
      <c r="E199" s="30" t="s">
        <v>146</v>
      </c>
      <c r="F199" s="30" t="s">
        <v>147</v>
      </c>
      <c r="G199" s="360">
        <v>30</v>
      </c>
      <c r="H199" s="30">
        <v>6</v>
      </c>
      <c r="I199" s="9" t="s">
        <v>242</v>
      </c>
      <c r="J199" s="9" t="s">
        <v>274</v>
      </c>
      <c r="K199" s="30">
        <v>2</v>
      </c>
      <c r="L199" s="9" t="s">
        <v>276</v>
      </c>
      <c r="M199" s="30" t="s">
        <v>84</v>
      </c>
      <c r="N199" s="30" t="s">
        <v>151</v>
      </c>
      <c r="O199" s="24">
        <v>190</v>
      </c>
      <c r="P199" s="24">
        <v>64</v>
      </c>
      <c r="Q199" s="24">
        <v>0</v>
      </c>
      <c r="R199" s="24">
        <v>0</v>
      </c>
      <c r="S199" s="24">
        <v>0</v>
      </c>
      <c r="T199" s="24">
        <v>254</v>
      </c>
    </row>
    <row r="200" spans="1:20">
      <c r="A200" s="9" t="s">
        <v>218</v>
      </c>
      <c r="B200" s="30" t="s">
        <v>259</v>
      </c>
      <c r="C200" s="30" t="str">
        <f>CONCATENATE(VOL_VOLUMEN_SUMINISTROS[[#This Row],[Proyecto]],VOL_VOLUMEN_SUMINISTROS[[#This Row],[J]],VOL_VOLUMEN_SUMINISTROS[[#This Row],[FIN DE SEMANA]])</f>
        <v>1052-1TNO</v>
      </c>
      <c r="D200" s="360" t="str">
        <f>CONCATENATE(VOL_VOLUMEN_SUMINISTROS[[#This Row],[Grupo]],VOL_VOLUMEN_SUMINISTROS[[#This Row],[Proyecto]],VOL_VOLUMEN_SUMINISTROS[[#This Row],[FIN DE SEMANA]])</f>
        <v>301052-1NO</v>
      </c>
      <c r="E200" s="30" t="s">
        <v>146</v>
      </c>
      <c r="F200" s="30" t="s">
        <v>147</v>
      </c>
      <c r="G200" s="360">
        <v>30</v>
      </c>
      <c r="H200" s="30">
        <v>6</v>
      </c>
      <c r="I200" s="9" t="s">
        <v>242</v>
      </c>
      <c r="J200" s="9" t="s">
        <v>274</v>
      </c>
      <c r="K200" s="30">
        <v>2</v>
      </c>
      <c r="L200" s="9" t="s">
        <v>276</v>
      </c>
      <c r="M200" s="30" t="s">
        <v>84</v>
      </c>
      <c r="N200" s="30" t="s">
        <v>154</v>
      </c>
      <c r="O200" s="24">
        <v>150</v>
      </c>
      <c r="P200" s="24">
        <v>39</v>
      </c>
      <c r="Q200" s="24">
        <v>0</v>
      </c>
      <c r="R200" s="24">
        <v>0</v>
      </c>
      <c r="S200" s="24">
        <v>0</v>
      </c>
      <c r="T200" s="24">
        <v>189</v>
      </c>
    </row>
    <row r="201" spans="1:20">
      <c r="A201" s="9" t="s">
        <v>218</v>
      </c>
      <c r="B201" s="30" t="s">
        <v>277</v>
      </c>
      <c r="C201" s="30" t="str">
        <f>CONCATENATE(VOL_VOLUMEN_SUMINISTROS[[#This Row],[Proyecto]],VOL_VOLUMEN_SUMINISTROS[[#This Row],[J]],VOL_VOLUMEN_SUMINISTROS[[#This Row],[FIN DE SEMANA]])</f>
        <v>1052-2TNO</v>
      </c>
      <c r="D201" s="360" t="str">
        <f>CONCATENATE(VOL_VOLUMEN_SUMINISTROS[[#This Row],[Grupo]],VOL_VOLUMEN_SUMINISTROS[[#This Row],[Proyecto]],VOL_VOLUMEN_SUMINISTROS[[#This Row],[FIN DE SEMANA]])</f>
        <v>61052-2NO</v>
      </c>
      <c r="E201" s="30" t="s">
        <v>182</v>
      </c>
      <c r="F201" s="30" t="s">
        <v>147</v>
      </c>
      <c r="G201" s="360">
        <v>6</v>
      </c>
      <c r="H201" s="30">
        <v>19</v>
      </c>
      <c r="I201" s="9" t="s">
        <v>249</v>
      </c>
      <c r="J201" s="9" t="s">
        <v>260</v>
      </c>
      <c r="K201" s="30">
        <v>1</v>
      </c>
      <c r="L201" s="9" t="s">
        <v>261</v>
      </c>
      <c r="M201" s="30" t="s">
        <v>84</v>
      </c>
      <c r="N201" s="30" t="s">
        <v>154</v>
      </c>
      <c r="O201" s="24">
        <v>20</v>
      </c>
      <c r="P201" s="24">
        <v>34</v>
      </c>
      <c r="Q201" s="24">
        <v>8</v>
      </c>
      <c r="R201" s="24">
        <v>0</v>
      </c>
      <c r="S201" s="24">
        <v>0</v>
      </c>
      <c r="T201" s="24">
        <v>62</v>
      </c>
    </row>
    <row r="202" spans="1:20">
      <c r="A202" s="9" t="s">
        <v>218</v>
      </c>
      <c r="B202" s="30" t="s">
        <v>277</v>
      </c>
      <c r="C202" s="30" t="str">
        <f>CONCATENATE(VOL_VOLUMEN_SUMINISTROS[[#This Row],[Proyecto]],VOL_VOLUMEN_SUMINISTROS[[#This Row],[J]],VOL_VOLUMEN_SUMINISTROS[[#This Row],[FIN DE SEMANA]])</f>
        <v>1052-2MNO</v>
      </c>
      <c r="D202" s="360" t="str">
        <f>CONCATENATE(VOL_VOLUMEN_SUMINISTROS[[#This Row],[Grupo]],VOL_VOLUMEN_SUMINISTROS[[#This Row],[Proyecto]],VOL_VOLUMEN_SUMINISTROS[[#This Row],[FIN DE SEMANA]])</f>
        <v>301052-2NO</v>
      </c>
      <c r="E202" s="30" t="s">
        <v>182</v>
      </c>
      <c r="F202" s="30" t="s">
        <v>147</v>
      </c>
      <c r="G202" s="360">
        <v>30</v>
      </c>
      <c r="H202" s="30">
        <v>6</v>
      </c>
      <c r="I202" s="9" t="s">
        <v>242</v>
      </c>
      <c r="J202" s="9" t="s">
        <v>265</v>
      </c>
      <c r="K202" s="30">
        <v>1</v>
      </c>
      <c r="L202" s="9" t="s">
        <v>152</v>
      </c>
      <c r="M202" s="30" t="s">
        <v>84</v>
      </c>
      <c r="N202" s="30" t="s">
        <v>151</v>
      </c>
      <c r="O202" s="24">
        <v>0</v>
      </c>
      <c r="P202" s="24">
        <v>54</v>
      </c>
      <c r="Q202" s="24">
        <v>88</v>
      </c>
      <c r="R202" s="24">
        <v>0</v>
      </c>
      <c r="S202" s="24">
        <v>0</v>
      </c>
      <c r="T202" s="24">
        <v>142</v>
      </c>
    </row>
    <row r="203" spans="1:20">
      <c r="A203" s="9" t="s">
        <v>218</v>
      </c>
      <c r="B203" s="30" t="s">
        <v>277</v>
      </c>
      <c r="C203" s="30" t="str">
        <f>CONCATENATE(VOL_VOLUMEN_SUMINISTROS[[#This Row],[Proyecto]],VOL_VOLUMEN_SUMINISTROS[[#This Row],[J]],VOL_VOLUMEN_SUMINISTROS[[#This Row],[FIN DE SEMANA]])</f>
        <v>1052-2TNO</v>
      </c>
      <c r="D203" s="360" t="str">
        <f>CONCATENATE(VOL_VOLUMEN_SUMINISTROS[[#This Row],[Grupo]],VOL_VOLUMEN_SUMINISTROS[[#This Row],[Proyecto]],VOL_VOLUMEN_SUMINISTROS[[#This Row],[FIN DE SEMANA]])</f>
        <v>301052-2NO</v>
      </c>
      <c r="E203" s="30" t="s">
        <v>182</v>
      </c>
      <c r="F203" s="30" t="s">
        <v>147</v>
      </c>
      <c r="G203" s="360">
        <v>30</v>
      </c>
      <c r="H203" s="30">
        <v>6</v>
      </c>
      <c r="I203" s="9" t="s">
        <v>242</v>
      </c>
      <c r="J203" s="9" t="s">
        <v>265</v>
      </c>
      <c r="K203" s="30">
        <v>1</v>
      </c>
      <c r="L203" s="9" t="s">
        <v>152</v>
      </c>
      <c r="M203" s="30" t="s">
        <v>84</v>
      </c>
      <c r="N203" s="30" t="s">
        <v>154</v>
      </c>
      <c r="O203" s="24">
        <v>0</v>
      </c>
      <c r="P203" s="24">
        <v>90</v>
      </c>
      <c r="Q203" s="24">
        <v>150</v>
      </c>
      <c r="R203" s="24">
        <v>0</v>
      </c>
      <c r="S203" s="24">
        <v>0</v>
      </c>
      <c r="T203" s="24">
        <v>240</v>
      </c>
    </row>
    <row r="204" spans="1:20">
      <c r="A204" s="9" t="s">
        <v>218</v>
      </c>
      <c r="B204" s="30" t="s">
        <v>278</v>
      </c>
      <c r="C204" s="30" t="str">
        <f>CONCATENATE(VOL_VOLUMEN_SUMINISTROS[[#This Row],[Proyecto]],VOL_VOLUMEN_SUMINISTROS[[#This Row],[J]],VOL_VOLUMEN_SUMINISTROS[[#This Row],[FIN DE SEMANA]])</f>
        <v>1052-2MNO</v>
      </c>
      <c r="D204" s="360" t="str">
        <f>CONCATENATE(VOL_VOLUMEN_SUMINISTROS[[#This Row],[Grupo]],VOL_VOLUMEN_SUMINISTROS[[#This Row],[Proyecto]],VOL_VOLUMEN_SUMINISTROS[[#This Row],[FIN DE SEMANA]])</f>
        <v>301052-2NO</v>
      </c>
      <c r="E204" s="30" t="s">
        <v>182</v>
      </c>
      <c r="F204" s="30" t="s">
        <v>147</v>
      </c>
      <c r="G204" s="360">
        <v>30</v>
      </c>
      <c r="H204" s="30">
        <v>6</v>
      </c>
      <c r="I204" s="9" t="s">
        <v>242</v>
      </c>
      <c r="J204" s="9" t="s">
        <v>262</v>
      </c>
      <c r="K204" s="30">
        <v>1</v>
      </c>
      <c r="L204" s="9" t="s">
        <v>263</v>
      </c>
      <c r="M204" s="30" t="s">
        <v>84</v>
      </c>
      <c r="N204" s="30" t="s">
        <v>151</v>
      </c>
      <c r="O204" s="24">
        <v>0</v>
      </c>
      <c r="P204" s="24">
        <v>0</v>
      </c>
      <c r="Q204" s="24">
        <v>205</v>
      </c>
      <c r="R204" s="24">
        <v>0</v>
      </c>
      <c r="S204" s="24">
        <v>0</v>
      </c>
      <c r="T204" s="24">
        <v>205</v>
      </c>
    </row>
    <row r="205" spans="1:20">
      <c r="A205" s="9" t="s">
        <v>218</v>
      </c>
      <c r="B205" s="30" t="s">
        <v>278</v>
      </c>
      <c r="C205" s="30" t="str">
        <f>CONCATENATE(VOL_VOLUMEN_SUMINISTROS[[#This Row],[Proyecto]],VOL_VOLUMEN_SUMINISTROS[[#This Row],[J]],VOL_VOLUMEN_SUMINISTROS[[#This Row],[FIN DE SEMANA]])</f>
        <v>1052-2TNO</v>
      </c>
      <c r="D205" s="360" t="str">
        <f>CONCATENATE(VOL_VOLUMEN_SUMINISTROS[[#This Row],[Grupo]],VOL_VOLUMEN_SUMINISTROS[[#This Row],[Proyecto]],VOL_VOLUMEN_SUMINISTROS[[#This Row],[FIN DE SEMANA]])</f>
        <v>301052-2NO</v>
      </c>
      <c r="E205" s="30" t="s">
        <v>182</v>
      </c>
      <c r="F205" s="30" t="s">
        <v>147</v>
      </c>
      <c r="G205" s="360">
        <v>30</v>
      </c>
      <c r="H205" s="30">
        <v>6</v>
      </c>
      <c r="I205" s="9" t="s">
        <v>242</v>
      </c>
      <c r="J205" s="9" t="s">
        <v>262</v>
      </c>
      <c r="K205" s="30">
        <v>1</v>
      </c>
      <c r="L205" s="9" t="s">
        <v>263</v>
      </c>
      <c r="M205" s="30" t="s">
        <v>84</v>
      </c>
      <c r="N205" s="30" t="s">
        <v>154</v>
      </c>
      <c r="O205" s="24">
        <v>0</v>
      </c>
      <c r="P205" s="24">
        <v>0</v>
      </c>
      <c r="Q205" s="24">
        <v>203</v>
      </c>
      <c r="R205" s="24">
        <v>0</v>
      </c>
      <c r="S205" s="24">
        <v>0</v>
      </c>
      <c r="T205" s="24">
        <v>203</v>
      </c>
    </row>
    <row r="206" spans="1:20">
      <c r="A206" s="9" t="s">
        <v>218</v>
      </c>
      <c r="B206" s="30" t="s">
        <v>278</v>
      </c>
      <c r="C206" s="30" t="str">
        <f>CONCATENATE(VOL_VOLUMEN_SUMINISTROS[[#This Row],[Proyecto]],VOL_VOLUMEN_SUMINISTROS[[#This Row],[J]],VOL_VOLUMEN_SUMINISTROS[[#This Row],[FIN DE SEMANA]])</f>
        <v>1052-2MNO</v>
      </c>
      <c r="D206" s="360" t="str">
        <f>CONCATENATE(VOL_VOLUMEN_SUMINISTROS[[#This Row],[Grupo]],VOL_VOLUMEN_SUMINISTROS[[#This Row],[Proyecto]],VOL_VOLUMEN_SUMINISTROS[[#This Row],[FIN DE SEMANA]])</f>
        <v>301052-2NO</v>
      </c>
      <c r="E206" s="30" t="s">
        <v>182</v>
      </c>
      <c r="F206" s="30" t="s">
        <v>147</v>
      </c>
      <c r="G206" s="360">
        <v>30</v>
      </c>
      <c r="H206" s="30">
        <v>6</v>
      </c>
      <c r="I206" s="9" t="s">
        <v>242</v>
      </c>
      <c r="J206" s="9" t="s">
        <v>265</v>
      </c>
      <c r="K206" s="30">
        <v>1</v>
      </c>
      <c r="L206" s="9" t="s">
        <v>152</v>
      </c>
      <c r="M206" s="30" t="s">
        <v>84</v>
      </c>
      <c r="N206" s="30" t="s">
        <v>151</v>
      </c>
      <c r="O206" s="24">
        <v>0</v>
      </c>
      <c r="P206" s="24">
        <v>0</v>
      </c>
      <c r="Q206" s="24">
        <v>86</v>
      </c>
      <c r="R206" s="24">
        <v>0</v>
      </c>
      <c r="S206" s="24">
        <v>0</v>
      </c>
      <c r="T206" s="24">
        <v>86</v>
      </c>
    </row>
    <row r="207" spans="1:20">
      <c r="A207" s="9" t="s">
        <v>218</v>
      </c>
      <c r="B207" s="30" t="s">
        <v>278</v>
      </c>
      <c r="C207" s="30" t="str">
        <f>CONCATENATE(VOL_VOLUMEN_SUMINISTROS[[#This Row],[Proyecto]],VOL_VOLUMEN_SUMINISTROS[[#This Row],[J]],VOL_VOLUMEN_SUMINISTROS[[#This Row],[FIN DE SEMANA]])</f>
        <v>1052-2TNO</v>
      </c>
      <c r="D207" s="360" t="str">
        <f>CONCATENATE(VOL_VOLUMEN_SUMINISTROS[[#This Row],[Grupo]],VOL_VOLUMEN_SUMINISTROS[[#This Row],[Proyecto]],VOL_VOLUMEN_SUMINISTROS[[#This Row],[FIN DE SEMANA]])</f>
        <v>301052-2NO</v>
      </c>
      <c r="E207" s="30" t="s">
        <v>182</v>
      </c>
      <c r="F207" s="30" t="s">
        <v>147</v>
      </c>
      <c r="G207" s="360">
        <v>30</v>
      </c>
      <c r="H207" s="30">
        <v>6</v>
      </c>
      <c r="I207" s="9" t="s">
        <v>242</v>
      </c>
      <c r="J207" s="9" t="s">
        <v>265</v>
      </c>
      <c r="K207" s="30">
        <v>1</v>
      </c>
      <c r="L207" s="9" t="s">
        <v>152</v>
      </c>
      <c r="M207" s="30" t="s">
        <v>84</v>
      </c>
      <c r="N207" s="30" t="s">
        <v>154</v>
      </c>
      <c r="O207" s="24">
        <v>0</v>
      </c>
      <c r="P207" s="24">
        <v>0</v>
      </c>
      <c r="Q207" s="24">
        <v>74</v>
      </c>
      <c r="R207" s="24">
        <v>0</v>
      </c>
      <c r="S207" s="24">
        <v>0</v>
      </c>
      <c r="T207" s="24">
        <v>74</v>
      </c>
    </row>
    <row r="208" spans="1:20">
      <c r="A208" s="9" t="s">
        <v>218</v>
      </c>
      <c r="B208" s="30" t="s">
        <v>278</v>
      </c>
      <c r="C208" s="30" t="str">
        <f>CONCATENATE(VOL_VOLUMEN_SUMINISTROS[[#This Row],[Proyecto]],VOL_VOLUMEN_SUMINISTROS[[#This Row],[J]],VOL_VOLUMEN_SUMINISTROS[[#This Row],[FIN DE SEMANA]])</f>
        <v>1052-2MNO</v>
      </c>
      <c r="D208" s="360" t="str">
        <f>CONCATENATE(VOL_VOLUMEN_SUMINISTROS[[#This Row],[Grupo]],VOL_VOLUMEN_SUMINISTROS[[#This Row],[Proyecto]],VOL_VOLUMEN_SUMINISTROS[[#This Row],[FIN DE SEMANA]])</f>
        <v>301052-2NO</v>
      </c>
      <c r="E208" s="30" t="s">
        <v>182</v>
      </c>
      <c r="F208" s="30" t="s">
        <v>147</v>
      </c>
      <c r="G208" s="360">
        <v>30</v>
      </c>
      <c r="H208" s="30">
        <v>6</v>
      </c>
      <c r="I208" s="9" t="s">
        <v>242</v>
      </c>
      <c r="J208" s="9" t="s">
        <v>267</v>
      </c>
      <c r="K208" s="30">
        <v>1</v>
      </c>
      <c r="L208" s="9" t="s">
        <v>268</v>
      </c>
      <c r="M208" s="30" t="s">
        <v>84</v>
      </c>
      <c r="N208" s="30" t="s">
        <v>151</v>
      </c>
      <c r="O208" s="24">
        <v>0</v>
      </c>
      <c r="P208" s="24">
        <v>0</v>
      </c>
      <c r="Q208" s="24">
        <v>94</v>
      </c>
      <c r="R208" s="24">
        <v>0</v>
      </c>
      <c r="S208" s="24">
        <v>0</v>
      </c>
      <c r="T208" s="24">
        <v>94</v>
      </c>
    </row>
    <row r="209" spans="1:20">
      <c r="A209" s="9" t="s">
        <v>218</v>
      </c>
      <c r="B209" s="30" t="s">
        <v>278</v>
      </c>
      <c r="C209" s="30" t="str">
        <f>CONCATENATE(VOL_VOLUMEN_SUMINISTROS[[#This Row],[Proyecto]],VOL_VOLUMEN_SUMINISTROS[[#This Row],[J]],VOL_VOLUMEN_SUMINISTROS[[#This Row],[FIN DE SEMANA]])</f>
        <v>1052-2TNO</v>
      </c>
      <c r="D209" s="360" t="str">
        <f>CONCATENATE(VOL_VOLUMEN_SUMINISTROS[[#This Row],[Grupo]],VOL_VOLUMEN_SUMINISTROS[[#This Row],[Proyecto]],VOL_VOLUMEN_SUMINISTROS[[#This Row],[FIN DE SEMANA]])</f>
        <v>301052-2NO</v>
      </c>
      <c r="E209" s="30" t="s">
        <v>182</v>
      </c>
      <c r="F209" s="30" t="s">
        <v>147</v>
      </c>
      <c r="G209" s="360">
        <v>30</v>
      </c>
      <c r="H209" s="30">
        <v>6</v>
      </c>
      <c r="I209" s="9" t="s">
        <v>242</v>
      </c>
      <c r="J209" s="9" t="s">
        <v>267</v>
      </c>
      <c r="K209" s="30">
        <v>1</v>
      </c>
      <c r="L209" s="9" t="s">
        <v>268</v>
      </c>
      <c r="M209" s="30" t="s">
        <v>84</v>
      </c>
      <c r="N209" s="30" t="s">
        <v>154</v>
      </c>
      <c r="O209" s="24">
        <v>0</v>
      </c>
      <c r="P209" s="24">
        <v>0</v>
      </c>
      <c r="Q209" s="24">
        <v>161</v>
      </c>
      <c r="R209" s="24">
        <v>0</v>
      </c>
      <c r="S209" s="24">
        <v>0</v>
      </c>
      <c r="T209" s="24">
        <v>161</v>
      </c>
    </row>
    <row r="210" spans="1:20">
      <c r="A210" s="9" t="s">
        <v>218</v>
      </c>
      <c r="B210" s="30" t="s">
        <v>278</v>
      </c>
      <c r="C210" s="30" t="str">
        <f>CONCATENATE(VOL_VOLUMEN_SUMINISTROS[[#This Row],[Proyecto]],VOL_VOLUMEN_SUMINISTROS[[#This Row],[J]],VOL_VOLUMEN_SUMINISTROS[[#This Row],[FIN DE SEMANA]])</f>
        <v>1052-2TNO</v>
      </c>
      <c r="D210" s="360" t="str">
        <f>CONCATENATE(VOL_VOLUMEN_SUMINISTROS[[#This Row],[Grupo]],VOL_VOLUMEN_SUMINISTROS[[#This Row],[Proyecto]],VOL_VOLUMEN_SUMINISTROS[[#This Row],[FIN DE SEMANA]])</f>
        <v>91052-2NO</v>
      </c>
      <c r="E210" s="30" t="s">
        <v>182</v>
      </c>
      <c r="F210" s="30" t="s">
        <v>147</v>
      </c>
      <c r="G210" s="360">
        <v>9</v>
      </c>
      <c r="H210" s="30">
        <v>6</v>
      </c>
      <c r="I210" s="9" t="s">
        <v>242</v>
      </c>
      <c r="J210" s="9" t="s">
        <v>279</v>
      </c>
      <c r="K210" s="30">
        <v>1</v>
      </c>
      <c r="L210" s="9" t="s">
        <v>280</v>
      </c>
      <c r="M210" s="30" t="s">
        <v>84</v>
      </c>
      <c r="N210" s="30" t="s">
        <v>154</v>
      </c>
      <c r="O210" s="24">
        <v>0</v>
      </c>
      <c r="P210" s="24">
        <v>0</v>
      </c>
      <c r="Q210" s="24">
        <v>280</v>
      </c>
      <c r="R210" s="24">
        <v>0</v>
      </c>
      <c r="S210" s="24">
        <v>0</v>
      </c>
      <c r="T210" s="24">
        <v>280</v>
      </c>
    </row>
    <row r="211" spans="1:20">
      <c r="A211" s="9" t="s">
        <v>218</v>
      </c>
      <c r="B211" s="30" t="s">
        <v>278</v>
      </c>
      <c r="C211" s="30" t="str">
        <f>CONCATENATE(VOL_VOLUMEN_SUMINISTROS[[#This Row],[Proyecto]],VOL_VOLUMEN_SUMINISTROS[[#This Row],[J]],VOL_VOLUMEN_SUMINISTROS[[#This Row],[FIN DE SEMANA]])</f>
        <v>1052-2MNO</v>
      </c>
      <c r="D211" s="360" t="str">
        <f>CONCATENATE(VOL_VOLUMEN_SUMINISTROS[[#This Row],[Grupo]],VOL_VOLUMEN_SUMINISTROS[[#This Row],[Proyecto]],VOL_VOLUMEN_SUMINISTROS[[#This Row],[FIN DE SEMANA]])</f>
        <v>301052-2NO</v>
      </c>
      <c r="E211" s="30" t="s">
        <v>182</v>
      </c>
      <c r="F211" s="30" t="s">
        <v>147</v>
      </c>
      <c r="G211" s="360">
        <v>30</v>
      </c>
      <c r="H211" s="30">
        <v>6</v>
      </c>
      <c r="I211" s="9" t="s">
        <v>242</v>
      </c>
      <c r="J211" s="9" t="s">
        <v>274</v>
      </c>
      <c r="K211" s="30">
        <v>1</v>
      </c>
      <c r="L211" s="9" t="s">
        <v>275</v>
      </c>
      <c r="M211" s="30" t="s">
        <v>84</v>
      </c>
      <c r="N211" s="30" t="s">
        <v>151</v>
      </c>
      <c r="O211" s="24">
        <v>0</v>
      </c>
      <c r="P211" s="24">
        <v>0</v>
      </c>
      <c r="Q211" s="24">
        <v>26</v>
      </c>
      <c r="R211" s="24">
        <v>0</v>
      </c>
      <c r="S211" s="24">
        <v>0</v>
      </c>
      <c r="T211" s="24">
        <v>26</v>
      </c>
    </row>
    <row r="212" spans="1:20">
      <c r="A212" s="9" t="s">
        <v>218</v>
      </c>
      <c r="B212" s="30" t="s">
        <v>278</v>
      </c>
      <c r="C212" s="30" t="str">
        <f>CONCATENATE(VOL_VOLUMEN_SUMINISTROS[[#This Row],[Proyecto]],VOL_VOLUMEN_SUMINISTROS[[#This Row],[J]],VOL_VOLUMEN_SUMINISTROS[[#This Row],[FIN DE SEMANA]])</f>
        <v>1052-2TNO</v>
      </c>
      <c r="D212" s="360" t="str">
        <f>CONCATENATE(VOL_VOLUMEN_SUMINISTROS[[#This Row],[Grupo]],VOL_VOLUMEN_SUMINISTROS[[#This Row],[Proyecto]],VOL_VOLUMEN_SUMINISTROS[[#This Row],[FIN DE SEMANA]])</f>
        <v>301052-2NO</v>
      </c>
      <c r="E212" s="30" t="s">
        <v>182</v>
      </c>
      <c r="F212" s="30" t="s">
        <v>147</v>
      </c>
      <c r="G212" s="360">
        <v>30</v>
      </c>
      <c r="H212" s="30">
        <v>6</v>
      </c>
      <c r="I212" s="9" t="s">
        <v>242</v>
      </c>
      <c r="J212" s="9" t="s">
        <v>274</v>
      </c>
      <c r="K212" s="30">
        <v>1</v>
      </c>
      <c r="L212" s="9" t="s">
        <v>275</v>
      </c>
      <c r="M212" s="30" t="s">
        <v>84</v>
      </c>
      <c r="N212" s="30" t="s">
        <v>154</v>
      </c>
      <c r="O212" s="24">
        <v>0</v>
      </c>
      <c r="P212" s="24">
        <v>0</v>
      </c>
      <c r="Q212" s="24">
        <v>35</v>
      </c>
      <c r="R212" s="24">
        <v>0</v>
      </c>
      <c r="S212" s="24">
        <v>0</v>
      </c>
      <c r="T212" s="24">
        <v>35</v>
      </c>
    </row>
    <row r="213" spans="1:20">
      <c r="A213" s="9" t="s">
        <v>218</v>
      </c>
      <c r="B213" s="30" t="s">
        <v>281</v>
      </c>
      <c r="C213" s="30" t="str">
        <f>CONCATENATE(VOL_VOLUMEN_SUMINISTROS[[#This Row],[Proyecto]],VOL_VOLUMEN_SUMINISTROS[[#This Row],[J]],VOL_VOLUMEN_SUMINISTROS[[#This Row],[FIN DE SEMANA]])</f>
        <v>1052-2MNO</v>
      </c>
      <c r="D213" s="360" t="str">
        <f>CONCATENATE(VOL_VOLUMEN_SUMINISTROS[[#This Row],[Grupo]],VOL_VOLUMEN_SUMINISTROS[[#This Row],[Proyecto]],VOL_VOLUMEN_SUMINISTROS[[#This Row],[FIN DE SEMANA]])</f>
        <v>301052-2NO</v>
      </c>
      <c r="E213" s="30" t="s">
        <v>182</v>
      </c>
      <c r="F213" s="30" t="s">
        <v>147</v>
      </c>
      <c r="G213" s="360">
        <v>30</v>
      </c>
      <c r="H213" s="30">
        <v>6</v>
      </c>
      <c r="I213" s="9" t="s">
        <v>242</v>
      </c>
      <c r="J213" s="9" t="s">
        <v>265</v>
      </c>
      <c r="K213" s="30">
        <v>2</v>
      </c>
      <c r="L213" s="9" t="s">
        <v>266</v>
      </c>
      <c r="M213" s="30" t="s">
        <v>84</v>
      </c>
      <c r="N213" s="30" t="s">
        <v>151</v>
      </c>
      <c r="O213" s="24">
        <v>154</v>
      </c>
      <c r="P213" s="24">
        <v>0</v>
      </c>
      <c r="Q213" s="24">
        <v>0</v>
      </c>
      <c r="R213" s="24">
        <v>0</v>
      </c>
      <c r="S213" s="24">
        <v>0</v>
      </c>
      <c r="T213" s="24">
        <v>154</v>
      </c>
    </row>
    <row r="214" spans="1:20">
      <c r="A214" s="9" t="s">
        <v>218</v>
      </c>
      <c r="B214" s="30" t="s">
        <v>281</v>
      </c>
      <c r="C214" s="30" t="str">
        <f>CONCATENATE(VOL_VOLUMEN_SUMINISTROS[[#This Row],[Proyecto]],VOL_VOLUMEN_SUMINISTROS[[#This Row],[J]],VOL_VOLUMEN_SUMINISTROS[[#This Row],[FIN DE SEMANA]])</f>
        <v>1052-2TNO</v>
      </c>
      <c r="D214" s="360" t="str">
        <f>CONCATENATE(VOL_VOLUMEN_SUMINISTROS[[#This Row],[Grupo]],VOL_VOLUMEN_SUMINISTROS[[#This Row],[Proyecto]],VOL_VOLUMEN_SUMINISTROS[[#This Row],[FIN DE SEMANA]])</f>
        <v>301052-2NO</v>
      </c>
      <c r="E214" s="30" t="s">
        <v>182</v>
      </c>
      <c r="F214" s="30" t="s">
        <v>147</v>
      </c>
      <c r="G214" s="360">
        <v>30</v>
      </c>
      <c r="H214" s="30">
        <v>6</v>
      </c>
      <c r="I214" s="9" t="s">
        <v>242</v>
      </c>
      <c r="J214" s="9" t="s">
        <v>265</v>
      </c>
      <c r="K214" s="30">
        <v>2</v>
      </c>
      <c r="L214" s="9" t="s">
        <v>266</v>
      </c>
      <c r="M214" s="30" t="s">
        <v>84</v>
      </c>
      <c r="N214" s="30" t="s">
        <v>154</v>
      </c>
      <c r="O214" s="24">
        <v>150</v>
      </c>
      <c r="P214" s="24">
        <v>0</v>
      </c>
      <c r="Q214" s="24">
        <v>0</v>
      </c>
      <c r="R214" s="24">
        <v>0</v>
      </c>
      <c r="S214" s="24">
        <v>0</v>
      </c>
      <c r="T214" s="24">
        <v>150</v>
      </c>
    </row>
    <row r="215" spans="1:20">
      <c r="A215" s="9" t="s">
        <v>218</v>
      </c>
      <c r="B215" s="30" t="s">
        <v>282</v>
      </c>
      <c r="C215" s="30" t="str">
        <f>CONCATENATE(VOL_VOLUMEN_SUMINISTROS[[#This Row],[Proyecto]],VOL_VOLUMEN_SUMINISTROS[[#This Row],[J]],VOL_VOLUMEN_SUMINISTROS[[#This Row],[FIN DE SEMANA]])</f>
        <v>1052-1MNO</v>
      </c>
      <c r="D215" s="360" t="str">
        <f>CONCATENATE(VOL_VOLUMEN_SUMINISTROS[[#This Row],[Grupo]],VOL_VOLUMEN_SUMINISTROS[[#This Row],[Proyecto]],VOL_VOLUMEN_SUMINISTROS[[#This Row],[FIN DE SEMANA]])</f>
        <v>91052-1NO</v>
      </c>
      <c r="E215" s="30" t="s">
        <v>146</v>
      </c>
      <c r="F215" s="30" t="s">
        <v>147</v>
      </c>
      <c r="G215" s="360">
        <v>9</v>
      </c>
      <c r="H215" s="30">
        <v>19</v>
      </c>
      <c r="I215" s="9" t="s">
        <v>249</v>
      </c>
      <c r="J215" s="9" t="s">
        <v>283</v>
      </c>
      <c r="K215" s="30">
        <v>1</v>
      </c>
      <c r="L215" s="9" t="s">
        <v>284</v>
      </c>
      <c r="M215" s="30" t="s">
        <v>84</v>
      </c>
      <c r="N215" s="30" t="s">
        <v>151</v>
      </c>
      <c r="O215" s="24">
        <v>169</v>
      </c>
      <c r="P215" s="24">
        <v>18</v>
      </c>
      <c r="Q215" s="24">
        <v>0</v>
      </c>
      <c r="R215" s="24">
        <v>0</v>
      </c>
      <c r="S215" s="24">
        <v>0</v>
      </c>
      <c r="T215" s="24">
        <v>187</v>
      </c>
    </row>
    <row r="216" spans="1:20">
      <c r="A216" s="9" t="s">
        <v>218</v>
      </c>
      <c r="B216" s="30" t="s">
        <v>282</v>
      </c>
      <c r="C216" s="30" t="str">
        <f>CONCATENATE(VOL_VOLUMEN_SUMINISTROS[[#This Row],[Proyecto]],VOL_VOLUMEN_SUMINISTROS[[#This Row],[J]],VOL_VOLUMEN_SUMINISTROS[[#This Row],[FIN DE SEMANA]])</f>
        <v>1052-1TNO</v>
      </c>
      <c r="D216" s="360" t="str">
        <f>CONCATENATE(VOL_VOLUMEN_SUMINISTROS[[#This Row],[Grupo]],VOL_VOLUMEN_SUMINISTROS[[#This Row],[Proyecto]],VOL_VOLUMEN_SUMINISTROS[[#This Row],[FIN DE SEMANA]])</f>
        <v>91052-1NO</v>
      </c>
      <c r="E216" s="30" t="s">
        <v>146</v>
      </c>
      <c r="F216" s="30" t="s">
        <v>147</v>
      </c>
      <c r="G216" s="360">
        <v>9</v>
      </c>
      <c r="H216" s="30">
        <v>19</v>
      </c>
      <c r="I216" s="9" t="s">
        <v>249</v>
      </c>
      <c r="J216" s="9" t="s">
        <v>283</v>
      </c>
      <c r="K216" s="30">
        <v>1</v>
      </c>
      <c r="L216" s="9" t="s">
        <v>284</v>
      </c>
      <c r="M216" s="30" t="s">
        <v>84</v>
      </c>
      <c r="N216" s="30" t="s">
        <v>154</v>
      </c>
      <c r="O216" s="24">
        <v>0</v>
      </c>
      <c r="P216" s="24">
        <v>105</v>
      </c>
      <c r="Q216" s="24">
        <v>35</v>
      </c>
      <c r="R216" s="24">
        <v>0</v>
      </c>
      <c r="S216" s="24">
        <v>0</v>
      </c>
      <c r="T216" s="24">
        <v>140</v>
      </c>
    </row>
    <row r="217" spans="1:20">
      <c r="A217" s="9" t="s">
        <v>218</v>
      </c>
      <c r="B217" s="30" t="s">
        <v>282</v>
      </c>
      <c r="C217" s="30" t="str">
        <f>CONCATENATE(VOL_VOLUMEN_SUMINISTROS[[#This Row],[Proyecto]],VOL_VOLUMEN_SUMINISTROS[[#This Row],[J]],VOL_VOLUMEN_SUMINISTROS[[#This Row],[FIN DE SEMANA]])</f>
        <v>1052-1MNO</v>
      </c>
      <c r="D217" s="360" t="str">
        <f>CONCATENATE(VOL_VOLUMEN_SUMINISTROS[[#This Row],[Grupo]],VOL_VOLUMEN_SUMINISTROS[[#This Row],[Proyecto]],VOL_VOLUMEN_SUMINISTROS[[#This Row],[FIN DE SEMANA]])</f>
        <v>91052-1NO</v>
      </c>
      <c r="E217" s="30" t="s">
        <v>146</v>
      </c>
      <c r="F217" s="30" t="s">
        <v>147</v>
      </c>
      <c r="G217" s="360">
        <v>9</v>
      </c>
      <c r="H217" s="30">
        <v>19</v>
      </c>
      <c r="I217" s="9" t="s">
        <v>249</v>
      </c>
      <c r="J217" s="9" t="s">
        <v>283</v>
      </c>
      <c r="K217" s="30">
        <v>2</v>
      </c>
      <c r="L217" s="9" t="s">
        <v>284</v>
      </c>
      <c r="M217" s="30" t="s">
        <v>84</v>
      </c>
      <c r="N217" s="30" t="s">
        <v>151</v>
      </c>
      <c r="O217" s="24">
        <v>122</v>
      </c>
      <c r="P217" s="24">
        <v>94</v>
      </c>
      <c r="Q217" s="24">
        <v>11</v>
      </c>
      <c r="R217" s="24">
        <v>0</v>
      </c>
      <c r="S217" s="24">
        <v>0</v>
      </c>
      <c r="T217" s="24">
        <v>227</v>
      </c>
    </row>
    <row r="218" spans="1:20">
      <c r="A218" s="9" t="s">
        <v>218</v>
      </c>
      <c r="B218" s="30" t="s">
        <v>282</v>
      </c>
      <c r="C218" s="30" t="str">
        <f>CONCATENATE(VOL_VOLUMEN_SUMINISTROS[[#This Row],[Proyecto]],VOL_VOLUMEN_SUMINISTROS[[#This Row],[J]],VOL_VOLUMEN_SUMINISTROS[[#This Row],[FIN DE SEMANA]])</f>
        <v>1052-1TNO</v>
      </c>
      <c r="D218" s="360" t="str">
        <f>CONCATENATE(VOL_VOLUMEN_SUMINISTROS[[#This Row],[Grupo]],VOL_VOLUMEN_SUMINISTROS[[#This Row],[Proyecto]],VOL_VOLUMEN_SUMINISTROS[[#This Row],[FIN DE SEMANA]])</f>
        <v>91052-1NO</v>
      </c>
      <c r="E218" s="30" t="s">
        <v>146</v>
      </c>
      <c r="F218" s="30" t="s">
        <v>147</v>
      </c>
      <c r="G218" s="360">
        <v>9</v>
      </c>
      <c r="H218" s="30">
        <v>19</v>
      </c>
      <c r="I218" s="9" t="s">
        <v>249</v>
      </c>
      <c r="J218" s="9" t="s">
        <v>283</v>
      </c>
      <c r="K218" s="30">
        <v>2</v>
      </c>
      <c r="L218" s="9" t="s">
        <v>284</v>
      </c>
      <c r="M218" s="30" t="s">
        <v>84</v>
      </c>
      <c r="N218" s="30" t="s">
        <v>154</v>
      </c>
      <c r="O218" s="24">
        <v>0</v>
      </c>
      <c r="P218" s="24">
        <v>96</v>
      </c>
      <c r="Q218" s="24">
        <v>94</v>
      </c>
      <c r="R218" s="24">
        <v>0</v>
      </c>
      <c r="S218" s="24">
        <v>0</v>
      </c>
      <c r="T218" s="24">
        <v>190</v>
      </c>
    </row>
    <row r="219" spans="1:20">
      <c r="A219" s="9" t="s">
        <v>218</v>
      </c>
      <c r="B219" s="30" t="s">
        <v>282</v>
      </c>
      <c r="C219" s="30" t="str">
        <f>CONCATENATE(VOL_VOLUMEN_SUMINISTROS[[#This Row],[Proyecto]],VOL_VOLUMEN_SUMINISTROS[[#This Row],[J]],VOL_VOLUMEN_SUMINISTROS[[#This Row],[FIN DE SEMANA]])</f>
        <v>1052-1MNO</v>
      </c>
      <c r="D219" s="360" t="str">
        <f>CONCATENATE(VOL_VOLUMEN_SUMINISTROS[[#This Row],[Grupo]],VOL_VOLUMEN_SUMINISTROS[[#This Row],[Proyecto]],VOL_VOLUMEN_SUMINISTROS[[#This Row],[FIN DE SEMANA]])</f>
        <v>91052-1NO</v>
      </c>
      <c r="E219" s="30" t="s">
        <v>146</v>
      </c>
      <c r="F219" s="30" t="s">
        <v>147</v>
      </c>
      <c r="G219" s="360">
        <v>9</v>
      </c>
      <c r="H219" s="30">
        <v>19</v>
      </c>
      <c r="I219" s="9" t="s">
        <v>249</v>
      </c>
      <c r="J219" s="9" t="s">
        <v>285</v>
      </c>
      <c r="K219" s="30">
        <v>1</v>
      </c>
      <c r="L219" s="9" t="s">
        <v>286</v>
      </c>
      <c r="M219" s="30" t="s">
        <v>84</v>
      </c>
      <c r="N219" s="30" t="s">
        <v>151</v>
      </c>
      <c r="O219" s="24">
        <v>78</v>
      </c>
      <c r="P219" s="24">
        <v>0</v>
      </c>
      <c r="Q219" s="24">
        <v>0</v>
      </c>
      <c r="R219" s="24">
        <v>0</v>
      </c>
      <c r="S219" s="24">
        <v>0</v>
      </c>
      <c r="T219" s="24">
        <v>78</v>
      </c>
    </row>
    <row r="220" spans="1:20">
      <c r="A220" s="9" t="s">
        <v>218</v>
      </c>
      <c r="B220" s="30" t="s">
        <v>282</v>
      </c>
      <c r="C220" s="30" t="str">
        <f>CONCATENATE(VOL_VOLUMEN_SUMINISTROS[[#This Row],[Proyecto]],VOL_VOLUMEN_SUMINISTROS[[#This Row],[J]],VOL_VOLUMEN_SUMINISTROS[[#This Row],[FIN DE SEMANA]])</f>
        <v>1052-1TNO</v>
      </c>
      <c r="D220" s="360" t="str">
        <f>CONCATENATE(VOL_VOLUMEN_SUMINISTROS[[#This Row],[Grupo]],VOL_VOLUMEN_SUMINISTROS[[#This Row],[Proyecto]],VOL_VOLUMEN_SUMINISTROS[[#This Row],[FIN DE SEMANA]])</f>
        <v>91052-1NO</v>
      </c>
      <c r="E220" s="30" t="s">
        <v>146</v>
      </c>
      <c r="F220" s="30" t="s">
        <v>147</v>
      </c>
      <c r="G220" s="360">
        <v>9</v>
      </c>
      <c r="H220" s="30">
        <v>19</v>
      </c>
      <c r="I220" s="9" t="s">
        <v>249</v>
      </c>
      <c r="J220" s="9" t="s">
        <v>285</v>
      </c>
      <c r="K220" s="30">
        <v>1</v>
      </c>
      <c r="L220" s="9" t="s">
        <v>286</v>
      </c>
      <c r="M220" s="30" t="s">
        <v>84</v>
      </c>
      <c r="N220" s="30" t="s">
        <v>154</v>
      </c>
      <c r="O220" s="24">
        <v>75</v>
      </c>
      <c r="P220" s="24">
        <v>0</v>
      </c>
      <c r="Q220" s="24">
        <v>0</v>
      </c>
      <c r="R220" s="24">
        <v>0</v>
      </c>
      <c r="S220" s="24">
        <v>0</v>
      </c>
      <c r="T220" s="24">
        <v>75</v>
      </c>
    </row>
    <row r="221" spans="1:20">
      <c r="A221" s="9" t="s">
        <v>218</v>
      </c>
      <c r="B221" s="30" t="s">
        <v>282</v>
      </c>
      <c r="C221" s="30" t="str">
        <f>CONCATENATE(VOL_VOLUMEN_SUMINISTROS[[#This Row],[Proyecto]],VOL_VOLUMEN_SUMINISTROS[[#This Row],[J]],VOL_VOLUMEN_SUMINISTROS[[#This Row],[FIN DE SEMANA]])</f>
        <v>1052-1MNO</v>
      </c>
      <c r="D221" s="360" t="str">
        <f>CONCATENATE(VOL_VOLUMEN_SUMINISTROS[[#This Row],[Grupo]],VOL_VOLUMEN_SUMINISTROS[[#This Row],[Proyecto]],VOL_VOLUMEN_SUMINISTROS[[#This Row],[FIN DE SEMANA]])</f>
        <v>91052-1NO</v>
      </c>
      <c r="E221" s="30" t="s">
        <v>146</v>
      </c>
      <c r="F221" s="30" t="s">
        <v>147</v>
      </c>
      <c r="G221" s="360">
        <v>9</v>
      </c>
      <c r="H221" s="30">
        <v>19</v>
      </c>
      <c r="I221" s="9" t="s">
        <v>249</v>
      </c>
      <c r="J221" s="9" t="s">
        <v>285</v>
      </c>
      <c r="K221" s="30">
        <v>2</v>
      </c>
      <c r="L221" s="9" t="s">
        <v>286</v>
      </c>
      <c r="M221" s="30" t="s">
        <v>84</v>
      </c>
      <c r="N221" s="30" t="s">
        <v>151</v>
      </c>
      <c r="O221" s="24">
        <v>58</v>
      </c>
      <c r="P221" s="24">
        <v>191</v>
      </c>
      <c r="Q221" s="24">
        <v>54</v>
      </c>
      <c r="R221" s="24">
        <v>0</v>
      </c>
      <c r="S221" s="24">
        <v>0</v>
      </c>
      <c r="T221" s="24">
        <v>303</v>
      </c>
    </row>
    <row r="222" spans="1:20">
      <c r="A222" s="9" t="s">
        <v>218</v>
      </c>
      <c r="B222" s="30" t="s">
        <v>282</v>
      </c>
      <c r="C222" s="30" t="str">
        <f>CONCATENATE(VOL_VOLUMEN_SUMINISTROS[[#This Row],[Proyecto]],VOL_VOLUMEN_SUMINISTROS[[#This Row],[J]],VOL_VOLUMEN_SUMINISTROS[[#This Row],[FIN DE SEMANA]])</f>
        <v>1052-1TNO</v>
      </c>
      <c r="D222" s="360" t="str">
        <f>CONCATENATE(VOL_VOLUMEN_SUMINISTROS[[#This Row],[Grupo]],VOL_VOLUMEN_SUMINISTROS[[#This Row],[Proyecto]],VOL_VOLUMEN_SUMINISTROS[[#This Row],[FIN DE SEMANA]])</f>
        <v>91052-1NO</v>
      </c>
      <c r="E222" s="30" t="s">
        <v>146</v>
      </c>
      <c r="F222" s="30" t="s">
        <v>147</v>
      </c>
      <c r="G222" s="360">
        <v>9</v>
      </c>
      <c r="H222" s="30">
        <v>19</v>
      </c>
      <c r="I222" s="9" t="s">
        <v>249</v>
      </c>
      <c r="J222" s="9" t="s">
        <v>285</v>
      </c>
      <c r="K222" s="30">
        <v>2</v>
      </c>
      <c r="L222" s="9" t="s">
        <v>286</v>
      </c>
      <c r="M222" s="30" t="s">
        <v>84</v>
      </c>
      <c r="N222" s="30" t="s">
        <v>154</v>
      </c>
      <c r="O222" s="24">
        <v>70</v>
      </c>
      <c r="P222" s="24">
        <v>179</v>
      </c>
      <c r="Q222" s="24">
        <v>48</v>
      </c>
      <c r="R222" s="24">
        <v>0</v>
      </c>
      <c r="S222" s="24">
        <v>0</v>
      </c>
      <c r="T222" s="24">
        <v>297</v>
      </c>
    </row>
    <row r="223" spans="1:20">
      <c r="A223" s="9" t="s">
        <v>218</v>
      </c>
      <c r="B223" s="30" t="s">
        <v>282</v>
      </c>
      <c r="C223" s="30" t="str">
        <f>CONCATENATE(VOL_VOLUMEN_SUMINISTROS[[#This Row],[Proyecto]],VOL_VOLUMEN_SUMINISTROS[[#This Row],[J]],VOL_VOLUMEN_SUMINISTROS[[#This Row],[FIN DE SEMANA]])</f>
        <v>1052-1MNO</v>
      </c>
      <c r="D223" s="360" t="str">
        <f>CONCATENATE(VOL_VOLUMEN_SUMINISTROS[[#This Row],[Grupo]],VOL_VOLUMEN_SUMINISTROS[[#This Row],[Proyecto]],VOL_VOLUMEN_SUMINISTROS[[#This Row],[FIN DE SEMANA]])</f>
        <v>91052-1NO</v>
      </c>
      <c r="E223" s="30" t="s">
        <v>146</v>
      </c>
      <c r="F223" s="30" t="s">
        <v>147</v>
      </c>
      <c r="G223" s="360">
        <v>9</v>
      </c>
      <c r="H223" s="30">
        <v>19</v>
      </c>
      <c r="I223" s="9" t="s">
        <v>249</v>
      </c>
      <c r="J223" s="9" t="s">
        <v>285</v>
      </c>
      <c r="K223" s="30">
        <v>3</v>
      </c>
      <c r="L223" s="9" t="s">
        <v>286</v>
      </c>
      <c r="M223" s="30" t="s">
        <v>84</v>
      </c>
      <c r="N223" s="30" t="s">
        <v>151</v>
      </c>
      <c r="O223" s="24">
        <v>0</v>
      </c>
      <c r="P223" s="24">
        <v>132</v>
      </c>
      <c r="Q223" s="24">
        <v>309</v>
      </c>
      <c r="R223" s="24">
        <v>0</v>
      </c>
      <c r="S223" s="24">
        <v>0</v>
      </c>
      <c r="T223" s="24">
        <v>441</v>
      </c>
    </row>
    <row r="224" spans="1:20">
      <c r="A224" s="9" t="s">
        <v>218</v>
      </c>
      <c r="B224" s="30" t="s">
        <v>282</v>
      </c>
      <c r="C224" s="30" t="str">
        <f>CONCATENATE(VOL_VOLUMEN_SUMINISTROS[[#This Row],[Proyecto]],VOL_VOLUMEN_SUMINISTROS[[#This Row],[J]],VOL_VOLUMEN_SUMINISTROS[[#This Row],[FIN DE SEMANA]])</f>
        <v>1052-1TNO</v>
      </c>
      <c r="D224" s="360" t="str">
        <f>CONCATENATE(VOL_VOLUMEN_SUMINISTROS[[#This Row],[Grupo]],VOL_VOLUMEN_SUMINISTROS[[#This Row],[Proyecto]],VOL_VOLUMEN_SUMINISTROS[[#This Row],[FIN DE SEMANA]])</f>
        <v>91052-1NO</v>
      </c>
      <c r="E224" s="30" t="s">
        <v>146</v>
      </c>
      <c r="F224" s="30" t="s">
        <v>147</v>
      </c>
      <c r="G224" s="360">
        <v>9</v>
      </c>
      <c r="H224" s="30">
        <v>19</v>
      </c>
      <c r="I224" s="9" t="s">
        <v>249</v>
      </c>
      <c r="J224" s="9" t="s">
        <v>285</v>
      </c>
      <c r="K224" s="30">
        <v>3</v>
      </c>
      <c r="L224" s="9" t="s">
        <v>286</v>
      </c>
      <c r="M224" s="30" t="s">
        <v>84</v>
      </c>
      <c r="N224" s="30" t="s">
        <v>154</v>
      </c>
      <c r="O224" s="24">
        <v>0</v>
      </c>
      <c r="P224" s="24">
        <v>111</v>
      </c>
      <c r="Q224" s="24">
        <v>286</v>
      </c>
      <c r="R224" s="24">
        <v>0</v>
      </c>
      <c r="S224" s="24">
        <v>0</v>
      </c>
      <c r="T224" s="24">
        <v>397</v>
      </c>
    </row>
    <row r="225" spans="1:20">
      <c r="A225" s="9" t="s">
        <v>218</v>
      </c>
      <c r="B225" s="30" t="s">
        <v>282</v>
      </c>
      <c r="C225" s="30" t="str">
        <f>CONCATENATE(VOL_VOLUMEN_SUMINISTROS[[#This Row],[Proyecto]],VOL_VOLUMEN_SUMINISTROS[[#This Row],[J]],VOL_VOLUMEN_SUMINISTROS[[#This Row],[FIN DE SEMANA]])</f>
        <v>1052-1MNO</v>
      </c>
      <c r="D225" s="360" t="str">
        <f>CONCATENATE(VOL_VOLUMEN_SUMINISTROS[[#This Row],[Grupo]],VOL_VOLUMEN_SUMINISTROS[[#This Row],[Proyecto]],VOL_VOLUMEN_SUMINISTROS[[#This Row],[FIN DE SEMANA]])</f>
        <v>91052-1NO</v>
      </c>
      <c r="E225" s="30" t="s">
        <v>146</v>
      </c>
      <c r="F225" s="30" t="s">
        <v>147</v>
      </c>
      <c r="G225" s="360">
        <v>9</v>
      </c>
      <c r="H225" s="30">
        <v>19</v>
      </c>
      <c r="I225" s="9" t="s">
        <v>249</v>
      </c>
      <c r="J225" s="9" t="s">
        <v>285</v>
      </c>
      <c r="K225" s="30">
        <v>5</v>
      </c>
      <c r="L225" s="9" t="s">
        <v>287</v>
      </c>
      <c r="M225" s="30" t="s">
        <v>84</v>
      </c>
      <c r="N225" s="30" t="s">
        <v>151</v>
      </c>
      <c r="O225" s="24">
        <v>174</v>
      </c>
      <c r="P225" s="24">
        <v>102</v>
      </c>
      <c r="Q225" s="24">
        <v>5</v>
      </c>
      <c r="R225" s="24">
        <v>0</v>
      </c>
      <c r="S225" s="24">
        <v>0</v>
      </c>
      <c r="T225" s="24">
        <v>281</v>
      </c>
    </row>
    <row r="226" spans="1:20">
      <c r="A226" s="9" t="s">
        <v>218</v>
      </c>
      <c r="B226" s="30" t="s">
        <v>282</v>
      </c>
      <c r="C226" s="30" t="str">
        <f>CONCATENATE(VOL_VOLUMEN_SUMINISTROS[[#This Row],[Proyecto]],VOL_VOLUMEN_SUMINISTROS[[#This Row],[J]],VOL_VOLUMEN_SUMINISTROS[[#This Row],[FIN DE SEMANA]])</f>
        <v>1052-1TNO</v>
      </c>
      <c r="D226" s="360" t="str">
        <f>CONCATENATE(VOL_VOLUMEN_SUMINISTROS[[#This Row],[Grupo]],VOL_VOLUMEN_SUMINISTROS[[#This Row],[Proyecto]],VOL_VOLUMEN_SUMINISTROS[[#This Row],[FIN DE SEMANA]])</f>
        <v>91052-1NO</v>
      </c>
      <c r="E226" s="30" t="s">
        <v>146</v>
      </c>
      <c r="F226" s="30" t="s">
        <v>147</v>
      </c>
      <c r="G226" s="360">
        <v>9</v>
      </c>
      <c r="H226" s="30">
        <v>19</v>
      </c>
      <c r="I226" s="9" t="s">
        <v>249</v>
      </c>
      <c r="J226" s="9" t="s">
        <v>285</v>
      </c>
      <c r="K226" s="30">
        <v>5</v>
      </c>
      <c r="L226" s="9" t="s">
        <v>287</v>
      </c>
      <c r="M226" s="30" t="s">
        <v>84</v>
      </c>
      <c r="N226" s="30" t="s">
        <v>154</v>
      </c>
      <c r="O226" s="24">
        <v>188</v>
      </c>
      <c r="P226" s="24">
        <v>94</v>
      </c>
      <c r="Q226" s="24">
        <v>0</v>
      </c>
      <c r="R226" s="24">
        <v>0</v>
      </c>
      <c r="S226" s="24">
        <v>0</v>
      </c>
      <c r="T226" s="24">
        <v>282</v>
      </c>
    </row>
    <row r="227" spans="1:20">
      <c r="A227" s="9" t="s">
        <v>218</v>
      </c>
      <c r="B227" s="30" t="s">
        <v>282</v>
      </c>
      <c r="C227" s="30" t="str">
        <f>CONCATENATE(VOL_VOLUMEN_SUMINISTROS[[#This Row],[Proyecto]],VOL_VOLUMEN_SUMINISTROS[[#This Row],[J]],VOL_VOLUMEN_SUMINISTROS[[#This Row],[FIN DE SEMANA]])</f>
        <v>1052-1MNO</v>
      </c>
      <c r="D227" s="360" t="str">
        <f>CONCATENATE(VOL_VOLUMEN_SUMINISTROS[[#This Row],[Grupo]],VOL_VOLUMEN_SUMINISTROS[[#This Row],[Proyecto]],VOL_VOLUMEN_SUMINISTROS[[#This Row],[FIN DE SEMANA]])</f>
        <v>91052-1NO</v>
      </c>
      <c r="E227" s="30" t="s">
        <v>146</v>
      </c>
      <c r="F227" s="30" t="s">
        <v>147</v>
      </c>
      <c r="G227" s="360">
        <v>9</v>
      </c>
      <c r="H227" s="30">
        <v>19</v>
      </c>
      <c r="I227" s="9" t="s">
        <v>249</v>
      </c>
      <c r="J227" s="9" t="s">
        <v>288</v>
      </c>
      <c r="K227" s="30">
        <v>1</v>
      </c>
      <c r="L227" s="9" t="s">
        <v>289</v>
      </c>
      <c r="M227" s="30" t="s">
        <v>84</v>
      </c>
      <c r="N227" s="30" t="s">
        <v>151</v>
      </c>
      <c r="O227" s="24">
        <v>0</v>
      </c>
      <c r="P227" s="24">
        <v>228</v>
      </c>
      <c r="Q227" s="24">
        <v>275</v>
      </c>
      <c r="R227" s="24">
        <v>0</v>
      </c>
      <c r="S227" s="24">
        <v>0</v>
      </c>
      <c r="T227" s="24">
        <v>503</v>
      </c>
    </row>
    <row r="228" spans="1:20">
      <c r="A228" s="9" t="s">
        <v>218</v>
      </c>
      <c r="B228" s="30" t="s">
        <v>282</v>
      </c>
      <c r="C228" s="30" t="str">
        <f>CONCATENATE(VOL_VOLUMEN_SUMINISTROS[[#This Row],[Proyecto]],VOL_VOLUMEN_SUMINISTROS[[#This Row],[J]],VOL_VOLUMEN_SUMINISTROS[[#This Row],[FIN DE SEMANA]])</f>
        <v>1052-1TNO</v>
      </c>
      <c r="D228" s="360" t="str">
        <f>CONCATENATE(VOL_VOLUMEN_SUMINISTROS[[#This Row],[Grupo]],VOL_VOLUMEN_SUMINISTROS[[#This Row],[Proyecto]],VOL_VOLUMEN_SUMINISTROS[[#This Row],[FIN DE SEMANA]])</f>
        <v>91052-1NO</v>
      </c>
      <c r="E228" s="30" t="s">
        <v>146</v>
      </c>
      <c r="F228" s="30" t="s">
        <v>147</v>
      </c>
      <c r="G228" s="360">
        <v>9</v>
      </c>
      <c r="H228" s="30">
        <v>19</v>
      </c>
      <c r="I228" s="9" t="s">
        <v>249</v>
      </c>
      <c r="J228" s="9" t="s">
        <v>288</v>
      </c>
      <c r="K228" s="30">
        <v>1</v>
      </c>
      <c r="L228" s="9" t="s">
        <v>289</v>
      </c>
      <c r="M228" s="30" t="s">
        <v>84</v>
      </c>
      <c r="N228" s="30" t="s">
        <v>154</v>
      </c>
      <c r="O228" s="24">
        <v>248</v>
      </c>
      <c r="P228" s="24">
        <v>175</v>
      </c>
      <c r="Q228" s="24">
        <v>26</v>
      </c>
      <c r="R228" s="24">
        <v>0</v>
      </c>
      <c r="S228" s="24">
        <v>0</v>
      </c>
      <c r="T228" s="24">
        <v>449</v>
      </c>
    </row>
    <row r="229" spans="1:20">
      <c r="A229" s="9" t="s">
        <v>218</v>
      </c>
      <c r="B229" s="30" t="s">
        <v>282</v>
      </c>
      <c r="C229" s="30" t="str">
        <f>CONCATENATE(VOL_VOLUMEN_SUMINISTROS[[#This Row],[Proyecto]],VOL_VOLUMEN_SUMINISTROS[[#This Row],[J]],VOL_VOLUMEN_SUMINISTROS[[#This Row],[FIN DE SEMANA]])</f>
        <v>1052-1NNO</v>
      </c>
      <c r="D229" s="360" t="str">
        <f>CONCATENATE(VOL_VOLUMEN_SUMINISTROS[[#This Row],[Grupo]],VOL_VOLUMEN_SUMINISTROS[[#This Row],[Proyecto]],VOL_VOLUMEN_SUMINISTROS[[#This Row],[FIN DE SEMANA]])</f>
        <v>91052-1NO</v>
      </c>
      <c r="E229" s="30" t="s">
        <v>146</v>
      </c>
      <c r="F229" s="30" t="s">
        <v>147</v>
      </c>
      <c r="G229" s="360">
        <v>9</v>
      </c>
      <c r="H229" s="30">
        <v>19</v>
      </c>
      <c r="I229" s="9" t="s">
        <v>249</v>
      </c>
      <c r="J229" s="9" t="s">
        <v>250</v>
      </c>
      <c r="K229" s="30">
        <v>1</v>
      </c>
      <c r="L229" s="9" t="s">
        <v>251</v>
      </c>
      <c r="M229" s="30" t="s">
        <v>84</v>
      </c>
      <c r="N229" s="30" t="s">
        <v>153</v>
      </c>
      <c r="O229" s="24">
        <v>0</v>
      </c>
      <c r="P229" s="24">
        <v>0</v>
      </c>
      <c r="Q229" s="24">
        <v>0</v>
      </c>
      <c r="R229" s="24">
        <v>100</v>
      </c>
      <c r="S229" s="24">
        <v>100</v>
      </c>
      <c r="T229" s="24">
        <v>200</v>
      </c>
    </row>
    <row r="230" spans="1:20">
      <c r="A230" s="9" t="s">
        <v>218</v>
      </c>
      <c r="B230" s="30" t="s">
        <v>282</v>
      </c>
      <c r="C230" s="30" t="str">
        <f>CONCATENATE(VOL_VOLUMEN_SUMINISTROS[[#This Row],[Proyecto]],VOL_VOLUMEN_SUMINISTROS[[#This Row],[J]],VOL_VOLUMEN_SUMINISTROS[[#This Row],[FIN DE SEMANA]])</f>
        <v>1052-1MNO</v>
      </c>
      <c r="D230" s="360" t="str">
        <f>CONCATENATE(VOL_VOLUMEN_SUMINISTROS[[#This Row],[Grupo]],VOL_VOLUMEN_SUMINISTROS[[#This Row],[Proyecto]],VOL_VOLUMEN_SUMINISTROS[[#This Row],[FIN DE SEMANA]])</f>
        <v>91052-1NO</v>
      </c>
      <c r="E230" s="30" t="s">
        <v>146</v>
      </c>
      <c r="F230" s="30" t="s">
        <v>147</v>
      </c>
      <c r="G230" s="360">
        <v>9</v>
      </c>
      <c r="H230" s="30">
        <v>19</v>
      </c>
      <c r="I230" s="9" t="s">
        <v>249</v>
      </c>
      <c r="J230" s="9" t="s">
        <v>250</v>
      </c>
      <c r="K230" s="30">
        <v>2</v>
      </c>
      <c r="L230" s="9" t="s">
        <v>290</v>
      </c>
      <c r="M230" s="30" t="s">
        <v>84</v>
      </c>
      <c r="N230" s="30" t="s">
        <v>151</v>
      </c>
      <c r="O230" s="24">
        <v>262</v>
      </c>
      <c r="P230" s="24">
        <v>81</v>
      </c>
      <c r="Q230" s="24">
        <v>0</v>
      </c>
      <c r="R230" s="24">
        <v>0</v>
      </c>
      <c r="S230" s="24">
        <v>0</v>
      </c>
      <c r="T230" s="24">
        <v>343</v>
      </c>
    </row>
    <row r="231" spans="1:20">
      <c r="A231" s="9" t="s">
        <v>218</v>
      </c>
      <c r="B231" s="30" t="s">
        <v>282</v>
      </c>
      <c r="C231" s="30" t="str">
        <f>CONCATENATE(VOL_VOLUMEN_SUMINISTROS[[#This Row],[Proyecto]],VOL_VOLUMEN_SUMINISTROS[[#This Row],[J]],VOL_VOLUMEN_SUMINISTROS[[#This Row],[FIN DE SEMANA]])</f>
        <v>1052-1TNO</v>
      </c>
      <c r="D231" s="360" t="str">
        <f>CONCATENATE(VOL_VOLUMEN_SUMINISTROS[[#This Row],[Grupo]],VOL_VOLUMEN_SUMINISTROS[[#This Row],[Proyecto]],VOL_VOLUMEN_SUMINISTROS[[#This Row],[FIN DE SEMANA]])</f>
        <v>91052-1NO</v>
      </c>
      <c r="E231" s="30" t="s">
        <v>146</v>
      </c>
      <c r="F231" s="30" t="s">
        <v>147</v>
      </c>
      <c r="G231" s="360">
        <v>9</v>
      </c>
      <c r="H231" s="30">
        <v>19</v>
      </c>
      <c r="I231" s="9" t="s">
        <v>249</v>
      </c>
      <c r="J231" s="9" t="s">
        <v>250</v>
      </c>
      <c r="K231" s="30">
        <v>2</v>
      </c>
      <c r="L231" s="9" t="s">
        <v>290</v>
      </c>
      <c r="M231" s="30" t="s">
        <v>84</v>
      </c>
      <c r="N231" s="30" t="s">
        <v>154</v>
      </c>
      <c r="O231" s="24">
        <v>264</v>
      </c>
      <c r="P231" s="24">
        <v>82</v>
      </c>
      <c r="Q231" s="24">
        <v>0</v>
      </c>
      <c r="R231" s="24">
        <v>0</v>
      </c>
      <c r="S231" s="24">
        <v>0</v>
      </c>
      <c r="T231" s="24">
        <v>346</v>
      </c>
    </row>
    <row r="232" spans="1:20">
      <c r="A232" s="9" t="s">
        <v>218</v>
      </c>
      <c r="B232" s="30" t="s">
        <v>282</v>
      </c>
      <c r="C232" s="30" t="str">
        <f>CONCATENATE(VOL_VOLUMEN_SUMINISTROS[[#This Row],[Proyecto]],VOL_VOLUMEN_SUMINISTROS[[#This Row],[J]],VOL_VOLUMEN_SUMINISTROS[[#This Row],[FIN DE SEMANA]])</f>
        <v>1052-1MNO</v>
      </c>
      <c r="D232" s="360" t="str">
        <f>CONCATENATE(VOL_VOLUMEN_SUMINISTROS[[#This Row],[Grupo]],VOL_VOLUMEN_SUMINISTROS[[#This Row],[Proyecto]],VOL_VOLUMEN_SUMINISTROS[[#This Row],[FIN DE SEMANA]])</f>
        <v>91052-1NO</v>
      </c>
      <c r="E232" s="30" t="s">
        <v>146</v>
      </c>
      <c r="F232" s="30" t="s">
        <v>147</v>
      </c>
      <c r="G232" s="360">
        <v>9</v>
      </c>
      <c r="H232" s="30">
        <v>19</v>
      </c>
      <c r="I232" s="9" t="s">
        <v>249</v>
      </c>
      <c r="J232" s="9" t="s">
        <v>252</v>
      </c>
      <c r="K232" s="30">
        <v>1</v>
      </c>
      <c r="L232" s="9" t="s">
        <v>253</v>
      </c>
      <c r="M232" s="30" t="s">
        <v>84</v>
      </c>
      <c r="N232" s="30" t="s">
        <v>151</v>
      </c>
      <c r="O232" s="24">
        <v>93</v>
      </c>
      <c r="P232" s="24">
        <v>206</v>
      </c>
      <c r="Q232" s="24">
        <v>393</v>
      </c>
      <c r="R232" s="24">
        <v>0</v>
      </c>
      <c r="S232" s="24">
        <v>0</v>
      </c>
      <c r="T232" s="24">
        <v>692</v>
      </c>
    </row>
    <row r="233" spans="1:20">
      <c r="A233" s="9" t="s">
        <v>218</v>
      </c>
      <c r="B233" s="30" t="s">
        <v>282</v>
      </c>
      <c r="C233" s="30" t="str">
        <f>CONCATENATE(VOL_VOLUMEN_SUMINISTROS[[#This Row],[Proyecto]],VOL_VOLUMEN_SUMINISTROS[[#This Row],[J]],VOL_VOLUMEN_SUMINISTROS[[#This Row],[FIN DE SEMANA]])</f>
        <v>1052-1TNO</v>
      </c>
      <c r="D233" s="360" t="str">
        <f>CONCATENATE(VOL_VOLUMEN_SUMINISTROS[[#This Row],[Grupo]],VOL_VOLUMEN_SUMINISTROS[[#This Row],[Proyecto]],VOL_VOLUMEN_SUMINISTROS[[#This Row],[FIN DE SEMANA]])</f>
        <v>91052-1NO</v>
      </c>
      <c r="E233" s="30" t="s">
        <v>146</v>
      </c>
      <c r="F233" s="30" t="s">
        <v>147</v>
      </c>
      <c r="G233" s="360">
        <v>9</v>
      </c>
      <c r="H233" s="30">
        <v>19</v>
      </c>
      <c r="I233" s="9" t="s">
        <v>249</v>
      </c>
      <c r="J233" s="9" t="s">
        <v>252</v>
      </c>
      <c r="K233" s="30">
        <v>1</v>
      </c>
      <c r="L233" s="9" t="s">
        <v>253</v>
      </c>
      <c r="M233" s="30" t="s">
        <v>84</v>
      </c>
      <c r="N233" s="30" t="s">
        <v>154</v>
      </c>
      <c r="O233" s="24">
        <v>99</v>
      </c>
      <c r="P233" s="24">
        <v>229</v>
      </c>
      <c r="Q233" s="24">
        <v>188</v>
      </c>
      <c r="R233" s="24">
        <v>0</v>
      </c>
      <c r="S233" s="24">
        <v>0</v>
      </c>
      <c r="T233" s="24">
        <v>516</v>
      </c>
    </row>
    <row r="234" spans="1:20">
      <c r="A234" s="9" t="s">
        <v>218</v>
      </c>
      <c r="B234" s="30" t="s">
        <v>282</v>
      </c>
      <c r="C234" s="30" t="str">
        <f>CONCATENATE(VOL_VOLUMEN_SUMINISTROS[[#This Row],[Proyecto]],VOL_VOLUMEN_SUMINISTROS[[#This Row],[J]],VOL_VOLUMEN_SUMINISTROS[[#This Row],[FIN DE SEMANA]])</f>
        <v>1052-1MNO</v>
      </c>
      <c r="D234" s="360" t="str">
        <f>CONCATENATE(VOL_VOLUMEN_SUMINISTROS[[#This Row],[Grupo]],VOL_VOLUMEN_SUMINISTROS[[#This Row],[Proyecto]],VOL_VOLUMEN_SUMINISTROS[[#This Row],[FIN DE SEMANA]])</f>
        <v>91052-1NO</v>
      </c>
      <c r="E234" s="30" t="s">
        <v>146</v>
      </c>
      <c r="F234" s="30" t="s">
        <v>147</v>
      </c>
      <c r="G234" s="360">
        <v>9</v>
      </c>
      <c r="H234" s="30">
        <v>19</v>
      </c>
      <c r="I234" s="9" t="s">
        <v>249</v>
      </c>
      <c r="J234" s="9" t="s">
        <v>252</v>
      </c>
      <c r="K234" s="30">
        <v>2</v>
      </c>
      <c r="L234" s="9" t="s">
        <v>291</v>
      </c>
      <c r="M234" s="30" t="s">
        <v>84</v>
      </c>
      <c r="N234" s="30" t="s">
        <v>151</v>
      </c>
      <c r="O234" s="24">
        <v>17</v>
      </c>
      <c r="P234" s="24">
        <v>12</v>
      </c>
      <c r="Q234" s="24">
        <v>2</v>
      </c>
      <c r="R234" s="24">
        <v>0</v>
      </c>
      <c r="S234" s="24">
        <v>0</v>
      </c>
      <c r="T234" s="24">
        <v>31</v>
      </c>
    </row>
    <row r="235" spans="1:20">
      <c r="A235" s="9" t="s">
        <v>218</v>
      </c>
      <c r="B235" s="30" t="s">
        <v>282</v>
      </c>
      <c r="C235" s="30" t="str">
        <f>CONCATENATE(VOL_VOLUMEN_SUMINISTROS[[#This Row],[Proyecto]],VOL_VOLUMEN_SUMINISTROS[[#This Row],[J]],VOL_VOLUMEN_SUMINISTROS[[#This Row],[FIN DE SEMANA]])</f>
        <v>1052-1MNO</v>
      </c>
      <c r="D235" s="360" t="str">
        <f>CONCATENATE(VOL_VOLUMEN_SUMINISTROS[[#This Row],[Grupo]],VOL_VOLUMEN_SUMINISTROS[[#This Row],[Proyecto]],VOL_VOLUMEN_SUMINISTROS[[#This Row],[FIN DE SEMANA]])</f>
        <v>91052-1NO</v>
      </c>
      <c r="E235" s="30" t="s">
        <v>146</v>
      </c>
      <c r="F235" s="30" t="s">
        <v>147</v>
      </c>
      <c r="G235" s="360">
        <v>9</v>
      </c>
      <c r="H235" s="30">
        <v>19</v>
      </c>
      <c r="I235" s="9" t="s">
        <v>249</v>
      </c>
      <c r="J235" s="9" t="s">
        <v>252</v>
      </c>
      <c r="K235" s="30">
        <v>3</v>
      </c>
      <c r="L235" s="9" t="s">
        <v>292</v>
      </c>
      <c r="M235" s="30" t="s">
        <v>84</v>
      </c>
      <c r="N235" s="30" t="s">
        <v>151</v>
      </c>
      <c r="O235" s="24">
        <v>34</v>
      </c>
      <c r="P235" s="24">
        <v>26</v>
      </c>
      <c r="Q235" s="24">
        <v>5</v>
      </c>
      <c r="R235" s="24">
        <v>0</v>
      </c>
      <c r="S235" s="24">
        <v>0</v>
      </c>
      <c r="T235" s="24">
        <v>65</v>
      </c>
    </row>
    <row r="236" spans="1:20">
      <c r="A236" s="9" t="s">
        <v>218</v>
      </c>
      <c r="B236" s="30" t="s">
        <v>282</v>
      </c>
      <c r="C236" s="30" t="str">
        <f>CONCATENATE(VOL_VOLUMEN_SUMINISTROS[[#This Row],[Proyecto]],VOL_VOLUMEN_SUMINISTROS[[#This Row],[J]],VOL_VOLUMEN_SUMINISTROS[[#This Row],[FIN DE SEMANA]])</f>
        <v>1052-1MNO</v>
      </c>
      <c r="D236" s="360" t="str">
        <f>CONCATENATE(VOL_VOLUMEN_SUMINISTROS[[#This Row],[Grupo]],VOL_VOLUMEN_SUMINISTROS[[#This Row],[Proyecto]],VOL_VOLUMEN_SUMINISTROS[[#This Row],[FIN DE SEMANA]])</f>
        <v>91052-1NO</v>
      </c>
      <c r="E236" s="30" t="s">
        <v>146</v>
      </c>
      <c r="F236" s="30" t="s">
        <v>147</v>
      </c>
      <c r="G236" s="360">
        <v>9</v>
      </c>
      <c r="H236" s="30">
        <v>6</v>
      </c>
      <c r="I236" s="9" t="s">
        <v>242</v>
      </c>
      <c r="J236" s="9" t="s">
        <v>243</v>
      </c>
      <c r="K236" s="30">
        <v>1</v>
      </c>
      <c r="L236" s="9" t="s">
        <v>244</v>
      </c>
      <c r="M236" s="30" t="s">
        <v>84</v>
      </c>
      <c r="N236" s="30" t="s">
        <v>151</v>
      </c>
      <c r="O236" s="24">
        <v>0</v>
      </c>
      <c r="P236" s="24">
        <v>399</v>
      </c>
      <c r="Q236" s="24">
        <v>817</v>
      </c>
      <c r="R236" s="24">
        <v>0</v>
      </c>
      <c r="S236" s="24">
        <v>0</v>
      </c>
      <c r="T236" s="24">
        <v>1216</v>
      </c>
    </row>
    <row r="237" spans="1:20">
      <c r="A237" s="9" t="s">
        <v>218</v>
      </c>
      <c r="B237" s="30" t="s">
        <v>282</v>
      </c>
      <c r="C237" s="30" t="str">
        <f>CONCATENATE(VOL_VOLUMEN_SUMINISTROS[[#This Row],[Proyecto]],VOL_VOLUMEN_SUMINISTROS[[#This Row],[J]],VOL_VOLUMEN_SUMINISTROS[[#This Row],[FIN DE SEMANA]])</f>
        <v>1052-1NNO</v>
      </c>
      <c r="D237" s="360" t="str">
        <f>CONCATENATE(VOL_VOLUMEN_SUMINISTROS[[#This Row],[Grupo]],VOL_VOLUMEN_SUMINISTROS[[#This Row],[Proyecto]],VOL_VOLUMEN_SUMINISTROS[[#This Row],[FIN DE SEMANA]])</f>
        <v>91052-1NO</v>
      </c>
      <c r="E237" s="30" t="s">
        <v>146</v>
      </c>
      <c r="F237" s="30" t="s">
        <v>147</v>
      </c>
      <c r="G237" s="360">
        <v>9</v>
      </c>
      <c r="H237" s="30">
        <v>6</v>
      </c>
      <c r="I237" s="9" t="s">
        <v>242</v>
      </c>
      <c r="J237" s="9" t="s">
        <v>243</v>
      </c>
      <c r="K237" s="30">
        <v>1</v>
      </c>
      <c r="L237" s="9" t="s">
        <v>244</v>
      </c>
      <c r="M237" s="30" t="s">
        <v>84</v>
      </c>
      <c r="N237" s="30" t="s">
        <v>153</v>
      </c>
      <c r="O237" s="24">
        <v>0</v>
      </c>
      <c r="P237" s="24">
        <v>0</v>
      </c>
      <c r="Q237" s="24">
        <v>0</v>
      </c>
      <c r="R237" s="24">
        <v>113</v>
      </c>
      <c r="S237" s="24">
        <v>133</v>
      </c>
      <c r="T237" s="24">
        <v>246</v>
      </c>
    </row>
    <row r="238" spans="1:20">
      <c r="A238" s="9" t="s">
        <v>218</v>
      </c>
      <c r="B238" s="30" t="s">
        <v>282</v>
      </c>
      <c r="C238" s="30" t="str">
        <f>CONCATENATE(VOL_VOLUMEN_SUMINISTROS[[#This Row],[Proyecto]],VOL_VOLUMEN_SUMINISTROS[[#This Row],[J]],VOL_VOLUMEN_SUMINISTROS[[#This Row],[FIN DE SEMANA]])</f>
        <v>1052-1TNO</v>
      </c>
      <c r="D238" s="360" t="str">
        <f>CONCATENATE(VOL_VOLUMEN_SUMINISTROS[[#This Row],[Grupo]],VOL_VOLUMEN_SUMINISTROS[[#This Row],[Proyecto]],VOL_VOLUMEN_SUMINISTROS[[#This Row],[FIN DE SEMANA]])</f>
        <v>91052-1NO</v>
      </c>
      <c r="E238" s="30" t="s">
        <v>146</v>
      </c>
      <c r="F238" s="30" t="s">
        <v>147</v>
      </c>
      <c r="G238" s="360">
        <v>9</v>
      </c>
      <c r="H238" s="30">
        <v>6</v>
      </c>
      <c r="I238" s="9" t="s">
        <v>242</v>
      </c>
      <c r="J238" s="9" t="s">
        <v>243</v>
      </c>
      <c r="K238" s="30">
        <v>1</v>
      </c>
      <c r="L238" s="9" t="s">
        <v>244</v>
      </c>
      <c r="M238" s="30" t="s">
        <v>84</v>
      </c>
      <c r="N238" s="30" t="s">
        <v>154</v>
      </c>
      <c r="O238" s="24">
        <v>0</v>
      </c>
      <c r="P238" s="24">
        <v>387</v>
      </c>
      <c r="Q238" s="24">
        <v>725</v>
      </c>
      <c r="R238" s="24">
        <v>0</v>
      </c>
      <c r="S238" s="24">
        <v>0</v>
      </c>
      <c r="T238" s="24">
        <v>1112</v>
      </c>
    </row>
    <row r="239" spans="1:20">
      <c r="A239" s="9" t="s">
        <v>218</v>
      </c>
      <c r="B239" s="30" t="s">
        <v>282</v>
      </c>
      <c r="C239" s="30" t="str">
        <f>CONCATENATE(VOL_VOLUMEN_SUMINISTROS[[#This Row],[Proyecto]],VOL_VOLUMEN_SUMINISTROS[[#This Row],[J]],VOL_VOLUMEN_SUMINISTROS[[#This Row],[FIN DE SEMANA]])</f>
        <v>1052-1MNO</v>
      </c>
      <c r="D239" s="360" t="str">
        <f>CONCATENATE(VOL_VOLUMEN_SUMINISTROS[[#This Row],[Grupo]],VOL_VOLUMEN_SUMINISTROS[[#This Row],[Proyecto]],VOL_VOLUMEN_SUMINISTROS[[#This Row],[FIN DE SEMANA]])</f>
        <v>91052-1NO</v>
      </c>
      <c r="E239" s="30" t="s">
        <v>146</v>
      </c>
      <c r="F239" s="30" t="s">
        <v>147</v>
      </c>
      <c r="G239" s="360">
        <v>9</v>
      </c>
      <c r="H239" s="30">
        <v>6</v>
      </c>
      <c r="I239" s="9" t="s">
        <v>242</v>
      </c>
      <c r="J239" s="9" t="s">
        <v>243</v>
      </c>
      <c r="K239" s="30">
        <v>2</v>
      </c>
      <c r="L239" s="9" t="s">
        <v>293</v>
      </c>
      <c r="M239" s="30" t="s">
        <v>84</v>
      </c>
      <c r="N239" s="30" t="s">
        <v>151</v>
      </c>
      <c r="O239" s="24">
        <v>386</v>
      </c>
      <c r="P239" s="24">
        <v>117</v>
      </c>
      <c r="Q239" s="24">
        <v>0</v>
      </c>
      <c r="R239" s="24">
        <v>0</v>
      </c>
      <c r="S239" s="24">
        <v>0</v>
      </c>
      <c r="T239" s="24">
        <v>503</v>
      </c>
    </row>
    <row r="240" spans="1:20">
      <c r="A240" s="9" t="s">
        <v>218</v>
      </c>
      <c r="B240" s="30" t="s">
        <v>282</v>
      </c>
      <c r="C240" s="30" t="str">
        <f>CONCATENATE(VOL_VOLUMEN_SUMINISTROS[[#This Row],[Proyecto]],VOL_VOLUMEN_SUMINISTROS[[#This Row],[J]],VOL_VOLUMEN_SUMINISTROS[[#This Row],[FIN DE SEMANA]])</f>
        <v>1052-1TNO</v>
      </c>
      <c r="D240" s="360" t="str">
        <f>CONCATENATE(VOL_VOLUMEN_SUMINISTROS[[#This Row],[Grupo]],VOL_VOLUMEN_SUMINISTROS[[#This Row],[Proyecto]],VOL_VOLUMEN_SUMINISTROS[[#This Row],[FIN DE SEMANA]])</f>
        <v>91052-1NO</v>
      </c>
      <c r="E240" s="30" t="s">
        <v>146</v>
      </c>
      <c r="F240" s="30" t="s">
        <v>147</v>
      </c>
      <c r="G240" s="360">
        <v>9</v>
      </c>
      <c r="H240" s="30">
        <v>6</v>
      </c>
      <c r="I240" s="9" t="s">
        <v>242</v>
      </c>
      <c r="J240" s="9" t="s">
        <v>243</v>
      </c>
      <c r="K240" s="30">
        <v>2</v>
      </c>
      <c r="L240" s="9" t="s">
        <v>293</v>
      </c>
      <c r="M240" s="30" t="s">
        <v>84</v>
      </c>
      <c r="N240" s="30" t="s">
        <v>154</v>
      </c>
      <c r="O240" s="24">
        <v>384</v>
      </c>
      <c r="P240" s="24">
        <v>116</v>
      </c>
      <c r="Q240" s="24">
        <v>0</v>
      </c>
      <c r="R240" s="24">
        <v>0</v>
      </c>
      <c r="S240" s="24">
        <v>0</v>
      </c>
      <c r="T240" s="24">
        <v>500</v>
      </c>
    </row>
    <row r="241" spans="1:20">
      <c r="A241" s="9" t="s">
        <v>218</v>
      </c>
      <c r="B241" s="30" t="s">
        <v>282</v>
      </c>
      <c r="C241" s="30" t="str">
        <f>CONCATENATE(VOL_VOLUMEN_SUMINISTROS[[#This Row],[Proyecto]],VOL_VOLUMEN_SUMINISTROS[[#This Row],[J]],VOL_VOLUMEN_SUMINISTROS[[#This Row],[FIN DE SEMANA]])</f>
        <v>1052-1MNO</v>
      </c>
      <c r="D241" s="360" t="str">
        <f>CONCATENATE(VOL_VOLUMEN_SUMINISTROS[[#This Row],[Grupo]],VOL_VOLUMEN_SUMINISTROS[[#This Row],[Proyecto]],VOL_VOLUMEN_SUMINISTROS[[#This Row],[FIN DE SEMANA]])</f>
        <v>91052-1NO</v>
      </c>
      <c r="E241" s="30" t="s">
        <v>146</v>
      </c>
      <c r="F241" s="30" t="s">
        <v>147</v>
      </c>
      <c r="G241" s="360">
        <v>9</v>
      </c>
      <c r="H241" s="30">
        <v>6</v>
      </c>
      <c r="I241" s="9" t="s">
        <v>242</v>
      </c>
      <c r="J241" s="9" t="s">
        <v>243</v>
      </c>
      <c r="K241" s="30">
        <v>3</v>
      </c>
      <c r="L241" s="9" t="s">
        <v>294</v>
      </c>
      <c r="M241" s="30" t="s">
        <v>84</v>
      </c>
      <c r="N241" s="30" t="s">
        <v>151</v>
      </c>
      <c r="O241" s="24">
        <v>124</v>
      </c>
      <c r="P241" s="24">
        <v>203</v>
      </c>
      <c r="Q241" s="24">
        <v>47</v>
      </c>
      <c r="R241" s="24">
        <v>0</v>
      </c>
      <c r="S241" s="24">
        <v>0</v>
      </c>
      <c r="T241" s="24">
        <v>374</v>
      </c>
    </row>
    <row r="242" spans="1:20">
      <c r="A242" s="9" t="s">
        <v>218</v>
      </c>
      <c r="B242" s="30" t="s">
        <v>282</v>
      </c>
      <c r="C242" s="30" t="str">
        <f>CONCATENATE(VOL_VOLUMEN_SUMINISTROS[[#This Row],[Proyecto]],VOL_VOLUMEN_SUMINISTROS[[#This Row],[J]],VOL_VOLUMEN_SUMINISTROS[[#This Row],[FIN DE SEMANA]])</f>
        <v>1052-1TNO</v>
      </c>
      <c r="D242" s="360" t="str">
        <f>CONCATENATE(VOL_VOLUMEN_SUMINISTROS[[#This Row],[Grupo]],VOL_VOLUMEN_SUMINISTROS[[#This Row],[Proyecto]],VOL_VOLUMEN_SUMINISTROS[[#This Row],[FIN DE SEMANA]])</f>
        <v>91052-1NO</v>
      </c>
      <c r="E242" s="30" t="s">
        <v>146</v>
      </c>
      <c r="F242" s="30" t="s">
        <v>147</v>
      </c>
      <c r="G242" s="360">
        <v>9</v>
      </c>
      <c r="H242" s="30">
        <v>6</v>
      </c>
      <c r="I242" s="9" t="s">
        <v>242</v>
      </c>
      <c r="J242" s="9" t="s">
        <v>243</v>
      </c>
      <c r="K242" s="30">
        <v>3</v>
      </c>
      <c r="L242" s="9" t="s">
        <v>294</v>
      </c>
      <c r="M242" s="30" t="s">
        <v>84</v>
      </c>
      <c r="N242" s="30" t="s">
        <v>154</v>
      </c>
      <c r="O242" s="24">
        <v>124</v>
      </c>
      <c r="P242" s="24">
        <v>209</v>
      </c>
      <c r="Q242" s="24">
        <v>49</v>
      </c>
      <c r="R242" s="24">
        <v>0</v>
      </c>
      <c r="S242" s="24">
        <v>0</v>
      </c>
      <c r="T242" s="24">
        <v>382</v>
      </c>
    </row>
    <row r="243" spans="1:20">
      <c r="A243" s="9" t="s">
        <v>218</v>
      </c>
      <c r="B243" s="30" t="s">
        <v>282</v>
      </c>
      <c r="C243" s="30" t="str">
        <f>CONCATENATE(VOL_VOLUMEN_SUMINISTROS[[#This Row],[Proyecto]],VOL_VOLUMEN_SUMINISTROS[[#This Row],[J]],VOL_VOLUMEN_SUMINISTROS[[#This Row],[FIN DE SEMANA]])</f>
        <v>1052-1MNO</v>
      </c>
      <c r="D243" s="360" t="str">
        <f>CONCATENATE(VOL_VOLUMEN_SUMINISTROS[[#This Row],[Grupo]],VOL_VOLUMEN_SUMINISTROS[[#This Row],[Proyecto]],VOL_VOLUMEN_SUMINISTROS[[#This Row],[FIN DE SEMANA]])</f>
        <v>91052-1NO</v>
      </c>
      <c r="E243" s="30" t="s">
        <v>146</v>
      </c>
      <c r="F243" s="30" t="s">
        <v>147</v>
      </c>
      <c r="G243" s="360">
        <v>9</v>
      </c>
      <c r="H243" s="30">
        <v>6</v>
      </c>
      <c r="I243" s="9" t="s">
        <v>242</v>
      </c>
      <c r="J243" s="9" t="s">
        <v>243</v>
      </c>
      <c r="K243" s="30">
        <v>4</v>
      </c>
      <c r="L243" s="9" t="s">
        <v>295</v>
      </c>
      <c r="M243" s="30" t="s">
        <v>84</v>
      </c>
      <c r="N243" s="30" t="s">
        <v>151</v>
      </c>
      <c r="O243" s="24">
        <v>0</v>
      </c>
      <c r="P243" s="24">
        <v>162</v>
      </c>
      <c r="Q243" s="24">
        <v>54</v>
      </c>
      <c r="R243" s="24">
        <v>0</v>
      </c>
      <c r="S243" s="24">
        <v>0</v>
      </c>
      <c r="T243" s="24">
        <v>216</v>
      </c>
    </row>
    <row r="244" spans="1:20">
      <c r="A244" s="9" t="s">
        <v>218</v>
      </c>
      <c r="B244" s="30" t="s">
        <v>282</v>
      </c>
      <c r="C244" s="30" t="str">
        <f>CONCATENATE(VOL_VOLUMEN_SUMINISTROS[[#This Row],[Proyecto]],VOL_VOLUMEN_SUMINISTROS[[#This Row],[J]],VOL_VOLUMEN_SUMINISTROS[[#This Row],[FIN DE SEMANA]])</f>
        <v>1052-1TNO</v>
      </c>
      <c r="D244" s="360" t="str">
        <f>CONCATENATE(VOL_VOLUMEN_SUMINISTROS[[#This Row],[Grupo]],VOL_VOLUMEN_SUMINISTROS[[#This Row],[Proyecto]],VOL_VOLUMEN_SUMINISTROS[[#This Row],[FIN DE SEMANA]])</f>
        <v>91052-1NO</v>
      </c>
      <c r="E244" s="30" t="s">
        <v>146</v>
      </c>
      <c r="F244" s="30" t="s">
        <v>147</v>
      </c>
      <c r="G244" s="360">
        <v>9</v>
      </c>
      <c r="H244" s="30">
        <v>6</v>
      </c>
      <c r="I244" s="9" t="s">
        <v>242</v>
      </c>
      <c r="J244" s="9" t="s">
        <v>243</v>
      </c>
      <c r="K244" s="30">
        <v>4</v>
      </c>
      <c r="L244" s="9" t="s">
        <v>295</v>
      </c>
      <c r="M244" s="30" t="s">
        <v>84</v>
      </c>
      <c r="N244" s="30" t="s">
        <v>154</v>
      </c>
      <c r="O244" s="24">
        <v>0</v>
      </c>
      <c r="P244" s="24">
        <v>159</v>
      </c>
      <c r="Q244" s="24">
        <v>53</v>
      </c>
      <c r="R244" s="24">
        <v>0</v>
      </c>
      <c r="S244" s="24">
        <v>0</v>
      </c>
      <c r="T244" s="24">
        <v>212</v>
      </c>
    </row>
    <row r="245" spans="1:20">
      <c r="A245" s="9" t="s">
        <v>218</v>
      </c>
      <c r="B245" s="30" t="s">
        <v>282</v>
      </c>
      <c r="C245" s="30" t="str">
        <f>CONCATENATE(VOL_VOLUMEN_SUMINISTROS[[#This Row],[Proyecto]],VOL_VOLUMEN_SUMINISTROS[[#This Row],[J]],VOL_VOLUMEN_SUMINISTROS[[#This Row],[FIN DE SEMANA]])</f>
        <v>1052-1MNO</v>
      </c>
      <c r="D245" s="360" t="str">
        <f>CONCATENATE(VOL_VOLUMEN_SUMINISTROS[[#This Row],[Grupo]],VOL_VOLUMEN_SUMINISTROS[[#This Row],[Proyecto]],VOL_VOLUMEN_SUMINISTROS[[#This Row],[FIN DE SEMANA]])</f>
        <v>91052-1NO</v>
      </c>
      <c r="E245" s="30" t="s">
        <v>146</v>
      </c>
      <c r="F245" s="30" t="s">
        <v>147</v>
      </c>
      <c r="G245" s="360">
        <v>9</v>
      </c>
      <c r="H245" s="30">
        <v>6</v>
      </c>
      <c r="I245" s="9" t="s">
        <v>242</v>
      </c>
      <c r="J245" s="9" t="s">
        <v>254</v>
      </c>
      <c r="K245" s="30">
        <v>1</v>
      </c>
      <c r="L245" s="9" t="s">
        <v>255</v>
      </c>
      <c r="M245" s="30" t="s">
        <v>84</v>
      </c>
      <c r="N245" s="30" t="s">
        <v>151</v>
      </c>
      <c r="O245" s="24">
        <v>317</v>
      </c>
      <c r="P245" s="24">
        <v>479</v>
      </c>
      <c r="Q245" s="24">
        <v>699</v>
      </c>
      <c r="R245" s="24">
        <v>0</v>
      </c>
      <c r="S245" s="24">
        <v>0</v>
      </c>
      <c r="T245" s="24">
        <v>1495</v>
      </c>
    </row>
    <row r="246" spans="1:20">
      <c r="A246" s="9" t="s">
        <v>218</v>
      </c>
      <c r="B246" s="30" t="s">
        <v>282</v>
      </c>
      <c r="C246" s="30" t="str">
        <f>CONCATENATE(VOL_VOLUMEN_SUMINISTROS[[#This Row],[Proyecto]],VOL_VOLUMEN_SUMINISTROS[[#This Row],[J]],VOL_VOLUMEN_SUMINISTROS[[#This Row],[FIN DE SEMANA]])</f>
        <v>1052-1TNO</v>
      </c>
      <c r="D246" s="360" t="str">
        <f>CONCATENATE(VOL_VOLUMEN_SUMINISTROS[[#This Row],[Grupo]],VOL_VOLUMEN_SUMINISTROS[[#This Row],[Proyecto]],VOL_VOLUMEN_SUMINISTROS[[#This Row],[FIN DE SEMANA]])</f>
        <v>91052-1NO</v>
      </c>
      <c r="E246" s="30" t="s">
        <v>146</v>
      </c>
      <c r="F246" s="30" t="s">
        <v>147</v>
      </c>
      <c r="G246" s="360">
        <v>9</v>
      </c>
      <c r="H246" s="30">
        <v>6</v>
      </c>
      <c r="I246" s="9" t="s">
        <v>242</v>
      </c>
      <c r="J246" s="9" t="s">
        <v>254</v>
      </c>
      <c r="K246" s="30">
        <v>1</v>
      </c>
      <c r="L246" s="9" t="s">
        <v>255</v>
      </c>
      <c r="M246" s="30" t="s">
        <v>84</v>
      </c>
      <c r="N246" s="30" t="s">
        <v>154</v>
      </c>
      <c r="O246" s="24">
        <v>283</v>
      </c>
      <c r="P246" s="24">
        <v>425</v>
      </c>
      <c r="Q246" s="24">
        <v>459</v>
      </c>
      <c r="R246" s="24">
        <v>0</v>
      </c>
      <c r="S246" s="24">
        <v>0</v>
      </c>
      <c r="T246" s="24">
        <v>1167</v>
      </c>
    </row>
    <row r="247" spans="1:20">
      <c r="A247" s="9" t="s">
        <v>218</v>
      </c>
      <c r="B247" s="30" t="s">
        <v>282</v>
      </c>
      <c r="C247" s="30" t="str">
        <f>CONCATENATE(VOL_VOLUMEN_SUMINISTROS[[#This Row],[Proyecto]],VOL_VOLUMEN_SUMINISTROS[[#This Row],[J]],VOL_VOLUMEN_SUMINISTROS[[#This Row],[FIN DE SEMANA]])</f>
        <v>1052-1MNO</v>
      </c>
      <c r="D247" s="360" t="str">
        <f>CONCATENATE(VOL_VOLUMEN_SUMINISTROS[[#This Row],[Grupo]],VOL_VOLUMEN_SUMINISTROS[[#This Row],[Proyecto]],VOL_VOLUMEN_SUMINISTROS[[#This Row],[FIN DE SEMANA]])</f>
        <v>91052-1NO</v>
      </c>
      <c r="E247" s="30" t="s">
        <v>146</v>
      </c>
      <c r="F247" s="30" t="s">
        <v>147</v>
      </c>
      <c r="G247" s="360">
        <v>9</v>
      </c>
      <c r="H247" s="30">
        <v>6</v>
      </c>
      <c r="I247" s="9" t="s">
        <v>242</v>
      </c>
      <c r="J247" s="9" t="s">
        <v>296</v>
      </c>
      <c r="K247" s="30">
        <v>1</v>
      </c>
      <c r="L247" s="9" t="s">
        <v>297</v>
      </c>
      <c r="M247" s="30" t="s">
        <v>84</v>
      </c>
      <c r="N247" s="30" t="s">
        <v>151</v>
      </c>
      <c r="O247" s="24">
        <v>95</v>
      </c>
      <c r="P247" s="24">
        <v>612</v>
      </c>
      <c r="Q247" s="24">
        <v>204</v>
      </c>
      <c r="R247" s="24">
        <v>0</v>
      </c>
      <c r="S247" s="24">
        <v>0</v>
      </c>
      <c r="T247" s="24">
        <v>911</v>
      </c>
    </row>
    <row r="248" spans="1:20">
      <c r="A248" s="9" t="s">
        <v>218</v>
      </c>
      <c r="B248" s="30" t="s">
        <v>282</v>
      </c>
      <c r="C248" s="30" t="str">
        <f>CONCATENATE(VOL_VOLUMEN_SUMINISTROS[[#This Row],[Proyecto]],VOL_VOLUMEN_SUMINISTROS[[#This Row],[J]],VOL_VOLUMEN_SUMINISTROS[[#This Row],[FIN DE SEMANA]])</f>
        <v>1052-1TNO</v>
      </c>
      <c r="D248" s="360" t="str">
        <f>CONCATENATE(VOL_VOLUMEN_SUMINISTROS[[#This Row],[Grupo]],VOL_VOLUMEN_SUMINISTROS[[#This Row],[Proyecto]],VOL_VOLUMEN_SUMINISTROS[[#This Row],[FIN DE SEMANA]])</f>
        <v>91052-1NO</v>
      </c>
      <c r="E248" s="30" t="s">
        <v>146</v>
      </c>
      <c r="F248" s="30" t="s">
        <v>147</v>
      </c>
      <c r="G248" s="360">
        <v>9</v>
      </c>
      <c r="H248" s="30">
        <v>6</v>
      </c>
      <c r="I248" s="9" t="s">
        <v>242</v>
      </c>
      <c r="J248" s="9" t="s">
        <v>296</v>
      </c>
      <c r="K248" s="30">
        <v>1</v>
      </c>
      <c r="L248" s="9" t="s">
        <v>297</v>
      </c>
      <c r="M248" s="30" t="s">
        <v>84</v>
      </c>
      <c r="N248" s="30" t="s">
        <v>154</v>
      </c>
      <c r="O248" s="24">
        <v>95</v>
      </c>
      <c r="P248" s="24">
        <v>0</v>
      </c>
      <c r="Q248" s="24">
        <v>747</v>
      </c>
      <c r="R248" s="24">
        <v>0</v>
      </c>
      <c r="S248" s="24">
        <v>0</v>
      </c>
      <c r="T248" s="24">
        <v>842</v>
      </c>
    </row>
    <row r="249" spans="1:20">
      <c r="A249" s="9" t="s">
        <v>218</v>
      </c>
      <c r="B249" s="30" t="s">
        <v>282</v>
      </c>
      <c r="C249" s="30" t="str">
        <f>CONCATENATE(VOL_VOLUMEN_SUMINISTROS[[#This Row],[Proyecto]],VOL_VOLUMEN_SUMINISTROS[[#This Row],[J]],VOL_VOLUMEN_SUMINISTROS[[#This Row],[FIN DE SEMANA]])</f>
        <v>1052-1MNO</v>
      </c>
      <c r="D249" s="360" t="str">
        <f>CONCATENATE(VOL_VOLUMEN_SUMINISTROS[[#This Row],[Grupo]],VOL_VOLUMEN_SUMINISTROS[[#This Row],[Proyecto]],VOL_VOLUMEN_SUMINISTROS[[#This Row],[FIN DE SEMANA]])</f>
        <v>91052-1NO</v>
      </c>
      <c r="E249" s="30" t="s">
        <v>146</v>
      </c>
      <c r="F249" s="30" t="s">
        <v>147</v>
      </c>
      <c r="G249" s="360">
        <v>9</v>
      </c>
      <c r="H249" s="30">
        <v>6</v>
      </c>
      <c r="I249" s="9" t="s">
        <v>242</v>
      </c>
      <c r="J249" s="9" t="s">
        <v>296</v>
      </c>
      <c r="K249" s="30">
        <v>2</v>
      </c>
      <c r="L249" s="9" t="s">
        <v>298</v>
      </c>
      <c r="M249" s="30" t="s">
        <v>84</v>
      </c>
      <c r="N249" s="30" t="s">
        <v>151</v>
      </c>
      <c r="O249" s="24">
        <v>208</v>
      </c>
      <c r="P249" s="24">
        <v>135</v>
      </c>
      <c r="Q249" s="24">
        <v>15</v>
      </c>
      <c r="R249" s="24">
        <v>0</v>
      </c>
      <c r="S249" s="24">
        <v>0</v>
      </c>
      <c r="T249" s="24">
        <v>358</v>
      </c>
    </row>
    <row r="250" spans="1:20">
      <c r="A250" s="9" t="s">
        <v>218</v>
      </c>
      <c r="B250" s="30" t="s">
        <v>282</v>
      </c>
      <c r="C250" s="30" t="str">
        <f>CONCATENATE(VOL_VOLUMEN_SUMINISTROS[[#This Row],[Proyecto]],VOL_VOLUMEN_SUMINISTROS[[#This Row],[J]],VOL_VOLUMEN_SUMINISTROS[[#This Row],[FIN DE SEMANA]])</f>
        <v>1052-1TNO</v>
      </c>
      <c r="D250" s="360" t="str">
        <f>CONCATENATE(VOL_VOLUMEN_SUMINISTROS[[#This Row],[Grupo]],VOL_VOLUMEN_SUMINISTROS[[#This Row],[Proyecto]],VOL_VOLUMEN_SUMINISTROS[[#This Row],[FIN DE SEMANA]])</f>
        <v>91052-1NO</v>
      </c>
      <c r="E250" s="30" t="s">
        <v>146</v>
      </c>
      <c r="F250" s="30" t="s">
        <v>147</v>
      </c>
      <c r="G250" s="360">
        <v>9</v>
      </c>
      <c r="H250" s="30">
        <v>6</v>
      </c>
      <c r="I250" s="9" t="s">
        <v>242</v>
      </c>
      <c r="J250" s="9" t="s">
        <v>296</v>
      </c>
      <c r="K250" s="30">
        <v>2</v>
      </c>
      <c r="L250" s="9" t="s">
        <v>298</v>
      </c>
      <c r="M250" s="30" t="s">
        <v>84</v>
      </c>
      <c r="N250" s="30" t="s">
        <v>154</v>
      </c>
      <c r="O250" s="24">
        <v>168</v>
      </c>
      <c r="P250" s="24">
        <v>97</v>
      </c>
      <c r="Q250" s="24">
        <v>12</v>
      </c>
      <c r="R250" s="24">
        <v>0</v>
      </c>
      <c r="S250" s="24">
        <v>0</v>
      </c>
      <c r="T250" s="24">
        <v>277</v>
      </c>
    </row>
    <row r="251" spans="1:20">
      <c r="A251" s="9" t="s">
        <v>218</v>
      </c>
      <c r="B251" s="30" t="s">
        <v>282</v>
      </c>
      <c r="C251" s="30" t="str">
        <f>CONCATENATE(VOL_VOLUMEN_SUMINISTROS[[#This Row],[Proyecto]],VOL_VOLUMEN_SUMINISTROS[[#This Row],[J]],VOL_VOLUMEN_SUMINISTROS[[#This Row],[FIN DE SEMANA]])</f>
        <v>1052-1MNO</v>
      </c>
      <c r="D251" s="360" t="str">
        <f>CONCATENATE(VOL_VOLUMEN_SUMINISTROS[[#This Row],[Grupo]],VOL_VOLUMEN_SUMINISTROS[[#This Row],[Proyecto]],VOL_VOLUMEN_SUMINISTROS[[#This Row],[FIN DE SEMANA]])</f>
        <v>91052-1NO</v>
      </c>
      <c r="E251" s="30" t="s">
        <v>146</v>
      </c>
      <c r="F251" s="30" t="s">
        <v>147</v>
      </c>
      <c r="G251" s="360">
        <v>9</v>
      </c>
      <c r="H251" s="30">
        <v>6</v>
      </c>
      <c r="I251" s="9" t="s">
        <v>242</v>
      </c>
      <c r="J251" s="9" t="s">
        <v>296</v>
      </c>
      <c r="K251" s="30">
        <v>3</v>
      </c>
      <c r="L251" s="9" t="s">
        <v>299</v>
      </c>
      <c r="M251" s="30" t="s">
        <v>84</v>
      </c>
      <c r="N251" s="30" t="s">
        <v>151</v>
      </c>
      <c r="O251" s="24">
        <v>110</v>
      </c>
      <c r="P251" s="24">
        <v>42</v>
      </c>
      <c r="Q251" s="24">
        <v>0</v>
      </c>
      <c r="R251" s="24">
        <v>0</v>
      </c>
      <c r="S251" s="24">
        <v>0</v>
      </c>
      <c r="T251" s="24">
        <v>152</v>
      </c>
    </row>
    <row r="252" spans="1:20">
      <c r="A252" s="9" t="s">
        <v>218</v>
      </c>
      <c r="B252" s="30" t="s">
        <v>282</v>
      </c>
      <c r="C252" s="30" t="str">
        <f>CONCATENATE(VOL_VOLUMEN_SUMINISTROS[[#This Row],[Proyecto]],VOL_VOLUMEN_SUMINISTROS[[#This Row],[J]],VOL_VOLUMEN_SUMINISTROS[[#This Row],[FIN DE SEMANA]])</f>
        <v>1052-1TNO</v>
      </c>
      <c r="D252" s="360" t="str">
        <f>CONCATENATE(VOL_VOLUMEN_SUMINISTROS[[#This Row],[Grupo]],VOL_VOLUMEN_SUMINISTROS[[#This Row],[Proyecto]],VOL_VOLUMEN_SUMINISTROS[[#This Row],[FIN DE SEMANA]])</f>
        <v>91052-1NO</v>
      </c>
      <c r="E252" s="30" t="s">
        <v>146</v>
      </c>
      <c r="F252" s="30" t="s">
        <v>147</v>
      </c>
      <c r="G252" s="360">
        <v>9</v>
      </c>
      <c r="H252" s="30">
        <v>6</v>
      </c>
      <c r="I252" s="9" t="s">
        <v>242</v>
      </c>
      <c r="J252" s="9" t="s">
        <v>296</v>
      </c>
      <c r="K252" s="30">
        <v>3</v>
      </c>
      <c r="L252" s="9" t="s">
        <v>299</v>
      </c>
      <c r="M252" s="30" t="s">
        <v>84</v>
      </c>
      <c r="N252" s="30" t="s">
        <v>154</v>
      </c>
      <c r="O252" s="24">
        <v>105</v>
      </c>
      <c r="P252" s="24">
        <v>40</v>
      </c>
      <c r="Q252" s="24">
        <v>0</v>
      </c>
      <c r="R252" s="24">
        <v>0</v>
      </c>
      <c r="S252" s="24">
        <v>0</v>
      </c>
      <c r="T252" s="24">
        <v>145</v>
      </c>
    </row>
    <row r="253" spans="1:20">
      <c r="A253" s="9" t="s">
        <v>218</v>
      </c>
      <c r="B253" s="30" t="s">
        <v>282</v>
      </c>
      <c r="C253" s="30" t="str">
        <f>CONCATENATE(VOL_VOLUMEN_SUMINISTROS[[#This Row],[Proyecto]],VOL_VOLUMEN_SUMINISTROS[[#This Row],[J]],VOL_VOLUMEN_SUMINISTROS[[#This Row],[FIN DE SEMANA]])</f>
        <v>1052-1MNO</v>
      </c>
      <c r="D253" s="360" t="str">
        <f>CONCATENATE(VOL_VOLUMEN_SUMINISTROS[[#This Row],[Grupo]],VOL_VOLUMEN_SUMINISTROS[[#This Row],[Proyecto]],VOL_VOLUMEN_SUMINISTROS[[#This Row],[FIN DE SEMANA]])</f>
        <v>91052-1NO</v>
      </c>
      <c r="E253" s="30" t="s">
        <v>146</v>
      </c>
      <c r="F253" s="30" t="s">
        <v>147</v>
      </c>
      <c r="G253" s="360">
        <v>9</v>
      </c>
      <c r="H253" s="30">
        <v>6</v>
      </c>
      <c r="I253" s="9" t="s">
        <v>242</v>
      </c>
      <c r="J253" s="9" t="s">
        <v>296</v>
      </c>
      <c r="K253" s="30">
        <v>4</v>
      </c>
      <c r="L253" s="9" t="s">
        <v>300</v>
      </c>
      <c r="M253" s="30" t="s">
        <v>84</v>
      </c>
      <c r="N253" s="30" t="s">
        <v>151</v>
      </c>
      <c r="O253" s="24">
        <v>36</v>
      </c>
      <c r="P253" s="24">
        <v>60</v>
      </c>
      <c r="Q253" s="24">
        <v>14</v>
      </c>
      <c r="R253" s="24">
        <v>0</v>
      </c>
      <c r="S253" s="24">
        <v>0</v>
      </c>
      <c r="T253" s="24">
        <v>110</v>
      </c>
    </row>
    <row r="254" spans="1:20">
      <c r="A254" s="9" t="s">
        <v>218</v>
      </c>
      <c r="B254" s="30" t="s">
        <v>282</v>
      </c>
      <c r="C254" s="30" t="str">
        <f>CONCATENATE(VOL_VOLUMEN_SUMINISTROS[[#This Row],[Proyecto]],VOL_VOLUMEN_SUMINISTROS[[#This Row],[J]],VOL_VOLUMEN_SUMINISTROS[[#This Row],[FIN DE SEMANA]])</f>
        <v>1052-1TNO</v>
      </c>
      <c r="D254" s="360" t="str">
        <f>CONCATENATE(VOL_VOLUMEN_SUMINISTROS[[#This Row],[Grupo]],VOL_VOLUMEN_SUMINISTROS[[#This Row],[Proyecto]],VOL_VOLUMEN_SUMINISTROS[[#This Row],[FIN DE SEMANA]])</f>
        <v>91052-1NO</v>
      </c>
      <c r="E254" s="30" t="s">
        <v>146</v>
      </c>
      <c r="F254" s="30" t="s">
        <v>147</v>
      </c>
      <c r="G254" s="360">
        <v>9</v>
      </c>
      <c r="H254" s="30">
        <v>6</v>
      </c>
      <c r="I254" s="9" t="s">
        <v>242</v>
      </c>
      <c r="J254" s="9" t="s">
        <v>296</v>
      </c>
      <c r="K254" s="30">
        <v>4</v>
      </c>
      <c r="L254" s="9" t="s">
        <v>300</v>
      </c>
      <c r="M254" s="30" t="s">
        <v>84</v>
      </c>
      <c r="N254" s="30" t="s">
        <v>154</v>
      </c>
      <c r="O254" s="24">
        <v>36</v>
      </c>
      <c r="P254" s="24">
        <v>57</v>
      </c>
      <c r="Q254" s="24">
        <v>13</v>
      </c>
      <c r="R254" s="24">
        <v>0</v>
      </c>
      <c r="S254" s="24">
        <v>0</v>
      </c>
      <c r="T254" s="24">
        <v>106</v>
      </c>
    </row>
    <row r="255" spans="1:20">
      <c r="A255" s="9" t="s">
        <v>218</v>
      </c>
      <c r="B255" s="30" t="s">
        <v>282</v>
      </c>
      <c r="C255" s="30" t="str">
        <f>CONCATENATE(VOL_VOLUMEN_SUMINISTROS[[#This Row],[Proyecto]],VOL_VOLUMEN_SUMINISTROS[[#This Row],[J]],VOL_VOLUMEN_SUMINISTROS[[#This Row],[FIN DE SEMANA]])</f>
        <v>1052-1MNO</v>
      </c>
      <c r="D255" s="360" t="str">
        <f>CONCATENATE(VOL_VOLUMEN_SUMINISTROS[[#This Row],[Grupo]],VOL_VOLUMEN_SUMINISTROS[[#This Row],[Proyecto]],VOL_VOLUMEN_SUMINISTROS[[#This Row],[FIN DE SEMANA]])</f>
        <v>91052-1NO</v>
      </c>
      <c r="E255" s="30" t="s">
        <v>146</v>
      </c>
      <c r="F255" s="30" t="s">
        <v>147</v>
      </c>
      <c r="G255" s="360">
        <v>9</v>
      </c>
      <c r="H255" s="30">
        <v>6</v>
      </c>
      <c r="I255" s="9" t="s">
        <v>242</v>
      </c>
      <c r="J255" s="9" t="s">
        <v>279</v>
      </c>
      <c r="K255" s="30">
        <v>1</v>
      </c>
      <c r="L255" s="9" t="s">
        <v>280</v>
      </c>
      <c r="M255" s="30" t="s">
        <v>84</v>
      </c>
      <c r="N255" s="30" t="s">
        <v>151</v>
      </c>
      <c r="O255" s="24">
        <v>244</v>
      </c>
      <c r="P255" s="24">
        <v>383</v>
      </c>
      <c r="Q255" s="24">
        <v>620</v>
      </c>
      <c r="R255" s="24">
        <v>0</v>
      </c>
      <c r="S255" s="24">
        <v>0</v>
      </c>
      <c r="T255" s="24">
        <v>1247</v>
      </c>
    </row>
    <row r="256" spans="1:20">
      <c r="A256" s="9" t="s">
        <v>218</v>
      </c>
      <c r="B256" s="30" t="s">
        <v>282</v>
      </c>
      <c r="C256" s="30" t="str">
        <f>CONCATENATE(VOL_VOLUMEN_SUMINISTROS[[#This Row],[Proyecto]],VOL_VOLUMEN_SUMINISTROS[[#This Row],[J]],VOL_VOLUMEN_SUMINISTROS[[#This Row],[FIN DE SEMANA]])</f>
        <v>1052-1TNO</v>
      </c>
      <c r="D256" s="360" t="str">
        <f>CONCATENATE(VOL_VOLUMEN_SUMINISTROS[[#This Row],[Grupo]],VOL_VOLUMEN_SUMINISTROS[[#This Row],[Proyecto]],VOL_VOLUMEN_SUMINISTROS[[#This Row],[FIN DE SEMANA]])</f>
        <v>91052-1NO</v>
      </c>
      <c r="E256" s="30" t="s">
        <v>146</v>
      </c>
      <c r="F256" s="30" t="s">
        <v>147</v>
      </c>
      <c r="G256" s="360">
        <v>9</v>
      </c>
      <c r="H256" s="30">
        <v>6</v>
      </c>
      <c r="I256" s="9" t="s">
        <v>242</v>
      </c>
      <c r="J256" s="9" t="s">
        <v>279</v>
      </c>
      <c r="K256" s="30">
        <v>1</v>
      </c>
      <c r="L256" s="9" t="s">
        <v>280</v>
      </c>
      <c r="M256" s="30" t="s">
        <v>84</v>
      </c>
      <c r="N256" s="30" t="s">
        <v>154</v>
      </c>
      <c r="O256" s="24">
        <v>276</v>
      </c>
      <c r="P256" s="24">
        <v>316</v>
      </c>
      <c r="Q256" s="24">
        <v>221</v>
      </c>
      <c r="R256" s="24">
        <v>0</v>
      </c>
      <c r="S256" s="24">
        <v>0</v>
      </c>
      <c r="T256" s="24">
        <v>813</v>
      </c>
    </row>
    <row r="257" spans="1:20">
      <c r="A257" s="9" t="s">
        <v>218</v>
      </c>
      <c r="B257" s="30" t="s">
        <v>282</v>
      </c>
      <c r="C257" s="30" t="str">
        <f>CONCATENATE(VOL_VOLUMEN_SUMINISTROS[[#This Row],[Proyecto]],VOL_VOLUMEN_SUMINISTROS[[#This Row],[J]],VOL_VOLUMEN_SUMINISTROS[[#This Row],[FIN DE SEMANA]])</f>
        <v>1052-1MNO</v>
      </c>
      <c r="D257" s="360" t="str">
        <f>CONCATENATE(VOL_VOLUMEN_SUMINISTROS[[#This Row],[Grupo]],VOL_VOLUMEN_SUMINISTROS[[#This Row],[Proyecto]],VOL_VOLUMEN_SUMINISTROS[[#This Row],[FIN DE SEMANA]])</f>
        <v>91052-1NO</v>
      </c>
      <c r="E257" s="30" t="s">
        <v>146</v>
      </c>
      <c r="F257" s="30" t="s">
        <v>147</v>
      </c>
      <c r="G257" s="360">
        <v>9</v>
      </c>
      <c r="H257" s="30">
        <v>6</v>
      </c>
      <c r="I257" s="9" t="s">
        <v>242</v>
      </c>
      <c r="J257" s="9" t="s">
        <v>245</v>
      </c>
      <c r="K257" s="30">
        <v>1</v>
      </c>
      <c r="L257" s="9" t="s">
        <v>246</v>
      </c>
      <c r="M257" s="30" t="s">
        <v>84</v>
      </c>
      <c r="N257" s="30" t="s">
        <v>151</v>
      </c>
      <c r="O257" s="24">
        <v>0</v>
      </c>
      <c r="P257" s="24">
        <v>195</v>
      </c>
      <c r="Q257" s="24">
        <v>252</v>
      </c>
      <c r="R257" s="24">
        <v>0</v>
      </c>
      <c r="S257" s="24">
        <v>0</v>
      </c>
      <c r="T257" s="24">
        <v>447</v>
      </c>
    </row>
    <row r="258" spans="1:20">
      <c r="A258" s="9" t="s">
        <v>218</v>
      </c>
      <c r="B258" s="30" t="s">
        <v>282</v>
      </c>
      <c r="C258" s="30" t="str">
        <f>CONCATENATE(VOL_VOLUMEN_SUMINISTROS[[#This Row],[Proyecto]],VOL_VOLUMEN_SUMINISTROS[[#This Row],[J]],VOL_VOLUMEN_SUMINISTROS[[#This Row],[FIN DE SEMANA]])</f>
        <v>1052-1NNO</v>
      </c>
      <c r="D258" s="360" t="str">
        <f>CONCATENATE(VOL_VOLUMEN_SUMINISTROS[[#This Row],[Grupo]],VOL_VOLUMEN_SUMINISTROS[[#This Row],[Proyecto]],VOL_VOLUMEN_SUMINISTROS[[#This Row],[FIN DE SEMANA]])</f>
        <v>91052-1NO</v>
      </c>
      <c r="E258" s="30" t="s">
        <v>146</v>
      </c>
      <c r="F258" s="30" t="s">
        <v>147</v>
      </c>
      <c r="G258" s="360">
        <v>9</v>
      </c>
      <c r="H258" s="30">
        <v>6</v>
      </c>
      <c r="I258" s="9" t="s">
        <v>242</v>
      </c>
      <c r="J258" s="9" t="s">
        <v>245</v>
      </c>
      <c r="K258" s="30">
        <v>1</v>
      </c>
      <c r="L258" s="9" t="s">
        <v>246</v>
      </c>
      <c r="M258" s="30" t="s">
        <v>84</v>
      </c>
      <c r="N258" s="30" t="s">
        <v>153</v>
      </c>
      <c r="O258" s="24">
        <v>0</v>
      </c>
      <c r="P258" s="24">
        <v>0</v>
      </c>
      <c r="Q258" s="24">
        <v>0</v>
      </c>
      <c r="R258" s="24">
        <v>158</v>
      </c>
      <c r="S258" s="24">
        <v>186</v>
      </c>
      <c r="T258" s="24">
        <v>344</v>
      </c>
    </row>
    <row r="259" spans="1:20">
      <c r="A259" s="9" t="s">
        <v>218</v>
      </c>
      <c r="B259" s="30" t="s">
        <v>282</v>
      </c>
      <c r="C259" s="30" t="str">
        <f>CONCATENATE(VOL_VOLUMEN_SUMINISTROS[[#This Row],[Proyecto]],VOL_VOLUMEN_SUMINISTROS[[#This Row],[J]],VOL_VOLUMEN_SUMINISTROS[[#This Row],[FIN DE SEMANA]])</f>
        <v>1052-1TNO</v>
      </c>
      <c r="D259" s="360" t="str">
        <f>CONCATENATE(VOL_VOLUMEN_SUMINISTROS[[#This Row],[Grupo]],VOL_VOLUMEN_SUMINISTROS[[#This Row],[Proyecto]],VOL_VOLUMEN_SUMINISTROS[[#This Row],[FIN DE SEMANA]])</f>
        <v>91052-1NO</v>
      </c>
      <c r="E259" s="30" t="s">
        <v>146</v>
      </c>
      <c r="F259" s="30" t="s">
        <v>147</v>
      </c>
      <c r="G259" s="360">
        <v>9</v>
      </c>
      <c r="H259" s="30">
        <v>6</v>
      </c>
      <c r="I259" s="9" t="s">
        <v>242</v>
      </c>
      <c r="J259" s="9" t="s">
        <v>245</v>
      </c>
      <c r="K259" s="30">
        <v>1</v>
      </c>
      <c r="L259" s="9" t="s">
        <v>246</v>
      </c>
      <c r="M259" s="30" t="s">
        <v>84</v>
      </c>
      <c r="N259" s="30" t="s">
        <v>154</v>
      </c>
      <c r="O259" s="24">
        <v>84</v>
      </c>
      <c r="P259" s="24">
        <v>144</v>
      </c>
      <c r="Q259" s="24">
        <v>34</v>
      </c>
      <c r="R259" s="24">
        <v>0</v>
      </c>
      <c r="S259" s="24">
        <v>0</v>
      </c>
      <c r="T259" s="24">
        <v>262</v>
      </c>
    </row>
    <row r="260" spans="1:20">
      <c r="A260" s="9" t="s">
        <v>218</v>
      </c>
      <c r="B260" s="30" t="s">
        <v>282</v>
      </c>
      <c r="C260" s="30" t="str">
        <f>CONCATENATE(VOL_VOLUMEN_SUMINISTROS[[#This Row],[Proyecto]],VOL_VOLUMEN_SUMINISTROS[[#This Row],[J]],VOL_VOLUMEN_SUMINISTROS[[#This Row],[FIN DE SEMANA]])</f>
        <v>1052-1MNO</v>
      </c>
      <c r="D260" s="360" t="str">
        <f>CONCATENATE(VOL_VOLUMEN_SUMINISTROS[[#This Row],[Grupo]],VOL_VOLUMEN_SUMINISTROS[[#This Row],[Proyecto]],VOL_VOLUMEN_SUMINISTROS[[#This Row],[FIN DE SEMANA]])</f>
        <v>91052-1NO</v>
      </c>
      <c r="E260" s="30" t="s">
        <v>146</v>
      </c>
      <c r="F260" s="30" t="s">
        <v>147</v>
      </c>
      <c r="G260" s="360">
        <v>9</v>
      </c>
      <c r="H260" s="30">
        <v>6</v>
      </c>
      <c r="I260" s="9" t="s">
        <v>242</v>
      </c>
      <c r="J260" s="9" t="s">
        <v>245</v>
      </c>
      <c r="K260" s="30">
        <v>2</v>
      </c>
      <c r="L260" s="9" t="s">
        <v>247</v>
      </c>
      <c r="M260" s="30" t="s">
        <v>84</v>
      </c>
      <c r="N260" s="30" t="s">
        <v>151</v>
      </c>
      <c r="O260" s="24">
        <v>220</v>
      </c>
      <c r="P260" s="24">
        <v>190</v>
      </c>
      <c r="Q260" s="24">
        <v>191</v>
      </c>
      <c r="R260" s="24">
        <v>0</v>
      </c>
      <c r="S260" s="24">
        <v>0</v>
      </c>
      <c r="T260" s="24">
        <v>601</v>
      </c>
    </row>
    <row r="261" spans="1:20">
      <c r="A261" s="9" t="s">
        <v>218</v>
      </c>
      <c r="B261" s="30" t="s">
        <v>282</v>
      </c>
      <c r="C261" s="30" t="str">
        <f>CONCATENATE(VOL_VOLUMEN_SUMINISTROS[[#This Row],[Proyecto]],VOL_VOLUMEN_SUMINISTROS[[#This Row],[J]],VOL_VOLUMEN_SUMINISTROS[[#This Row],[FIN DE SEMANA]])</f>
        <v>1052-1TNO</v>
      </c>
      <c r="D261" s="360" t="str">
        <f>CONCATENATE(VOL_VOLUMEN_SUMINISTROS[[#This Row],[Grupo]],VOL_VOLUMEN_SUMINISTROS[[#This Row],[Proyecto]],VOL_VOLUMEN_SUMINISTROS[[#This Row],[FIN DE SEMANA]])</f>
        <v>91052-1NO</v>
      </c>
      <c r="E261" s="30" t="s">
        <v>146</v>
      </c>
      <c r="F261" s="30" t="s">
        <v>147</v>
      </c>
      <c r="G261" s="360">
        <v>9</v>
      </c>
      <c r="H261" s="30">
        <v>6</v>
      </c>
      <c r="I261" s="9" t="s">
        <v>242</v>
      </c>
      <c r="J261" s="9" t="s">
        <v>245</v>
      </c>
      <c r="K261" s="30">
        <v>2</v>
      </c>
      <c r="L261" s="9" t="s">
        <v>301</v>
      </c>
      <c r="M261" s="30" t="s">
        <v>84</v>
      </c>
      <c r="N261" s="30" t="s">
        <v>154</v>
      </c>
      <c r="O261" s="24">
        <v>105</v>
      </c>
      <c r="P261" s="24">
        <v>140</v>
      </c>
      <c r="Q261" s="24">
        <v>199</v>
      </c>
      <c r="R261" s="24">
        <v>0</v>
      </c>
      <c r="S261" s="24">
        <v>0</v>
      </c>
      <c r="T261" s="24">
        <v>444</v>
      </c>
    </row>
    <row r="262" spans="1:20">
      <c r="A262" s="9" t="s">
        <v>218</v>
      </c>
      <c r="B262" s="30" t="s">
        <v>302</v>
      </c>
      <c r="C262" s="30" t="str">
        <f>CONCATENATE(VOL_VOLUMEN_SUMINISTROS[[#This Row],[Proyecto]],VOL_VOLUMEN_SUMINISTROS[[#This Row],[J]],VOL_VOLUMEN_SUMINISTROS[[#This Row],[FIN DE SEMANA]])</f>
        <v>1052-2MNO</v>
      </c>
      <c r="D262" s="360" t="str">
        <f>CONCATENATE(VOL_VOLUMEN_SUMINISTROS[[#This Row],[Grupo]],VOL_VOLUMEN_SUMINISTROS[[#This Row],[Proyecto]],VOL_VOLUMEN_SUMINISTROS[[#This Row],[FIN DE SEMANA]])</f>
        <v>91052-2NO</v>
      </c>
      <c r="E262" s="30" t="s">
        <v>182</v>
      </c>
      <c r="F262" s="30" t="s">
        <v>147</v>
      </c>
      <c r="G262" s="360">
        <v>9</v>
      </c>
      <c r="H262" s="30">
        <v>19</v>
      </c>
      <c r="I262" s="9" t="s">
        <v>249</v>
      </c>
      <c r="J262" s="9" t="s">
        <v>283</v>
      </c>
      <c r="K262" s="30">
        <v>2</v>
      </c>
      <c r="L262" s="9" t="s">
        <v>284</v>
      </c>
      <c r="M262" s="30" t="s">
        <v>84</v>
      </c>
      <c r="N262" s="30" t="s">
        <v>151</v>
      </c>
      <c r="O262" s="24">
        <v>0</v>
      </c>
      <c r="P262" s="24">
        <v>168</v>
      </c>
      <c r="Q262" s="24">
        <v>106</v>
      </c>
      <c r="R262" s="24">
        <v>0</v>
      </c>
      <c r="S262" s="24">
        <v>0</v>
      </c>
      <c r="T262" s="24">
        <v>274</v>
      </c>
    </row>
    <row r="263" spans="1:20">
      <c r="A263" s="9" t="s">
        <v>218</v>
      </c>
      <c r="B263" s="30" t="s">
        <v>302</v>
      </c>
      <c r="C263" s="30" t="str">
        <f>CONCATENATE(VOL_VOLUMEN_SUMINISTROS[[#This Row],[Proyecto]],VOL_VOLUMEN_SUMINISTROS[[#This Row],[J]],VOL_VOLUMEN_SUMINISTROS[[#This Row],[FIN DE SEMANA]])</f>
        <v>1052-2M1NO</v>
      </c>
      <c r="D263" s="360" t="str">
        <f>CONCATENATE(VOL_VOLUMEN_SUMINISTROS[[#This Row],[Grupo]],VOL_VOLUMEN_SUMINISTROS[[#This Row],[Proyecto]],VOL_VOLUMEN_SUMINISTROS[[#This Row],[FIN DE SEMANA]])</f>
        <v>61052-2NO</v>
      </c>
      <c r="E263" s="30" t="s">
        <v>182</v>
      </c>
      <c r="F263" s="30" t="s">
        <v>147</v>
      </c>
      <c r="G263" s="360">
        <v>6</v>
      </c>
      <c r="H263" s="30">
        <v>19</v>
      </c>
      <c r="I263" s="9" t="s">
        <v>249</v>
      </c>
      <c r="J263" s="9" t="s">
        <v>283</v>
      </c>
      <c r="K263" s="30">
        <v>2</v>
      </c>
      <c r="L263" s="9" t="s">
        <v>284</v>
      </c>
      <c r="M263" s="30" t="s">
        <v>84</v>
      </c>
      <c r="N263" s="30" t="s">
        <v>215</v>
      </c>
      <c r="O263" s="24">
        <v>108</v>
      </c>
      <c r="P263" s="24">
        <v>87</v>
      </c>
      <c r="Q263" s="24">
        <v>11</v>
      </c>
      <c r="R263" s="24">
        <v>0</v>
      </c>
      <c r="S263" s="24">
        <v>0</v>
      </c>
      <c r="T263" s="24">
        <v>206</v>
      </c>
    </row>
    <row r="264" spans="1:20">
      <c r="A264" s="9" t="s">
        <v>218</v>
      </c>
      <c r="B264" s="30" t="s">
        <v>302</v>
      </c>
      <c r="C264" s="30" t="str">
        <f>CONCATENATE(VOL_VOLUMEN_SUMINISTROS[[#This Row],[Proyecto]],VOL_VOLUMEN_SUMINISTROS[[#This Row],[J]],VOL_VOLUMEN_SUMINISTROS[[#This Row],[FIN DE SEMANA]])</f>
        <v>1052-2MNO</v>
      </c>
      <c r="D264" s="360" t="str">
        <f>CONCATENATE(VOL_VOLUMEN_SUMINISTROS[[#This Row],[Grupo]],VOL_VOLUMEN_SUMINISTROS[[#This Row],[Proyecto]],VOL_VOLUMEN_SUMINISTROS[[#This Row],[FIN DE SEMANA]])</f>
        <v>91052-2NO</v>
      </c>
      <c r="E264" s="30" t="s">
        <v>182</v>
      </c>
      <c r="F264" s="30" t="s">
        <v>147</v>
      </c>
      <c r="G264" s="360">
        <v>9</v>
      </c>
      <c r="H264" s="30">
        <v>19</v>
      </c>
      <c r="I264" s="9" t="s">
        <v>249</v>
      </c>
      <c r="J264" s="9" t="s">
        <v>288</v>
      </c>
      <c r="K264" s="30">
        <v>1</v>
      </c>
      <c r="L264" s="9" t="s">
        <v>289</v>
      </c>
      <c r="M264" s="30" t="s">
        <v>84</v>
      </c>
      <c r="N264" s="30" t="s">
        <v>151</v>
      </c>
      <c r="O264" s="24">
        <v>200</v>
      </c>
      <c r="P264" s="24">
        <v>187</v>
      </c>
      <c r="Q264" s="24">
        <v>49</v>
      </c>
      <c r="R264" s="24">
        <v>0</v>
      </c>
      <c r="S264" s="24">
        <v>0</v>
      </c>
      <c r="T264" s="24">
        <v>436</v>
      </c>
    </row>
    <row r="265" spans="1:20">
      <c r="A265" s="9" t="s">
        <v>218</v>
      </c>
      <c r="B265" s="30" t="s">
        <v>302</v>
      </c>
      <c r="C265" s="30" t="str">
        <f>CONCATENATE(VOL_VOLUMEN_SUMINISTROS[[#This Row],[Proyecto]],VOL_VOLUMEN_SUMINISTROS[[#This Row],[J]],VOL_VOLUMEN_SUMINISTROS[[#This Row],[FIN DE SEMANA]])</f>
        <v>1052-2M1NO</v>
      </c>
      <c r="D265" s="360" t="str">
        <f>CONCATENATE(VOL_VOLUMEN_SUMINISTROS[[#This Row],[Grupo]],VOL_VOLUMEN_SUMINISTROS[[#This Row],[Proyecto]],VOL_VOLUMEN_SUMINISTROS[[#This Row],[FIN DE SEMANA]])</f>
        <v>91052-2NO</v>
      </c>
      <c r="E265" s="30" t="s">
        <v>182</v>
      </c>
      <c r="F265" s="30" t="s">
        <v>147</v>
      </c>
      <c r="G265" s="360">
        <v>9</v>
      </c>
      <c r="H265" s="30">
        <v>19</v>
      </c>
      <c r="I265" s="9" t="s">
        <v>249</v>
      </c>
      <c r="J265" s="9" t="s">
        <v>288</v>
      </c>
      <c r="K265" s="30">
        <v>1</v>
      </c>
      <c r="L265" s="9" t="s">
        <v>289</v>
      </c>
      <c r="M265" s="30" t="s">
        <v>84</v>
      </c>
      <c r="N265" s="30" t="s">
        <v>215</v>
      </c>
      <c r="O265" s="24">
        <v>0</v>
      </c>
      <c r="P265" s="24">
        <v>210</v>
      </c>
      <c r="Q265" s="24">
        <v>194</v>
      </c>
      <c r="R265" s="24">
        <v>0</v>
      </c>
      <c r="S265" s="24">
        <v>0</v>
      </c>
      <c r="T265" s="24">
        <v>404</v>
      </c>
    </row>
    <row r="266" spans="1:20">
      <c r="A266" s="9" t="s">
        <v>218</v>
      </c>
      <c r="B266" s="30" t="s">
        <v>303</v>
      </c>
      <c r="C266" s="30" t="str">
        <f>CONCATENATE(VOL_VOLUMEN_SUMINISTROS[[#This Row],[Proyecto]],VOL_VOLUMEN_SUMINISTROS[[#This Row],[J]],VOL_VOLUMEN_SUMINISTROS[[#This Row],[FIN DE SEMANA]])</f>
        <v>1052-2MNO</v>
      </c>
      <c r="D266" s="360" t="str">
        <f>CONCATENATE(VOL_VOLUMEN_SUMINISTROS[[#This Row],[Grupo]],VOL_VOLUMEN_SUMINISTROS[[#This Row],[Proyecto]],VOL_VOLUMEN_SUMINISTROS[[#This Row],[FIN DE SEMANA]])</f>
        <v>91052-2NO</v>
      </c>
      <c r="E266" s="30" t="s">
        <v>182</v>
      </c>
      <c r="F266" s="30" t="s">
        <v>147</v>
      </c>
      <c r="G266" s="360">
        <v>9</v>
      </c>
      <c r="H266" s="30">
        <v>19</v>
      </c>
      <c r="I266" s="9" t="s">
        <v>249</v>
      </c>
      <c r="J266" s="9" t="s">
        <v>285</v>
      </c>
      <c r="K266" s="30">
        <v>2</v>
      </c>
      <c r="L266" s="9" t="s">
        <v>286</v>
      </c>
      <c r="M266" s="30" t="s">
        <v>84</v>
      </c>
      <c r="N266" s="30" t="s">
        <v>151</v>
      </c>
      <c r="O266" s="24">
        <v>0</v>
      </c>
      <c r="P266" s="24">
        <v>0</v>
      </c>
      <c r="Q266" s="24">
        <v>92</v>
      </c>
      <c r="R266" s="24">
        <v>0</v>
      </c>
      <c r="S266" s="24">
        <v>0</v>
      </c>
      <c r="T266" s="24">
        <v>92</v>
      </c>
    </row>
    <row r="267" spans="1:20">
      <c r="A267" s="9" t="s">
        <v>218</v>
      </c>
      <c r="B267" s="30" t="s">
        <v>303</v>
      </c>
      <c r="C267" s="30" t="str">
        <f>CONCATENATE(VOL_VOLUMEN_SUMINISTROS[[#This Row],[Proyecto]],VOL_VOLUMEN_SUMINISTROS[[#This Row],[J]],VOL_VOLUMEN_SUMINISTROS[[#This Row],[FIN DE SEMANA]])</f>
        <v>1052-2TNO</v>
      </c>
      <c r="D267" s="360" t="str">
        <f>CONCATENATE(VOL_VOLUMEN_SUMINISTROS[[#This Row],[Grupo]],VOL_VOLUMEN_SUMINISTROS[[#This Row],[Proyecto]],VOL_VOLUMEN_SUMINISTROS[[#This Row],[FIN DE SEMANA]])</f>
        <v>91052-2NO</v>
      </c>
      <c r="E267" s="30" t="s">
        <v>182</v>
      </c>
      <c r="F267" s="30" t="s">
        <v>147</v>
      </c>
      <c r="G267" s="360">
        <v>9</v>
      </c>
      <c r="H267" s="30">
        <v>19</v>
      </c>
      <c r="I267" s="9" t="s">
        <v>249</v>
      </c>
      <c r="J267" s="9" t="s">
        <v>285</v>
      </c>
      <c r="K267" s="30">
        <v>2</v>
      </c>
      <c r="L267" s="9" t="s">
        <v>286</v>
      </c>
      <c r="M267" s="30" t="s">
        <v>84</v>
      </c>
      <c r="N267" s="30" t="s">
        <v>154</v>
      </c>
      <c r="O267" s="24">
        <v>0</v>
      </c>
      <c r="P267" s="24">
        <v>0</v>
      </c>
      <c r="Q267" s="24">
        <v>101</v>
      </c>
      <c r="R267" s="24">
        <v>0</v>
      </c>
      <c r="S267" s="24">
        <v>0</v>
      </c>
      <c r="T267" s="24">
        <v>101</v>
      </c>
    </row>
    <row r="268" spans="1:20">
      <c r="A268" s="9" t="s">
        <v>218</v>
      </c>
      <c r="B268" s="30" t="s">
        <v>303</v>
      </c>
      <c r="C268" s="30" t="str">
        <f>CONCATENATE(VOL_VOLUMEN_SUMINISTROS[[#This Row],[Proyecto]],VOL_VOLUMEN_SUMINISTROS[[#This Row],[J]],VOL_VOLUMEN_SUMINISTROS[[#This Row],[FIN DE SEMANA]])</f>
        <v>1052-2MSI</v>
      </c>
      <c r="D268" s="360" t="str">
        <f>CONCATENATE(VOL_VOLUMEN_SUMINISTROS[[#This Row],[Grupo]],VOL_VOLUMEN_SUMINISTROS[[#This Row],[Proyecto]],VOL_VOLUMEN_SUMINISTROS[[#This Row],[FIN DE SEMANA]])</f>
        <v>91052-2SI</v>
      </c>
      <c r="E268" s="30" t="s">
        <v>182</v>
      </c>
      <c r="F268" s="30" t="s">
        <v>147</v>
      </c>
      <c r="G268" s="360">
        <v>9</v>
      </c>
      <c r="H268" s="30">
        <v>19</v>
      </c>
      <c r="I268" s="9" t="s">
        <v>249</v>
      </c>
      <c r="J268" s="9" t="s">
        <v>285</v>
      </c>
      <c r="K268" s="30">
        <v>3</v>
      </c>
      <c r="L268" s="9" t="s">
        <v>286</v>
      </c>
      <c r="M268" s="30" t="s">
        <v>105</v>
      </c>
      <c r="N268" s="30" t="s">
        <v>151</v>
      </c>
      <c r="O268" s="24">
        <v>0</v>
      </c>
      <c r="P268" s="24">
        <v>0</v>
      </c>
      <c r="Q268" s="24">
        <v>36</v>
      </c>
      <c r="R268" s="24">
        <v>0</v>
      </c>
      <c r="S268" s="24">
        <v>0</v>
      </c>
      <c r="T268" s="24">
        <v>36</v>
      </c>
    </row>
    <row r="269" spans="1:20">
      <c r="A269" s="9" t="s">
        <v>218</v>
      </c>
      <c r="B269" s="30" t="s">
        <v>303</v>
      </c>
      <c r="C269" s="30" t="str">
        <f>CONCATENATE(VOL_VOLUMEN_SUMINISTROS[[#This Row],[Proyecto]],VOL_VOLUMEN_SUMINISTROS[[#This Row],[J]],VOL_VOLUMEN_SUMINISTROS[[#This Row],[FIN DE SEMANA]])</f>
        <v>1052-2TNO</v>
      </c>
      <c r="D269" s="360" t="str">
        <f>CONCATENATE(VOL_VOLUMEN_SUMINISTROS[[#This Row],[Grupo]],VOL_VOLUMEN_SUMINISTROS[[#This Row],[Proyecto]],VOL_VOLUMEN_SUMINISTROS[[#This Row],[FIN DE SEMANA]])</f>
        <v>91052-2NO</v>
      </c>
      <c r="E269" s="30" t="s">
        <v>182</v>
      </c>
      <c r="F269" s="30" t="s">
        <v>147</v>
      </c>
      <c r="G269" s="360">
        <v>9</v>
      </c>
      <c r="H269" s="30">
        <v>19</v>
      </c>
      <c r="I269" s="9" t="s">
        <v>249</v>
      </c>
      <c r="J269" s="9" t="s">
        <v>285</v>
      </c>
      <c r="K269" s="30">
        <v>3</v>
      </c>
      <c r="L269" s="9" t="s">
        <v>286</v>
      </c>
      <c r="M269" s="30" t="s">
        <v>84</v>
      </c>
      <c r="N269" s="30" t="s">
        <v>154</v>
      </c>
      <c r="O269" s="24">
        <v>0</v>
      </c>
      <c r="P269" s="24">
        <v>0</v>
      </c>
      <c r="Q269" s="24">
        <v>37</v>
      </c>
      <c r="R269" s="24">
        <v>0</v>
      </c>
      <c r="S269" s="24">
        <v>0</v>
      </c>
      <c r="T269" s="24">
        <v>37</v>
      </c>
    </row>
    <row r="270" spans="1:20">
      <c r="A270" s="9" t="s">
        <v>218</v>
      </c>
      <c r="B270" s="30" t="s">
        <v>303</v>
      </c>
      <c r="C270" s="30" t="str">
        <f>CONCATENATE(VOL_VOLUMEN_SUMINISTROS[[#This Row],[Proyecto]],VOL_VOLUMEN_SUMINISTROS[[#This Row],[J]],VOL_VOLUMEN_SUMINISTROS[[#This Row],[FIN DE SEMANA]])</f>
        <v>1052-2TNO</v>
      </c>
      <c r="D270" s="360" t="str">
        <f>CONCATENATE(VOL_VOLUMEN_SUMINISTROS[[#This Row],[Grupo]],VOL_VOLUMEN_SUMINISTROS[[#This Row],[Proyecto]],VOL_VOLUMEN_SUMINISTROS[[#This Row],[FIN DE SEMANA]])</f>
        <v>91052-2NO</v>
      </c>
      <c r="E270" s="30" t="s">
        <v>182</v>
      </c>
      <c r="F270" s="30" t="s">
        <v>147</v>
      </c>
      <c r="G270" s="360">
        <v>9</v>
      </c>
      <c r="H270" s="30">
        <v>19</v>
      </c>
      <c r="I270" s="9" t="s">
        <v>249</v>
      </c>
      <c r="J270" s="9" t="s">
        <v>288</v>
      </c>
      <c r="K270" s="30">
        <v>1</v>
      </c>
      <c r="L270" s="9" t="s">
        <v>289</v>
      </c>
      <c r="M270" s="30" t="s">
        <v>84</v>
      </c>
      <c r="N270" s="30" t="s">
        <v>154</v>
      </c>
      <c r="O270" s="24">
        <v>0</v>
      </c>
      <c r="P270" s="24">
        <v>0</v>
      </c>
      <c r="Q270" s="24">
        <v>76</v>
      </c>
      <c r="R270" s="24">
        <v>0</v>
      </c>
      <c r="S270" s="24">
        <v>0</v>
      </c>
      <c r="T270" s="24">
        <v>76</v>
      </c>
    </row>
    <row r="271" spans="1:20">
      <c r="A271" s="9" t="s">
        <v>218</v>
      </c>
      <c r="B271" s="30" t="s">
        <v>303</v>
      </c>
      <c r="C271" s="30" t="str">
        <f>CONCATENATE(VOL_VOLUMEN_SUMINISTROS[[#This Row],[Proyecto]],VOL_VOLUMEN_SUMINISTROS[[#This Row],[J]],VOL_VOLUMEN_SUMINISTROS[[#This Row],[FIN DE SEMANA]])</f>
        <v>1052-2MNO</v>
      </c>
      <c r="D271" s="360" t="str">
        <f>CONCATENATE(VOL_VOLUMEN_SUMINISTROS[[#This Row],[Grupo]],VOL_VOLUMEN_SUMINISTROS[[#This Row],[Proyecto]],VOL_VOLUMEN_SUMINISTROS[[#This Row],[FIN DE SEMANA]])</f>
        <v>91052-2NO</v>
      </c>
      <c r="E271" s="30" t="s">
        <v>182</v>
      </c>
      <c r="F271" s="30" t="s">
        <v>147</v>
      </c>
      <c r="G271" s="360">
        <v>9</v>
      </c>
      <c r="H271" s="30">
        <v>6</v>
      </c>
      <c r="I271" s="9" t="s">
        <v>242</v>
      </c>
      <c r="J271" s="9" t="s">
        <v>296</v>
      </c>
      <c r="K271" s="30">
        <v>1</v>
      </c>
      <c r="L271" s="9" t="s">
        <v>297</v>
      </c>
      <c r="M271" s="30" t="s">
        <v>84</v>
      </c>
      <c r="N271" s="30" t="s">
        <v>151</v>
      </c>
      <c r="O271" s="24">
        <v>0</v>
      </c>
      <c r="P271" s="24">
        <v>0</v>
      </c>
      <c r="Q271" s="24">
        <v>200</v>
      </c>
      <c r="R271" s="24">
        <v>0</v>
      </c>
      <c r="S271" s="24">
        <v>0</v>
      </c>
      <c r="T271" s="24">
        <v>200</v>
      </c>
    </row>
    <row r="272" spans="1:20">
      <c r="A272" s="9" t="s">
        <v>218</v>
      </c>
      <c r="B272" s="30" t="s">
        <v>304</v>
      </c>
      <c r="C272" s="30" t="str">
        <f>CONCATENATE(VOL_VOLUMEN_SUMINISTROS[[#This Row],[Proyecto]],VOL_VOLUMEN_SUMINISTROS[[#This Row],[J]],VOL_VOLUMEN_SUMINISTROS[[#This Row],[FIN DE SEMANA]])</f>
        <v>1052-2MNO</v>
      </c>
      <c r="D272" s="360" t="str">
        <f>CONCATENATE(VOL_VOLUMEN_SUMINISTROS[[#This Row],[Grupo]],VOL_VOLUMEN_SUMINISTROS[[#This Row],[Proyecto]],VOL_VOLUMEN_SUMINISTROS[[#This Row],[FIN DE SEMANA]])</f>
        <v>91052-2NO</v>
      </c>
      <c r="E272" s="30" t="s">
        <v>182</v>
      </c>
      <c r="F272" s="30" t="s">
        <v>147</v>
      </c>
      <c r="G272" s="360">
        <v>9</v>
      </c>
      <c r="H272" s="30">
        <v>19</v>
      </c>
      <c r="I272" s="9" t="s">
        <v>249</v>
      </c>
      <c r="J272" s="9" t="s">
        <v>283</v>
      </c>
      <c r="K272" s="30">
        <v>1</v>
      </c>
      <c r="L272" s="9" t="s">
        <v>284</v>
      </c>
      <c r="M272" s="30" t="s">
        <v>84</v>
      </c>
      <c r="N272" s="30" t="s">
        <v>151</v>
      </c>
      <c r="O272" s="24">
        <v>75</v>
      </c>
      <c r="P272" s="24">
        <v>0</v>
      </c>
      <c r="Q272" s="24">
        <v>0</v>
      </c>
      <c r="R272" s="24">
        <v>0</v>
      </c>
      <c r="S272" s="24">
        <v>0</v>
      </c>
      <c r="T272" s="24">
        <v>75</v>
      </c>
    </row>
    <row r="273" spans="1:20">
      <c r="A273" s="9" t="s">
        <v>218</v>
      </c>
      <c r="B273" s="30" t="s">
        <v>304</v>
      </c>
      <c r="C273" s="30" t="str">
        <f>CONCATENATE(VOL_VOLUMEN_SUMINISTROS[[#This Row],[Proyecto]],VOL_VOLUMEN_SUMINISTROS[[#This Row],[J]],VOL_VOLUMEN_SUMINISTROS[[#This Row],[FIN DE SEMANA]])</f>
        <v>1052-2TNO</v>
      </c>
      <c r="D273" s="360" t="str">
        <f>CONCATENATE(VOL_VOLUMEN_SUMINISTROS[[#This Row],[Grupo]],VOL_VOLUMEN_SUMINISTROS[[#This Row],[Proyecto]],VOL_VOLUMEN_SUMINISTROS[[#This Row],[FIN DE SEMANA]])</f>
        <v>91052-2NO</v>
      </c>
      <c r="E273" s="30" t="s">
        <v>182</v>
      </c>
      <c r="F273" s="30" t="s">
        <v>147</v>
      </c>
      <c r="G273" s="360">
        <v>9</v>
      </c>
      <c r="H273" s="30">
        <v>19</v>
      </c>
      <c r="I273" s="9" t="s">
        <v>249</v>
      </c>
      <c r="J273" s="9" t="s">
        <v>288</v>
      </c>
      <c r="K273" s="30">
        <v>1</v>
      </c>
      <c r="L273" s="9" t="s">
        <v>289</v>
      </c>
      <c r="M273" s="30" t="s">
        <v>84</v>
      </c>
      <c r="N273" s="30" t="s">
        <v>154</v>
      </c>
      <c r="O273" s="24">
        <v>55</v>
      </c>
      <c r="P273" s="24">
        <v>0</v>
      </c>
      <c r="Q273" s="24">
        <v>0</v>
      </c>
      <c r="R273" s="24">
        <v>0</v>
      </c>
      <c r="S273" s="24">
        <v>0</v>
      </c>
      <c r="T273" s="24">
        <v>55</v>
      </c>
    </row>
    <row r="274" spans="1:20">
      <c r="A274" s="9" t="s">
        <v>218</v>
      </c>
      <c r="B274" s="30" t="s">
        <v>304</v>
      </c>
      <c r="C274" s="30" t="str">
        <f>CONCATENATE(VOL_VOLUMEN_SUMINISTROS[[#This Row],[Proyecto]],VOL_VOLUMEN_SUMINISTROS[[#This Row],[J]],VOL_VOLUMEN_SUMINISTROS[[#This Row],[FIN DE SEMANA]])</f>
        <v>1052-2MNO</v>
      </c>
      <c r="D274" s="360" t="str">
        <f>CONCATENATE(VOL_VOLUMEN_SUMINISTROS[[#This Row],[Grupo]],VOL_VOLUMEN_SUMINISTROS[[#This Row],[Proyecto]],VOL_VOLUMEN_SUMINISTROS[[#This Row],[FIN DE SEMANA]])</f>
        <v>91052-2NO</v>
      </c>
      <c r="E274" s="30" t="s">
        <v>182</v>
      </c>
      <c r="F274" s="30" t="s">
        <v>147</v>
      </c>
      <c r="G274" s="360">
        <v>9</v>
      </c>
      <c r="H274" s="30">
        <v>6</v>
      </c>
      <c r="I274" s="9" t="s">
        <v>242</v>
      </c>
      <c r="J274" s="9" t="s">
        <v>279</v>
      </c>
      <c r="K274" s="30">
        <v>1</v>
      </c>
      <c r="L274" s="9" t="s">
        <v>280</v>
      </c>
      <c r="M274" s="30" t="s">
        <v>84</v>
      </c>
      <c r="N274" s="30" t="s">
        <v>151</v>
      </c>
      <c r="O274" s="24">
        <v>89</v>
      </c>
      <c r="P274" s="24">
        <v>0</v>
      </c>
      <c r="Q274" s="24">
        <v>0</v>
      </c>
      <c r="R274" s="24">
        <v>0</v>
      </c>
      <c r="S274" s="24">
        <v>0</v>
      </c>
      <c r="T274" s="24">
        <v>89</v>
      </c>
    </row>
    <row r="275" spans="1:20">
      <c r="A275" s="9" t="s">
        <v>218</v>
      </c>
      <c r="B275" s="30" t="s">
        <v>304</v>
      </c>
      <c r="C275" s="30" t="str">
        <f>CONCATENATE(VOL_VOLUMEN_SUMINISTROS[[#This Row],[Proyecto]],VOL_VOLUMEN_SUMINISTROS[[#This Row],[J]],VOL_VOLUMEN_SUMINISTROS[[#This Row],[FIN DE SEMANA]])</f>
        <v>1052-2TNO</v>
      </c>
      <c r="D275" s="360" t="str">
        <f>CONCATENATE(VOL_VOLUMEN_SUMINISTROS[[#This Row],[Grupo]],VOL_VOLUMEN_SUMINISTROS[[#This Row],[Proyecto]],VOL_VOLUMEN_SUMINISTROS[[#This Row],[FIN DE SEMANA]])</f>
        <v>91052-2NO</v>
      </c>
      <c r="E275" s="30" t="s">
        <v>182</v>
      </c>
      <c r="F275" s="30" t="s">
        <v>147</v>
      </c>
      <c r="G275" s="360">
        <v>9</v>
      </c>
      <c r="H275" s="30">
        <v>6</v>
      </c>
      <c r="I275" s="9" t="s">
        <v>242</v>
      </c>
      <c r="J275" s="9" t="s">
        <v>279</v>
      </c>
      <c r="K275" s="30">
        <v>1</v>
      </c>
      <c r="L275" s="9" t="s">
        <v>280</v>
      </c>
      <c r="M275" s="30" t="s">
        <v>84</v>
      </c>
      <c r="N275" s="30" t="s">
        <v>154</v>
      </c>
      <c r="O275" s="24">
        <v>94</v>
      </c>
      <c r="P275" s="24">
        <v>0</v>
      </c>
      <c r="Q275" s="24">
        <v>0</v>
      </c>
      <c r="R275" s="24">
        <v>0</v>
      </c>
      <c r="S275" s="24">
        <v>0</v>
      </c>
      <c r="T275" s="24">
        <v>94</v>
      </c>
    </row>
    <row r="276" spans="1:20">
      <c r="A276" s="9" t="s">
        <v>218</v>
      </c>
      <c r="B276" s="30" t="s">
        <v>304</v>
      </c>
      <c r="C276" s="30" t="str">
        <f>CONCATENATE(VOL_VOLUMEN_SUMINISTROS[[#This Row],[Proyecto]],VOL_VOLUMEN_SUMINISTROS[[#This Row],[J]],VOL_VOLUMEN_SUMINISTROS[[#This Row],[FIN DE SEMANA]])</f>
        <v>1052-2MNO</v>
      </c>
      <c r="D276" s="360" t="str">
        <f>CONCATENATE(VOL_VOLUMEN_SUMINISTROS[[#This Row],[Grupo]],VOL_VOLUMEN_SUMINISTROS[[#This Row],[Proyecto]],VOL_VOLUMEN_SUMINISTROS[[#This Row],[FIN DE SEMANA]])</f>
        <v>91052-2NO</v>
      </c>
      <c r="E276" s="30" t="s">
        <v>182</v>
      </c>
      <c r="F276" s="30" t="s">
        <v>147</v>
      </c>
      <c r="G276" s="360">
        <v>9</v>
      </c>
      <c r="H276" s="30">
        <v>6</v>
      </c>
      <c r="I276" s="9" t="s">
        <v>242</v>
      </c>
      <c r="J276" s="9" t="s">
        <v>245</v>
      </c>
      <c r="K276" s="30">
        <v>2</v>
      </c>
      <c r="L276" s="9" t="s">
        <v>247</v>
      </c>
      <c r="M276" s="30" t="s">
        <v>84</v>
      </c>
      <c r="N276" s="30" t="s">
        <v>151</v>
      </c>
      <c r="O276" s="24">
        <v>160</v>
      </c>
      <c r="P276" s="24">
        <v>0</v>
      </c>
      <c r="Q276" s="24">
        <v>0</v>
      </c>
      <c r="R276" s="24">
        <v>0</v>
      </c>
      <c r="S276" s="24">
        <v>0</v>
      </c>
      <c r="T276" s="24">
        <v>160</v>
      </c>
    </row>
    <row r="277" spans="1:20">
      <c r="A277" s="9" t="s">
        <v>305</v>
      </c>
      <c r="B277" s="30" t="s">
        <v>306</v>
      </c>
      <c r="C277" s="30" t="str">
        <f>CONCATENATE(VOL_VOLUMEN_SUMINISTROS[[#This Row],[Proyecto]],VOL_VOLUMEN_SUMINISTROS[[#This Row],[J]],VOL_VOLUMEN_SUMINISTROS[[#This Row],[FIN DE SEMANA]])</f>
        <v>1052-1MNO</v>
      </c>
      <c r="D277" s="360" t="str">
        <f>CONCATENATE(VOL_VOLUMEN_SUMINISTROS[[#This Row],[Grupo]],VOL_VOLUMEN_SUMINISTROS[[#This Row],[Proyecto]],VOL_VOLUMEN_SUMINISTROS[[#This Row],[FIN DE SEMANA]])</f>
        <v>241052-1NO</v>
      </c>
      <c r="E277" s="30" t="s">
        <v>146</v>
      </c>
      <c r="F277" s="30" t="s">
        <v>147</v>
      </c>
      <c r="G277" s="360">
        <v>24</v>
      </c>
      <c r="H277" s="30">
        <v>18</v>
      </c>
      <c r="I277" s="9" t="s">
        <v>307</v>
      </c>
      <c r="J277" s="9" t="s">
        <v>308</v>
      </c>
      <c r="K277" s="30">
        <v>1</v>
      </c>
      <c r="L277" s="9" t="s">
        <v>309</v>
      </c>
      <c r="M277" s="30" t="s">
        <v>84</v>
      </c>
      <c r="N277" s="30" t="s">
        <v>151</v>
      </c>
      <c r="O277" s="24">
        <v>0</v>
      </c>
      <c r="P277" s="24">
        <v>249</v>
      </c>
      <c r="Q277" s="24">
        <v>583</v>
      </c>
      <c r="R277" s="24">
        <v>0</v>
      </c>
      <c r="S277" s="24">
        <v>0</v>
      </c>
      <c r="T277" s="24">
        <v>832</v>
      </c>
    </row>
    <row r="278" spans="1:20">
      <c r="A278" s="9" t="s">
        <v>305</v>
      </c>
      <c r="B278" s="30" t="s">
        <v>306</v>
      </c>
      <c r="C278" s="30" t="str">
        <f>CONCATENATE(VOL_VOLUMEN_SUMINISTROS[[#This Row],[Proyecto]],VOL_VOLUMEN_SUMINISTROS[[#This Row],[J]],VOL_VOLUMEN_SUMINISTROS[[#This Row],[FIN DE SEMANA]])</f>
        <v>1052-1NNO</v>
      </c>
      <c r="D278" s="360" t="str">
        <f>CONCATENATE(VOL_VOLUMEN_SUMINISTROS[[#This Row],[Grupo]],VOL_VOLUMEN_SUMINISTROS[[#This Row],[Proyecto]],VOL_VOLUMEN_SUMINISTROS[[#This Row],[FIN DE SEMANA]])</f>
        <v>241052-1NO</v>
      </c>
      <c r="E278" s="30" t="s">
        <v>146</v>
      </c>
      <c r="F278" s="30" t="s">
        <v>147</v>
      </c>
      <c r="G278" s="360">
        <v>24</v>
      </c>
      <c r="H278" s="30">
        <v>18</v>
      </c>
      <c r="I278" s="9" t="s">
        <v>307</v>
      </c>
      <c r="J278" s="9" t="s">
        <v>308</v>
      </c>
      <c r="K278" s="30">
        <v>1</v>
      </c>
      <c r="L278" s="9" t="s">
        <v>309</v>
      </c>
      <c r="M278" s="30" t="s">
        <v>84</v>
      </c>
      <c r="N278" s="30" t="s">
        <v>153</v>
      </c>
      <c r="O278" s="24">
        <v>0</v>
      </c>
      <c r="P278" s="24">
        <v>0</v>
      </c>
      <c r="Q278" s="24">
        <v>0</v>
      </c>
      <c r="R278" s="24">
        <v>90</v>
      </c>
      <c r="S278" s="24">
        <v>63</v>
      </c>
      <c r="T278" s="24">
        <v>153</v>
      </c>
    </row>
    <row r="279" spans="1:20">
      <c r="A279" s="9" t="s">
        <v>305</v>
      </c>
      <c r="B279" s="30" t="s">
        <v>306</v>
      </c>
      <c r="C279" s="30" t="str">
        <f>CONCATENATE(VOL_VOLUMEN_SUMINISTROS[[#This Row],[Proyecto]],VOL_VOLUMEN_SUMINISTROS[[#This Row],[J]],VOL_VOLUMEN_SUMINISTROS[[#This Row],[FIN DE SEMANA]])</f>
        <v>1052-1TNO</v>
      </c>
      <c r="D279" s="360" t="str">
        <f>CONCATENATE(VOL_VOLUMEN_SUMINISTROS[[#This Row],[Grupo]],VOL_VOLUMEN_SUMINISTROS[[#This Row],[Proyecto]],VOL_VOLUMEN_SUMINISTROS[[#This Row],[FIN DE SEMANA]])</f>
        <v>241052-1NO</v>
      </c>
      <c r="E279" s="30" t="s">
        <v>146</v>
      </c>
      <c r="F279" s="30" t="s">
        <v>147</v>
      </c>
      <c r="G279" s="360">
        <v>24</v>
      </c>
      <c r="H279" s="30">
        <v>18</v>
      </c>
      <c r="I279" s="9" t="s">
        <v>307</v>
      </c>
      <c r="J279" s="9" t="s">
        <v>308</v>
      </c>
      <c r="K279" s="30">
        <v>1</v>
      </c>
      <c r="L279" s="9" t="s">
        <v>309</v>
      </c>
      <c r="M279" s="30" t="s">
        <v>84</v>
      </c>
      <c r="N279" s="30" t="s">
        <v>154</v>
      </c>
      <c r="O279" s="24">
        <v>0</v>
      </c>
      <c r="P279" s="24">
        <v>222</v>
      </c>
      <c r="Q279" s="24">
        <v>199</v>
      </c>
      <c r="R279" s="24">
        <v>0</v>
      </c>
      <c r="S279" s="24">
        <v>0</v>
      </c>
      <c r="T279" s="24">
        <v>421</v>
      </c>
    </row>
    <row r="280" spans="1:20">
      <c r="A280" s="9" t="s">
        <v>305</v>
      </c>
      <c r="B280" s="30" t="s">
        <v>306</v>
      </c>
      <c r="C280" s="30" t="str">
        <f>CONCATENATE(VOL_VOLUMEN_SUMINISTROS[[#This Row],[Proyecto]],VOL_VOLUMEN_SUMINISTROS[[#This Row],[J]],VOL_VOLUMEN_SUMINISTROS[[#This Row],[FIN DE SEMANA]])</f>
        <v>1052-1MNO</v>
      </c>
      <c r="D280" s="360" t="str">
        <f>CONCATENATE(VOL_VOLUMEN_SUMINISTROS[[#This Row],[Grupo]],VOL_VOLUMEN_SUMINISTROS[[#This Row],[Proyecto]],VOL_VOLUMEN_SUMINISTROS[[#This Row],[FIN DE SEMANA]])</f>
        <v>241052-1NO</v>
      </c>
      <c r="E280" s="30" t="s">
        <v>146</v>
      </c>
      <c r="F280" s="30" t="s">
        <v>147</v>
      </c>
      <c r="G280" s="360">
        <v>24</v>
      </c>
      <c r="H280" s="30">
        <v>18</v>
      </c>
      <c r="I280" s="9" t="s">
        <v>307</v>
      </c>
      <c r="J280" s="9" t="s">
        <v>308</v>
      </c>
      <c r="K280" s="30">
        <v>2</v>
      </c>
      <c r="L280" s="9" t="s">
        <v>310</v>
      </c>
      <c r="M280" s="30" t="s">
        <v>84</v>
      </c>
      <c r="N280" s="30" t="s">
        <v>151</v>
      </c>
      <c r="O280" s="24">
        <v>180</v>
      </c>
      <c r="P280" s="24">
        <v>162</v>
      </c>
      <c r="Q280" s="24">
        <v>24</v>
      </c>
      <c r="R280" s="24">
        <v>0</v>
      </c>
      <c r="S280" s="24">
        <v>0</v>
      </c>
      <c r="T280" s="24">
        <v>366</v>
      </c>
    </row>
    <row r="281" spans="1:20">
      <c r="A281" s="9" t="s">
        <v>305</v>
      </c>
      <c r="B281" s="30" t="s">
        <v>306</v>
      </c>
      <c r="C281" s="30" t="str">
        <f>CONCATENATE(VOL_VOLUMEN_SUMINISTROS[[#This Row],[Proyecto]],VOL_VOLUMEN_SUMINISTROS[[#This Row],[J]],VOL_VOLUMEN_SUMINISTROS[[#This Row],[FIN DE SEMANA]])</f>
        <v>1052-1TNO</v>
      </c>
      <c r="D281" s="360" t="str">
        <f>CONCATENATE(VOL_VOLUMEN_SUMINISTROS[[#This Row],[Grupo]],VOL_VOLUMEN_SUMINISTROS[[#This Row],[Proyecto]],VOL_VOLUMEN_SUMINISTROS[[#This Row],[FIN DE SEMANA]])</f>
        <v>241052-1NO</v>
      </c>
      <c r="E281" s="30" t="s">
        <v>146</v>
      </c>
      <c r="F281" s="30" t="s">
        <v>147</v>
      </c>
      <c r="G281" s="360">
        <v>24</v>
      </c>
      <c r="H281" s="30">
        <v>18</v>
      </c>
      <c r="I281" s="9" t="s">
        <v>307</v>
      </c>
      <c r="J281" s="9" t="s">
        <v>308</v>
      </c>
      <c r="K281" s="30">
        <v>2</v>
      </c>
      <c r="L281" s="9" t="s">
        <v>310</v>
      </c>
      <c r="M281" s="30" t="s">
        <v>84</v>
      </c>
      <c r="N281" s="30" t="s">
        <v>154</v>
      </c>
      <c r="O281" s="24">
        <v>160</v>
      </c>
      <c r="P281" s="24">
        <v>155</v>
      </c>
      <c r="Q281" s="24">
        <v>25</v>
      </c>
      <c r="R281" s="24">
        <v>0</v>
      </c>
      <c r="S281" s="24">
        <v>0</v>
      </c>
      <c r="T281" s="24">
        <v>340</v>
      </c>
    </row>
    <row r="282" spans="1:20">
      <c r="A282" s="9" t="s">
        <v>305</v>
      </c>
      <c r="B282" s="30" t="s">
        <v>306</v>
      </c>
      <c r="C282" s="30" t="str">
        <f>CONCATENATE(VOL_VOLUMEN_SUMINISTROS[[#This Row],[Proyecto]],VOL_VOLUMEN_SUMINISTROS[[#This Row],[J]],VOL_VOLUMEN_SUMINISTROS[[#This Row],[FIN DE SEMANA]])</f>
        <v>1052-1MNO</v>
      </c>
      <c r="D282" s="360" t="str">
        <f>CONCATENATE(VOL_VOLUMEN_SUMINISTROS[[#This Row],[Grupo]],VOL_VOLUMEN_SUMINISTROS[[#This Row],[Proyecto]],VOL_VOLUMEN_SUMINISTROS[[#This Row],[FIN DE SEMANA]])</f>
        <v>241052-1NO</v>
      </c>
      <c r="E282" s="30" t="s">
        <v>146</v>
      </c>
      <c r="F282" s="30" t="s">
        <v>147</v>
      </c>
      <c r="G282" s="360">
        <v>24</v>
      </c>
      <c r="H282" s="30">
        <v>18</v>
      </c>
      <c r="I282" s="9" t="s">
        <v>307</v>
      </c>
      <c r="J282" s="9" t="s">
        <v>308</v>
      </c>
      <c r="K282" s="30">
        <v>4</v>
      </c>
      <c r="L282" s="9" t="s">
        <v>225</v>
      </c>
      <c r="M282" s="30" t="s">
        <v>84</v>
      </c>
      <c r="N282" s="30" t="s">
        <v>151</v>
      </c>
      <c r="O282" s="24">
        <v>228</v>
      </c>
      <c r="P282" s="24">
        <v>31</v>
      </c>
      <c r="Q282" s="24">
        <v>0</v>
      </c>
      <c r="R282" s="24">
        <v>0</v>
      </c>
      <c r="S282" s="24">
        <v>0</v>
      </c>
      <c r="T282" s="24">
        <v>259</v>
      </c>
    </row>
    <row r="283" spans="1:20">
      <c r="A283" s="9" t="s">
        <v>305</v>
      </c>
      <c r="B283" s="30" t="s">
        <v>306</v>
      </c>
      <c r="C283" s="30" t="str">
        <f>CONCATENATE(VOL_VOLUMEN_SUMINISTROS[[#This Row],[Proyecto]],VOL_VOLUMEN_SUMINISTROS[[#This Row],[J]],VOL_VOLUMEN_SUMINISTROS[[#This Row],[FIN DE SEMANA]])</f>
        <v>1052-1TNO</v>
      </c>
      <c r="D283" s="360" t="str">
        <f>CONCATENATE(VOL_VOLUMEN_SUMINISTROS[[#This Row],[Grupo]],VOL_VOLUMEN_SUMINISTROS[[#This Row],[Proyecto]],VOL_VOLUMEN_SUMINISTROS[[#This Row],[FIN DE SEMANA]])</f>
        <v>241052-1NO</v>
      </c>
      <c r="E283" s="30" t="s">
        <v>146</v>
      </c>
      <c r="F283" s="30" t="s">
        <v>147</v>
      </c>
      <c r="G283" s="360">
        <v>24</v>
      </c>
      <c r="H283" s="30">
        <v>18</v>
      </c>
      <c r="I283" s="9" t="s">
        <v>307</v>
      </c>
      <c r="J283" s="9" t="s">
        <v>308</v>
      </c>
      <c r="K283" s="30">
        <v>4</v>
      </c>
      <c r="L283" s="9" t="s">
        <v>225</v>
      </c>
      <c r="M283" s="30" t="s">
        <v>84</v>
      </c>
      <c r="N283" s="30" t="s">
        <v>154</v>
      </c>
      <c r="O283" s="24">
        <v>226</v>
      </c>
      <c r="P283" s="24">
        <v>11</v>
      </c>
      <c r="Q283" s="24">
        <v>0</v>
      </c>
      <c r="R283" s="24">
        <v>0</v>
      </c>
      <c r="S283" s="24">
        <v>0</v>
      </c>
      <c r="T283" s="24">
        <v>237</v>
      </c>
    </row>
    <row r="284" spans="1:20">
      <c r="A284" s="9" t="s">
        <v>305</v>
      </c>
      <c r="B284" s="30" t="s">
        <v>306</v>
      </c>
      <c r="C284" s="30" t="str">
        <f>CONCATENATE(VOL_VOLUMEN_SUMINISTROS[[#This Row],[Proyecto]],VOL_VOLUMEN_SUMINISTROS[[#This Row],[J]],VOL_VOLUMEN_SUMINISTROS[[#This Row],[FIN DE SEMANA]])</f>
        <v>1052-1MNO</v>
      </c>
      <c r="D284" s="360" t="str">
        <f>CONCATENATE(VOL_VOLUMEN_SUMINISTROS[[#This Row],[Grupo]],VOL_VOLUMEN_SUMINISTROS[[#This Row],[Proyecto]],VOL_VOLUMEN_SUMINISTROS[[#This Row],[FIN DE SEMANA]])</f>
        <v>241052-1NO</v>
      </c>
      <c r="E284" s="30" t="s">
        <v>146</v>
      </c>
      <c r="F284" s="30" t="s">
        <v>147</v>
      </c>
      <c r="G284" s="360">
        <v>24</v>
      </c>
      <c r="H284" s="30">
        <v>18</v>
      </c>
      <c r="I284" s="9" t="s">
        <v>307</v>
      </c>
      <c r="J284" s="9" t="s">
        <v>311</v>
      </c>
      <c r="K284" s="30">
        <v>1</v>
      </c>
      <c r="L284" s="9" t="s">
        <v>312</v>
      </c>
      <c r="M284" s="30" t="s">
        <v>84</v>
      </c>
      <c r="N284" s="30" t="s">
        <v>151</v>
      </c>
      <c r="O284" s="24">
        <v>635</v>
      </c>
      <c r="P284" s="24">
        <v>868</v>
      </c>
      <c r="Q284" s="24">
        <v>1016</v>
      </c>
      <c r="R284" s="24">
        <v>0</v>
      </c>
      <c r="S284" s="24">
        <v>0</v>
      </c>
      <c r="T284" s="24">
        <v>2519</v>
      </c>
    </row>
    <row r="285" spans="1:20">
      <c r="A285" s="9" t="s">
        <v>305</v>
      </c>
      <c r="B285" s="30" t="s">
        <v>306</v>
      </c>
      <c r="C285" s="30" t="str">
        <f>CONCATENATE(VOL_VOLUMEN_SUMINISTROS[[#This Row],[Proyecto]],VOL_VOLUMEN_SUMINISTROS[[#This Row],[J]],VOL_VOLUMEN_SUMINISTROS[[#This Row],[FIN DE SEMANA]])</f>
        <v>1052-1NNO</v>
      </c>
      <c r="D285" s="360" t="str">
        <f>CONCATENATE(VOL_VOLUMEN_SUMINISTROS[[#This Row],[Grupo]],VOL_VOLUMEN_SUMINISTROS[[#This Row],[Proyecto]],VOL_VOLUMEN_SUMINISTROS[[#This Row],[FIN DE SEMANA]])</f>
        <v>241052-1NO</v>
      </c>
      <c r="E285" s="30" t="s">
        <v>146</v>
      </c>
      <c r="F285" s="30" t="s">
        <v>147</v>
      </c>
      <c r="G285" s="360">
        <v>24</v>
      </c>
      <c r="H285" s="30">
        <v>18</v>
      </c>
      <c r="I285" s="9" t="s">
        <v>307</v>
      </c>
      <c r="J285" s="9" t="s">
        <v>311</v>
      </c>
      <c r="K285" s="30">
        <v>1</v>
      </c>
      <c r="L285" s="9" t="s">
        <v>312</v>
      </c>
      <c r="M285" s="30" t="s">
        <v>84</v>
      </c>
      <c r="N285" s="30" t="s">
        <v>153</v>
      </c>
      <c r="O285" s="24">
        <v>0</v>
      </c>
      <c r="P285" s="24">
        <v>0</v>
      </c>
      <c r="Q285" s="24">
        <v>0</v>
      </c>
      <c r="R285" s="24">
        <v>252</v>
      </c>
      <c r="S285" s="24">
        <v>0</v>
      </c>
      <c r="T285" s="24">
        <v>252</v>
      </c>
    </row>
    <row r="286" spans="1:20">
      <c r="A286" s="9" t="s">
        <v>305</v>
      </c>
      <c r="B286" s="30" t="s">
        <v>306</v>
      </c>
      <c r="C286" s="30" t="str">
        <f>CONCATENATE(VOL_VOLUMEN_SUMINISTROS[[#This Row],[Proyecto]],VOL_VOLUMEN_SUMINISTROS[[#This Row],[J]],VOL_VOLUMEN_SUMINISTROS[[#This Row],[FIN DE SEMANA]])</f>
        <v>1052-1TNO</v>
      </c>
      <c r="D286" s="360" t="str">
        <f>CONCATENATE(VOL_VOLUMEN_SUMINISTROS[[#This Row],[Grupo]],VOL_VOLUMEN_SUMINISTROS[[#This Row],[Proyecto]],VOL_VOLUMEN_SUMINISTROS[[#This Row],[FIN DE SEMANA]])</f>
        <v>241052-1NO</v>
      </c>
      <c r="E286" s="30" t="s">
        <v>146</v>
      </c>
      <c r="F286" s="30" t="s">
        <v>147</v>
      </c>
      <c r="G286" s="360">
        <v>24</v>
      </c>
      <c r="H286" s="30">
        <v>18</v>
      </c>
      <c r="I286" s="9" t="s">
        <v>307</v>
      </c>
      <c r="J286" s="9" t="s">
        <v>311</v>
      </c>
      <c r="K286" s="30">
        <v>1</v>
      </c>
      <c r="L286" s="9" t="s">
        <v>312</v>
      </c>
      <c r="M286" s="30" t="s">
        <v>84</v>
      </c>
      <c r="N286" s="30" t="s">
        <v>154</v>
      </c>
      <c r="O286" s="24">
        <v>598</v>
      </c>
      <c r="P286" s="24">
        <v>855</v>
      </c>
      <c r="Q286" s="24">
        <v>947</v>
      </c>
      <c r="R286" s="24">
        <v>0</v>
      </c>
      <c r="S286" s="24">
        <v>0</v>
      </c>
      <c r="T286" s="24">
        <v>2400</v>
      </c>
    </row>
    <row r="287" spans="1:20">
      <c r="A287" s="9" t="s">
        <v>305</v>
      </c>
      <c r="B287" s="30" t="s">
        <v>306</v>
      </c>
      <c r="C287" s="30" t="str">
        <f>CONCATENATE(VOL_VOLUMEN_SUMINISTROS[[#This Row],[Proyecto]],VOL_VOLUMEN_SUMINISTROS[[#This Row],[J]],VOL_VOLUMEN_SUMINISTROS[[#This Row],[FIN DE SEMANA]])</f>
        <v>1052-1MNO</v>
      </c>
      <c r="D287" s="360" t="str">
        <f>CONCATENATE(VOL_VOLUMEN_SUMINISTROS[[#This Row],[Grupo]],VOL_VOLUMEN_SUMINISTROS[[#This Row],[Proyecto]],VOL_VOLUMEN_SUMINISTROS[[#This Row],[FIN DE SEMANA]])</f>
        <v>241052-1NO</v>
      </c>
      <c r="E287" s="30" t="s">
        <v>146</v>
      </c>
      <c r="F287" s="30" t="s">
        <v>147</v>
      </c>
      <c r="G287" s="360">
        <v>24</v>
      </c>
      <c r="H287" s="30">
        <v>18</v>
      </c>
      <c r="I287" s="9" t="s">
        <v>307</v>
      </c>
      <c r="J287" s="9" t="s">
        <v>313</v>
      </c>
      <c r="K287" s="30">
        <v>1</v>
      </c>
      <c r="L287" s="9" t="s">
        <v>314</v>
      </c>
      <c r="M287" s="30" t="s">
        <v>84</v>
      </c>
      <c r="N287" s="30" t="s">
        <v>151</v>
      </c>
      <c r="O287" s="24">
        <v>288</v>
      </c>
      <c r="P287" s="24">
        <v>472</v>
      </c>
      <c r="Q287" s="24">
        <v>627</v>
      </c>
      <c r="R287" s="24">
        <v>0</v>
      </c>
      <c r="S287" s="24">
        <v>0</v>
      </c>
      <c r="T287" s="24">
        <v>1387</v>
      </c>
    </row>
    <row r="288" spans="1:20">
      <c r="A288" s="9" t="s">
        <v>305</v>
      </c>
      <c r="B288" s="30" t="s">
        <v>306</v>
      </c>
      <c r="C288" s="30" t="str">
        <f>CONCATENATE(VOL_VOLUMEN_SUMINISTROS[[#This Row],[Proyecto]],VOL_VOLUMEN_SUMINISTROS[[#This Row],[J]],VOL_VOLUMEN_SUMINISTROS[[#This Row],[FIN DE SEMANA]])</f>
        <v>1052-1TNO</v>
      </c>
      <c r="D288" s="360" t="str">
        <f>CONCATENATE(VOL_VOLUMEN_SUMINISTROS[[#This Row],[Grupo]],VOL_VOLUMEN_SUMINISTROS[[#This Row],[Proyecto]],VOL_VOLUMEN_SUMINISTROS[[#This Row],[FIN DE SEMANA]])</f>
        <v>241052-1NO</v>
      </c>
      <c r="E288" s="30" t="s">
        <v>146</v>
      </c>
      <c r="F288" s="30" t="s">
        <v>147</v>
      </c>
      <c r="G288" s="360">
        <v>24</v>
      </c>
      <c r="H288" s="30">
        <v>18</v>
      </c>
      <c r="I288" s="9" t="s">
        <v>307</v>
      </c>
      <c r="J288" s="9" t="s">
        <v>313</v>
      </c>
      <c r="K288" s="30">
        <v>1</v>
      </c>
      <c r="L288" s="9" t="s">
        <v>314</v>
      </c>
      <c r="M288" s="30" t="s">
        <v>84</v>
      </c>
      <c r="N288" s="30" t="s">
        <v>154</v>
      </c>
      <c r="O288" s="24">
        <v>283</v>
      </c>
      <c r="P288" s="24">
        <v>471</v>
      </c>
      <c r="Q288" s="24">
        <v>512</v>
      </c>
      <c r="R288" s="24">
        <v>0</v>
      </c>
      <c r="S288" s="24">
        <v>0</v>
      </c>
      <c r="T288" s="24">
        <v>1266</v>
      </c>
    </row>
    <row r="289" spans="1:20">
      <c r="A289" s="9" t="s">
        <v>305</v>
      </c>
      <c r="B289" s="30" t="s">
        <v>306</v>
      </c>
      <c r="C289" s="30" t="str">
        <f>CONCATENATE(VOL_VOLUMEN_SUMINISTROS[[#This Row],[Proyecto]],VOL_VOLUMEN_SUMINISTROS[[#This Row],[J]],VOL_VOLUMEN_SUMINISTROS[[#This Row],[FIN DE SEMANA]])</f>
        <v>1052-1TNO</v>
      </c>
      <c r="D289" s="360" t="str">
        <f>CONCATENATE(VOL_VOLUMEN_SUMINISTROS[[#This Row],[Grupo]],VOL_VOLUMEN_SUMINISTROS[[#This Row],[Proyecto]],VOL_VOLUMEN_SUMINISTROS[[#This Row],[FIN DE SEMANA]])</f>
        <v>241052-1NO</v>
      </c>
      <c r="E289" s="30" t="s">
        <v>146</v>
      </c>
      <c r="F289" s="30" t="s">
        <v>147</v>
      </c>
      <c r="G289" s="360">
        <v>24</v>
      </c>
      <c r="H289" s="30">
        <v>18</v>
      </c>
      <c r="I289" s="9" t="s">
        <v>307</v>
      </c>
      <c r="J289" s="9" t="s">
        <v>313</v>
      </c>
      <c r="K289" s="30">
        <v>2</v>
      </c>
      <c r="L289" s="9" t="s">
        <v>315</v>
      </c>
      <c r="M289" s="30" t="s">
        <v>84</v>
      </c>
      <c r="N289" s="30" t="s">
        <v>154</v>
      </c>
      <c r="O289" s="24">
        <v>135</v>
      </c>
      <c r="P289" s="24">
        <v>136</v>
      </c>
      <c r="Q289" s="24">
        <v>27</v>
      </c>
      <c r="R289" s="24">
        <v>0</v>
      </c>
      <c r="S289" s="24">
        <v>0</v>
      </c>
      <c r="T289" s="24">
        <v>298</v>
      </c>
    </row>
    <row r="290" spans="1:20">
      <c r="A290" s="9" t="s">
        <v>305</v>
      </c>
      <c r="B290" s="30" t="s">
        <v>306</v>
      </c>
      <c r="C290" s="30" t="str">
        <f>CONCATENATE(VOL_VOLUMEN_SUMINISTROS[[#This Row],[Proyecto]],VOL_VOLUMEN_SUMINISTROS[[#This Row],[J]],VOL_VOLUMEN_SUMINISTROS[[#This Row],[FIN DE SEMANA]])</f>
        <v>1052-1MNO</v>
      </c>
      <c r="D290" s="360" t="str">
        <f>CONCATENATE(VOL_VOLUMEN_SUMINISTROS[[#This Row],[Grupo]],VOL_VOLUMEN_SUMINISTROS[[#This Row],[Proyecto]],VOL_VOLUMEN_SUMINISTROS[[#This Row],[FIN DE SEMANA]])</f>
        <v>241052-1NO</v>
      </c>
      <c r="E290" s="30" t="s">
        <v>146</v>
      </c>
      <c r="F290" s="30" t="s">
        <v>147</v>
      </c>
      <c r="G290" s="360">
        <v>24</v>
      </c>
      <c r="H290" s="30">
        <v>18</v>
      </c>
      <c r="I290" s="9" t="s">
        <v>307</v>
      </c>
      <c r="J290" s="9" t="s">
        <v>316</v>
      </c>
      <c r="K290" s="30">
        <v>1</v>
      </c>
      <c r="L290" s="9" t="s">
        <v>317</v>
      </c>
      <c r="M290" s="30" t="s">
        <v>84</v>
      </c>
      <c r="N290" s="30" t="s">
        <v>151</v>
      </c>
      <c r="O290" s="24">
        <v>295</v>
      </c>
      <c r="P290" s="24">
        <v>397</v>
      </c>
      <c r="Q290" s="24">
        <v>475</v>
      </c>
      <c r="R290" s="24">
        <v>0</v>
      </c>
      <c r="S290" s="24">
        <v>0</v>
      </c>
      <c r="T290" s="24">
        <v>1167</v>
      </c>
    </row>
    <row r="291" spans="1:20">
      <c r="A291" s="9" t="s">
        <v>305</v>
      </c>
      <c r="B291" s="30" t="s">
        <v>306</v>
      </c>
      <c r="C291" s="30" t="str">
        <f>CONCATENATE(VOL_VOLUMEN_SUMINISTROS[[#This Row],[Proyecto]],VOL_VOLUMEN_SUMINISTROS[[#This Row],[J]],VOL_VOLUMEN_SUMINISTROS[[#This Row],[FIN DE SEMANA]])</f>
        <v>1052-1TNO</v>
      </c>
      <c r="D291" s="360" t="str">
        <f>CONCATENATE(VOL_VOLUMEN_SUMINISTROS[[#This Row],[Grupo]],VOL_VOLUMEN_SUMINISTROS[[#This Row],[Proyecto]],VOL_VOLUMEN_SUMINISTROS[[#This Row],[FIN DE SEMANA]])</f>
        <v>241052-1NO</v>
      </c>
      <c r="E291" s="30" t="s">
        <v>146</v>
      </c>
      <c r="F291" s="30" t="s">
        <v>147</v>
      </c>
      <c r="G291" s="360">
        <v>24</v>
      </c>
      <c r="H291" s="30">
        <v>18</v>
      </c>
      <c r="I291" s="9" t="s">
        <v>307</v>
      </c>
      <c r="J291" s="9" t="s">
        <v>316</v>
      </c>
      <c r="K291" s="30">
        <v>1</v>
      </c>
      <c r="L291" s="9" t="s">
        <v>317</v>
      </c>
      <c r="M291" s="30" t="s">
        <v>84</v>
      </c>
      <c r="N291" s="30" t="s">
        <v>154</v>
      </c>
      <c r="O291" s="24">
        <v>273</v>
      </c>
      <c r="P291" s="24">
        <v>301</v>
      </c>
      <c r="Q291" s="24">
        <v>316</v>
      </c>
      <c r="R291" s="24">
        <v>0</v>
      </c>
      <c r="S291" s="24">
        <v>0</v>
      </c>
      <c r="T291" s="24">
        <v>890</v>
      </c>
    </row>
    <row r="292" spans="1:20">
      <c r="A292" s="9" t="s">
        <v>305</v>
      </c>
      <c r="B292" s="30" t="s">
        <v>306</v>
      </c>
      <c r="C292" s="30" t="str">
        <f>CONCATENATE(VOL_VOLUMEN_SUMINISTROS[[#This Row],[Proyecto]],VOL_VOLUMEN_SUMINISTROS[[#This Row],[J]],VOL_VOLUMEN_SUMINISTROS[[#This Row],[FIN DE SEMANA]])</f>
        <v>1052-1MNO</v>
      </c>
      <c r="D292" s="360" t="str">
        <f>CONCATENATE(VOL_VOLUMEN_SUMINISTROS[[#This Row],[Grupo]],VOL_VOLUMEN_SUMINISTROS[[#This Row],[Proyecto]],VOL_VOLUMEN_SUMINISTROS[[#This Row],[FIN DE SEMANA]])</f>
        <v>241052-1NO</v>
      </c>
      <c r="E292" s="30" t="s">
        <v>146</v>
      </c>
      <c r="F292" s="30" t="s">
        <v>147</v>
      </c>
      <c r="G292" s="360">
        <v>24</v>
      </c>
      <c r="H292" s="30">
        <v>18</v>
      </c>
      <c r="I292" s="9" t="s">
        <v>307</v>
      </c>
      <c r="J292" s="9" t="s">
        <v>318</v>
      </c>
      <c r="K292" s="30">
        <v>1</v>
      </c>
      <c r="L292" s="9" t="s">
        <v>319</v>
      </c>
      <c r="M292" s="30" t="s">
        <v>84</v>
      </c>
      <c r="N292" s="30" t="s">
        <v>151</v>
      </c>
      <c r="O292" s="24">
        <v>42</v>
      </c>
      <c r="P292" s="24">
        <v>282</v>
      </c>
      <c r="Q292" s="24">
        <v>439</v>
      </c>
      <c r="R292" s="24">
        <v>0</v>
      </c>
      <c r="S292" s="24">
        <v>0</v>
      </c>
      <c r="T292" s="24">
        <v>763</v>
      </c>
    </row>
    <row r="293" spans="1:20">
      <c r="A293" s="9" t="s">
        <v>305</v>
      </c>
      <c r="B293" s="30" t="s">
        <v>306</v>
      </c>
      <c r="C293" s="30" t="str">
        <f>CONCATENATE(VOL_VOLUMEN_SUMINISTROS[[#This Row],[Proyecto]],VOL_VOLUMEN_SUMINISTROS[[#This Row],[J]],VOL_VOLUMEN_SUMINISTROS[[#This Row],[FIN DE SEMANA]])</f>
        <v>1052-1TNO</v>
      </c>
      <c r="D293" s="360" t="str">
        <f>CONCATENATE(VOL_VOLUMEN_SUMINISTROS[[#This Row],[Grupo]],VOL_VOLUMEN_SUMINISTROS[[#This Row],[Proyecto]],VOL_VOLUMEN_SUMINISTROS[[#This Row],[FIN DE SEMANA]])</f>
        <v>241052-1NO</v>
      </c>
      <c r="E293" s="30" t="s">
        <v>146</v>
      </c>
      <c r="F293" s="30" t="s">
        <v>147</v>
      </c>
      <c r="G293" s="360">
        <v>24</v>
      </c>
      <c r="H293" s="30">
        <v>18</v>
      </c>
      <c r="I293" s="9" t="s">
        <v>307</v>
      </c>
      <c r="J293" s="9" t="s">
        <v>318</v>
      </c>
      <c r="K293" s="30">
        <v>1</v>
      </c>
      <c r="L293" s="9" t="s">
        <v>319</v>
      </c>
      <c r="M293" s="30" t="s">
        <v>84</v>
      </c>
      <c r="N293" s="30" t="s">
        <v>154</v>
      </c>
      <c r="O293" s="24">
        <v>28</v>
      </c>
      <c r="P293" s="24">
        <v>77</v>
      </c>
      <c r="Q293" s="24">
        <v>21</v>
      </c>
      <c r="R293" s="24">
        <v>0</v>
      </c>
      <c r="S293" s="24">
        <v>0</v>
      </c>
      <c r="T293" s="24">
        <v>126</v>
      </c>
    </row>
    <row r="294" spans="1:20">
      <c r="A294" s="9" t="s">
        <v>305</v>
      </c>
      <c r="B294" s="30" t="s">
        <v>306</v>
      </c>
      <c r="C294" s="30" t="str">
        <f>CONCATENATE(VOL_VOLUMEN_SUMINISTROS[[#This Row],[Proyecto]],VOL_VOLUMEN_SUMINISTROS[[#This Row],[J]],VOL_VOLUMEN_SUMINISTROS[[#This Row],[FIN DE SEMANA]])</f>
        <v>1052-1MNO</v>
      </c>
      <c r="D294" s="360" t="str">
        <f>CONCATENATE(VOL_VOLUMEN_SUMINISTROS[[#This Row],[Grupo]],VOL_VOLUMEN_SUMINISTROS[[#This Row],[Proyecto]],VOL_VOLUMEN_SUMINISTROS[[#This Row],[FIN DE SEMANA]])</f>
        <v>241052-1NO</v>
      </c>
      <c r="E294" s="30" t="s">
        <v>146</v>
      </c>
      <c r="F294" s="30" t="s">
        <v>147</v>
      </c>
      <c r="G294" s="360">
        <v>24</v>
      </c>
      <c r="H294" s="30">
        <v>18</v>
      </c>
      <c r="I294" s="9" t="s">
        <v>307</v>
      </c>
      <c r="J294" s="9" t="s">
        <v>318</v>
      </c>
      <c r="K294" s="30">
        <v>2</v>
      </c>
      <c r="L294" s="9" t="s">
        <v>320</v>
      </c>
      <c r="M294" s="30" t="s">
        <v>84</v>
      </c>
      <c r="N294" s="30" t="s">
        <v>151</v>
      </c>
      <c r="O294" s="24">
        <v>209</v>
      </c>
      <c r="P294" s="24">
        <v>44</v>
      </c>
      <c r="Q294" s="24">
        <v>0</v>
      </c>
      <c r="R294" s="24">
        <v>0</v>
      </c>
      <c r="S294" s="24">
        <v>0</v>
      </c>
      <c r="T294" s="24">
        <v>253</v>
      </c>
    </row>
    <row r="295" spans="1:20">
      <c r="A295" s="9" t="s">
        <v>305</v>
      </c>
      <c r="B295" s="30" t="s">
        <v>306</v>
      </c>
      <c r="C295" s="30" t="str">
        <f>CONCATENATE(VOL_VOLUMEN_SUMINISTROS[[#This Row],[Proyecto]],VOL_VOLUMEN_SUMINISTROS[[#This Row],[J]],VOL_VOLUMEN_SUMINISTROS[[#This Row],[FIN DE SEMANA]])</f>
        <v>1052-1TNO</v>
      </c>
      <c r="D295" s="360" t="str">
        <f>CONCATENATE(VOL_VOLUMEN_SUMINISTROS[[#This Row],[Grupo]],VOL_VOLUMEN_SUMINISTROS[[#This Row],[Proyecto]],VOL_VOLUMEN_SUMINISTROS[[#This Row],[FIN DE SEMANA]])</f>
        <v>241052-1NO</v>
      </c>
      <c r="E295" s="30" t="s">
        <v>146</v>
      </c>
      <c r="F295" s="30" t="s">
        <v>147</v>
      </c>
      <c r="G295" s="360">
        <v>24</v>
      </c>
      <c r="H295" s="30">
        <v>18</v>
      </c>
      <c r="I295" s="9" t="s">
        <v>307</v>
      </c>
      <c r="J295" s="9" t="s">
        <v>318</v>
      </c>
      <c r="K295" s="30">
        <v>2</v>
      </c>
      <c r="L295" s="9" t="s">
        <v>320</v>
      </c>
      <c r="M295" s="30" t="s">
        <v>84</v>
      </c>
      <c r="N295" s="30" t="s">
        <v>154</v>
      </c>
      <c r="O295" s="24">
        <v>62</v>
      </c>
      <c r="P295" s="24">
        <v>31</v>
      </c>
      <c r="Q295" s="24">
        <v>0</v>
      </c>
      <c r="R295" s="24">
        <v>0</v>
      </c>
      <c r="S295" s="24">
        <v>0</v>
      </c>
      <c r="T295" s="24">
        <v>93</v>
      </c>
    </row>
    <row r="296" spans="1:20">
      <c r="A296" s="9" t="s">
        <v>305</v>
      </c>
      <c r="B296" s="30" t="s">
        <v>306</v>
      </c>
      <c r="C296" s="30" t="str">
        <f>CONCATENATE(VOL_VOLUMEN_SUMINISTROS[[#This Row],[Proyecto]],VOL_VOLUMEN_SUMINISTROS[[#This Row],[J]],VOL_VOLUMEN_SUMINISTROS[[#This Row],[FIN DE SEMANA]])</f>
        <v>1052-1MNO</v>
      </c>
      <c r="D296" s="360" t="str">
        <f>CONCATENATE(VOL_VOLUMEN_SUMINISTROS[[#This Row],[Grupo]],VOL_VOLUMEN_SUMINISTROS[[#This Row],[Proyecto]],VOL_VOLUMEN_SUMINISTROS[[#This Row],[FIN DE SEMANA]])</f>
        <v>261052-1NO</v>
      </c>
      <c r="E296" s="30" t="s">
        <v>146</v>
      </c>
      <c r="F296" s="30" t="s">
        <v>147</v>
      </c>
      <c r="G296" s="360">
        <v>26</v>
      </c>
      <c r="H296" s="30">
        <v>18</v>
      </c>
      <c r="I296" s="9" t="s">
        <v>307</v>
      </c>
      <c r="J296" s="9" t="s">
        <v>321</v>
      </c>
      <c r="K296" s="30">
        <v>10</v>
      </c>
      <c r="L296" s="9" t="s">
        <v>322</v>
      </c>
      <c r="M296" s="30" t="s">
        <v>84</v>
      </c>
      <c r="N296" s="30" t="s">
        <v>151</v>
      </c>
      <c r="O296" s="24">
        <v>341</v>
      </c>
      <c r="P296" s="24">
        <v>293</v>
      </c>
      <c r="Q296" s="24">
        <v>59</v>
      </c>
      <c r="R296" s="24">
        <v>0</v>
      </c>
      <c r="S296" s="24">
        <v>0</v>
      </c>
      <c r="T296" s="24">
        <v>693</v>
      </c>
    </row>
    <row r="297" spans="1:20">
      <c r="A297" s="9" t="s">
        <v>305</v>
      </c>
      <c r="B297" s="30" t="s">
        <v>306</v>
      </c>
      <c r="C297" s="30" t="str">
        <f>CONCATENATE(VOL_VOLUMEN_SUMINISTROS[[#This Row],[Proyecto]],VOL_VOLUMEN_SUMINISTROS[[#This Row],[J]],VOL_VOLUMEN_SUMINISTROS[[#This Row],[FIN DE SEMANA]])</f>
        <v>1052-1TNO</v>
      </c>
      <c r="D297" s="360" t="str">
        <f>CONCATENATE(VOL_VOLUMEN_SUMINISTROS[[#This Row],[Grupo]],VOL_VOLUMEN_SUMINISTROS[[#This Row],[Proyecto]],VOL_VOLUMEN_SUMINISTROS[[#This Row],[FIN DE SEMANA]])</f>
        <v>261052-1NO</v>
      </c>
      <c r="E297" s="30" t="s">
        <v>146</v>
      </c>
      <c r="F297" s="30" t="s">
        <v>147</v>
      </c>
      <c r="G297" s="360">
        <v>26</v>
      </c>
      <c r="H297" s="30">
        <v>18</v>
      </c>
      <c r="I297" s="9" t="s">
        <v>307</v>
      </c>
      <c r="J297" s="9" t="s">
        <v>321</v>
      </c>
      <c r="K297" s="30">
        <v>10</v>
      </c>
      <c r="L297" s="9" t="s">
        <v>323</v>
      </c>
      <c r="M297" s="30" t="s">
        <v>84</v>
      </c>
      <c r="N297" s="30" t="s">
        <v>154</v>
      </c>
      <c r="O297" s="24">
        <v>334</v>
      </c>
      <c r="P297" s="24">
        <v>282</v>
      </c>
      <c r="Q297" s="24">
        <v>57</v>
      </c>
      <c r="R297" s="24">
        <v>0</v>
      </c>
      <c r="S297" s="24">
        <v>0</v>
      </c>
      <c r="T297" s="24">
        <v>673</v>
      </c>
    </row>
    <row r="298" spans="1:20">
      <c r="A298" s="9" t="s">
        <v>305</v>
      </c>
      <c r="B298" s="30" t="s">
        <v>306</v>
      </c>
      <c r="C298" s="30" t="str">
        <f>CONCATENATE(VOL_VOLUMEN_SUMINISTROS[[#This Row],[Proyecto]],VOL_VOLUMEN_SUMINISTROS[[#This Row],[J]],VOL_VOLUMEN_SUMINISTROS[[#This Row],[FIN DE SEMANA]])</f>
        <v>1052-1MNO</v>
      </c>
      <c r="D298" s="360" t="str">
        <f>CONCATENATE(VOL_VOLUMEN_SUMINISTROS[[#This Row],[Grupo]],VOL_VOLUMEN_SUMINISTROS[[#This Row],[Proyecto]],VOL_VOLUMEN_SUMINISTROS[[#This Row],[FIN DE SEMANA]])</f>
        <v>241052-1NO</v>
      </c>
      <c r="E298" s="30" t="s">
        <v>146</v>
      </c>
      <c r="F298" s="30" t="s">
        <v>147</v>
      </c>
      <c r="G298" s="360">
        <v>24</v>
      </c>
      <c r="H298" s="30">
        <v>18</v>
      </c>
      <c r="I298" s="9" t="s">
        <v>307</v>
      </c>
      <c r="J298" s="9" t="s">
        <v>324</v>
      </c>
      <c r="K298" s="30">
        <v>1</v>
      </c>
      <c r="L298" s="9" t="s">
        <v>325</v>
      </c>
      <c r="M298" s="30" t="s">
        <v>84</v>
      </c>
      <c r="N298" s="30" t="s">
        <v>151</v>
      </c>
      <c r="O298" s="24">
        <v>104</v>
      </c>
      <c r="P298" s="24">
        <v>118</v>
      </c>
      <c r="Q298" s="24">
        <v>27</v>
      </c>
      <c r="R298" s="24">
        <v>0</v>
      </c>
      <c r="S298" s="24">
        <v>0</v>
      </c>
      <c r="T298" s="24">
        <v>249</v>
      </c>
    </row>
    <row r="299" spans="1:20">
      <c r="A299" s="9" t="s">
        <v>305</v>
      </c>
      <c r="B299" s="30" t="s">
        <v>306</v>
      </c>
      <c r="C299" s="30" t="str">
        <f>CONCATENATE(VOL_VOLUMEN_SUMINISTROS[[#This Row],[Proyecto]],VOL_VOLUMEN_SUMINISTROS[[#This Row],[J]],VOL_VOLUMEN_SUMINISTROS[[#This Row],[FIN DE SEMANA]])</f>
        <v>1052-1TNO</v>
      </c>
      <c r="D299" s="360" t="str">
        <f>CONCATENATE(VOL_VOLUMEN_SUMINISTROS[[#This Row],[Grupo]],VOL_VOLUMEN_SUMINISTROS[[#This Row],[Proyecto]],VOL_VOLUMEN_SUMINISTROS[[#This Row],[FIN DE SEMANA]])</f>
        <v>241052-1NO</v>
      </c>
      <c r="E299" s="30" t="s">
        <v>146</v>
      </c>
      <c r="F299" s="30" t="s">
        <v>147</v>
      </c>
      <c r="G299" s="360">
        <v>24</v>
      </c>
      <c r="H299" s="30">
        <v>18</v>
      </c>
      <c r="I299" s="9" t="s">
        <v>307</v>
      </c>
      <c r="J299" s="9" t="s">
        <v>324</v>
      </c>
      <c r="K299" s="30">
        <v>1</v>
      </c>
      <c r="L299" s="9" t="s">
        <v>325</v>
      </c>
      <c r="M299" s="30" t="s">
        <v>84</v>
      </c>
      <c r="N299" s="30" t="s">
        <v>154</v>
      </c>
      <c r="O299" s="24">
        <v>126</v>
      </c>
      <c r="P299" s="24">
        <v>102</v>
      </c>
      <c r="Q299" s="24">
        <v>18</v>
      </c>
      <c r="R299" s="24">
        <v>0</v>
      </c>
      <c r="S299" s="24">
        <v>0</v>
      </c>
      <c r="T299" s="24">
        <v>246</v>
      </c>
    </row>
    <row r="300" spans="1:20">
      <c r="A300" s="9" t="s">
        <v>305</v>
      </c>
      <c r="B300" s="30" t="s">
        <v>326</v>
      </c>
      <c r="C300" s="30" t="str">
        <f>CONCATENATE(VOL_VOLUMEN_SUMINISTROS[[#This Row],[Proyecto]],VOL_VOLUMEN_SUMINISTROS[[#This Row],[J]],VOL_VOLUMEN_SUMINISTROS[[#This Row],[FIN DE SEMANA]])</f>
        <v>1052-2M1NO</v>
      </c>
      <c r="D300" s="360" t="str">
        <f>CONCATENATE(VOL_VOLUMEN_SUMINISTROS[[#This Row],[Grupo]],VOL_VOLUMEN_SUMINISTROS[[#This Row],[Proyecto]],VOL_VOLUMEN_SUMINISTROS[[#This Row],[FIN DE SEMANA]])</f>
        <v>241052-2NO</v>
      </c>
      <c r="E300" s="30" t="s">
        <v>182</v>
      </c>
      <c r="F300" s="30" t="s">
        <v>147</v>
      </c>
      <c r="G300" s="360">
        <v>24</v>
      </c>
      <c r="H300" s="30">
        <v>18</v>
      </c>
      <c r="I300" s="9" t="s">
        <v>307</v>
      </c>
      <c r="J300" s="9" t="s">
        <v>311</v>
      </c>
      <c r="K300" s="30">
        <v>1</v>
      </c>
      <c r="L300" s="9" t="s">
        <v>312</v>
      </c>
      <c r="M300" s="30" t="s">
        <v>84</v>
      </c>
      <c r="N300" s="30" t="s">
        <v>215</v>
      </c>
      <c r="O300" s="24">
        <v>0</v>
      </c>
      <c r="P300" s="24">
        <v>339</v>
      </c>
      <c r="Q300" s="24">
        <v>243</v>
      </c>
      <c r="R300" s="24">
        <v>0</v>
      </c>
      <c r="S300" s="24">
        <v>0</v>
      </c>
      <c r="T300" s="24">
        <v>582</v>
      </c>
    </row>
    <row r="301" spans="1:20">
      <c r="A301" s="9" t="s">
        <v>305</v>
      </c>
      <c r="B301" s="30" t="s">
        <v>326</v>
      </c>
      <c r="C301" s="30" t="str">
        <f>CONCATENATE(VOL_VOLUMEN_SUMINISTROS[[#This Row],[Proyecto]],VOL_VOLUMEN_SUMINISTROS[[#This Row],[J]],VOL_VOLUMEN_SUMINISTROS[[#This Row],[FIN DE SEMANA]])</f>
        <v>1052-2MNO</v>
      </c>
      <c r="D301" s="360" t="str">
        <f>CONCATENATE(VOL_VOLUMEN_SUMINISTROS[[#This Row],[Grupo]],VOL_VOLUMEN_SUMINISTROS[[#This Row],[Proyecto]],VOL_VOLUMEN_SUMINISTROS[[#This Row],[FIN DE SEMANA]])</f>
        <v>261052-2NO</v>
      </c>
      <c r="E301" s="30" t="s">
        <v>182</v>
      </c>
      <c r="F301" s="30" t="s">
        <v>147</v>
      </c>
      <c r="G301" s="360">
        <v>26</v>
      </c>
      <c r="H301" s="30">
        <v>18</v>
      </c>
      <c r="I301" s="9" t="s">
        <v>307</v>
      </c>
      <c r="J301" s="9" t="s">
        <v>311</v>
      </c>
      <c r="K301" s="30">
        <v>2</v>
      </c>
      <c r="L301" s="9" t="s">
        <v>327</v>
      </c>
      <c r="M301" s="30" t="s">
        <v>84</v>
      </c>
      <c r="N301" s="30" t="s">
        <v>151</v>
      </c>
      <c r="O301" s="24">
        <v>0</v>
      </c>
      <c r="P301" s="24">
        <v>0</v>
      </c>
      <c r="Q301" s="24">
        <v>120</v>
      </c>
      <c r="R301" s="24">
        <v>0</v>
      </c>
      <c r="S301" s="24">
        <v>0</v>
      </c>
      <c r="T301" s="24">
        <v>120</v>
      </c>
    </row>
    <row r="302" spans="1:20">
      <c r="A302" s="9" t="s">
        <v>305</v>
      </c>
      <c r="B302" s="30" t="s">
        <v>326</v>
      </c>
      <c r="C302" s="30" t="str">
        <f>CONCATENATE(VOL_VOLUMEN_SUMINISTROS[[#This Row],[Proyecto]],VOL_VOLUMEN_SUMINISTROS[[#This Row],[J]],VOL_VOLUMEN_SUMINISTROS[[#This Row],[FIN DE SEMANA]])</f>
        <v>1052-2TNO</v>
      </c>
      <c r="D302" s="360" t="str">
        <f>CONCATENATE(VOL_VOLUMEN_SUMINISTROS[[#This Row],[Grupo]],VOL_VOLUMEN_SUMINISTROS[[#This Row],[Proyecto]],VOL_VOLUMEN_SUMINISTROS[[#This Row],[FIN DE SEMANA]])</f>
        <v>261052-2NO</v>
      </c>
      <c r="E302" s="30" t="s">
        <v>182</v>
      </c>
      <c r="F302" s="30" t="s">
        <v>147</v>
      </c>
      <c r="G302" s="360">
        <v>26</v>
      </c>
      <c r="H302" s="30">
        <v>18</v>
      </c>
      <c r="I302" s="9" t="s">
        <v>307</v>
      </c>
      <c r="J302" s="9" t="s">
        <v>311</v>
      </c>
      <c r="K302" s="30">
        <v>2</v>
      </c>
      <c r="L302" s="9" t="s">
        <v>327</v>
      </c>
      <c r="M302" s="30" t="s">
        <v>84</v>
      </c>
      <c r="N302" s="30" t="s">
        <v>154</v>
      </c>
      <c r="O302" s="24">
        <v>0</v>
      </c>
      <c r="P302" s="24">
        <v>0</v>
      </c>
      <c r="Q302" s="24">
        <v>120</v>
      </c>
      <c r="R302" s="24">
        <v>0</v>
      </c>
      <c r="S302" s="24">
        <v>0</v>
      </c>
      <c r="T302" s="24">
        <v>120</v>
      </c>
    </row>
    <row r="303" spans="1:20">
      <c r="A303" s="9" t="s">
        <v>305</v>
      </c>
      <c r="B303" s="30" t="s">
        <v>326</v>
      </c>
      <c r="C303" s="30" t="str">
        <f>CONCATENATE(VOL_VOLUMEN_SUMINISTROS[[#This Row],[Proyecto]],VOL_VOLUMEN_SUMINISTROS[[#This Row],[J]],VOL_VOLUMEN_SUMINISTROS[[#This Row],[FIN DE SEMANA]])</f>
        <v>1052-2MNO</v>
      </c>
      <c r="D303" s="360" t="str">
        <f>CONCATENATE(VOL_VOLUMEN_SUMINISTROS[[#This Row],[Grupo]],VOL_VOLUMEN_SUMINISTROS[[#This Row],[Proyecto]],VOL_VOLUMEN_SUMINISTROS[[#This Row],[FIN DE SEMANA]])</f>
        <v>241052-2NO</v>
      </c>
      <c r="E303" s="30" t="s">
        <v>182</v>
      </c>
      <c r="F303" s="30" t="s">
        <v>147</v>
      </c>
      <c r="G303" s="360">
        <v>24</v>
      </c>
      <c r="H303" s="30">
        <v>18</v>
      </c>
      <c r="I303" s="9" t="s">
        <v>307</v>
      </c>
      <c r="J303" s="9" t="s">
        <v>313</v>
      </c>
      <c r="K303" s="30">
        <v>1</v>
      </c>
      <c r="L303" s="9" t="s">
        <v>314</v>
      </c>
      <c r="M303" s="30" t="s">
        <v>84</v>
      </c>
      <c r="N303" s="30" t="s">
        <v>151</v>
      </c>
      <c r="O303" s="24">
        <v>0</v>
      </c>
      <c r="P303" s="24">
        <v>0</v>
      </c>
      <c r="Q303" s="24">
        <v>50</v>
      </c>
      <c r="R303" s="24">
        <v>0</v>
      </c>
      <c r="S303" s="24">
        <v>0</v>
      </c>
      <c r="T303" s="24">
        <v>50</v>
      </c>
    </row>
    <row r="304" spans="1:20">
      <c r="A304" s="9" t="s">
        <v>305</v>
      </c>
      <c r="B304" s="30" t="s">
        <v>326</v>
      </c>
      <c r="C304" s="30" t="str">
        <f>CONCATENATE(VOL_VOLUMEN_SUMINISTROS[[#This Row],[Proyecto]],VOL_VOLUMEN_SUMINISTROS[[#This Row],[J]],VOL_VOLUMEN_SUMINISTROS[[#This Row],[FIN DE SEMANA]])</f>
        <v>1052-2TNO</v>
      </c>
      <c r="D304" s="360" t="str">
        <f>CONCATENATE(VOL_VOLUMEN_SUMINISTROS[[#This Row],[Grupo]],VOL_VOLUMEN_SUMINISTROS[[#This Row],[Proyecto]],VOL_VOLUMEN_SUMINISTROS[[#This Row],[FIN DE SEMANA]])</f>
        <v>241052-2NO</v>
      </c>
      <c r="E304" s="30" t="s">
        <v>182</v>
      </c>
      <c r="F304" s="30" t="s">
        <v>147</v>
      </c>
      <c r="G304" s="360">
        <v>24</v>
      </c>
      <c r="H304" s="30">
        <v>18</v>
      </c>
      <c r="I304" s="9" t="s">
        <v>307</v>
      </c>
      <c r="J304" s="9" t="s">
        <v>313</v>
      </c>
      <c r="K304" s="30">
        <v>1</v>
      </c>
      <c r="L304" s="9" t="s">
        <v>314</v>
      </c>
      <c r="M304" s="30" t="s">
        <v>84</v>
      </c>
      <c r="N304" s="30" t="s">
        <v>154</v>
      </c>
      <c r="O304" s="24">
        <v>0</v>
      </c>
      <c r="P304" s="24">
        <v>0</v>
      </c>
      <c r="Q304" s="24">
        <v>126</v>
      </c>
      <c r="R304" s="24">
        <v>0</v>
      </c>
      <c r="S304" s="24">
        <v>0</v>
      </c>
      <c r="T304" s="24">
        <v>126</v>
      </c>
    </row>
    <row r="305" spans="1:20">
      <c r="A305" s="9" t="s">
        <v>305</v>
      </c>
      <c r="B305" s="30" t="s">
        <v>326</v>
      </c>
      <c r="C305" s="30" t="str">
        <f>CONCATENATE(VOL_VOLUMEN_SUMINISTROS[[#This Row],[Proyecto]],VOL_VOLUMEN_SUMINISTROS[[#This Row],[J]],VOL_VOLUMEN_SUMINISTROS[[#This Row],[FIN DE SEMANA]])</f>
        <v>1052-2MNO</v>
      </c>
      <c r="D305" s="360" t="str">
        <f>CONCATENATE(VOL_VOLUMEN_SUMINISTROS[[#This Row],[Grupo]],VOL_VOLUMEN_SUMINISTROS[[#This Row],[Proyecto]],VOL_VOLUMEN_SUMINISTROS[[#This Row],[FIN DE SEMANA]])</f>
        <v>241052-2NO</v>
      </c>
      <c r="E305" s="30" t="s">
        <v>182</v>
      </c>
      <c r="F305" s="30" t="s">
        <v>147</v>
      </c>
      <c r="G305" s="360">
        <v>24</v>
      </c>
      <c r="H305" s="30">
        <v>18</v>
      </c>
      <c r="I305" s="9" t="s">
        <v>307</v>
      </c>
      <c r="J305" s="9" t="s">
        <v>324</v>
      </c>
      <c r="K305" s="30">
        <v>1</v>
      </c>
      <c r="L305" s="9" t="s">
        <v>325</v>
      </c>
      <c r="M305" s="30" t="s">
        <v>84</v>
      </c>
      <c r="N305" s="30" t="s">
        <v>151</v>
      </c>
      <c r="O305" s="24">
        <v>30</v>
      </c>
      <c r="P305" s="24">
        <v>0</v>
      </c>
      <c r="Q305" s="24">
        <v>0</v>
      </c>
      <c r="R305" s="24">
        <v>0</v>
      </c>
      <c r="S305" s="24">
        <v>0</v>
      </c>
      <c r="T305" s="24">
        <v>30</v>
      </c>
    </row>
    <row r="306" spans="1:20">
      <c r="A306" s="9" t="s">
        <v>305</v>
      </c>
      <c r="B306" s="30" t="s">
        <v>326</v>
      </c>
      <c r="C306" s="30" t="str">
        <f>CONCATENATE(VOL_VOLUMEN_SUMINISTROS[[#This Row],[Proyecto]],VOL_VOLUMEN_SUMINISTROS[[#This Row],[J]],VOL_VOLUMEN_SUMINISTROS[[#This Row],[FIN DE SEMANA]])</f>
        <v>1052-2TNO</v>
      </c>
      <c r="D306" s="360" t="str">
        <f>CONCATENATE(VOL_VOLUMEN_SUMINISTROS[[#This Row],[Grupo]],VOL_VOLUMEN_SUMINISTROS[[#This Row],[Proyecto]],VOL_VOLUMEN_SUMINISTROS[[#This Row],[FIN DE SEMANA]])</f>
        <v>241052-2NO</v>
      </c>
      <c r="E306" s="30" t="s">
        <v>182</v>
      </c>
      <c r="F306" s="30" t="s">
        <v>147</v>
      </c>
      <c r="G306" s="360">
        <v>24</v>
      </c>
      <c r="H306" s="30">
        <v>18</v>
      </c>
      <c r="I306" s="9" t="s">
        <v>307</v>
      </c>
      <c r="J306" s="9" t="s">
        <v>324</v>
      </c>
      <c r="K306" s="30">
        <v>1</v>
      </c>
      <c r="L306" s="9" t="s">
        <v>325</v>
      </c>
      <c r="M306" s="30" t="s">
        <v>84</v>
      </c>
      <c r="N306" s="30" t="s">
        <v>154</v>
      </c>
      <c r="O306" s="24">
        <v>30</v>
      </c>
      <c r="P306" s="24">
        <v>0</v>
      </c>
      <c r="Q306" s="24">
        <v>0</v>
      </c>
      <c r="R306" s="24">
        <v>0</v>
      </c>
      <c r="S306" s="24">
        <v>0</v>
      </c>
      <c r="T306" s="24">
        <v>30</v>
      </c>
    </row>
    <row r="307" spans="1:20">
      <c r="A307" s="9" t="s">
        <v>305</v>
      </c>
      <c r="B307" s="30" t="s">
        <v>328</v>
      </c>
      <c r="C307" s="30" t="str">
        <f>CONCATENATE(VOL_VOLUMEN_SUMINISTROS[[#This Row],[Proyecto]],VOL_VOLUMEN_SUMINISTROS[[#This Row],[J]],VOL_VOLUMEN_SUMINISTROS[[#This Row],[FIN DE SEMANA]])</f>
        <v>1052-2M1NO</v>
      </c>
      <c r="D307" s="360" t="str">
        <f>CONCATENATE(VOL_VOLUMEN_SUMINISTROS[[#This Row],[Grupo]],VOL_VOLUMEN_SUMINISTROS[[#This Row],[Proyecto]],VOL_VOLUMEN_SUMINISTROS[[#This Row],[FIN DE SEMANA]])</f>
        <v>261052-2NO</v>
      </c>
      <c r="E307" s="30" t="s">
        <v>182</v>
      </c>
      <c r="F307" s="30" t="s">
        <v>147</v>
      </c>
      <c r="G307" s="360">
        <v>26</v>
      </c>
      <c r="H307" s="30">
        <v>18</v>
      </c>
      <c r="I307" s="9" t="s">
        <v>307</v>
      </c>
      <c r="J307" s="9" t="s">
        <v>308</v>
      </c>
      <c r="K307" s="30">
        <v>1</v>
      </c>
      <c r="L307" s="9" t="s">
        <v>309</v>
      </c>
      <c r="M307" s="30" t="s">
        <v>84</v>
      </c>
      <c r="N307" s="30" t="s">
        <v>215</v>
      </c>
      <c r="O307" s="24">
        <v>0</v>
      </c>
      <c r="P307" s="24">
        <v>0</v>
      </c>
      <c r="Q307" s="24">
        <v>440</v>
      </c>
      <c r="R307" s="24">
        <v>0</v>
      </c>
      <c r="S307" s="24">
        <v>0</v>
      </c>
      <c r="T307" s="24">
        <v>440</v>
      </c>
    </row>
    <row r="308" spans="1:20">
      <c r="A308" s="9" t="s">
        <v>305</v>
      </c>
      <c r="B308" s="30" t="s">
        <v>328</v>
      </c>
      <c r="C308" s="30" t="str">
        <f>CONCATENATE(VOL_VOLUMEN_SUMINISTROS[[#This Row],[Proyecto]],VOL_VOLUMEN_SUMINISTROS[[#This Row],[J]],VOL_VOLUMEN_SUMINISTROS[[#This Row],[FIN DE SEMANA]])</f>
        <v>1052-2TNO</v>
      </c>
      <c r="D308" s="360" t="str">
        <f>CONCATENATE(VOL_VOLUMEN_SUMINISTROS[[#This Row],[Grupo]],VOL_VOLUMEN_SUMINISTROS[[#This Row],[Proyecto]],VOL_VOLUMEN_SUMINISTROS[[#This Row],[FIN DE SEMANA]])</f>
        <v>241052-2NO</v>
      </c>
      <c r="E308" s="30" t="s">
        <v>182</v>
      </c>
      <c r="F308" s="30" t="s">
        <v>147</v>
      </c>
      <c r="G308" s="360">
        <v>24</v>
      </c>
      <c r="H308" s="30">
        <v>18</v>
      </c>
      <c r="I308" s="9" t="s">
        <v>307</v>
      </c>
      <c r="J308" s="9" t="s">
        <v>308</v>
      </c>
      <c r="K308" s="30">
        <v>1</v>
      </c>
      <c r="L308" s="9" t="s">
        <v>309</v>
      </c>
      <c r="M308" s="30" t="s">
        <v>84</v>
      </c>
      <c r="N308" s="30" t="s">
        <v>154</v>
      </c>
      <c r="O308" s="24">
        <v>0</v>
      </c>
      <c r="P308" s="24">
        <v>0</v>
      </c>
      <c r="Q308" s="24">
        <v>70</v>
      </c>
      <c r="R308" s="24">
        <v>0</v>
      </c>
      <c r="S308" s="24">
        <v>0</v>
      </c>
      <c r="T308" s="24">
        <v>70</v>
      </c>
    </row>
    <row r="309" spans="1:20">
      <c r="A309" s="9" t="s">
        <v>305</v>
      </c>
      <c r="B309" s="30" t="s">
        <v>328</v>
      </c>
      <c r="C309" s="30" t="str">
        <f>CONCATENATE(VOL_VOLUMEN_SUMINISTROS[[#This Row],[Proyecto]],VOL_VOLUMEN_SUMINISTROS[[#This Row],[J]],VOL_VOLUMEN_SUMINISTROS[[#This Row],[FIN DE SEMANA]])</f>
        <v>1052-2M1NO</v>
      </c>
      <c r="D309" s="360" t="str">
        <f>CONCATENATE(VOL_VOLUMEN_SUMINISTROS[[#This Row],[Grupo]],VOL_VOLUMEN_SUMINISTROS[[#This Row],[Proyecto]],VOL_VOLUMEN_SUMINISTROS[[#This Row],[FIN DE SEMANA]])</f>
        <v>241052-2NO</v>
      </c>
      <c r="E309" s="30" t="s">
        <v>182</v>
      </c>
      <c r="F309" s="30" t="s">
        <v>147</v>
      </c>
      <c r="G309" s="360">
        <v>24</v>
      </c>
      <c r="H309" s="30">
        <v>18</v>
      </c>
      <c r="I309" s="9" t="s">
        <v>307</v>
      </c>
      <c r="J309" s="9" t="s">
        <v>318</v>
      </c>
      <c r="K309" s="30">
        <v>1</v>
      </c>
      <c r="L309" s="9" t="s">
        <v>319</v>
      </c>
      <c r="M309" s="30" t="s">
        <v>84</v>
      </c>
      <c r="N309" s="30" t="s">
        <v>215</v>
      </c>
      <c r="O309" s="24">
        <v>70</v>
      </c>
      <c r="P309" s="24">
        <v>359</v>
      </c>
      <c r="Q309" s="24">
        <v>460</v>
      </c>
      <c r="R309" s="24">
        <v>0</v>
      </c>
      <c r="S309" s="24">
        <v>0</v>
      </c>
      <c r="T309" s="24">
        <v>889</v>
      </c>
    </row>
    <row r="310" spans="1:20">
      <c r="A310" s="9" t="s">
        <v>305</v>
      </c>
      <c r="B310" s="30" t="s">
        <v>328</v>
      </c>
      <c r="C310" s="30" t="str">
        <f>CONCATENATE(VOL_VOLUMEN_SUMINISTROS[[#This Row],[Proyecto]],VOL_VOLUMEN_SUMINISTROS[[#This Row],[J]],VOL_VOLUMEN_SUMINISTROS[[#This Row],[FIN DE SEMANA]])</f>
        <v>1052-2M1NO</v>
      </c>
      <c r="D310" s="360" t="str">
        <f>CONCATENATE(VOL_VOLUMEN_SUMINISTROS[[#This Row],[Grupo]],VOL_VOLUMEN_SUMINISTROS[[#This Row],[Proyecto]],VOL_VOLUMEN_SUMINISTROS[[#This Row],[FIN DE SEMANA]])</f>
        <v>241052-2NO</v>
      </c>
      <c r="E310" s="30" t="s">
        <v>182</v>
      </c>
      <c r="F310" s="30" t="s">
        <v>147</v>
      </c>
      <c r="G310" s="360">
        <v>24</v>
      </c>
      <c r="H310" s="30">
        <v>18</v>
      </c>
      <c r="I310" s="9" t="s">
        <v>307</v>
      </c>
      <c r="J310" s="9" t="s">
        <v>318</v>
      </c>
      <c r="K310" s="30">
        <v>2</v>
      </c>
      <c r="L310" s="9" t="s">
        <v>320</v>
      </c>
      <c r="M310" s="30" t="s">
        <v>84</v>
      </c>
      <c r="N310" s="30" t="s">
        <v>215</v>
      </c>
      <c r="O310" s="24">
        <v>134</v>
      </c>
      <c r="P310" s="24">
        <v>67</v>
      </c>
      <c r="Q310" s="24">
        <v>0</v>
      </c>
      <c r="R310" s="24">
        <v>0</v>
      </c>
      <c r="S310" s="24">
        <v>0</v>
      </c>
      <c r="T310" s="24">
        <v>201</v>
      </c>
    </row>
    <row r="311" spans="1:20">
      <c r="A311" s="9" t="s">
        <v>305</v>
      </c>
      <c r="B311" s="30" t="s">
        <v>329</v>
      </c>
      <c r="C311" s="30" t="str">
        <f>CONCATENATE(VOL_VOLUMEN_SUMINISTROS[[#This Row],[Proyecto]],VOL_VOLUMEN_SUMINISTROS[[#This Row],[J]],VOL_VOLUMEN_SUMINISTROS[[#This Row],[FIN DE SEMANA]])</f>
        <v>1052-1MNO</v>
      </c>
      <c r="D311" s="360" t="str">
        <f>CONCATENATE(VOL_VOLUMEN_SUMINISTROS[[#This Row],[Grupo]],VOL_VOLUMEN_SUMINISTROS[[#This Row],[Proyecto]],VOL_VOLUMEN_SUMINISTROS[[#This Row],[FIN DE SEMANA]])</f>
        <v>131052-1NO</v>
      </c>
      <c r="E311" s="30" t="s">
        <v>146</v>
      </c>
      <c r="F311" s="30" t="s">
        <v>147</v>
      </c>
      <c r="G311" s="360">
        <v>13</v>
      </c>
      <c r="H311" s="30">
        <v>10</v>
      </c>
      <c r="I311" s="9" t="s">
        <v>330</v>
      </c>
      <c r="J311" s="9" t="s">
        <v>331</v>
      </c>
      <c r="K311" s="30">
        <v>1</v>
      </c>
      <c r="L311" s="9" t="s">
        <v>332</v>
      </c>
      <c r="M311" s="30" t="s">
        <v>84</v>
      </c>
      <c r="N311" s="30" t="s">
        <v>151</v>
      </c>
      <c r="O311" s="24">
        <v>329</v>
      </c>
      <c r="P311" s="24">
        <v>379</v>
      </c>
      <c r="Q311" s="24">
        <v>504</v>
      </c>
      <c r="R311" s="24">
        <v>0</v>
      </c>
      <c r="S311" s="24">
        <v>0</v>
      </c>
      <c r="T311" s="24">
        <v>1212</v>
      </c>
    </row>
    <row r="312" spans="1:20">
      <c r="A312" s="9" t="s">
        <v>305</v>
      </c>
      <c r="B312" s="30" t="s">
        <v>329</v>
      </c>
      <c r="C312" s="30" t="str">
        <f>CONCATENATE(VOL_VOLUMEN_SUMINISTROS[[#This Row],[Proyecto]],VOL_VOLUMEN_SUMINISTROS[[#This Row],[J]],VOL_VOLUMEN_SUMINISTROS[[#This Row],[FIN DE SEMANA]])</f>
        <v>1052-1NNO</v>
      </c>
      <c r="D312" s="360" t="str">
        <f>CONCATENATE(VOL_VOLUMEN_SUMINISTROS[[#This Row],[Grupo]],VOL_VOLUMEN_SUMINISTROS[[#This Row],[Proyecto]],VOL_VOLUMEN_SUMINISTROS[[#This Row],[FIN DE SEMANA]])</f>
        <v>131052-1NO</v>
      </c>
      <c r="E312" s="30" t="s">
        <v>146</v>
      </c>
      <c r="F312" s="30" t="s">
        <v>147</v>
      </c>
      <c r="G312" s="360">
        <v>13</v>
      </c>
      <c r="H312" s="30">
        <v>10</v>
      </c>
      <c r="I312" s="9" t="s">
        <v>330</v>
      </c>
      <c r="J312" s="9" t="s">
        <v>331</v>
      </c>
      <c r="K312" s="30">
        <v>1</v>
      </c>
      <c r="L312" s="9" t="s">
        <v>332</v>
      </c>
      <c r="M312" s="30" t="s">
        <v>84</v>
      </c>
      <c r="N312" s="30" t="s">
        <v>153</v>
      </c>
      <c r="O312" s="24">
        <v>0</v>
      </c>
      <c r="P312" s="24">
        <v>0</v>
      </c>
      <c r="Q312" s="24">
        <v>0</v>
      </c>
      <c r="R312" s="24">
        <v>139</v>
      </c>
      <c r="S312" s="24">
        <v>180</v>
      </c>
      <c r="T312" s="24">
        <v>319</v>
      </c>
    </row>
    <row r="313" spans="1:20">
      <c r="A313" s="9" t="s">
        <v>305</v>
      </c>
      <c r="B313" s="30" t="s">
        <v>329</v>
      </c>
      <c r="C313" s="30" t="str">
        <f>CONCATENATE(VOL_VOLUMEN_SUMINISTROS[[#This Row],[Proyecto]],VOL_VOLUMEN_SUMINISTROS[[#This Row],[J]],VOL_VOLUMEN_SUMINISTROS[[#This Row],[FIN DE SEMANA]])</f>
        <v>1052-1TNO</v>
      </c>
      <c r="D313" s="360" t="str">
        <f>CONCATENATE(VOL_VOLUMEN_SUMINISTROS[[#This Row],[Grupo]],VOL_VOLUMEN_SUMINISTROS[[#This Row],[Proyecto]],VOL_VOLUMEN_SUMINISTROS[[#This Row],[FIN DE SEMANA]])</f>
        <v>131052-1NO</v>
      </c>
      <c r="E313" s="30" t="s">
        <v>146</v>
      </c>
      <c r="F313" s="30" t="s">
        <v>147</v>
      </c>
      <c r="G313" s="360">
        <v>13</v>
      </c>
      <c r="H313" s="30">
        <v>10</v>
      </c>
      <c r="I313" s="9" t="s">
        <v>330</v>
      </c>
      <c r="J313" s="9" t="s">
        <v>331</v>
      </c>
      <c r="K313" s="30">
        <v>1</v>
      </c>
      <c r="L313" s="9" t="s">
        <v>332</v>
      </c>
      <c r="M313" s="30" t="s">
        <v>84</v>
      </c>
      <c r="N313" s="30" t="s">
        <v>154</v>
      </c>
      <c r="O313" s="24">
        <v>299</v>
      </c>
      <c r="P313" s="24">
        <v>273</v>
      </c>
      <c r="Q313" s="24">
        <v>358</v>
      </c>
      <c r="R313" s="24">
        <v>0</v>
      </c>
      <c r="S313" s="24">
        <v>0</v>
      </c>
      <c r="T313" s="24">
        <v>930</v>
      </c>
    </row>
    <row r="314" spans="1:20">
      <c r="A314" s="9" t="s">
        <v>305</v>
      </c>
      <c r="B314" s="30" t="s">
        <v>329</v>
      </c>
      <c r="C314" s="30" t="str">
        <f>CONCATENATE(VOL_VOLUMEN_SUMINISTROS[[#This Row],[Proyecto]],VOL_VOLUMEN_SUMINISTROS[[#This Row],[J]],VOL_VOLUMEN_SUMINISTROS[[#This Row],[FIN DE SEMANA]])</f>
        <v>1052-1MNO</v>
      </c>
      <c r="D314" s="360" t="str">
        <f>CONCATENATE(VOL_VOLUMEN_SUMINISTROS[[#This Row],[Grupo]],VOL_VOLUMEN_SUMINISTROS[[#This Row],[Proyecto]],VOL_VOLUMEN_SUMINISTROS[[#This Row],[FIN DE SEMANA]])</f>
        <v>131052-1NO</v>
      </c>
      <c r="E314" s="30" t="s">
        <v>146</v>
      </c>
      <c r="F314" s="30" t="s">
        <v>147</v>
      </c>
      <c r="G314" s="360">
        <v>13</v>
      </c>
      <c r="H314" s="30">
        <v>10</v>
      </c>
      <c r="I314" s="9" t="s">
        <v>330</v>
      </c>
      <c r="J314" s="9" t="s">
        <v>331</v>
      </c>
      <c r="K314" s="30">
        <v>2</v>
      </c>
      <c r="L314" s="9" t="s">
        <v>333</v>
      </c>
      <c r="M314" s="30" t="s">
        <v>84</v>
      </c>
      <c r="N314" s="30" t="s">
        <v>151</v>
      </c>
      <c r="O314" s="24">
        <v>95</v>
      </c>
      <c r="P314" s="24">
        <v>0</v>
      </c>
      <c r="Q314" s="24">
        <v>0</v>
      </c>
      <c r="R314" s="24">
        <v>0</v>
      </c>
      <c r="S314" s="24">
        <v>0</v>
      </c>
      <c r="T314" s="24">
        <v>95</v>
      </c>
    </row>
    <row r="315" spans="1:20">
      <c r="A315" s="9" t="s">
        <v>305</v>
      </c>
      <c r="B315" s="30" t="s">
        <v>329</v>
      </c>
      <c r="C315" s="30" t="str">
        <f>CONCATENATE(VOL_VOLUMEN_SUMINISTROS[[#This Row],[Proyecto]],VOL_VOLUMEN_SUMINISTROS[[#This Row],[J]],VOL_VOLUMEN_SUMINISTROS[[#This Row],[FIN DE SEMANA]])</f>
        <v>1052-1MNO</v>
      </c>
      <c r="D315" s="360" t="str">
        <f>CONCATENATE(VOL_VOLUMEN_SUMINISTROS[[#This Row],[Grupo]],VOL_VOLUMEN_SUMINISTROS[[#This Row],[Proyecto]],VOL_VOLUMEN_SUMINISTROS[[#This Row],[FIN DE SEMANA]])</f>
        <v>111052-1NO</v>
      </c>
      <c r="E315" s="30" t="s">
        <v>146</v>
      </c>
      <c r="F315" s="30" t="s">
        <v>147</v>
      </c>
      <c r="G315" s="360">
        <v>11</v>
      </c>
      <c r="H315" s="30">
        <v>10</v>
      </c>
      <c r="I315" s="9" t="s">
        <v>330</v>
      </c>
      <c r="J315" s="9" t="s">
        <v>334</v>
      </c>
      <c r="K315" s="30">
        <v>1</v>
      </c>
      <c r="L315" s="9" t="s">
        <v>335</v>
      </c>
      <c r="M315" s="30" t="s">
        <v>84</v>
      </c>
      <c r="N315" s="30" t="s">
        <v>151</v>
      </c>
      <c r="O315" s="24">
        <v>0</v>
      </c>
      <c r="P315" s="24">
        <v>369</v>
      </c>
      <c r="Q315" s="24">
        <v>779</v>
      </c>
      <c r="R315" s="24">
        <v>0</v>
      </c>
      <c r="S315" s="24">
        <v>0</v>
      </c>
      <c r="T315" s="24">
        <v>1148</v>
      </c>
    </row>
    <row r="316" spans="1:20">
      <c r="A316" s="9" t="s">
        <v>305</v>
      </c>
      <c r="B316" s="30" t="s">
        <v>329</v>
      </c>
      <c r="C316" s="30" t="str">
        <f>CONCATENATE(VOL_VOLUMEN_SUMINISTROS[[#This Row],[Proyecto]],VOL_VOLUMEN_SUMINISTROS[[#This Row],[J]],VOL_VOLUMEN_SUMINISTROS[[#This Row],[FIN DE SEMANA]])</f>
        <v>1052-1NNO</v>
      </c>
      <c r="D316" s="360" t="str">
        <f>CONCATENATE(VOL_VOLUMEN_SUMINISTROS[[#This Row],[Grupo]],VOL_VOLUMEN_SUMINISTROS[[#This Row],[Proyecto]],VOL_VOLUMEN_SUMINISTROS[[#This Row],[FIN DE SEMANA]])</f>
        <v>111052-1NO</v>
      </c>
      <c r="E316" s="30" t="s">
        <v>146</v>
      </c>
      <c r="F316" s="30" t="s">
        <v>147</v>
      </c>
      <c r="G316" s="360">
        <v>11</v>
      </c>
      <c r="H316" s="30">
        <v>10</v>
      </c>
      <c r="I316" s="9" t="s">
        <v>330</v>
      </c>
      <c r="J316" s="9" t="s">
        <v>334</v>
      </c>
      <c r="K316" s="30">
        <v>1</v>
      </c>
      <c r="L316" s="9" t="s">
        <v>335</v>
      </c>
      <c r="M316" s="30" t="s">
        <v>84</v>
      </c>
      <c r="N316" s="30" t="s">
        <v>153</v>
      </c>
      <c r="O316" s="24">
        <v>0</v>
      </c>
      <c r="P316" s="24">
        <v>0</v>
      </c>
      <c r="Q316" s="24">
        <v>0</v>
      </c>
      <c r="R316" s="24">
        <v>125</v>
      </c>
      <c r="S316" s="24">
        <v>158</v>
      </c>
      <c r="T316" s="24">
        <v>283</v>
      </c>
    </row>
    <row r="317" spans="1:20">
      <c r="A317" s="9" t="s">
        <v>305</v>
      </c>
      <c r="B317" s="30" t="s">
        <v>329</v>
      </c>
      <c r="C317" s="30" t="str">
        <f>CONCATENATE(VOL_VOLUMEN_SUMINISTROS[[#This Row],[Proyecto]],VOL_VOLUMEN_SUMINISTROS[[#This Row],[J]],VOL_VOLUMEN_SUMINISTROS[[#This Row],[FIN DE SEMANA]])</f>
        <v>1052-1TNO</v>
      </c>
      <c r="D317" s="360" t="str">
        <f>CONCATENATE(VOL_VOLUMEN_SUMINISTROS[[#This Row],[Grupo]],VOL_VOLUMEN_SUMINISTROS[[#This Row],[Proyecto]],VOL_VOLUMEN_SUMINISTROS[[#This Row],[FIN DE SEMANA]])</f>
        <v>111052-1NO</v>
      </c>
      <c r="E317" s="30" t="s">
        <v>146</v>
      </c>
      <c r="F317" s="30" t="s">
        <v>147</v>
      </c>
      <c r="G317" s="360">
        <v>11</v>
      </c>
      <c r="H317" s="30">
        <v>10</v>
      </c>
      <c r="I317" s="9" t="s">
        <v>330</v>
      </c>
      <c r="J317" s="9" t="s">
        <v>334</v>
      </c>
      <c r="K317" s="30">
        <v>1</v>
      </c>
      <c r="L317" s="9" t="s">
        <v>335</v>
      </c>
      <c r="M317" s="30" t="s">
        <v>84</v>
      </c>
      <c r="N317" s="30" t="s">
        <v>154</v>
      </c>
      <c r="O317" s="24">
        <v>0</v>
      </c>
      <c r="P317" s="24">
        <v>177</v>
      </c>
      <c r="Q317" s="24">
        <v>324</v>
      </c>
      <c r="R317" s="24">
        <v>0</v>
      </c>
      <c r="S317" s="24">
        <v>0</v>
      </c>
      <c r="T317" s="24">
        <v>501</v>
      </c>
    </row>
    <row r="318" spans="1:20">
      <c r="A318" s="9" t="s">
        <v>305</v>
      </c>
      <c r="B318" s="30" t="s">
        <v>329</v>
      </c>
      <c r="C318" s="30" t="str">
        <f>CONCATENATE(VOL_VOLUMEN_SUMINISTROS[[#This Row],[Proyecto]],VOL_VOLUMEN_SUMINISTROS[[#This Row],[J]],VOL_VOLUMEN_SUMINISTROS[[#This Row],[FIN DE SEMANA]])</f>
        <v>1052-1MNO</v>
      </c>
      <c r="D318" s="360" t="str">
        <f>CONCATENATE(VOL_VOLUMEN_SUMINISTROS[[#This Row],[Grupo]],VOL_VOLUMEN_SUMINISTROS[[#This Row],[Proyecto]],VOL_VOLUMEN_SUMINISTROS[[#This Row],[FIN DE SEMANA]])</f>
        <v>111052-1NO</v>
      </c>
      <c r="E318" s="30" t="s">
        <v>146</v>
      </c>
      <c r="F318" s="30" t="s">
        <v>147</v>
      </c>
      <c r="G318" s="360">
        <v>11</v>
      </c>
      <c r="H318" s="30">
        <v>10</v>
      </c>
      <c r="I318" s="9" t="s">
        <v>330</v>
      </c>
      <c r="J318" s="9" t="s">
        <v>334</v>
      </c>
      <c r="K318" s="30">
        <v>2</v>
      </c>
      <c r="L318" s="9" t="s">
        <v>336</v>
      </c>
      <c r="M318" s="30" t="s">
        <v>84</v>
      </c>
      <c r="N318" s="30" t="s">
        <v>151</v>
      </c>
      <c r="O318" s="24">
        <v>329</v>
      </c>
      <c r="P318" s="24">
        <v>39</v>
      </c>
      <c r="Q318" s="24">
        <v>0</v>
      </c>
      <c r="R318" s="24">
        <v>0</v>
      </c>
      <c r="S318" s="24">
        <v>0</v>
      </c>
      <c r="T318" s="24">
        <v>368</v>
      </c>
    </row>
    <row r="319" spans="1:20">
      <c r="A319" s="9" t="s">
        <v>305</v>
      </c>
      <c r="B319" s="30" t="s">
        <v>329</v>
      </c>
      <c r="C319" s="30" t="str">
        <f>CONCATENATE(VOL_VOLUMEN_SUMINISTROS[[#This Row],[Proyecto]],VOL_VOLUMEN_SUMINISTROS[[#This Row],[J]],VOL_VOLUMEN_SUMINISTROS[[#This Row],[FIN DE SEMANA]])</f>
        <v>1052-1MNO</v>
      </c>
      <c r="D319" s="360" t="str">
        <f>CONCATENATE(VOL_VOLUMEN_SUMINISTROS[[#This Row],[Grupo]],VOL_VOLUMEN_SUMINISTROS[[#This Row],[Proyecto]],VOL_VOLUMEN_SUMINISTROS[[#This Row],[FIN DE SEMANA]])</f>
        <v>111052-1NO</v>
      </c>
      <c r="E319" s="30" t="s">
        <v>146</v>
      </c>
      <c r="F319" s="30" t="s">
        <v>147</v>
      </c>
      <c r="G319" s="360">
        <v>11</v>
      </c>
      <c r="H319" s="30">
        <v>10</v>
      </c>
      <c r="I319" s="9" t="s">
        <v>330</v>
      </c>
      <c r="J319" s="9" t="s">
        <v>334</v>
      </c>
      <c r="K319" s="30">
        <v>3</v>
      </c>
      <c r="L319" s="9" t="s">
        <v>337</v>
      </c>
      <c r="M319" s="30" t="s">
        <v>84</v>
      </c>
      <c r="N319" s="30" t="s">
        <v>151</v>
      </c>
      <c r="O319" s="24">
        <v>184</v>
      </c>
      <c r="P319" s="24">
        <v>209</v>
      </c>
      <c r="Q319" s="24">
        <v>39</v>
      </c>
      <c r="R319" s="24">
        <v>0</v>
      </c>
      <c r="S319" s="24">
        <v>0</v>
      </c>
      <c r="T319" s="24">
        <v>432</v>
      </c>
    </row>
    <row r="320" spans="1:20">
      <c r="A320" s="9" t="s">
        <v>305</v>
      </c>
      <c r="B320" s="30" t="s">
        <v>329</v>
      </c>
      <c r="C320" s="30" t="str">
        <f>CONCATENATE(VOL_VOLUMEN_SUMINISTROS[[#This Row],[Proyecto]],VOL_VOLUMEN_SUMINISTROS[[#This Row],[J]],VOL_VOLUMEN_SUMINISTROS[[#This Row],[FIN DE SEMANA]])</f>
        <v>1052-1TNO</v>
      </c>
      <c r="D320" s="360" t="str">
        <f>CONCATENATE(VOL_VOLUMEN_SUMINISTROS[[#This Row],[Grupo]],VOL_VOLUMEN_SUMINISTROS[[#This Row],[Proyecto]],VOL_VOLUMEN_SUMINISTROS[[#This Row],[FIN DE SEMANA]])</f>
        <v>111052-1NO</v>
      </c>
      <c r="E320" s="30" t="s">
        <v>146</v>
      </c>
      <c r="F320" s="30" t="s">
        <v>147</v>
      </c>
      <c r="G320" s="360">
        <v>11</v>
      </c>
      <c r="H320" s="30">
        <v>10</v>
      </c>
      <c r="I320" s="9" t="s">
        <v>330</v>
      </c>
      <c r="J320" s="9" t="s">
        <v>334</v>
      </c>
      <c r="K320" s="30">
        <v>3</v>
      </c>
      <c r="L320" s="9" t="s">
        <v>337</v>
      </c>
      <c r="M320" s="30" t="s">
        <v>84</v>
      </c>
      <c r="N320" s="30" t="s">
        <v>154</v>
      </c>
      <c r="O320" s="24">
        <v>140</v>
      </c>
      <c r="P320" s="24">
        <v>148</v>
      </c>
      <c r="Q320" s="24">
        <v>26</v>
      </c>
      <c r="R320" s="24">
        <v>0</v>
      </c>
      <c r="S320" s="24">
        <v>0</v>
      </c>
      <c r="T320" s="24">
        <v>314</v>
      </c>
    </row>
    <row r="321" spans="1:20">
      <c r="A321" s="9" t="s">
        <v>305</v>
      </c>
      <c r="B321" s="30" t="s">
        <v>329</v>
      </c>
      <c r="C321" s="30" t="str">
        <f>CONCATENATE(VOL_VOLUMEN_SUMINISTROS[[#This Row],[Proyecto]],VOL_VOLUMEN_SUMINISTROS[[#This Row],[J]],VOL_VOLUMEN_SUMINISTROS[[#This Row],[FIN DE SEMANA]])</f>
        <v>1052-1MNO</v>
      </c>
      <c r="D321" s="360" t="str">
        <f>CONCATENATE(VOL_VOLUMEN_SUMINISTROS[[#This Row],[Grupo]],VOL_VOLUMEN_SUMINISTROS[[#This Row],[Proyecto]],VOL_VOLUMEN_SUMINISTROS[[#This Row],[FIN DE SEMANA]])</f>
        <v>131052-1NO</v>
      </c>
      <c r="E321" s="30" t="s">
        <v>146</v>
      </c>
      <c r="F321" s="30" t="s">
        <v>147</v>
      </c>
      <c r="G321" s="360">
        <v>13</v>
      </c>
      <c r="H321" s="30">
        <v>10</v>
      </c>
      <c r="I321" s="9" t="s">
        <v>330</v>
      </c>
      <c r="J321" s="9" t="s">
        <v>338</v>
      </c>
      <c r="K321" s="30">
        <v>1</v>
      </c>
      <c r="L321" s="9" t="s">
        <v>339</v>
      </c>
      <c r="M321" s="30" t="s">
        <v>84</v>
      </c>
      <c r="N321" s="30" t="s">
        <v>151</v>
      </c>
      <c r="O321" s="24">
        <v>0</v>
      </c>
      <c r="P321" s="24">
        <v>312</v>
      </c>
      <c r="Q321" s="24">
        <v>740</v>
      </c>
      <c r="R321" s="24">
        <v>0</v>
      </c>
      <c r="S321" s="24">
        <v>0</v>
      </c>
      <c r="T321" s="24">
        <v>1052</v>
      </c>
    </row>
    <row r="322" spans="1:20">
      <c r="A322" s="9" t="s">
        <v>305</v>
      </c>
      <c r="B322" s="30" t="s">
        <v>329</v>
      </c>
      <c r="C322" s="30" t="str">
        <f>CONCATENATE(VOL_VOLUMEN_SUMINISTROS[[#This Row],[Proyecto]],VOL_VOLUMEN_SUMINISTROS[[#This Row],[J]],VOL_VOLUMEN_SUMINISTROS[[#This Row],[FIN DE SEMANA]])</f>
        <v>1052-1TNO</v>
      </c>
      <c r="D322" s="360" t="str">
        <f>CONCATENATE(VOL_VOLUMEN_SUMINISTROS[[#This Row],[Grupo]],VOL_VOLUMEN_SUMINISTROS[[#This Row],[Proyecto]],VOL_VOLUMEN_SUMINISTROS[[#This Row],[FIN DE SEMANA]])</f>
        <v>131052-1NO</v>
      </c>
      <c r="E322" s="30" t="s">
        <v>146</v>
      </c>
      <c r="F322" s="30" t="s">
        <v>147</v>
      </c>
      <c r="G322" s="360">
        <v>13</v>
      </c>
      <c r="H322" s="30">
        <v>10</v>
      </c>
      <c r="I322" s="9" t="s">
        <v>330</v>
      </c>
      <c r="J322" s="9" t="s">
        <v>338</v>
      </c>
      <c r="K322" s="30">
        <v>1</v>
      </c>
      <c r="L322" s="9" t="s">
        <v>339</v>
      </c>
      <c r="M322" s="30" t="s">
        <v>84</v>
      </c>
      <c r="N322" s="30" t="s">
        <v>154</v>
      </c>
      <c r="O322" s="24">
        <v>0</v>
      </c>
      <c r="P322" s="24">
        <v>330</v>
      </c>
      <c r="Q322" s="24">
        <v>753</v>
      </c>
      <c r="R322" s="24">
        <v>0</v>
      </c>
      <c r="S322" s="24">
        <v>0</v>
      </c>
      <c r="T322" s="24">
        <v>1083</v>
      </c>
    </row>
    <row r="323" spans="1:20">
      <c r="A323" s="9" t="s">
        <v>305</v>
      </c>
      <c r="B323" s="30" t="s">
        <v>329</v>
      </c>
      <c r="C323" s="30" t="str">
        <f>CONCATENATE(VOL_VOLUMEN_SUMINISTROS[[#This Row],[Proyecto]],VOL_VOLUMEN_SUMINISTROS[[#This Row],[J]],VOL_VOLUMEN_SUMINISTROS[[#This Row],[FIN DE SEMANA]])</f>
        <v>1052-1MNO</v>
      </c>
      <c r="D323" s="360" t="str">
        <f>CONCATENATE(VOL_VOLUMEN_SUMINISTROS[[#This Row],[Grupo]],VOL_VOLUMEN_SUMINISTROS[[#This Row],[Proyecto]],VOL_VOLUMEN_SUMINISTROS[[#This Row],[FIN DE SEMANA]])</f>
        <v>131052-1NO</v>
      </c>
      <c r="E323" s="30" t="s">
        <v>146</v>
      </c>
      <c r="F323" s="30" t="s">
        <v>147</v>
      </c>
      <c r="G323" s="360">
        <v>13</v>
      </c>
      <c r="H323" s="30">
        <v>10</v>
      </c>
      <c r="I323" s="9" t="s">
        <v>330</v>
      </c>
      <c r="J323" s="9" t="s">
        <v>338</v>
      </c>
      <c r="K323" s="30">
        <v>2</v>
      </c>
      <c r="L323" s="9" t="s">
        <v>340</v>
      </c>
      <c r="M323" s="30" t="s">
        <v>84</v>
      </c>
      <c r="N323" s="30" t="s">
        <v>151</v>
      </c>
      <c r="O323" s="24">
        <v>78</v>
      </c>
      <c r="P323" s="24">
        <v>303</v>
      </c>
      <c r="Q323" s="24">
        <v>88</v>
      </c>
      <c r="R323" s="24">
        <v>0</v>
      </c>
      <c r="S323" s="24">
        <v>0</v>
      </c>
      <c r="T323" s="24">
        <v>469</v>
      </c>
    </row>
    <row r="324" spans="1:20">
      <c r="A324" s="9" t="s">
        <v>305</v>
      </c>
      <c r="B324" s="30" t="s">
        <v>329</v>
      </c>
      <c r="C324" s="30" t="str">
        <f>CONCATENATE(VOL_VOLUMEN_SUMINISTROS[[#This Row],[Proyecto]],VOL_VOLUMEN_SUMINISTROS[[#This Row],[J]],VOL_VOLUMEN_SUMINISTROS[[#This Row],[FIN DE SEMANA]])</f>
        <v>1052-1TNO</v>
      </c>
      <c r="D324" s="360" t="str">
        <f>CONCATENATE(VOL_VOLUMEN_SUMINISTROS[[#This Row],[Grupo]],VOL_VOLUMEN_SUMINISTROS[[#This Row],[Proyecto]],VOL_VOLUMEN_SUMINISTROS[[#This Row],[FIN DE SEMANA]])</f>
        <v>131052-1NO</v>
      </c>
      <c r="E324" s="30" t="s">
        <v>146</v>
      </c>
      <c r="F324" s="30" t="s">
        <v>147</v>
      </c>
      <c r="G324" s="360">
        <v>13</v>
      </c>
      <c r="H324" s="30">
        <v>10</v>
      </c>
      <c r="I324" s="9" t="s">
        <v>330</v>
      </c>
      <c r="J324" s="9" t="s">
        <v>338</v>
      </c>
      <c r="K324" s="30">
        <v>2</v>
      </c>
      <c r="L324" s="9" t="s">
        <v>340</v>
      </c>
      <c r="M324" s="30" t="s">
        <v>84</v>
      </c>
      <c r="N324" s="30" t="s">
        <v>154</v>
      </c>
      <c r="O324" s="24">
        <v>88</v>
      </c>
      <c r="P324" s="24">
        <v>260</v>
      </c>
      <c r="Q324" s="24">
        <v>72</v>
      </c>
      <c r="R324" s="24">
        <v>0</v>
      </c>
      <c r="S324" s="24">
        <v>0</v>
      </c>
      <c r="T324" s="24">
        <v>420</v>
      </c>
    </row>
    <row r="325" spans="1:20">
      <c r="A325" s="9" t="s">
        <v>305</v>
      </c>
      <c r="B325" s="30" t="s">
        <v>329</v>
      </c>
      <c r="C325" s="30" t="str">
        <f>CONCATENATE(VOL_VOLUMEN_SUMINISTROS[[#This Row],[Proyecto]],VOL_VOLUMEN_SUMINISTROS[[#This Row],[J]],VOL_VOLUMEN_SUMINISTROS[[#This Row],[FIN DE SEMANA]])</f>
        <v>1052-1MNO</v>
      </c>
      <c r="D325" s="360" t="str">
        <f>CONCATENATE(VOL_VOLUMEN_SUMINISTROS[[#This Row],[Grupo]],VOL_VOLUMEN_SUMINISTROS[[#This Row],[Proyecto]],VOL_VOLUMEN_SUMINISTROS[[#This Row],[FIN DE SEMANA]])</f>
        <v>131052-1NO</v>
      </c>
      <c r="E325" s="30" t="s">
        <v>146</v>
      </c>
      <c r="F325" s="30" t="s">
        <v>147</v>
      </c>
      <c r="G325" s="360">
        <v>13</v>
      </c>
      <c r="H325" s="30">
        <v>10</v>
      </c>
      <c r="I325" s="9" t="s">
        <v>330</v>
      </c>
      <c r="J325" s="9" t="s">
        <v>338</v>
      </c>
      <c r="K325" s="30">
        <v>3</v>
      </c>
      <c r="L325" s="9" t="s">
        <v>341</v>
      </c>
      <c r="M325" s="30" t="s">
        <v>84</v>
      </c>
      <c r="N325" s="30" t="s">
        <v>151</v>
      </c>
      <c r="O325" s="24">
        <v>188</v>
      </c>
      <c r="P325" s="24">
        <v>94</v>
      </c>
      <c r="Q325" s="24">
        <v>0</v>
      </c>
      <c r="R325" s="24">
        <v>0</v>
      </c>
      <c r="S325" s="24">
        <v>0</v>
      </c>
      <c r="T325" s="24">
        <v>282</v>
      </c>
    </row>
    <row r="326" spans="1:20">
      <c r="A326" s="9" t="s">
        <v>305</v>
      </c>
      <c r="B326" s="30" t="s">
        <v>329</v>
      </c>
      <c r="C326" s="30" t="str">
        <f>CONCATENATE(VOL_VOLUMEN_SUMINISTROS[[#This Row],[Proyecto]],VOL_VOLUMEN_SUMINISTROS[[#This Row],[J]],VOL_VOLUMEN_SUMINISTROS[[#This Row],[FIN DE SEMANA]])</f>
        <v>1052-1TNO</v>
      </c>
      <c r="D326" s="360" t="str">
        <f>CONCATENATE(VOL_VOLUMEN_SUMINISTROS[[#This Row],[Grupo]],VOL_VOLUMEN_SUMINISTROS[[#This Row],[Proyecto]],VOL_VOLUMEN_SUMINISTROS[[#This Row],[FIN DE SEMANA]])</f>
        <v>131052-1NO</v>
      </c>
      <c r="E326" s="30" t="s">
        <v>146</v>
      </c>
      <c r="F326" s="30" t="s">
        <v>147</v>
      </c>
      <c r="G326" s="360">
        <v>13</v>
      </c>
      <c r="H326" s="30">
        <v>10</v>
      </c>
      <c r="I326" s="9" t="s">
        <v>330</v>
      </c>
      <c r="J326" s="9" t="s">
        <v>338</v>
      </c>
      <c r="K326" s="30">
        <v>3</v>
      </c>
      <c r="L326" s="9" t="s">
        <v>341</v>
      </c>
      <c r="M326" s="30" t="s">
        <v>84</v>
      </c>
      <c r="N326" s="30" t="s">
        <v>154</v>
      </c>
      <c r="O326" s="24">
        <v>178</v>
      </c>
      <c r="P326" s="24">
        <v>89</v>
      </c>
      <c r="Q326" s="24">
        <v>0</v>
      </c>
      <c r="R326" s="24">
        <v>0</v>
      </c>
      <c r="S326" s="24">
        <v>0</v>
      </c>
      <c r="T326" s="24">
        <v>267</v>
      </c>
    </row>
    <row r="327" spans="1:20">
      <c r="A327" s="9" t="s">
        <v>305</v>
      </c>
      <c r="B327" s="30" t="s">
        <v>329</v>
      </c>
      <c r="C327" s="30" t="str">
        <f>CONCATENATE(VOL_VOLUMEN_SUMINISTROS[[#This Row],[Proyecto]],VOL_VOLUMEN_SUMINISTROS[[#This Row],[J]],VOL_VOLUMEN_SUMINISTROS[[#This Row],[FIN DE SEMANA]])</f>
        <v>1052-1MNO</v>
      </c>
      <c r="D327" s="360" t="str">
        <f>CONCATENATE(VOL_VOLUMEN_SUMINISTROS[[#This Row],[Grupo]],VOL_VOLUMEN_SUMINISTROS[[#This Row],[Proyecto]],VOL_VOLUMEN_SUMINISTROS[[#This Row],[FIN DE SEMANA]])</f>
        <v>131052-1NO</v>
      </c>
      <c r="E327" s="30" t="s">
        <v>146</v>
      </c>
      <c r="F327" s="30" t="s">
        <v>147</v>
      </c>
      <c r="G327" s="360">
        <v>13</v>
      </c>
      <c r="H327" s="30">
        <v>10</v>
      </c>
      <c r="I327" s="9" t="s">
        <v>330</v>
      </c>
      <c r="J327" s="9" t="s">
        <v>338</v>
      </c>
      <c r="K327" s="30">
        <v>4</v>
      </c>
      <c r="L327" s="9" t="s">
        <v>342</v>
      </c>
      <c r="M327" s="30" t="s">
        <v>84</v>
      </c>
      <c r="N327" s="30" t="s">
        <v>151</v>
      </c>
      <c r="O327" s="24">
        <v>198</v>
      </c>
      <c r="P327" s="24">
        <v>25</v>
      </c>
      <c r="Q327" s="24">
        <v>0</v>
      </c>
      <c r="R327" s="24">
        <v>0</v>
      </c>
      <c r="S327" s="24">
        <v>0</v>
      </c>
      <c r="T327" s="24">
        <v>223</v>
      </c>
    </row>
    <row r="328" spans="1:20">
      <c r="A328" s="9" t="s">
        <v>305</v>
      </c>
      <c r="B328" s="30" t="s">
        <v>329</v>
      </c>
      <c r="C328" s="30" t="str">
        <f>CONCATENATE(VOL_VOLUMEN_SUMINISTROS[[#This Row],[Proyecto]],VOL_VOLUMEN_SUMINISTROS[[#This Row],[J]],VOL_VOLUMEN_SUMINISTROS[[#This Row],[FIN DE SEMANA]])</f>
        <v>1052-1TNO</v>
      </c>
      <c r="D328" s="360" t="str">
        <f>CONCATENATE(VOL_VOLUMEN_SUMINISTROS[[#This Row],[Grupo]],VOL_VOLUMEN_SUMINISTROS[[#This Row],[Proyecto]],VOL_VOLUMEN_SUMINISTROS[[#This Row],[FIN DE SEMANA]])</f>
        <v>131052-1NO</v>
      </c>
      <c r="E328" s="30" t="s">
        <v>146</v>
      </c>
      <c r="F328" s="30" t="s">
        <v>147</v>
      </c>
      <c r="G328" s="360">
        <v>13</v>
      </c>
      <c r="H328" s="30">
        <v>10</v>
      </c>
      <c r="I328" s="9" t="s">
        <v>330</v>
      </c>
      <c r="J328" s="9" t="s">
        <v>338</v>
      </c>
      <c r="K328" s="30">
        <v>4</v>
      </c>
      <c r="L328" s="9" t="s">
        <v>342</v>
      </c>
      <c r="M328" s="30" t="s">
        <v>84</v>
      </c>
      <c r="N328" s="30" t="s">
        <v>154</v>
      </c>
      <c r="O328" s="24">
        <v>169</v>
      </c>
      <c r="P328" s="24">
        <v>9</v>
      </c>
      <c r="Q328" s="24">
        <v>0</v>
      </c>
      <c r="R328" s="24">
        <v>0</v>
      </c>
      <c r="S328" s="24">
        <v>0</v>
      </c>
      <c r="T328" s="24">
        <v>178</v>
      </c>
    </row>
    <row r="329" spans="1:20">
      <c r="A329" s="9" t="s">
        <v>305</v>
      </c>
      <c r="B329" s="30" t="s">
        <v>329</v>
      </c>
      <c r="C329" s="30" t="str">
        <f>CONCATENATE(VOL_VOLUMEN_SUMINISTROS[[#This Row],[Proyecto]],VOL_VOLUMEN_SUMINISTROS[[#This Row],[J]],VOL_VOLUMEN_SUMINISTROS[[#This Row],[FIN DE SEMANA]])</f>
        <v>1052-1MNO</v>
      </c>
      <c r="D329" s="360" t="str">
        <f>CONCATENATE(VOL_VOLUMEN_SUMINISTROS[[#This Row],[Grupo]],VOL_VOLUMEN_SUMINISTROS[[#This Row],[Proyecto]],VOL_VOLUMEN_SUMINISTROS[[#This Row],[FIN DE SEMANA]])</f>
        <v>111052-1NO</v>
      </c>
      <c r="E329" s="30" t="s">
        <v>146</v>
      </c>
      <c r="F329" s="30" t="s">
        <v>147</v>
      </c>
      <c r="G329" s="360">
        <v>11</v>
      </c>
      <c r="H329" s="30">
        <v>10</v>
      </c>
      <c r="I329" s="9" t="s">
        <v>330</v>
      </c>
      <c r="J329" s="9" t="s">
        <v>343</v>
      </c>
      <c r="K329" s="30">
        <v>1</v>
      </c>
      <c r="L329" s="9" t="s">
        <v>344</v>
      </c>
      <c r="M329" s="30" t="s">
        <v>84</v>
      </c>
      <c r="N329" s="30" t="s">
        <v>151</v>
      </c>
      <c r="O329" s="24">
        <v>144</v>
      </c>
      <c r="P329" s="24">
        <v>248</v>
      </c>
      <c r="Q329" s="24">
        <v>337</v>
      </c>
      <c r="R329" s="24">
        <v>0</v>
      </c>
      <c r="S329" s="24">
        <v>0</v>
      </c>
      <c r="T329" s="24">
        <v>729</v>
      </c>
    </row>
    <row r="330" spans="1:20">
      <c r="A330" s="9" t="s">
        <v>305</v>
      </c>
      <c r="B330" s="30" t="s">
        <v>329</v>
      </c>
      <c r="C330" s="30" t="str">
        <f>CONCATENATE(VOL_VOLUMEN_SUMINISTROS[[#This Row],[Proyecto]],VOL_VOLUMEN_SUMINISTROS[[#This Row],[J]],VOL_VOLUMEN_SUMINISTROS[[#This Row],[FIN DE SEMANA]])</f>
        <v>1052-1NNO</v>
      </c>
      <c r="D330" s="360" t="str">
        <f>CONCATENATE(VOL_VOLUMEN_SUMINISTROS[[#This Row],[Grupo]],VOL_VOLUMEN_SUMINISTROS[[#This Row],[Proyecto]],VOL_VOLUMEN_SUMINISTROS[[#This Row],[FIN DE SEMANA]])</f>
        <v>111052-1NO</v>
      </c>
      <c r="E330" s="30" t="s">
        <v>146</v>
      </c>
      <c r="F330" s="30" t="s">
        <v>147</v>
      </c>
      <c r="G330" s="360">
        <v>11</v>
      </c>
      <c r="H330" s="30">
        <v>10</v>
      </c>
      <c r="I330" s="9" t="s">
        <v>330</v>
      </c>
      <c r="J330" s="9" t="s">
        <v>343</v>
      </c>
      <c r="K330" s="30">
        <v>1</v>
      </c>
      <c r="L330" s="9" t="s">
        <v>344</v>
      </c>
      <c r="M330" s="30" t="s">
        <v>84</v>
      </c>
      <c r="N330" s="30" t="s">
        <v>153</v>
      </c>
      <c r="O330" s="24">
        <v>0</v>
      </c>
      <c r="P330" s="24">
        <v>0</v>
      </c>
      <c r="Q330" s="24">
        <v>0</v>
      </c>
      <c r="R330" s="24">
        <v>113</v>
      </c>
      <c r="S330" s="24">
        <v>147</v>
      </c>
      <c r="T330" s="24">
        <v>260</v>
      </c>
    </row>
    <row r="331" spans="1:20">
      <c r="A331" s="9" t="s">
        <v>305</v>
      </c>
      <c r="B331" s="30" t="s">
        <v>329</v>
      </c>
      <c r="C331" s="30" t="str">
        <f>CONCATENATE(VOL_VOLUMEN_SUMINISTROS[[#This Row],[Proyecto]],VOL_VOLUMEN_SUMINISTROS[[#This Row],[J]],VOL_VOLUMEN_SUMINISTROS[[#This Row],[FIN DE SEMANA]])</f>
        <v>1052-1TNO</v>
      </c>
      <c r="D331" s="360" t="str">
        <f>CONCATENATE(VOL_VOLUMEN_SUMINISTROS[[#This Row],[Grupo]],VOL_VOLUMEN_SUMINISTROS[[#This Row],[Proyecto]],VOL_VOLUMEN_SUMINISTROS[[#This Row],[FIN DE SEMANA]])</f>
        <v>111052-1NO</v>
      </c>
      <c r="E331" s="30" t="s">
        <v>146</v>
      </c>
      <c r="F331" s="30" t="s">
        <v>147</v>
      </c>
      <c r="G331" s="360">
        <v>11</v>
      </c>
      <c r="H331" s="30">
        <v>10</v>
      </c>
      <c r="I331" s="9" t="s">
        <v>330</v>
      </c>
      <c r="J331" s="9" t="s">
        <v>343</v>
      </c>
      <c r="K331" s="30">
        <v>1</v>
      </c>
      <c r="L331" s="9" t="s">
        <v>344</v>
      </c>
      <c r="M331" s="30" t="s">
        <v>84</v>
      </c>
      <c r="N331" s="30" t="s">
        <v>154</v>
      </c>
      <c r="O331" s="24">
        <v>103</v>
      </c>
      <c r="P331" s="24">
        <v>171</v>
      </c>
      <c r="Q331" s="24">
        <v>207</v>
      </c>
      <c r="R331" s="24">
        <v>0</v>
      </c>
      <c r="S331" s="24">
        <v>0</v>
      </c>
      <c r="T331" s="24">
        <v>481</v>
      </c>
    </row>
    <row r="332" spans="1:20">
      <c r="A332" s="9" t="s">
        <v>305</v>
      </c>
      <c r="B332" s="30" t="s">
        <v>329</v>
      </c>
      <c r="C332" s="30" t="str">
        <f>CONCATENATE(VOL_VOLUMEN_SUMINISTROS[[#This Row],[Proyecto]],VOL_VOLUMEN_SUMINISTROS[[#This Row],[J]],VOL_VOLUMEN_SUMINISTROS[[#This Row],[FIN DE SEMANA]])</f>
        <v>1052-1MNO</v>
      </c>
      <c r="D332" s="360" t="str">
        <f>CONCATENATE(VOL_VOLUMEN_SUMINISTROS[[#This Row],[Grupo]],VOL_VOLUMEN_SUMINISTROS[[#This Row],[Proyecto]],VOL_VOLUMEN_SUMINISTROS[[#This Row],[FIN DE SEMANA]])</f>
        <v>111052-1NO</v>
      </c>
      <c r="E332" s="30" t="s">
        <v>146</v>
      </c>
      <c r="F332" s="30" t="s">
        <v>147</v>
      </c>
      <c r="G332" s="360">
        <v>11</v>
      </c>
      <c r="H332" s="30">
        <v>10</v>
      </c>
      <c r="I332" s="9" t="s">
        <v>330</v>
      </c>
      <c r="J332" s="9" t="s">
        <v>345</v>
      </c>
      <c r="K332" s="30">
        <v>1</v>
      </c>
      <c r="L332" s="9" t="s">
        <v>346</v>
      </c>
      <c r="M332" s="30" t="s">
        <v>84</v>
      </c>
      <c r="N332" s="30" t="s">
        <v>151</v>
      </c>
      <c r="O332" s="24">
        <v>50</v>
      </c>
      <c r="P332" s="24">
        <v>180</v>
      </c>
      <c r="Q332" s="24">
        <v>445</v>
      </c>
      <c r="R332" s="24">
        <v>0</v>
      </c>
      <c r="S332" s="24">
        <v>0</v>
      </c>
      <c r="T332" s="24">
        <v>675</v>
      </c>
    </row>
    <row r="333" spans="1:20">
      <c r="A333" s="9" t="s">
        <v>305</v>
      </c>
      <c r="B333" s="30" t="s">
        <v>329</v>
      </c>
      <c r="C333" s="30" t="str">
        <f>CONCATENATE(VOL_VOLUMEN_SUMINISTROS[[#This Row],[Proyecto]],VOL_VOLUMEN_SUMINISTROS[[#This Row],[J]],VOL_VOLUMEN_SUMINISTROS[[#This Row],[FIN DE SEMANA]])</f>
        <v>1052-1TNO</v>
      </c>
      <c r="D333" s="360" t="str">
        <f>CONCATENATE(VOL_VOLUMEN_SUMINISTROS[[#This Row],[Grupo]],VOL_VOLUMEN_SUMINISTROS[[#This Row],[Proyecto]],VOL_VOLUMEN_SUMINISTROS[[#This Row],[FIN DE SEMANA]])</f>
        <v>111052-1NO</v>
      </c>
      <c r="E333" s="30" t="s">
        <v>146</v>
      </c>
      <c r="F333" s="30" t="s">
        <v>147</v>
      </c>
      <c r="G333" s="360">
        <v>11</v>
      </c>
      <c r="H333" s="30">
        <v>10</v>
      </c>
      <c r="I333" s="9" t="s">
        <v>330</v>
      </c>
      <c r="J333" s="9" t="s">
        <v>345</v>
      </c>
      <c r="K333" s="30">
        <v>1</v>
      </c>
      <c r="L333" s="9" t="s">
        <v>347</v>
      </c>
      <c r="M333" s="30" t="s">
        <v>84</v>
      </c>
      <c r="N333" s="30" t="s">
        <v>154</v>
      </c>
      <c r="O333" s="24">
        <v>203</v>
      </c>
      <c r="P333" s="24">
        <v>231</v>
      </c>
      <c r="Q333" s="24">
        <v>51</v>
      </c>
      <c r="R333" s="24">
        <v>0</v>
      </c>
      <c r="S333" s="24">
        <v>0</v>
      </c>
      <c r="T333" s="24">
        <v>485</v>
      </c>
    </row>
    <row r="334" spans="1:20">
      <c r="A334" s="9" t="s">
        <v>305</v>
      </c>
      <c r="B334" s="30" t="s">
        <v>329</v>
      </c>
      <c r="C334" s="30" t="str">
        <f>CONCATENATE(VOL_VOLUMEN_SUMINISTROS[[#This Row],[Proyecto]],VOL_VOLUMEN_SUMINISTROS[[#This Row],[J]],VOL_VOLUMEN_SUMINISTROS[[#This Row],[FIN DE SEMANA]])</f>
        <v>1052-1MNO</v>
      </c>
      <c r="D334" s="360" t="str">
        <f>CONCATENATE(VOL_VOLUMEN_SUMINISTROS[[#This Row],[Grupo]],VOL_VOLUMEN_SUMINISTROS[[#This Row],[Proyecto]],VOL_VOLUMEN_SUMINISTROS[[#This Row],[FIN DE SEMANA]])</f>
        <v>131052-1NO</v>
      </c>
      <c r="E334" s="30" t="s">
        <v>146</v>
      </c>
      <c r="F334" s="30" t="s">
        <v>147</v>
      </c>
      <c r="G334" s="360">
        <v>13</v>
      </c>
      <c r="H334" s="30">
        <v>10</v>
      </c>
      <c r="I334" s="9" t="s">
        <v>330</v>
      </c>
      <c r="J334" s="9" t="s">
        <v>348</v>
      </c>
      <c r="K334" s="30">
        <v>1</v>
      </c>
      <c r="L334" s="9" t="s">
        <v>195</v>
      </c>
      <c r="M334" s="30" t="s">
        <v>84</v>
      </c>
      <c r="N334" s="30" t="s">
        <v>151</v>
      </c>
      <c r="O334" s="24">
        <v>0</v>
      </c>
      <c r="P334" s="24">
        <v>168</v>
      </c>
      <c r="Q334" s="24">
        <v>278</v>
      </c>
      <c r="R334" s="24">
        <v>0</v>
      </c>
      <c r="S334" s="24">
        <v>0</v>
      </c>
      <c r="T334" s="24">
        <v>446</v>
      </c>
    </row>
    <row r="335" spans="1:20">
      <c r="A335" s="9" t="s">
        <v>305</v>
      </c>
      <c r="B335" s="30" t="s">
        <v>329</v>
      </c>
      <c r="C335" s="30" t="str">
        <f>CONCATENATE(VOL_VOLUMEN_SUMINISTROS[[#This Row],[Proyecto]],VOL_VOLUMEN_SUMINISTROS[[#This Row],[J]],VOL_VOLUMEN_SUMINISTROS[[#This Row],[FIN DE SEMANA]])</f>
        <v>1052-1TNO</v>
      </c>
      <c r="D335" s="360" t="str">
        <f>CONCATENATE(VOL_VOLUMEN_SUMINISTROS[[#This Row],[Grupo]],VOL_VOLUMEN_SUMINISTROS[[#This Row],[Proyecto]],VOL_VOLUMEN_SUMINISTROS[[#This Row],[FIN DE SEMANA]])</f>
        <v>131052-1NO</v>
      </c>
      <c r="E335" s="30" t="s">
        <v>146</v>
      </c>
      <c r="F335" s="30" t="s">
        <v>147</v>
      </c>
      <c r="G335" s="360">
        <v>13</v>
      </c>
      <c r="H335" s="30">
        <v>10</v>
      </c>
      <c r="I335" s="9" t="s">
        <v>330</v>
      </c>
      <c r="J335" s="9" t="s">
        <v>348</v>
      </c>
      <c r="K335" s="30">
        <v>1</v>
      </c>
      <c r="L335" s="9" t="s">
        <v>195</v>
      </c>
      <c r="M335" s="30" t="s">
        <v>84</v>
      </c>
      <c r="N335" s="30" t="s">
        <v>154</v>
      </c>
      <c r="O335" s="24">
        <v>0</v>
      </c>
      <c r="P335" s="24">
        <v>150</v>
      </c>
      <c r="Q335" s="24">
        <v>264</v>
      </c>
      <c r="R335" s="24">
        <v>0</v>
      </c>
      <c r="S335" s="24">
        <v>0</v>
      </c>
      <c r="T335" s="24">
        <v>414</v>
      </c>
    </row>
    <row r="336" spans="1:20">
      <c r="A336" s="9" t="s">
        <v>305</v>
      </c>
      <c r="B336" s="30" t="s">
        <v>329</v>
      </c>
      <c r="C336" s="30" t="str">
        <f>CONCATENATE(VOL_VOLUMEN_SUMINISTROS[[#This Row],[Proyecto]],VOL_VOLUMEN_SUMINISTROS[[#This Row],[J]],VOL_VOLUMEN_SUMINISTROS[[#This Row],[FIN DE SEMANA]])</f>
        <v>1052-1MNO</v>
      </c>
      <c r="D336" s="360" t="str">
        <f>CONCATENATE(VOL_VOLUMEN_SUMINISTROS[[#This Row],[Grupo]],VOL_VOLUMEN_SUMINISTROS[[#This Row],[Proyecto]],VOL_VOLUMEN_SUMINISTROS[[#This Row],[FIN DE SEMANA]])</f>
        <v>131052-1NO</v>
      </c>
      <c r="E336" s="30" t="s">
        <v>146</v>
      </c>
      <c r="F336" s="30" t="s">
        <v>147</v>
      </c>
      <c r="G336" s="360">
        <v>13</v>
      </c>
      <c r="H336" s="30">
        <v>10</v>
      </c>
      <c r="I336" s="9" t="s">
        <v>330</v>
      </c>
      <c r="J336" s="9" t="s">
        <v>348</v>
      </c>
      <c r="K336" s="30">
        <v>2</v>
      </c>
      <c r="L336" s="9" t="s">
        <v>349</v>
      </c>
      <c r="M336" s="30" t="s">
        <v>84</v>
      </c>
      <c r="N336" s="30" t="s">
        <v>151</v>
      </c>
      <c r="O336" s="24">
        <v>220</v>
      </c>
      <c r="P336" s="24">
        <v>126</v>
      </c>
      <c r="Q336" s="24">
        <v>20</v>
      </c>
      <c r="R336" s="24">
        <v>0</v>
      </c>
      <c r="S336" s="24">
        <v>0</v>
      </c>
      <c r="T336" s="24">
        <v>366</v>
      </c>
    </row>
    <row r="337" spans="1:20">
      <c r="A337" s="9" t="s">
        <v>305</v>
      </c>
      <c r="B337" s="30" t="s">
        <v>329</v>
      </c>
      <c r="C337" s="30" t="str">
        <f>CONCATENATE(VOL_VOLUMEN_SUMINISTROS[[#This Row],[Proyecto]],VOL_VOLUMEN_SUMINISTROS[[#This Row],[J]],VOL_VOLUMEN_SUMINISTROS[[#This Row],[FIN DE SEMANA]])</f>
        <v>1052-1TNO</v>
      </c>
      <c r="D337" s="360" t="str">
        <f>CONCATENATE(VOL_VOLUMEN_SUMINISTROS[[#This Row],[Grupo]],VOL_VOLUMEN_SUMINISTROS[[#This Row],[Proyecto]],VOL_VOLUMEN_SUMINISTROS[[#This Row],[FIN DE SEMANA]])</f>
        <v>131052-1NO</v>
      </c>
      <c r="E337" s="30" t="s">
        <v>146</v>
      </c>
      <c r="F337" s="30" t="s">
        <v>147</v>
      </c>
      <c r="G337" s="360">
        <v>13</v>
      </c>
      <c r="H337" s="30">
        <v>10</v>
      </c>
      <c r="I337" s="9" t="s">
        <v>330</v>
      </c>
      <c r="J337" s="9" t="s">
        <v>348</v>
      </c>
      <c r="K337" s="30">
        <v>2</v>
      </c>
      <c r="L337" s="9" t="s">
        <v>349</v>
      </c>
      <c r="M337" s="30" t="s">
        <v>84</v>
      </c>
      <c r="N337" s="30" t="s">
        <v>154</v>
      </c>
      <c r="O337" s="24">
        <v>203</v>
      </c>
      <c r="P337" s="24">
        <v>119</v>
      </c>
      <c r="Q337" s="24">
        <v>20</v>
      </c>
      <c r="R337" s="24">
        <v>0</v>
      </c>
      <c r="S337" s="24">
        <v>0</v>
      </c>
      <c r="T337" s="24">
        <v>342</v>
      </c>
    </row>
    <row r="338" spans="1:20">
      <c r="A338" s="9" t="s">
        <v>305</v>
      </c>
      <c r="B338" s="30" t="s">
        <v>329</v>
      </c>
      <c r="C338" s="30" t="str">
        <f>CONCATENATE(VOL_VOLUMEN_SUMINISTROS[[#This Row],[Proyecto]],VOL_VOLUMEN_SUMINISTROS[[#This Row],[J]],VOL_VOLUMEN_SUMINISTROS[[#This Row],[FIN DE SEMANA]])</f>
        <v>1052-1MNO</v>
      </c>
      <c r="D338" s="360" t="str">
        <f>CONCATENATE(VOL_VOLUMEN_SUMINISTROS[[#This Row],[Grupo]],VOL_VOLUMEN_SUMINISTROS[[#This Row],[Proyecto]],VOL_VOLUMEN_SUMINISTROS[[#This Row],[FIN DE SEMANA]])</f>
        <v>131052-1NO</v>
      </c>
      <c r="E338" s="30" t="s">
        <v>146</v>
      </c>
      <c r="F338" s="30" t="s">
        <v>147</v>
      </c>
      <c r="G338" s="360">
        <v>13</v>
      </c>
      <c r="H338" s="30">
        <v>10</v>
      </c>
      <c r="I338" s="9" t="s">
        <v>330</v>
      </c>
      <c r="J338" s="9" t="s">
        <v>350</v>
      </c>
      <c r="K338" s="30">
        <v>1</v>
      </c>
      <c r="L338" s="9" t="s">
        <v>351</v>
      </c>
      <c r="M338" s="30" t="s">
        <v>84</v>
      </c>
      <c r="N338" s="30" t="s">
        <v>151</v>
      </c>
      <c r="O338" s="24">
        <v>0</v>
      </c>
      <c r="P338" s="24">
        <v>144</v>
      </c>
      <c r="Q338" s="24">
        <v>478</v>
      </c>
      <c r="R338" s="24">
        <v>0</v>
      </c>
      <c r="S338" s="24">
        <v>0</v>
      </c>
      <c r="T338" s="24">
        <v>622</v>
      </c>
    </row>
    <row r="339" spans="1:20">
      <c r="A339" s="9" t="s">
        <v>305</v>
      </c>
      <c r="B339" s="30" t="s">
        <v>329</v>
      </c>
      <c r="C339" s="30" t="str">
        <f>CONCATENATE(VOL_VOLUMEN_SUMINISTROS[[#This Row],[Proyecto]],VOL_VOLUMEN_SUMINISTROS[[#This Row],[J]],VOL_VOLUMEN_SUMINISTROS[[#This Row],[FIN DE SEMANA]])</f>
        <v>1052-1TNO</v>
      </c>
      <c r="D339" s="360" t="str">
        <f>CONCATENATE(VOL_VOLUMEN_SUMINISTROS[[#This Row],[Grupo]],VOL_VOLUMEN_SUMINISTROS[[#This Row],[Proyecto]],VOL_VOLUMEN_SUMINISTROS[[#This Row],[FIN DE SEMANA]])</f>
        <v>131052-1NO</v>
      </c>
      <c r="E339" s="30" t="s">
        <v>146</v>
      </c>
      <c r="F339" s="30" t="s">
        <v>147</v>
      </c>
      <c r="G339" s="360">
        <v>13</v>
      </c>
      <c r="H339" s="30">
        <v>10</v>
      </c>
      <c r="I339" s="9" t="s">
        <v>330</v>
      </c>
      <c r="J339" s="9" t="s">
        <v>350</v>
      </c>
      <c r="K339" s="30">
        <v>1</v>
      </c>
      <c r="L339" s="9" t="s">
        <v>351</v>
      </c>
      <c r="M339" s="30" t="s">
        <v>84</v>
      </c>
      <c r="N339" s="30" t="s">
        <v>154</v>
      </c>
      <c r="O339" s="24">
        <v>0</v>
      </c>
      <c r="P339" s="24">
        <v>135</v>
      </c>
      <c r="Q339" s="24">
        <v>344</v>
      </c>
      <c r="R339" s="24">
        <v>0</v>
      </c>
      <c r="S339" s="24">
        <v>0</v>
      </c>
      <c r="T339" s="24">
        <v>479</v>
      </c>
    </row>
    <row r="340" spans="1:20">
      <c r="A340" s="9" t="s">
        <v>305</v>
      </c>
      <c r="B340" s="30" t="s">
        <v>329</v>
      </c>
      <c r="C340" s="30" t="str">
        <f>CONCATENATE(VOL_VOLUMEN_SUMINISTROS[[#This Row],[Proyecto]],VOL_VOLUMEN_SUMINISTROS[[#This Row],[J]],VOL_VOLUMEN_SUMINISTROS[[#This Row],[FIN DE SEMANA]])</f>
        <v>1052-1MNO</v>
      </c>
      <c r="D340" s="360" t="str">
        <f>CONCATENATE(VOL_VOLUMEN_SUMINISTROS[[#This Row],[Grupo]],VOL_VOLUMEN_SUMINISTROS[[#This Row],[Proyecto]],VOL_VOLUMEN_SUMINISTROS[[#This Row],[FIN DE SEMANA]])</f>
        <v>131052-1NO</v>
      </c>
      <c r="E340" s="30" t="s">
        <v>146</v>
      </c>
      <c r="F340" s="30" t="s">
        <v>147</v>
      </c>
      <c r="G340" s="360">
        <v>13</v>
      </c>
      <c r="H340" s="30">
        <v>10</v>
      </c>
      <c r="I340" s="9" t="s">
        <v>330</v>
      </c>
      <c r="J340" s="9" t="s">
        <v>350</v>
      </c>
      <c r="K340" s="30">
        <v>2</v>
      </c>
      <c r="L340" s="9" t="s">
        <v>352</v>
      </c>
      <c r="M340" s="30" t="s">
        <v>84</v>
      </c>
      <c r="N340" s="30" t="s">
        <v>151</v>
      </c>
      <c r="O340" s="24">
        <v>94</v>
      </c>
      <c r="P340" s="24">
        <v>179</v>
      </c>
      <c r="Q340" s="24">
        <v>44</v>
      </c>
      <c r="R340" s="24">
        <v>0</v>
      </c>
      <c r="S340" s="24">
        <v>0</v>
      </c>
      <c r="T340" s="24">
        <v>317</v>
      </c>
    </row>
    <row r="341" spans="1:20">
      <c r="A341" s="9" t="s">
        <v>305</v>
      </c>
      <c r="B341" s="30" t="s">
        <v>329</v>
      </c>
      <c r="C341" s="30" t="str">
        <f>CONCATENATE(VOL_VOLUMEN_SUMINISTROS[[#This Row],[Proyecto]],VOL_VOLUMEN_SUMINISTROS[[#This Row],[J]],VOL_VOLUMEN_SUMINISTROS[[#This Row],[FIN DE SEMANA]])</f>
        <v>1052-1TNO</v>
      </c>
      <c r="D341" s="360" t="str">
        <f>CONCATENATE(VOL_VOLUMEN_SUMINISTROS[[#This Row],[Grupo]],VOL_VOLUMEN_SUMINISTROS[[#This Row],[Proyecto]],VOL_VOLUMEN_SUMINISTROS[[#This Row],[FIN DE SEMANA]])</f>
        <v>131052-1NO</v>
      </c>
      <c r="E341" s="30" t="s">
        <v>146</v>
      </c>
      <c r="F341" s="30" t="s">
        <v>147</v>
      </c>
      <c r="G341" s="360">
        <v>13</v>
      </c>
      <c r="H341" s="30">
        <v>10</v>
      </c>
      <c r="I341" s="9" t="s">
        <v>330</v>
      </c>
      <c r="J341" s="9" t="s">
        <v>350</v>
      </c>
      <c r="K341" s="30">
        <v>2</v>
      </c>
      <c r="L341" s="9" t="s">
        <v>352</v>
      </c>
      <c r="M341" s="30" t="s">
        <v>84</v>
      </c>
      <c r="N341" s="30" t="s">
        <v>154</v>
      </c>
      <c r="O341" s="24">
        <v>46</v>
      </c>
      <c r="P341" s="24">
        <v>137</v>
      </c>
      <c r="Q341" s="24">
        <v>38</v>
      </c>
      <c r="R341" s="24">
        <v>0</v>
      </c>
      <c r="S341" s="24">
        <v>0</v>
      </c>
      <c r="T341" s="24">
        <v>221</v>
      </c>
    </row>
    <row r="342" spans="1:20">
      <c r="A342" s="9" t="s">
        <v>305</v>
      </c>
      <c r="B342" s="30" t="s">
        <v>329</v>
      </c>
      <c r="C342" s="30" t="str">
        <f>CONCATENATE(VOL_VOLUMEN_SUMINISTROS[[#This Row],[Proyecto]],VOL_VOLUMEN_SUMINISTROS[[#This Row],[J]],VOL_VOLUMEN_SUMINISTROS[[#This Row],[FIN DE SEMANA]])</f>
        <v>1052-1MNO</v>
      </c>
      <c r="D342" s="360" t="str">
        <f>CONCATENATE(VOL_VOLUMEN_SUMINISTROS[[#This Row],[Grupo]],VOL_VOLUMEN_SUMINISTROS[[#This Row],[Proyecto]],VOL_VOLUMEN_SUMINISTROS[[#This Row],[FIN DE SEMANA]])</f>
        <v>131052-1NO</v>
      </c>
      <c r="E342" s="30" t="s">
        <v>146</v>
      </c>
      <c r="F342" s="30" t="s">
        <v>147</v>
      </c>
      <c r="G342" s="360">
        <v>13</v>
      </c>
      <c r="H342" s="30">
        <v>10</v>
      </c>
      <c r="I342" s="9" t="s">
        <v>330</v>
      </c>
      <c r="J342" s="9" t="s">
        <v>350</v>
      </c>
      <c r="K342" s="30">
        <v>3</v>
      </c>
      <c r="L342" s="9" t="s">
        <v>353</v>
      </c>
      <c r="M342" s="30" t="s">
        <v>84</v>
      </c>
      <c r="N342" s="30" t="s">
        <v>151</v>
      </c>
      <c r="O342" s="24">
        <v>156</v>
      </c>
      <c r="P342" s="24">
        <v>39</v>
      </c>
      <c r="Q342" s="24">
        <v>0</v>
      </c>
      <c r="R342" s="24">
        <v>0</v>
      </c>
      <c r="S342" s="24">
        <v>0</v>
      </c>
      <c r="T342" s="24">
        <v>195</v>
      </c>
    </row>
    <row r="343" spans="1:20">
      <c r="A343" s="9" t="s">
        <v>305</v>
      </c>
      <c r="B343" s="30" t="s">
        <v>329</v>
      </c>
      <c r="C343" s="30" t="str">
        <f>CONCATENATE(VOL_VOLUMEN_SUMINISTROS[[#This Row],[Proyecto]],VOL_VOLUMEN_SUMINISTROS[[#This Row],[J]],VOL_VOLUMEN_SUMINISTROS[[#This Row],[FIN DE SEMANA]])</f>
        <v>1052-1TNO</v>
      </c>
      <c r="D343" s="360" t="str">
        <f>CONCATENATE(VOL_VOLUMEN_SUMINISTROS[[#This Row],[Grupo]],VOL_VOLUMEN_SUMINISTROS[[#This Row],[Proyecto]],VOL_VOLUMEN_SUMINISTROS[[#This Row],[FIN DE SEMANA]])</f>
        <v>131052-1NO</v>
      </c>
      <c r="E343" s="30" t="s">
        <v>146</v>
      </c>
      <c r="F343" s="30" t="s">
        <v>147</v>
      </c>
      <c r="G343" s="360">
        <v>13</v>
      </c>
      <c r="H343" s="30">
        <v>10</v>
      </c>
      <c r="I343" s="9" t="s">
        <v>330</v>
      </c>
      <c r="J343" s="9" t="s">
        <v>350</v>
      </c>
      <c r="K343" s="30">
        <v>3</v>
      </c>
      <c r="L343" s="9" t="s">
        <v>353</v>
      </c>
      <c r="M343" s="30" t="s">
        <v>84</v>
      </c>
      <c r="N343" s="30" t="s">
        <v>154</v>
      </c>
      <c r="O343" s="24">
        <v>162</v>
      </c>
      <c r="P343" s="24">
        <v>54</v>
      </c>
      <c r="Q343" s="24">
        <v>0</v>
      </c>
      <c r="R343" s="24">
        <v>0</v>
      </c>
      <c r="S343" s="24">
        <v>0</v>
      </c>
      <c r="T343" s="24">
        <v>216</v>
      </c>
    </row>
    <row r="344" spans="1:20">
      <c r="A344" s="9" t="s">
        <v>305</v>
      </c>
      <c r="B344" s="30" t="s">
        <v>329</v>
      </c>
      <c r="C344" s="30" t="str">
        <f>CONCATENATE(VOL_VOLUMEN_SUMINISTROS[[#This Row],[Proyecto]],VOL_VOLUMEN_SUMINISTROS[[#This Row],[J]],VOL_VOLUMEN_SUMINISTROS[[#This Row],[FIN DE SEMANA]])</f>
        <v>1052-1MNO</v>
      </c>
      <c r="D344" s="360" t="str">
        <f>CONCATENATE(VOL_VOLUMEN_SUMINISTROS[[#This Row],[Grupo]],VOL_VOLUMEN_SUMINISTROS[[#This Row],[Proyecto]],VOL_VOLUMEN_SUMINISTROS[[#This Row],[FIN DE SEMANA]])</f>
        <v>131052-1NO</v>
      </c>
      <c r="E344" s="30" t="s">
        <v>146</v>
      </c>
      <c r="F344" s="30" t="s">
        <v>147</v>
      </c>
      <c r="G344" s="360">
        <v>13</v>
      </c>
      <c r="H344" s="30">
        <v>10</v>
      </c>
      <c r="I344" s="9" t="s">
        <v>330</v>
      </c>
      <c r="J344" s="9" t="s">
        <v>354</v>
      </c>
      <c r="K344" s="30">
        <v>1</v>
      </c>
      <c r="L344" s="9" t="s">
        <v>152</v>
      </c>
      <c r="M344" s="30" t="s">
        <v>84</v>
      </c>
      <c r="N344" s="30" t="s">
        <v>151</v>
      </c>
      <c r="O344" s="24">
        <v>0</v>
      </c>
      <c r="P344" s="24">
        <v>285</v>
      </c>
      <c r="Q344" s="24">
        <v>508</v>
      </c>
      <c r="R344" s="24">
        <v>0</v>
      </c>
      <c r="S344" s="24">
        <v>0</v>
      </c>
      <c r="T344" s="24">
        <v>793</v>
      </c>
    </row>
    <row r="345" spans="1:20">
      <c r="A345" s="9" t="s">
        <v>305</v>
      </c>
      <c r="B345" s="30" t="s">
        <v>329</v>
      </c>
      <c r="C345" s="30" t="str">
        <f>CONCATENATE(VOL_VOLUMEN_SUMINISTROS[[#This Row],[Proyecto]],VOL_VOLUMEN_SUMINISTROS[[#This Row],[J]],VOL_VOLUMEN_SUMINISTROS[[#This Row],[FIN DE SEMANA]])</f>
        <v>1052-1TNO</v>
      </c>
      <c r="D345" s="360" t="str">
        <f>CONCATENATE(VOL_VOLUMEN_SUMINISTROS[[#This Row],[Grupo]],VOL_VOLUMEN_SUMINISTROS[[#This Row],[Proyecto]],VOL_VOLUMEN_SUMINISTROS[[#This Row],[FIN DE SEMANA]])</f>
        <v>131052-1NO</v>
      </c>
      <c r="E345" s="30" t="s">
        <v>146</v>
      </c>
      <c r="F345" s="30" t="s">
        <v>147</v>
      </c>
      <c r="G345" s="360">
        <v>13</v>
      </c>
      <c r="H345" s="30">
        <v>10</v>
      </c>
      <c r="I345" s="9" t="s">
        <v>330</v>
      </c>
      <c r="J345" s="9" t="s">
        <v>354</v>
      </c>
      <c r="K345" s="30">
        <v>1</v>
      </c>
      <c r="L345" s="9" t="s">
        <v>152</v>
      </c>
      <c r="M345" s="30" t="s">
        <v>84</v>
      </c>
      <c r="N345" s="30" t="s">
        <v>154</v>
      </c>
      <c r="O345" s="24">
        <v>0</v>
      </c>
      <c r="P345" s="24">
        <v>207</v>
      </c>
      <c r="Q345" s="24">
        <v>320</v>
      </c>
      <c r="R345" s="24">
        <v>0</v>
      </c>
      <c r="S345" s="24">
        <v>0</v>
      </c>
      <c r="T345" s="24">
        <v>527</v>
      </c>
    </row>
    <row r="346" spans="1:20">
      <c r="A346" s="9" t="s">
        <v>305</v>
      </c>
      <c r="B346" s="30" t="s">
        <v>329</v>
      </c>
      <c r="C346" s="30" t="str">
        <f>CONCATENATE(VOL_VOLUMEN_SUMINISTROS[[#This Row],[Proyecto]],VOL_VOLUMEN_SUMINISTROS[[#This Row],[J]],VOL_VOLUMEN_SUMINISTROS[[#This Row],[FIN DE SEMANA]])</f>
        <v>1052-1MNO</v>
      </c>
      <c r="D346" s="360" t="str">
        <f>CONCATENATE(VOL_VOLUMEN_SUMINISTROS[[#This Row],[Grupo]],VOL_VOLUMEN_SUMINISTROS[[#This Row],[Proyecto]],VOL_VOLUMEN_SUMINISTROS[[#This Row],[FIN DE SEMANA]])</f>
        <v>131052-1NO</v>
      </c>
      <c r="E346" s="30" t="s">
        <v>146</v>
      </c>
      <c r="F346" s="30" t="s">
        <v>147</v>
      </c>
      <c r="G346" s="360">
        <v>13</v>
      </c>
      <c r="H346" s="30">
        <v>10</v>
      </c>
      <c r="I346" s="9" t="s">
        <v>330</v>
      </c>
      <c r="J346" s="9" t="s">
        <v>354</v>
      </c>
      <c r="K346" s="30">
        <v>2</v>
      </c>
      <c r="L346" s="9" t="s">
        <v>164</v>
      </c>
      <c r="M346" s="30" t="s">
        <v>84</v>
      </c>
      <c r="N346" s="30" t="s">
        <v>151</v>
      </c>
      <c r="O346" s="24">
        <v>187</v>
      </c>
      <c r="P346" s="24">
        <v>64</v>
      </c>
      <c r="Q346" s="24">
        <v>0</v>
      </c>
      <c r="R346" s="24">
        <v>0</v>
      </c>
      <c r="S346" s="24">
        <v>0</v>
      </c>
      <c r="T346" s="24">
        <v>251</v>
      </c>
    </row>
    <row r="347" spans="1:20">
      <c r="A347" s="9" t="s">
        <v>305</v>
      </c>
      <c r="B347" s="30" t="s">
        <v>329</v>
      </c>
      <c r="C347" s="30" t="str">
        <f>CONCATENATE(VOL_VOLUMEN_SUMINISTROS[[#This Row],[Proyecto]],VOL_VOLUMEN_SUMINISTROS[[#This Row],[J]],VOL_VOLUMEN_SUMINISTROS[[#This Row],[FIN DE SEMANA]])</f>
        <v>1052-1TNO</v>
      </c>
      <c r="D347" s="360" t="str">
        <f>CONCATENATE(VOL_VOLUMEN_SUMINISTROS[[#This Row],[Grupo]],VOL_VOLUMEN_SUMINISTROS[[#This Row],[Proyecto]],VOL_VOLUMEN_SUMINISTROS[[#This Row],[FIN DE SEMANA]])</f>
        <v>131052-1NO</v>
      </c>
      <c r="E347" s="30" t="s">
        <v>146</v>
      </c>
      <c r="F347" s="30" t="s">
        <v>147</v>
      </c>
      <c r="G347" s="360">
        <v>13</v>
      </c>
      <c r="H347" s="30">
        <v>10</v>
      </c>
      <c r="I347" s="9" t="s">
        <v>330</v>
      </c>
      <c r="J347" s="9" t="s">
        <v>354</v>
      </c>
      <c r="K347" s="30">
        <v>2</v>
      </c>
      <c r="L347" s="9" t="s">
        <v>164</v>
      </c>
      <c r="M347" s="30" t="s">
        <v>84</v>
      </c>
      <c r="N347" s="30" t="s">
        <v>154</v>
      </c>
      <c r="O347" s="24">
        <v>179</v>
      </c>
      <c r="P347" s="24">
        <v>49</v>
      </c>
      <c r="Q347" s="24">
        <v>0</v>
      </c>
      <c r="R347" s="24">
        <v>0</v>
      </c>
      <c r="S347" s="24">
        <v>0</v>
      </c>
      <c r="T347" s="24">
        <v>228</v>
      </c>
    </row>
    <row r="348" spans="1:20">
      <c r="A348" s="9" t="s">
        <v>305</v>
      </c>
      <c r="B348" s="30" t="s">
        <v>329</v>
      </c>
      <c r="C348" s="30" t="str">
        <f>CONCATENATE(VOL_VOLUMEN_SUMINISTROS[[#This Row],[Proyecto]],VOL_VOLUMEN_SUMINISTROS[[#This Row],[J]],VOL_VOLUMEN_SUMINISTROS[[#This Row],[FIN DE SEMANA]])</f>
        <v>1052-1NNO</v>
      </c>
      <c r="D348" s="360" t="str">
        <f>CONCATENATE(VOL_VOLUMEN_SUMINISTROS[[#This Row],[Grupo]],VOL_VOLUMEN_SUMINISTROS[[#This Row],[Proyecto]],VOL_VOLUMEN_SUMINISTROS[[#This Row],[FIN DE SEMANA]])</f>
        <v>131052-1NO</v>
      </c>
      <c r="E348" s="30" t="s">
        <v>146</v>
      </c>
      <c r="F348" s="30" t="s">
        <v>147</v>
      </c>
      <c r="G348" s="360">
        <v>13</v>
      </c>
      <c r="H348" s="30">
        <v>10</v>
      </c>
      <c r="I348" s="9" t="s">
        <v>330</v>
      </c>
      <c r="J348" s="9" t="s">
        <v>355</v>
      </c>
      <c r="K348" s="30">
        <v>1</v>
      </c>
      <c r="L348" s="9" t="s">
        <v>356</v>
      </c>
      <c r="M348" s="30" t="s">
        <v>84</v>
      </c>
      <c r="N348" s="30" t="s">
        <v>153</v>
      </c>
      <c r="O348" s="24">
        <v>0</v>
      </c>
      <c r="P348" s="24">
        <v>0</v>
      </c>
      <c r="Q348" s="24">
        <v>0</v>
      </c>
      <c r="R348" s="24">
        <v>88</v>
      </c>
      <c r="S348" s="24">
        <v>101</v>
      </c>
      <c r="T348" s="24">
        <v>189</v>
      </c>
    </row>
    <row r="349" spans="1:20">
      <c r="A349" s="9" t="s">
        <v>305</v>
      </c>
      <c r="B349" s="30" t="s">
        <v>329</v>
      </c>
      <c r="C349" s="30" t="str">
        <f>CONCATENATE(VOL_VOLUMEN_SUMINISTROS[[#This Row],[Proyecto]],VOL_VOLUMEN_SUMINISTROS[[#This Row],[J]],VOL_VOLUMEN_SUMINISTROS[[#This Row],[FIN DE SEMANA]])</f>
        <v>1052-1MNO</v>
      </c>
      <c r="D349" s="360" t="str">
        <f>CONCATENATE(VOL_VOLUMEN_SUMINISTROS[[#This Row],[Grupo]],VOL_VOLUMEN_SUMINISTROS[[#This Row],[Proyecto]],VOL_VOLUMEN_SUMINISTROS[[#This Row],[FIN DE SEMANA]])</f>
        <v>131052-1NO</v>
      </c>
      <c r="E349" s="30" t="s">
        <v>146</v>
      </c>
      <c r="F349" s="30" t="s">
        <v>147</v>
      </c>
      <c r="G349" s="360">
        <v>13</v>
      </c>
      <c r="H349" s="30">
        <v>10</v>
      </c>
      <c r="I349" s="9" t="s">
        <v>330</v>
      </c>
      <c r="J349" s="9" t="s">
        <v>357</v>
      </c>
      <c r="K349" s="30">
        <v>1</v>
      </c>
      <c r="L349" s="9" t="s">
        <v>358</v>
      </c>
      <c r="M349" s="30" t="s">
        <v>84</v>
      </c>
      <c r="N349" s="30" t="s">
        <v>151</v>
      </c>
      <c r="O349" s="24">
        <v>0</v>
      </c>
      <c r="P349" s="24">
        <v>324</v>
      </c>
      <c r="Q349" s="24">
        <v>516</v>
      </c>
      <c r="R349" s="24">
        <v>0</v>
      </c>
      <c r="S349" s="24">
        <v>0</v>
      </c>
      <c r="T349" s="24">
        <v>840</v>
      </c>
    </row>
    <row r="350" spans="1:20">
      <c r="A350" s="9" t="s">
        <v>305</v>
      </c>
      <c r="B350" s="30" t="s">
        <v>329</v>
      </c>
      <c r="C350" s="30" t="str">
        <f>CONCATENATE(VOL_VOLUMEN_SUMINISTROS[[#This Row],[Proyecto]],VOL_VOLUMEN_SUMINISTROS[[#This Row],[J]],VOL_VOLUMEN_SUMINISTROS[[#This Row],[FIN DE SEMANA]])</f>
        <v>1052-1TNO</v>
      </c>
      <c r="D350" s="360" t="str">
        <f>CONCATENATE(VOL_VOLUMEN_SUMINISTROS[[#This Row],[Grupo]],VOL_VOLUMEN_SUMINISTROS[[#This Row],[Proyecto]],VOL_VOLUMEN_SUMINISTROS[[#This Row],[FIN DE SEMANA]])</f>
        <v>131052-1NO</v>
      </c>
      <c r="E350" s="30" t="s">
        <v>146</v>
      </c>
      <c r="F350" s="30" t="s">
        <v>147</v>
      </c>
      <c r="G350" s="360">
        <v>13</v>
      </c>
      <c r="H350" s="30">
        <v>10</v>
      </c>
      <c r="I350" s="9" t="s">
        <v>330</v>
      </c>
      <c r="J350" s="9" t="s">
        <v>357</v>
      </c>
      <c r="K350" s="30">
        <v>1</v>
      </c>
      <c r="L350" s="9" t="s">
        <v>358</v>
      </c>
      <c r="M350" s="30" t="s">
        <v>84</v>
      </c>
      <c r="N350" s="30" t="s">
        <v>154</v>
      </c>
      <c r="O350" s="24">
        <v>0</v>
      </c>
      <c r="P350" s="24">
        <v>324</v>
      </c>
      <c r="Q350" s="24">
        <v>397</v>
      </c>
      <c r="R350" s="24">
        <v>0</v>
      </c>
      <c r="S350" s="24">
        <v>0</v>
      </c>
      <c r="T350" s="24">
        <v>721</v>
      </c>
    </row>
    <row r="351" spans="1:20">
      <c r="A351" s="9" t="s">
        <v>305</v>
      </c>
      <c r="B351" s="30" t="s">
        <v>329</v>
      </c>
      <c r="C351" s="30" t="str">
        <f>CONCATENATE(VOL_VOLUMEN_SUMINISTROS[[#This Row],[Proyecto]],VOL_VOLUMEN_SUMINISTROS[[#This Row],[J]],VOL_VOLUMEN_SUMINISTROS[[#This Row],[FIN DE SEMANA]])</f>
        <v>1052-1MNO</v>
      </c>
      <c r="D351" s="360" t="str">
        <f>CONCATENATE(VOL_VOLUMEN_SUMINISTROS[[#This Row],[Grupo]],VOL_VOLUMEN_SUMINISTROS[[#This Row],[Proyecto]],VOL_VOLUMEN_SUMINISTROS[[#This Row],[FIN DE SEMANA]])</f>
        <v>131052-1NO</v>
      </c>
      <c r="E351" s="30" t="s">
        <v>146</v>
      </c>
      <c r="F351" s="30" t="s">
        <v>147</v>
      </c>
      <c r="G351" s="360">
        <v>13</v>
      </c>
      <c r="H351" s="30">
        <v>10</v>
      </c>
      <c r="I351" s="9" t="s">
        <v>330</v>
      </c>
      <c r="J351" s="9" t="s">
        <v>357</v>
      </c>
      <c r="K351" s="30">
        <v>2</v>
      </c>
      <c r="L351" s="9" t="s">
        <v>359</v>
      </c>
      <c r="M351" s="30" t="s">
        <v>84</v>
      </c>
      <c r="N351" s="30" t="s">
        <v>151</v>
      </c>
      <c r="O351" s="24">
        <v>283</v>
      </c>
      <c r="P351" s="24">
        <v>104</v>
      </c>
      <c r="Q351" s="24">
        <v>0</v>
      </c>
      <c r="R351" s="24">
        <v>0</v>
      </c>
      <c r="S351" s="24">
        <v>0</v>
      </c>
      <c r="T351" s="24">
        <v>387</v>
      </c>
    </row>
    <row r="352" spans="1:20">
      <c r="A352" s="9" t="s">
        <v>305</v>
      </c>
      <c r="B352" s="30" t="s">
        <v>329</v>
      </c>
      <c r="C352" s="30" t="str">
        <f>CONCATENATE(VOL_VOLUMEN_SUMINISTROS[[#This Row],[Proyecto]],VOL_VOLUMEN_SUMINISTROS[[#This Row],[J]],VOL_VOLUMEN_SUMINISTROS[[#This Row],[FIN DE SEMANA]])</f>
        <v>1052-1TNO</v>
      </c>
      <c r="D352" s="360" t="str">
        <f>CONCATENATE(VOL_VOLUMEN_SUMINISTROS[[#This Row],[Grupo]],VOL_VOLUMEN_SUMINISTROS[[#This Row],[Proyecto]],VOL_VOLUMEN_SUMINISTROS[[#This Row],[FIN DE SEMANA]])</f>
        <v>131052-1NO</v>
      </c>
      <c r="E352" s="30" t="s">
        <v>146</v>
      </c>
      <c r="F352" s="30" t="s">
        <v>147</v>
      </c>
      <c r="G352" s="360">
        <v>13</v>
      </c>
      <c r="H352" s="30">
        <v>10</v>
      </c>
      <c r="I352" s="9" t="s">
        <v>330</v>
      </c>
      <c r="J352" s="9" t="s">
        <v>357</v>
      </c>
      <c r="K352" s="30">
        <v>2</v>
      </c>
      <c r="L352" s="9" t="s">
        <v>359</v>
      </c>
      <c r="M352" s="30" t="s">
        <v>84</v>
      </c>
      <c r="N352" s="30" t="s">
        <v>154</v>
      </c>
      <c r="O352" s="24">
        <v>243</v>
      </c>
      <c r="P352" s="24">
        <v>92</v>
      </c>
      <c r="Q352" s="24">
        <v>0</v>
      </c>
      <c r="R352" s="24">
        <v>0</v>
      </c>
      <c r="S352" s="24">
        <v>0</v>
      </c>
      <c r="T352" s="24">
        <v>335</v>
      </c>
    </row>
    <row r="353" spans="1:20">
      <c r="A353" s="9" t="s">
        <v>305</v>
      </c>
      <c r="B353" s="30" t="s">
        <v>329</v>
      </c>
      <c r="C353" s="30" t="str">
        <f>CONCATENATE(VOL_VOLUMEN_SUMINISTROS[[#This Row],[Proyecto]],VOL_VOLUMEN_SUMINISTROS[[#This Row],[J]],VOL_VOLUMEN_SUMINISTROS[[#This Row],[FIN DE SEMANA]])</f>
        <v>1052-1MNO</v>
      </c>
      <c r="D353" s="360" t="str">
        <f>CONCATENATE(VOL_VOLUMEN_SUMINISTROS[[#This Row],[Grupo]],VOL_VOLUMEN_SUMINISTROS[[#This Row],[Proyecto]],VOL_VOLUMEN_SUMINISTROS[[#This Row],[FIN DE SEMANA]])</f>
        <v>131052-1NO</v>
      </c>
      <c r="E353" s="30" t="s">
        <v>146</v>
      </c>
      <c r="F353" s="30" t="s">
        <v>147</v>
      </c>
      <c r="G353" s="360">
        <v>13</v>
      </c>
      <c r="H353" s="30">
        <v>10</v>
      </c>
      <c r="I353" s="9" t="s">
        <v>330</v>
      </c>
      <c r="J353" s="9" t="s">
        <v>360</v>
      </c>
      <c r="K353" s="30">
        <v>1</v>
      </c>
      <c r="L353" s="9" t="s">
        <v>361</v>
      </c>
      <c r="M353" s="30" t="s">
        <v>84</v>
      </c>
      <c r="N353" s="30" t="s">
        <v>151</v>
      </c>
      <c r="O353" s="24">
        <v>258</v>
      </c>
      <c r="P353" s="24">
        <v>386</v>
      </c>
      <c r="Q353" s="24">
        <v>467</v>
      </c>
      <c r="R353" s="24">
        <v>0</v>
      </c>
      <c r="S353" s="24">
        <v>0</v>
      </c>
      <c r="T353" s="24">
        <v>1111</v>
      </c>
    </row>
    <row r="354" spans="1:20">
      <c r="A354" s="9" t="s">
        <v>305</v>
      </c>
      <c r="B354" s="30" t="s">
        <v>329</v>
      </c>
      <c r="C354" s="30" t="str">
        <f>CONCATENATE(VOL_VOLUMEN_SUMINISTROS[[#This Row],[Proyecto]],VOL_VOLUMEN_SUMINISTROS[[#This Row],[J]],VOL_VOLUMEN_SUMINISTROS[[#This Row],[FIN DE SEMANA]])</f>
        <v>1052-1TNO</v>
      </c>
      <c r="D354" s="360" t="str">
        <f>CONCATENATE(VOL_VOLUMEN_SUMINISTROS[[#This Row],[Grupo]],VOL_VOLUMEN_SUMINISTROS[[#This Row],[Proyecto]],VOL_VOLUMEN_SUMINISTROS[[#This Row],[FIN DE SEMANA]])</f>
        <v>131052-1NO</v>
      </c>
      <c r="E354" s="30" t="s">
        <v>146</v>
      </c>
      <c r="F354" s="30" t="s">
        <v>147</v>
      </c>
      <c r="G354" s="360">
        <v>13</v>
      </c>
      <c r="H354" s="30">
        <v>10</v>
      </c>
      <c r="I354" s="9" t="s">
        <v>330</v>
      </c>
      <c r="J354" s="9" t="s">
        <v>360</v>
      </c>
      <c r="K354" s="30">
        <v>1</v>
      </c>
      <c r="L354" s="9" t="s">
        <v>361</v>
      </c>
      <c r="M354" s="30" t="s">
        <v>84</v>
      </c>
      <c r="N354" s="30" t="s">
        <v>154</v>
      </c>
      <c r="O354" s="24">
        <v>246</v>
      </c>
      <c r="P354" s="24">
        <v>365</v>
      </c>
      <c r="Q354" s="24">
        <v>446</v>
      </c>
      <c r="R354" s="24">
        <v>0</v>
      </c>
      <c r="S354" s="24">
        <v>0</v>
      </c>
      <c r="T354" s="24">
        <v>1057</v>
      </c>
    </row>
    <row r="355" spans="1:20">
      <c r="A355" s="9" t="s">
        <v>305</v>
      </c>
      <c r="B355" s="30" t="s">
        <v>362</v>
      </c>
      <c r="C355" s="30" t="str">
        <f>CONCATENATE(VOL_VOLUMEN_SUMINISTROS[[#This Row],[Proyecto]],VOL_VOLUMEN_SUMINISTROS[[#This Row],[J]],VOL_VOLUMEN_SUMINISTROS[[#This Row],[FIN DE SEMANA]])</f>
        <v>1052-2M1NO</v>
      </c>
      <c r="D355" s="360" t="str">
        <f>CONCATENATE(VOL_VOLUMEN_SUMINISTROS[[#This Row],[Grupo]],VOL_VOLUMEN_SUMINISTROS[[#This Row],[Proyecto]],VOL_VOLUMEN_SUMINISTROS[[#This Row],[FIN DE SEMANA]])</f>
        <v>131052-2NO</v>
      </c>
      <c r="E355" s="30" t="s">
        <v>182</v>
      </c>
      <c r="F355" s="30" t="s">
        <v>147</v>
      </c>
      <c r="G355" s="360">
        <v>13</v>
      </c>
      <c r="H355" s="30">
        <v>10</v>
      </c>
      <c r="I355" s="9" t="s">
        <v>330</v>
      </c>
      <c r="J355" s="9" t="s">
        <v>331</v>
      </c>
      <c r="K355" s="30">
        <v>1</v>
      </c>
      <c r="L355" s="9" t="s">
        <v>332</v>
      </c>
      <c r="M355" s="30" t="s">
        <v>84</v>
      </c>
      <c r="N355" s="30" t="s">
        <v>215</v>
      </c>
      <c r="O355" s="24">
        <v>238</v>
      </c>
      <c r="P355" s="24">
        <v>626</v>
      </c>
      <c r="Q355" s="24">
        <v>529</v>
      </c>
      <c r="R355" s="24">
        <v>0</v>
      </c>
      <c r="S355" s="24">
        <v>0</v>
      </c>
      <c r="T355" s="24">
        <v>1393</v>
      </c>
    </row>
    <row r="356" spans="1:20">
      <c r="A356" s="9" t="s">
        <v>305</v>
      </c>
      <c r="B356" s="30" t="s">
        <v>362</v>
      </c>
      <c r="C356" s="30" t="str">
        <f>CONCATENATE(VOL_VOLUMEN_SUMINISTROS[[#This Row],[Proyecto]],VOL_VOLUMEN_SUMINISTROS[[#This Row],[J]],VOL_VOLUMEN_SUMINISTROS[[#This Row],[FIN DE SEMANA]])</f>
        <v>1052-2M1NO</v>
      </c>
      <c r="D356" s="360" t="str">
        <f>CONCATENATE(VOL_VOLUMEN_SUMINISTROS[[#This Row],[Grupo]],VOL_VOLUMEN_SUMINISTROS[[#This Row],[Proyecto]],VOL_VOLUMEN_SUMINISTROS[[#This Row],[FIN DE SEMANA]])</f>
        <v>131052-2NO</v>
      </c>
      <c r="E356" s="30" t="s">
        <v>182</v>
      </c>
      <c r="F356" s="30" t="s">
        <v>147</v>
      </c>
      <c r="G356" s="360">
        <v>13</v>
      </c>
      <c r="H356" s="30">
        <v>10</v>
      </c>
      <c r="I356" s="9" t="s">
        <v>330</v>
      </c>
      <c r="J356" s="9" t="s">
        <v>334</v>
      </c>
      <c r="K356" s="30">
        <v>1</v>
      </c>
      <c r="L356" s="9" t="s">
        <v>335</v>
      </c>
      <c r="M356" s="30" t="s">
        <v>84</v>
      </c>
      <c r="N356" s="30" t="s">
        <v>215</v>
      </c>
      <c r="O356" s="24">
        <v>0</v>
      </c>
      <c r="P356" s="24">
        <v>0</v>
      </c>
      <c r="Q356" s="24">
        <v>152</v>
      </c>
      <c r="R356" s="24">
        <v>0</v>
      </c>
      <c r="S356" s="24">
        <v>0</v>
      </c>
      <c r="T356" s="24">
        <v>152</v>
      </c>
    </row>
    <row r="357" spans="1:20">
      <c r="A357" s="9" t="s">
        <v>305</v>
      </c>
      <c r="B357" s="30" t="s">
        <v>362</v>
      </c>
      <c r="C357" s="30" t="str">
        <f>CONCATENATE(VOL_VOLUMEN_SUMINISTROS[[#This Row],[Proyecto]],VOL_VOLUMEN_SUMINISTROS[[#This Row],[J]],VOL_VOLUMEN_SUMINISTROS[[#This Row],[FIN DE SEMANA]])</f>
        <v>1052-2TNO</v>
      </c>
      <c r="D357" s="360" t="str">
        <f>CONCATENATE(VOL_VOLUMEN_SUMINISTROS[[#This Row],[Grupo]],VOL_VOLUMEN_SUMINISTROS[[#This Row],[Proyecto]],VOL_VOLUMEN_SUMINISTROS[[#This Row],[FIN DE SEMANA]])</f>
        <v>111052-2NO</v>
      </c>
      <c r="E357" s="30" t="s">
        <v>182</v>
      </c>
      <c r="F357" s="30" t="s">
        <v>147</v>
      </c>
      <c r="G357" s="360">
        <v>11</v>
      </c>
      <c r="H357" s="30">
        <v>10</v>
      </c>
      <c r="I357" s="9" t="s">
        <v>330</v>
      </c>
      <c r="J357" s="9" t="s">
        <v>334</v>
      </c>
      <c r="K357" s="30">
        <v>1</v>
      </c>
      <c r="L357" s="9" t="s">
        <v>335</v>
      </c>
      <c r="M357" s="30" t="s">
        <v>84</v>
      </c>
      <c r="N357" s="30" t="s">
        <v>154</v>
      </c>
      <c r="O357" s="24">
        <v>0</v>
      </c>
      <c r="P357" s="24">
        <v>0</v>
      </c>
      <c r="Q357" s="24">
        <v>377</v>
      </c>
      <c r="R357" s="24">
        <v>0</v>
      </c>
      <c r="S357" s="24">
        <v>0</v>
      </c>
      <c r="T357" s="24">
        <v>377</v>
      </c>
    </row>
    <row r="358" spans="1:20">
      <c r="A358" s="9" t="s">
        <v>305</v>
      </c>
      <c r="B358" s="30" t="s">
        <v>362</v>
      </c>
      <c r="C358" s="30" t="str">
        <f>CONCATENATE(VOL_VOLUMEN_SUMINISTROS[[#This Row],[Proyecto]],VOL_VOLUMEN_SUMINISTROS[[#This Row],[J]],VOL_VOLUMEN_SUMINISTROS[[#This Row],[FIN DE SEMANA]])</f>
        <v>1052-2MNO</v>
      </c>
      <c r="D358" s="360" t="str">
        <f>CONCATENATE(VOL_VOLUMEN_SUMINISTROS[[#This Row],[Grupo]],VOL_VOLUMEN_SUMINISTROS[[#This Row],[Proyecto]],VOL_VOLUMEN_SUMINISTROS[[#This Row],[FIN DE SEMANA]])</f>
        <v>111052-2NO</v>
      </c>
      <c r="E358" s="30" t="s">
        <v>182</v>
      </c>
      <c r="F358" s="30" t="s">
        <v>147</v>
      </c>
      <c r="G358" s="360">
        <v>11</v>
      </c>
      <c r="H358" s="30">
        <v>10</v>
      </c>
      <c r="I358" s="9" t="s">
        <v>330</v>
      </c>
      <c r="J358" s="9" t="s">
        <v>334</v>
      </c>
      <c r="K358" s="30">
        <v>2</v>
      </c>
      <c r="L358" s="9" t="s">
        <v>336</v>
      </c>
      <c r="M358" s="30" t="s">
        <v>84</v>
      </c>
      <c r="N358" s="30" t="s">
        <v>151</v>
      </c>
      <c r="O358" s="24">
        <v>251</v>
      </c>
      <c r="P358" s="24">
        <v>0</v>
      </c>
      <c r="Q358" s="24">
        <v>0</v>
      </c>
      <c r="R358" s="24">
        <v>0</v>
      </c>
      <c r="S358" s="24">
        <v>0</v>
      </c>
      <c r="T358" s="24">
        <v>251</v>
      </c>
    </row>
    <row r="359" spans="1:20">
      <c r="A359" s="9" t="s">
        <v>305</v>
      </c>
      <c r="B359" s="30" t="s">
        <v>362</v>
      </c>
      <c r="C359" s="30" t="str">
        <f>CONCATENATE(VOL_VOLUMEN_SUMINISTROS[[#This Row],[Proyecto]],VOL_VOLUMEN_SUMINISTROS[[#This Row],[J]],VOL_VOLUMEN_SUMINISTROS[[#This Row],[FIN DE SEMANA]])</f>
        <v>1052-2MNO</v>
      </c>
      <c r="D359" s="360" t="str">
        <f>CONCATENATE(VOL_VOLUMEN_SUMINISTROS[[#This Row],[Grupo]],VOL_VOLUMEN_SUMINISTROS[[#This Row],[Proyecto]],VOL_VOLUMEN_SUMINISTROS[[#This Row],[FIN DE SEMANA]])</f>
        <v>111052-2NO</v>
      </c>
      <c r="E359" s="30" t="s">
        <v>182</v>
      </c>
      <c r="F359" s="30" t="s">
        <v>147</v>
      </c>
      <c r="G359" s="360">
        <v>11</v>
      </c>
      <c r="H359" s="30">
        <v>10</v>
      </c>
      <c r="I359" s="9" t="s">
        <v>330</v>
      </c>
      <c r="J359" s="9" t="s">
        <v>343</v>
      </c>
      <c r="K359" s="30">
        <v>1</v>
      </c>
      <c r="L359" s="9" t="s">
        <v>344</v>
      </c>
      <c r="M359" s="30" t="s">
        <v>84</v>
      </c>
      <c r="N359" s="30" t="s">
        <v>151</v>
      </c>
      <c r="O359" s="24">
        <v>0</v>
      </c>
      <c r="P359" s="24">
        <v>0</v>
      </c>
      <c r="Q359" s="24">
        <v>87</v>
      </c>
      <c r="R359" s="24">
        <v>0</v>
      </c>
      <c r="S359" s="24">
        <v>0</v>
      </c>
      <c r="T359" s="24">
        <v>87</v>
      </c>
    </row>
    <row r="360" spans="1:20">
      <c r="A360" s="9" t="s">
        <v>305</v>
      </c>
      <c r="B360" s="30" t="s">
        <v>362</v>
      </c>
      <c r="C360" s="30" t="str">
        <f>CONCATENATE(VOL_VOLUMEN_SUMINISTROS[[#This Row],[Proyecto]],VOL_VOLUMEN_SUMINISTROS[[#This Row],[J]],VOL_VOLUMEN_SUMINISTROS[[#This Row],[FIN DE SEMANA]])</f>
        <v>1052-2TNO</v>
      </c>
      <c r="D360" s="360" t="str">
        <f>CONCATENATE(VOL_VOLUMEN_SUMINISTROS[[#This Row],[Grupo]],VOL_VOLUMEN_SUMINISTROS[[#This Row],[Proyecto]],VOL_VOLUMEN_SUMINISTROS[[#This Row],[FIN DE SEMANA]])</f>
        <v>111052-2NO</v>
      </c>
      <c r="E360" s="30" t="s">
        <v>182</v>
      </c>
      <c r="F360" s="30" t="s">
        <v>147</v>
      </c>
      <c r="G360" s="360">
        <v>11</v>
      </c>
      <c r="H360" s="30">
        <v>10</v>
      </c>
      <c r="I360" s="9" t="s">
        <v>330</v>
      </c>
      <c r="J360" s="9" t="s">
        <v>343</v>
      </c>
      <c r="K360" s="30">
        <v>1</v>
      </c>
      <c r="L360" s="9" t="s">
        <v>344</v>
      </c>
      <c r="M360" s="30" t="s">
        <v>84</v>
      </c>
      <c r="N360" s="30" t="s">
        <v>154</v>
      </c>
      <c r="O360" s="24">
        <v>0</v>
      </c>
      <c r="P360" s="24">
        <v>0</v>
      </c>
      <c r="Q360" s="24">
        <v>143</v>
      </c>
      <c r="R360" s="24">
        <v>0</v>
      </c>
      <c r="S360" s="24">
        <v>0</v>
      </c>
      <c r="T360" s="24">
        <v>143</v>
      </c>
    </row>
    <row r="361" spans="1:20">
      <c r="A361" s="9" t="s">
        <v>305</v>
      </c>
      <c r="B361" s="30" t="s">
        <v>362</v>
      </c>
      <c r="C361" s="30" t="str">
        <f>CONCATENATE(VOL_VOLUMEN_SUMINISTROS[[#This Row],[Proyecto]],VOL_VOLUMEN_SUMINISTROS[[#This Row],[J]],VOL_VOLUMEN_SUMINISTROS[[#This Row],[FIN DE SEMANA]])</f>
        <v>1052-2TNO</v>
      </c>
      <c r="D361" s="360" t="str">
        <f>CONCATENATE(VOL_VOLUMEN_SUMINISTROS[[#This Row],[Grupo]],VOL_VOLUMEN_SUMINISTROS[[#This Row],[Proyecto]],VOL_VOLUMEN_SUMINISTROS[[#This Row],[FIN DE SEMANA]])</f>
        <v>111052-2NO</v>
      </c>
      <c r="E361" s="30" t="s">
        <v>182</v>
      </c>
      <c r="F361" s="30" t="s">
        <v>147</v>
      </c>
      <c r="G361" s="360">
        <v>11</v>
      </c>
      <c r="H361" s="30">
        <v>10</v>
      </c>
      <c r="I361" s="9" t="s">
        <v>330</v>
      </c>
      <c r="J361" s="9" t="s">
        <v>345</v>
      </c>
      <c r="K361" s="30">
        <v>1</v>
      </c>
      <c r="L361" s="9" t="s">
        <v>347</v>
      </c>
      <c r="M361" s="30" t="s">
        <v>84</v>
      </c>
      <c r="N361" s="30" t="s">
        <v>154</v>
      </c>
      <c r="O361" s="24">
        <v>0</v>
      </c>
      <c r="P361" s="24">
        <v>0</v>
      </c>
      <c r="Q361" s="24">
        <v>80</v>
      </c>
      <c r="R361" s="24">
        <v>0</v>
      </c>
      <c r="S361" s="24">
        <v>0</v>
      </c>
      <c r="T361" s="24">
        <v>80</v>
      </c>
    </row>
    <row r="362" spans="1:20">
      <c r="A362" s="9" t="s">
        <v>305</v>
      </c>
      <c r="B362" s="30" t="s">
        <v>362</v>
      </c>
      <c r="C362" s="30" t="str">
        <f>CONCATENATE(VOL_VOLUMEN_SUMINISTROS[[#This Row],[Proyecto]],VOL_VOLUMEN_SUMINISTROS[[#This Row],[J]],VOL_VOLUMEN_SUMINISTROS[[#This Row],[FIN DE SEMANA]])</f>
        <v>1052-2MNO</v>
      </c>
      <c r="D362" s="360" t="str">
        <f>CONCATENATE(VOL_VOLUMEN_SUMINISTROS[[#This Row],[Grupo]],VOL_VOLUMEN_SUMINISTROS[[#This Row],[Proyecto]],VOL_VOLUMEN_SUMINISTROS[[#This Row],[FIN DE SEMANA]])</f>
        <v>131052-2NO</v>
      </c>
      <c r="E362" s="30" t="s">
        <v>182</v>
      </c>
      <c r="F362" s="30" t="s">
        <v>147</v>
      </c>
      <c r="G362" s="360">
        <v>13</v>
      </c>
      <c r="H362" s="30">
        <v>10</v>
      </c>
      <c r="I362" s="9" t="s">
        <v>330</v>
      </c>
      <c r="J362" s="9" t="s">
        <v>348</v>
      </c>
      <c r="K362" s="30">
        <v>1</v>
      </c>
      <c r="L362" s="9" t="s">
        <v>195</v>
      </c>
      <c r="M362" s="30" t="s">
        <v>84</v>
      </c>
      <c r="N362" s="30" t="s">
        <v>151</v>
      </c>
      <c r="O362" s="24">
        <v>0</v>
      </c>
      <c r="P362" s="24">
        <v>0</v>
      </c>
      <c r="Q362" s="24">
        <v>93</v>
      </c>
      <c r="R362" s="24">
        <v>0</v>
      </c>
      <c r="S362" s="24">
        <v>0</v>
      </c>
      <c r="T362" s="24">
        <v>93</v>
      </c>
    </row>
    <row r="363" spans="1:20">
      <c r="A363" s="9" t="s">
        <v>305</v>
      </c>
      <c r="B363" s="30" t="s">
        <v>362</v>
      </c>
      <c r="C363" s="30" t="str">
        <f>CONCATENATE(VOL_VOLUMEN_SUMINISTROS[[#This Row],[Proyecto]],VOL_VOLUMEN_SUMINISTROS[[#This Row],[J]],VOL_VOLUMEN_SUMINISTROS[[#This Row],[FIN DE SEMANA]])</f>
        <v>1052-2TNO</v>
      </c>
      <c r="D363" s="360" t="str">
        <f>CONCATENATE(VOL_VOLUMEN_SUMINISTROS[[#This Row],[Grupo]],VOL_VOLUMEN_SUMINISTROS[[#This Row],[Proyecto]],VOL_VOLUMEN_SUMINISTROS[[#This Row],[FIN DE SEMANA]])</f>
        <v>131052-2NO</v>
      </c>
      <c r="E363" s="30" t="s">
        <v>182</v>
      </c>
      <c r="F363" s="30" t="s">
        <v>147</v>
      </c>
      <c r="G363" s="360">
        <v>13</v>
      </c>
      <c r="H363" s="30">
        <v>10</v>
      </c>
      <c r="I363" s="9" t="s">
        <v>330</v>
      </c>
      <c r="J363" s="9" t="s">
        <v>348</v>
      </c>
      <c r="K363" s="30">
        <v>1</v>
      </c>
      <c r="L363" s="9" t="s">
        <v>195</v>
      </c>
      <c r="M363" s="30" t="s">
        <v>84</v>
      </c>
      <c r="N363" s="30" t="s">
        <v>154</v>
      </c>
      <c r="O363" s="24">
        <v>0</v>
      </c>
      <c r="P363" s="24">
        <v>0</v>
      </c>
      <c r="Q363" s="24">
        <v>75</v>
      </c>
      <c r="R363" s="24">
        <v>0</v>
      </c>
      <c r="S363" s="24">
        <v>0</v>
      </c>
      <c r="T363" s="24">
        <v>75</v>
      </c>
    </row>
    <row r="364" spans="1:20">
      <c r="A364" s="9" t="s">
        <v>305</v>
      </c>
      <c r="B364" s="30" t="s">
        <v>362</v>
      </c>
      <c r="C364" s="30" t="str">
        <f>CONCATENATE(VOL_VOLUMEN_SUMINISTROS[[#This Row],[Proyecto]],VOL_VOLUMEN_SUMINISTROS[[#This Row],[J]],VOL_VOLUMEN_SUMINISTROS[[#This Row],[FIN DE SEMANA]])</f>
        <v>1052-2MNO</v>
      </c>
      <c r="D364" s="360" t="str">
        <f>CONCATENATE(VOL_VOLUMEN_SUMINISTROS[[#This Row],[Grupo]],VOL_VOLUMEN_SUMINISTROS[[#This Row],[Proyecto]],VOL_VOLUMEN_SUMINISTROS[[#This Row],[FIN DE SEMANA]])</f>
        <v>131052-2NO</v>
      </c>
      <c r="E364" s="30" t="s">
        <v>182</v>
      </c>
      <c r="F364" s="30" t="s">
        <v>147</v>
      </c>
      <c r="G364" s="360">
        <v>13</v>
      </c>
      <c r="H364" s="30">
        <v>10</v>
      </c>
      <c r="I364" s="9" t="s">
        <v>330</v>
      </c>
      <c r="J364" s="9" t="s">
        <v>350</v>
      </c>
      <c r="K364" s="30">
        <v>1</v>
      </c>
      <c r="L364" s="9" t="s">
        <v>351</v>
      </c>
      <c r="M364" s="30" t="s">
        <v>84</v>
      </c>
      <c r="N364" s="30" t="s">
        <v>151</v>
      </c>
      <c r="O364" s="24">
        <v>0</v>
      </c>
      <c r="P364" s="24">
        <v>0</v>
      </c>
      <c r="Q364" s="24">
        <v>65</v>
      </c>
      <c r="R364" s="24">
        <v>0</v>
      </c>
      <c r="S364" s="24">
        <v>0</v>
      </c>
      <c r="T364" s="24">
        <v>65</v>
      </c>
    </row>
    <row r="365" spans="1:20">
      <c r="A365" s="9" t="s">
        <v>305</v>
      </c>
      <c r="B365" s="30" t="s">
        <v>362</v>
      </c>
      <c r="C365" s="30" t="str">
        <f>CONCATENATE(VOL_VOLUMEN_SUMINISTROS[[#This Row],[Proyecto]],VOL_VOLUMEN_SUMINISTROS[[#This Row],[J]],VOL_VOLUMEN_SUMINISTROS[[#This Row],[FIN DE SEMANA]])</f>
        <v>1052-2TNO</v>
      </c>
      <c r="D365" s="360" t="str">
        <f>CONCATENATE(VOL_VOLUMEN_SUMINISTROS[[#This Row],[Grupo]],VOL_VOLUMEN_SUMINISTROS[[#This Row],[Proyecto]],VOL_VOLUMEN_SUMINISTROS[[#This Row],[FIN DE SEMANA]])</f>
        <v>131052-2NO</v>
      </c>
      <c r="E365" s="30" t="s">
        <v>182</v>
      </c>
      <c r="F365" s="30" t="s">
        <v>147</v>
      </c>
      <c r="G365" s="360">
        <v>13</v>
      </c>
      <c r="H365" s="30">
        <v>10</v>
      </c>
      <c r="I365" s="9" t="s">
        <v>330</v>
      </c>
      <c r="J365" s="9" t="s">
        <v>350</v>
      </c>
      <c r="K365" s="30">
        <v>1</v>
      </c>
      <c r="L365" s="9" t="s">
        <v>351</v>
      </c>
      <c r="M365" s="30" t="s">
        <v>84</v>
      </c>
      <c r="N365" s="30" t="s">
        <v>154</v>
      </c>
      <c r="O365" s="24">
        <v>0</v>
      </c>
      <c r="P365" s="24">
        <v>0</v>
      </c>
      <c r="Q365" s="24">
        <v>74</v>
      </c>
      <c r="R365" s="24">
        <v>0</v>
      </c>
      <c r="S365" s="24">
        <v>0</v>
      </c>
      <c r="T365" s="24">
        <v>74</v>
      </c>
    </row>
    <row r="366" spans="1:20">
      <c r="A366" s="9" t="s">
        <v>305</v>
      </c>
      <c r="B366" s="30" t="s">
        <v>362</v>
      </c>
      <c r="C366" s="30" t="str">
        <f>CONCATENATE(VOL_VOLUMEN_SUMINISTROS[[#This Row],[Proyecto]],VOL_VOLUMEN_SUMINISTROS[[#This Row],[J]],VOL_VOLUMEN_SUMINISTROS[[#This Row],[FIN DE SEMANA]])</f>
        <v>1052-2MNO</v>
      </c>
      <c r="D366" s="360" t="str">
        <f>CONCATENATE(VOL_VOLUMEN_SUMINISTROS[[#This Row],[Grupo]],VOL_VOLUMEN_SUMINISTROS[[#This Row],[Proyecto]],VOL_VOLUMEN_SUMINISTROS[[#This Row],[FIN DE SEMANA]])</f>
        <v>131052-2NO</v>
      </c>
      <c r="E366" s="30" t="s">
        <v>182</v>
      </c>
      <c r="F366" s="30" t="s">
        <v>147</v>
      </c>
      <c r="G366" s="360">
        <v>13</v>
      </c>
      <c r="H366" s="30">
        <v>10</v>
      </c>
      <c r="I366" s="9" t="s">
        <v>330</v>
      </c>
      <c r="J366" s="9" t="s">
        <v>354</v>
      </c>
      <c r="K366" s="30">
        <v>1</v>
      </c>
      <c r="L366" s="9" t="s">
        <v>152</v>
      </c>
      <c r="M366" s="30" t="s">
        <v>84</v>
      </c>
      <c r="N366" s="30" t="s">
        <v>151</v>
      </c>
      <c r="O366" s="24">
        <v>0</v>
      </c>
      <c r="P366" s="24">
        <v>0</v>
      </c>
      <c r="Q366" s="24">
        <v>80</v>
      </c>
      <c r="R366" s="24">
        <v>0</v>
      </c>
      <c r="S366" s="24">
        <v>0</v>
      </c>
      <c r="T366" s="24">
        <v>80</v>
      </c>
    </row>
    <row r="367" spans="1:20">
      <c r="A367" s="9" t="s">
        <v>305</v>
      </c>
      <c r="B367" s="30" t="s">
        <v>362</v>
      </c>
      <c r="C367" s="30" t="str">
        <f>CONCATENATE(VOL_VOLUMEN_SUMINISTROS[[#This Row],[Proyecto]],VOL_VOLUMEN_SUMINISTROS[[#This Row],[J]],VOL_VOLUMEN_SUMINISTROS[[#This Row],[FIN DE SEMANA]])</f>
        <v>1052-2TNO</v>
      </c>
      <c r="D367" s="360" t="str">
        <f>CONCATENATE(VOL_VOLUMEN_SUMINISTROS[[#This Row],[Grupo]],VOL_VOLUMEN_SUMINISTROS[[#This Row],[Proyecto]],VOL_VOLUMEN_SUMINISTROS[[#This Row],[FIN DE SEMANA]])</f>
        <v>131052-2NO</v>
      </c>
      <c r="E367" s="30" t="s">
        <v>182</v>
      </c>
      <c r="F367" s="30" t="s">
        <v>147</v>
      </c>
      <c r="G367" s="360">
        <v>13</v>
      </c>
      <c r="H367" s="30">
        <v>10</v>
      </c>
      <c r="I367" s="9" t="s">
        <v>330</v>
      </c>
      <c r="J367" s="9" t="s">
        <v>354</v>
      </c>
      <c r="K367" s="30">
        <v>1</v>
      </c>
      <c r="L367" s="9" t="s">
        <v>152</v>
      </c>
      <c r="M367" s="30" t="s">
        <v>84</v>
      </c>
      <c r="N367" s="30" t="s">
        <v>154</v>
      </c>
      <c r="O367" s="24">
        <v>0</v>
      </c>
      <c r="P367" s="24">
        <v>0</v>
      </c>
      <c r="Q367" s="24">
        <v>120</v>
      </c>
      <c r="R367" s="24">
        <v>0</v>
      </c>
      <c r="S367" s="24">
        <v>0</v>
      </c>
      <c r="T367" s="24">
        <v>120</v>
      </c>
    </row>
    <row r="368" spans="1:20">
      <c r="A368" s="9" t="s">
        <v>305</v>
      </c>
      <c r="B368" s="30" t="s">
        <v>363</v>
      </c>
      <c r="C368" s="30" t="str">
        <f>CONCATENATE(VOL_VOLUMEN_SUMINISTROS[[#This Row],[Proyecto]],VOL_VOLUMEN_SUMINISTROS[[#This Row],[J]],VOL_VOLUMEN_SUMINISTROS[[#This Row],[FIN DE SEMANA]])</f>
        <v>1052-1MNO</v>
      </c>
      <c r="D368" s="360" t="str">
        <f>CONCATENATE(VOL_VOLUMEN_SUMINISTROS[[#This Row],[Grupo]],VOL_VOLUMEN_SUMINISTROS[[#This Row],[Proyecto]],VOL_VOLUMEN_SUMINISTROS[[#This Row],[FIN DE SEMANA]])</f>
        <v>241052-1NO</v>
      </c>
      <c r="E368" s="30" t="s">
        <v>146</v>
      </c>
      <c r="F368" s="30" t="s">
        <v>147</v>
      </c>
      <c r="G368" s="360">
        <v>24</v>
      </c>
      <c r="H368" s="30">
        <v>15</v>
      </c>
      <c r="I368" s="9" t="s">
        <v>364</v>
      </c>
      <c r="J368" s="9" t="s">
        <v>365</v>
      </c>
      <c r="K368" s="30">
        <v>1</v>
      </c>
      <c r="L368" s="9" t="s">
        <v>366</v>
      </c>
      <c r="M368" s="30" t="s">
        <v>84</v>
      </c>
      <c r="N368" s="30" t="s">
        <v>151</v>
      </c>
      <c r="O368" s="24">
        <v>85</v>
      </c>
      <c r="P368" s="24">
        <v>201</v>
      </c>
      <c r="Q368" s="24">
        <v>530</v>
      </c>
      <c r="R368" s="24">
        <v>0</v>
      </c>
      <c r="S368" s="24">
        <v>0</v>
      </c>
      <c r="T368" s="24">
        <v>816</v>
      </c>
    </row>
    <row r="369" spans="1:20">
      <c r="A369" s="9" t="s">
        <v>305</v>
      </c>
      <c r="B369" s="30" t="s">
        <v>363</v>
      </c>
      <c r="C369" s="30" t="str">
        <f>CONCATENATE(VOL_VOLUMEN_SUMINISTROS[[#This Row],[Proyecto]],VOL_VOLUMEN_SUMINISTROS[[#This Row],[J]],VOL_VOLUMEN_SUMINISTROS[[#This Row],[FIN DE SEMANA]])</f>
        <v>1052-1NNO</v>
      </c>
      <c r="D369" s="360" t="str">
        <f>CONCATENATE(VOL_VOLUMEN_SUMINISTROS[[#This Row],[Grupo]],VOL_VOLUMEN_SUMINISTROS[[#This Row],[Proyecto]],VOL_VOLUMEN_SUMINISTROS[[#This Row],[FIN DE SEMANA]])</f>
        <v>241052-1NO</v>
      </c>
      <c r="E369" s="30" t="s">
        <v>146</v>
      </c>
      <c r="F369" s="30" t="s">
        <v>147</v>
      </c>
      <c r="G369" s="360">
        <v>24</v>
      </c>
      <c r="H369" s="30">
        <v>15</v>
      </c>
      <c r="I369" s="9" t="s">
        <v>364</v>
      </c>
      <c r="J369" s="9" t="s">
        <v>365</v>
      </c>
      <c r="K369" s="30">
        <v>1</v>
      </c>
      <c r="L369" s="9" t="s">
        <v>366</v>
      </c>
      <c r="M369" s="30" t="s">
        <v>84</v>
      </c>
      <c r="N369" s="30" t="s">
        <v>153</v>
      </c>
      <c r="O369" s="24">
        <v>0</v>
      </c>
      <c r="P369" s="24">
        <v>0</v>
      </c>
      <c r="Q369" s="24">
        <v>0</v>
      </c>
      <c r="R369" s="24">
        <v>92</v>
      </c>
      <c r="S369" s="24">
        <v>110</v>
      </c>
      <c r="T369" s="24">
        <v>202</v>
      </c>
    </row>
    <row r="370" spans="1:20">
      <c r="A370" s="9" t="s">
        <v>305</v>
      </c>
      <c r="B370" s="30" t="s">
        <v>363</v>
      </c>
      <c r="C370" s="30" t="str">
        <f>CONCATENATE(VOL_VOLUMEN_SUMINISTROS[[#This Row],[Proyecto]],VOL_VOLUMEN_SUMINISTROS[[#This Row],[J]],VOL_VOLUMEN_SUMINISTROS[[#This Row],[FIN DE SEMANA]])</f>
        <v>1052-1TNO</v>
      </c>
      <c r="D370" s="360" t="str">
        <f>CONCATENATE(VOL_VOLUMEN_SUMINISTROS[[#This Row],[Grupo]],VOL_VOLUMEN_SUMINISTROS[[#This Row],[Proyecto]],VOL_VOLUMEN_SUMINISTROS[[#This Row],[FIN DE SEMANA]])</f>
        <v>241052-1NO</v>
      </c>
      <c r="E370" s="30" t="s">
        <v>146</v>
      </c>
      <c r="F370" s="30" t="s">
        <v>147</v>
      </c>
      <c r="G370" s="360">
        <v>24</v>
      </c>
      <c r="H370" s="30">
        <v>15</v>
      </c>
      <c r="I370" s="9" t="s">
        <v>364</v>
      </c>
      <c r="J370" s="9" t="s">
        <v>365</v>
      </c>
      <c r="K370" s="30">
        <v>1</v>
      </c>
      <c r="L370" s="9" t="s">
        <v>366</v>
      </c>
      <c r="M370" s="30" t="s">
        <v>84</v>
      </c>
      <c r="N370" s="30" t="s">
        <v>154</v>
      </c>
      <c r="O370" s="24">
        <v>25</v>
      </c>
      <c r="P370" s="24">
        <v>234</v>
      </c>
      <c r="Q370" s="24">
        <v>282</v>
      </c>
      <c r="R370" s="24">
        <v>0</v>
      </c>
      <c r="S370" s="24">
        <v>0</v>
      </c>
      <c r="T370" s="24">
        <v>541</v>
      </c>
    </row>
    <row r="371" spans="1:20">
      <c r="A371" s="9" t="s">
        <v>305</v>
      </c>
      <c r="B371" s="30" t="s">
        <v>363</v>
      </c>
      <c r="C371" s="30" t="str">
        <f>CONCATENATE(VOL_VOLUMEN_SUMINISTROS[[#This Row],[Proyecto]],VOL_VOLUMEN_SUMINISTROS[[#This Row],[J]],VOL_VOLUMEN_SUMINISTROS[[#This Row],[FIN DE SEMANA]])</f>
        <v>1052-1MNO</v>
      </c>
      <c r="D371" s="360" t="str">
        <f>CONCATENATE(VOL_VOLUMEN_SUMINISTROS[[#This Row],[Grupo]],VOL_VOLUMEN_SUMINISTROS[[#This Row],[Proyecto]],VOL_VOLUMEN_SUMINISTROS[[#This Row],[FIN DE SEMANA]])</f>
        <v>241052-1NO</v>
      </c>
      <c r="E371" s="30" t="s">
        <v>146</v>
      </c>
      <c r="F371" s="30" t="s">
        <v>147</v>
      </c>
      <c r="G371" s="360">
        <v>24</v>
      </c>
      <c r="H371" s="30">
        <v>15</v>
      </c>
      <c r="I371" s="9" t="s">
        <v>364</v>
      </c>
      <c r="J371" s="9" t="s">
        <v>365</v>
      </c>
      <c r="K371" s="30">
        <v>2</v>
      </c>
      <c r="L371" s="9" t="s">
        <v>367</v>
      </c>
      <c r="M371" s="30" t="s">
        <v>84</v>
      </c>
      <c r="N371" s="30" t="s">
        <v>151</v>
      </c>
      <c r="O371" s="24">
        <v>60</v>
      </c>
      <c r="P371" s="24">
        <v>57</v>
      </c>
      <c r="Q371" s="24">
        <v>9</v>
      </c>
      <c r="R371" s="24">
        <v>0</v>
      </c>
      <c r="S371" s="24">
        <v>0</v>
      </c>
      <c r="T371" s="24">
        <v>126</v>
      </c>
    </row>
    <row r="372" spans="1:20">
      <c r="A372" s="9" t="s">
        <v>305</v>
      </c>
      <c r="B372" s="30" t="s">
        <v>363</v>
      </c>
      <c r="C372" s="30" t="str">
        <f>CONCATENATE(VOL_VOLUMEN_SUMINISTROS[[#This Row],[Proyecto]],VOL_VOLUMEN_SUMINISTROS[[#This Row],[J]],VOL_VOLUMEN_SUMINISTROS[[#This Row],[FIN DE SEMANA]])</f>
        <v>1052-1TNO</v>
      </c>
      <c r="D372" s="360" t="str">
        <f>CONCATENATE(VOL_VOLUMEN_SUMINISTROS[[#This Row],[Grupo]],VOL_VOLUMEN_SUMINISTROS[[#This Row],[Proyecto]],VOL_VOLUMEN_SUMINISTROS[[#This Row],[FIN DE SEMANA]])</f>
        <v>241052-1NO</v>
      </c>
      <c r="E372" s="30" t="s">
        <v>146</v>
      </c>
      <c r="F372" s="30" t="s">
        <v>147</v>
      </c>
      <c r="G372" s="360">
        <v>24</v>
      </c>
      <c r="H372" s="30">
        <v>15</v>
      </c>
      <c r="I372" s="9" t="s">
        <v>364</v>
      </c>
      <c r="J372" s="9" t="s">
        <v>365</v>
      </c>
      <c r="K372" s="30">
        <v>2</v>
      </c>
      <c r="L372" s="9" t="s">
        <v>367</v>
      </c>
      <c r="M372" s="30" t="s">
        <v>84</v>
      </c>
      <c r="N372" s="30" t="s">
        <v>154</v>
      </c>
      <c r="O372" s="24">
        <v>56</v>
      </c>
      <c r="P372" s="24">
        <v>55</v>
      </c>
      <c r="Q372" s="24">
        <v>9</v>
      </c>
      <c r="R372" s="24">
        <v>0</v>
      </c>
      <c r="S372" s="24">
        <v>0</v>
      </c>
      <c r="T372" s="24">
        <v>120</v>
      </c>
    </row>
    <row r="373" spans="1:20">
      <c r="A373" s="9" t="s">
        <v>305</v>
      </c>
      <c r="B373" s="30" t="s">
        <v>363</v>
      </c>
      <c r="C373" s="30" t="str">
        <f>CONCATENATE(VOL_VOLUMEN_SUMINISTROS[[#This Row],[Proyecto]],VOL_VOLUMEN_SUMINISTROS[[#This Row],[J]],VOL_VOLUMEN_SUMINISTROS[[#This Row],[FIN DE SEMANA]])</f>
        <v>1052-1MNO</v>
      </c>
      <c r="D373" s="360" t="str">
        <f>CONCATENATE(VOL_VOLUMEN_SUMINISTROS[[#This Row],[Grupo]],VOL_VOLUMEN_SUMINISTROS[[#This Row],[Proyecto]],VOL_VOLUMEN_SUMINISTROS[[#This Row],[FIN DE SEMANA]])</f>
        <v>241052-1NO</v>
      </c>
      <c r="E373" s="30" t="s">
        <v>146</v>
      </c>
      <c r="F373" s="30" t="s">
        <v>147</v>
      </c>
      <c r="G373" s="360">
        <v>24</v>
      </c>
      <c r="H373" s="30">
        <v>15</v>
      </c>
      <c r="I373" s="9" t="s">
        <v>364</v>
      </c>
      <c r="J373" s="9" t="s">
        <v>365</v>
      </c>
      <c r="K373" s="30">
        <v>3</v>
      </c>
      <c r="L373" s="9" t="s">
        <v>368</v>
      </c>
      <c r="M373" s="30" t="s">
        <v>84</v>
      </c>
      <c r="N373" s="30" t="s">
        <v>151</v>
      </c>
      <c r="O373" s="24">
        <v>95</v>
      </c>
      <c r="P373" s="24">
        <v>62</v>
      </c>
      <c r="Q373" s="24">
        <v>9</v>
      </c>
      <c r="R373" s="24">
        <v>0</v>
      </c>
      <c r="S373" s="24">
        <v>0</v>
      </c>
      <c r="T373" s="24">
        <v>166</v>
      </c>
    </row>
    <row r="374" spans="1:20">
      <c r="A374" s="9" t="s">
        <v>305</v>
      </c>
      <c r="B374" s="30" t="s">
        <v>363</v>
      </c>
      <c r="C374" s="30" t="str">
        <f>CONCATENATE(VOL_VOLUMEN_SUMINISTROS[[#This Row],[Proyecto]],VOL_VOLUMEN_SUMINISTROS[[#This Row],[J]],VOL_VOLUMEN_SUMINISTROS[[#This Row],[FIN DE SEMANA]])</f>
        <v>1052-1TNO</v>
      </c>
      <c r="D374" s="360" t="str">
        <f>CONCATENATE(VOL_VOLUMEN_SUMINISTROS[[#This Row],[Grupo]],VOL_VOLUMEN_SUMINISTROS[[#This Row],[Proyecto]],VOL_VOLUMEN_SUMINISTROS[[#This Row],[FIN DE SEMANA]])</f>
        <v>241052-1NO</v>
      </c>
      <c r="E374" s="30" t="s">
        <v>146</v>
      </c>
      <c r="F374" s="30" t="s">
        <v>147</v>
      </c>
      <c r="G374" s="360">
        <v>24</v>
      </c>
      <c r="H374" s="30">
        <v>15</v>
      </c>
      <c r="I374" s="9" t="s">
        <v>364</v>
      </c>
      <c r="J374" s="9" t="s">
        <v>365</v>
      </c>
      <c r="K374" s="30">
        <v>3</v>
      </c>
      <c r="L374" s="9" t="s">
        <v>368</v>
      </c>
      <c r="M374" s="30" t="s">
        <v>84</v>
      </c>
      <c r="N374" s="30" t="s">
        <v>154</v>
      </c>
      <c r="O374" s="24">
        <v>79</v>
      </c>
      <c r="P374" s="24">
        <v>52</v>
      </c>
      <c r="Q374" s="24">
        <v>8</v>
      </c>
      <c r="R374" s="24">
        <v>0</v>
      </c>
      <c r="S374" s="24">
        <v>0</v>
      </c>
      <c r="T374" s="24">
        <v>139</v>
      </c>
    </row>
    <row r="375" spans="1:20">
      <c r="A375" s="9" t="s">
        <v>305</v>
      </c>
      <c r="B375" s="30" t="s">
        <v>363</v>
      </c>
      <c r="C375" s="30" t="str">
        <f>CONCATENATE(VOL_VOLUMEN_SUMINISTROS[[#This Row],[Proyecto]],VOL_VOLUMEN_SUMINISTROS[[#This Row],[J]],VOL_VOLUMEN_SUMINISTROS[[#This Row],[FIN DE SEMANA]])</f>
        <v>1052-1MNO</v>
      </c>
      <c r="D375" s="360" t="str">
        <f>CONCATENATE(VOL_VOLUMEN_SUMINISTROS[[#This Row],[Grupo]],VOL_VOLUMEN_SUMINISTROS[[#This Row],[Proyecto]],VOL_VOLUMEN_SUMINISTROS[[#This Row],[FIN DE SEMANA]])</f>
        <v>241052-1NO</v>
      </c>
      <c r="E375" s="30" t="s">
        <v>146</v>
      </c>
      <c r="F375" s="30" t="s">
        <v>147</v>
      </c>
      <c r="G375" s="360">
        <v>24</v>
      </c>
      <c r="H375" s="30">
        <v>15</v>
      </c>
      <c r="I375" s="9" t="s">
        <v>364</v>
      </c>
      <c r="J375" s="9" t="s">
        <v>369</v>
      </c>
      <c r="K375" s="30">
        <v>1</v>
      </c>
      <c r="L375" s="9" t="s">
        <v>370</v>
      </c>
      <c r="M375" s="30" t="s">
        <v>84</v>
      </c>
      <c r="N375" s="30" t="s">
        <v>151</v>
      </c>
      <c r="O375" s="24">
        <v>411</v>
      </c>
      <c r="P375" s="24">
        <v>291</v>
      </c>
      <c r="Q375" s="24">
        <v>645</v>
      </c>
      <c r="R375" s="24">
        <v>0</v>
      </c>
      <c r="S375" s="24">
        <v>0</v>
      </c>
      <c r="T375" s="24">
        <v>1347</v>
      </c>
    </row>
    <row r="376" spans="1:20">
      <c r="A376" s="9" t="s">
        <v>305</v>
      </c>
      <c r="B376" s="30" t="s">
        <v>363</v>
      </c>
      <c r="C376" s="30" t="str">
        <f>CONCATENATE(VOL_VOLUMEN_SUMINISTROS[[#This Row],[Proyecto]],VOL_VOLUMEN_SUMINISTROS[[#This Row],[J]],VOL_VOLUMEN_SUMINISTROS[[#This Row],[FIN DE SEMANA]])</f>
        <v>1052-1TNO</v>
      </c>
      <c r="D376" s="360" t="str">
        <f>CONCATENATE(VOL_VOLUMEN_SUMINISTROS[[#This Row],[Grupo]],VOL_VOLUMEN_SUMINISTROS[[#This Row],[Proyecto]],VOL_VOLUMEN_SUMINISTROS[[#This Row],[FIN DE SEMANA]])</f>
        <v>241052-1NO</v>
      </c>
      <c r="E376" s="30" t="s">
        <v>146</v>
      </c>
      <c r="F376" s="30" t="s">
        <v>147</v>
      </c>
      <c r="G376" s="360">
        <v>24</v>
      </c>
      <c r="H376" s="30">
        <v>15</v>
      </c>
      <c r="I376" s="9" t="s">
        <v>364</v>
      </c>
      <c r="J376" s="9" t="s">
        <v>369</v>
      </c>
      <c r="K376" s="30">
        <v>1</v>
      </c>
      <c r="L376" s="9" t="s">
        <v>370</v>
      </c>
      <c r="M376" s="30" t="s">
        <v>84</v>
      </c>
      <c r="N376" s="30" t="s">
        <v>154</v>
      </c>
      <c r="O376" s="24">
        <v>417</v>
      </c>
      <c r="P376" s="24">
        <v>276</v>
      </c>
      <c r="Q376" s="24">
        <v>57</v>
      </c>
      <c r="R376" s="24">
        <v>0</v>
      </c>
      <c r="S376" s="24">
        <v>0</v>
      </c>
      <c r="T376" s="24">
        <v>750</v>
      </c>
    </row>
    <row r="377" spans="1:20">
      <c r="A377" s="9" t="s">
        <v>305</v>
      </c>
      <c r="B377" s="30" t="s">
        <v>363</v>
      </c>
      <c r="C377" s="30" t="str">
        <f>CONCATENATE(VOL_VOLUMEN_SUMINISTROS[[#This Row],[Proyecto]],VOL_VOLUMEN_SUMINISTROS[[#This Row],[J]],VOL_VOLUMEN_SUMINISTROS[[#This Row],[FIN DE SEMANA]])</f>
        <v>1052-1MNO</v>
      </c>
      <c r="D377" s="360" t="str">
        <f>CONCATENATE(VOL_VOLUMEN_SUMINISTROS[[#This Row],[Grupo]],VOL_VOLUMEN_SUMINISTROS[[#This Row],[Proyecto]],VOL_VOLUMEN_SUMINISTROS[[#This Row],[FIN DE SEMANA]])</f>
        <v>241052-1NO</v>
      </c>
      <c r="E377" s="30" t="s">
        <v>146</v>
      </c>
      <c r="F377" s="30" t="s">
        <v>147</v>
      </c>
      <c r="G377" s="360">
        <v>24</v>
      </c>
      <c r="H377" s="30">
        <v>15</v>
      </c>
      <c r="I377" s="9" t="s">
        <v>364</v>
      </c>
      <c r="J377" s="9" t="s">
        <v>369</v>
      </c>
      <c r="K377" s="30">
        <v>2</v>
      </c>
      <c r="L377" s="9" t="s">
        <v>371</v>
      </c>
      <c r="M377" s="30" t="s">
        <v>84</v>
      </c>
      <c r="N377" s="30" t="s">
        <v>151</v>
      </c>
      <c r="O377" s="24">
        <v>0</v>
      </c>
      <c r="P377" s="24">
        <v>282</v>
      </c>
      <c r="Q377" s="24">
        <v>282</v>
      </c>
      <c r="R377" s="24">
        <v>0</v>
      </c>
      <c r="S377" s="24">
        <v>0</v>
      </c>
      <c r="T377" s="24">
        <v>564</v>
      </c>
    </row>
    <row r="378" spans="1:20">
      <c r="A378" s="9" t="s">
        <v>305</v>
      </c>
      <c r="B378" s="30" t="s">
        <v>363</v>
      </c>
      <c r="C378" s="30" t="str">
        <f>CONCATENATE(VOL_VOLUMEN_SUMINISTROS[[#This Row],[Proyecto]],VOL_VOLUMEN_SUMINISTROS[[#This Row],[J]],VOL_VOLUMEN_SUMINISTROS[[#This Row],[FIN DE SEMANA]])</f>
        <v>1052-1MNO</v>
      </c>
      <c r="D378" s="360" t="str">
        <f>CONCATENATE(VOL_VOLUMEN_SUMINISTROS[[#This Row],[Grupo]],VOL_VOLUMEN_SUMINISTROS[[#This Row],[Proyecto]],VOL_VOLUMEN_SUMINISTROS[[#This Row],[FIN DE SEMANA]])</f>
        <v>241052-1NO</v>
      </c>
      <c r="E378" s="30" t="s">
        <v>146</v>
      </c>
      <c r="F378" s="30" t="s">
        <v>147</v>
      </c>
      <c r="G378" s="360">
        <v>24</v>
      </c>
      <c r="H378" s="30">
        <v>15</v>
      </c>
      <c r="I378" s="9" t="s">
        <v>364</v>
      </c>
      <c r="J378" s="9" t="s">
        <v>372</v>
      </c>
      <c r="K378" s="30">
        <v>2</v>
      </c>
      <c r="L378" s="9" t="s">
        <v>164</v>
      </c>
      <c r="M378" s="30" t="s">
        <v>84</v>
      </c>
      <c r="N378" s="30" t="s">
        <v>151</v>
      </c>
      <c r="O378" s="24">
        <v>160</v>
      </c>
      <c r="P378" s="24">
        <v>0</v>
      </c>
      <c r="Q378" s="24">
        <v>0</v>
      </c>
      <c r="R378" s="24">
        <v>0</v>
      </c>
      <c r="S378" s="24">
        <v>0</v>
      </c>
      <c r="T378" s="24">
        <v>160</v>
      </c>
    </row>
    <row r="379" spans="1:20">
      <c r="A379" s="9" t="s">
        <v>305</v>
      </c>
      <c r="B379" s="30" t="s">
        <v>363</v>
      </c>
      <c r="C379" s="30" t="str">
        <f>CONCATENATE(VOL_VOLUMEN_SUMINISTROS[[#This Row],[Proyecto]],VOL_VOLUMEN_SUMINISTROS[[#This Row],[J]],VOL_VOLUMEN_SUMINISTROS[[#This Row],[FIN DE SEMANA]])</f>
        <v>1052-1TNO</v>
      </c>
      <c r="D379" s="360" t="str">
        <f>CONCATENATE(VOL_VOLUMEN_SUMINISTROS[[#This Row],[Grupo]],VOL_VOLUMEN_SUMINISTROS[[#This Row],[Proyecto]],VOL_VOLUMEN_SUMINISTROS[[#This Row],[FIN DE SEMANA]])</f>
        <v>241052-1NO</v>
      </c>
      <c r="E379" s="30" t="s">
        <v>146</v>
      </c>
      <c r="F379" s="30" t="s">
        <v>147</v>
      </c>
      <c r="G379" s="360">
        <v>24</v>
      </c>
      <c r="H379" s="30">
        <v>15</v>
      </c>
      <c r="I379" s="9" t="s">
        <v>364</v>
      </c>
      <c r="J379" s="9" t="s">
        <v>372</v>
      </c>
      <c r="K379" s="30">
        <v>2</v>
      </c>
      <c r="L379" s="9" t="s">
        <v>164</v>
      </c>
      <c r="M379" s="30" t="s">
        <v>84</v>
      </c>
      <c r="N379" s="30" t="s">
        <v>154</v>
      </c>
      <c r="O379" s="24">
        <v>50</v>
      </c>
      <c r="P379" s="24">
        <v>0</v>
      </c>
      <c r="Q379" s="24">
        <v>0</v>
      </c>
      <c r="R379" s="24">
        <v>0</v>
      </c>
      <c r="S379" s="24">
        <v>0</v>
      </c>
      <c r="T379" s="24">
        <v>50</v>
      </c>
    </row>
    <row r="380" spans="1:20">
      <c r="A380" s="9" t="s">
        <v>305</v>
      </c>
      <c r="B380" s="30" t="s">
        <v>363</v>
      </c>
      <c r="C380" s="30" t="str">
        <f>CONCATENATE(VOL_VOLUMEN_SUMINISTROS[[#This Row],[Proyecto]],VOL_VOLUMEN_SUMINISTROS[[#This Row],[J]],VOL_VOLUMEN_SUMINISTROS[[#This Row],[FIN DE SEMANA]])</f>
        <v>1052-1MNO</v>
      </c>
      <c r="D380" s="360" t="str">
        <f>CONCATENATE(VOL_VOLUMEN_SUMINISTROS[[#This Row],[Grupo]],VOL_VOLUMEN_SUMINISTROS[[#This Row],[Proyecto]],VOL_VOLUMEN_SUMINISTROS[[#This Row],[FIN DE SEMANA]])</f>
        <v>241052-1NO</v>
      </c>
      <c r="E380" s="30" t="s">
        <v>146</v>
      </c>
      <c r="F380" s="30" t="s">
        <v>147</v>
      </c>
      <c r="G380" s="360">
        <v>24</v>
      </c>
      <c r="H380" s="30">
        <v>15</v>
      </c>
      <c r="I380" s="9" t="s">
        <v>364</v>
      </c>
      <c r="J380" s="9" t="s">
        <v>372</v>
      </c>
      <c r="K380" s="30">
        <v>3</v>
      </c>
      <c r="L380" s="9" t="s">
        <v>164</v>
      </c>
      <c r="M380" s="30" t="s">
        <v>84</v>
      </c>
      <c r="N380" s="30" t="s">
        <v>151</v>
      </c>
      <c r="O380" s="24">
        <v>115</v>
      </c>
      <c r="P380" s="24">
        <v>0</v>
      </c>
      <c r="Q380" s="24">
        <v>0</v>
      </c>
      <c r="R380" s="24">
        <v>0</v>
      </c>
      <c r="S380" s="24">
        <v>0</v>
      </c>
      <c r="T380" s="24">
        <v>115</v>
      </c>
    </row>
    <row r="381" spans="1:20">
      <c r="A381" s="9" t="s">
        <v>305</v>
      </c>
      <c r="B381" s="30" t="s">
        <v>363</v>
      </c>
      <c r="C381" s="30" t="str">
        <f>CONCATENATE(VOL_VOLUMEN_SUMINISTROS[[#This Row],[Proyecto]],VOL_VOLUMEN_SUMINISTROS[[#This Row],[J]],VOL_VOLUMEN_SUMINISTROS[[#This Row],[FIN DE SEMANA]])</f>
        <v>1052-1MNO</v>
      </c>
      <c r="D381" s="360" t="str">
        <f>CONCATENATE(VOL_VOLUMEN_SUMINISTROS[[#This Row],[Grupo]],VOL_VOLUMEN_SUMINISTROS[[#This Row],[Proyecto]],VOL_VOLUMEN_SUMINISTROS[[#This Row],[FIN DE SEMANA]])</f>
        <v>241052-1NO</v>
      </c>
      <c r="E381" s="30" t="s">
        <v>146</v>
      </c>
      <c r="F381" s="30" t="s">
        <v>147</v>
      </c>
      <c r="G381" s="360">
        <v>24</v>
      </c>
      <c r="H381" s="30">
        <v>15</v>
      </c>
      <c r="I381" s="9" t="s">
        <v>364</v>
      </c>
      <c r="J381" s="9" t="s">
        <v>373</v>
      </c>
      <c r="K381" s="30">
        <v>1</v>
      </c>
      <c r="L381" s="9" t="s">
        <v>150</v>
      </c>
      <c r="M381" s="30" t="s">
        <v>84</v>
      </c>
      <c r="N381" s="30" t="s">
        <v>151</v>
      </c>
      <c r="O381" s="24">
        <v>0</v>
      </c>
      <c r="P381" s="24">
        <v>153</v>
      </c>
      <c r="Q381" s="24">
        <v>433</v>
      </c>
      <c r="R381" s="24">
        <v>0</v>
      </c>
      <c r="S381" s="24">
        <v>0</v>
      </c>
      <c r="T381" s="24">
        <v>586</v>
      </c>
    </row>
    <row r="382" spans="1:20">
      <c r="A382" s="9" t="s">
        <v>305</v>
      </c>
      <c r="B382" s="30" t="s">
        <v>363</v>
      </c>
      <c r="C382" s="30" t="str">
        <f>CONCATENATE(VOL_VOLUMEN_SUMINISTROS[[#This Row],[Proyecto]],VOL_VOLUMEN_SUMINISTROS[[#This Row],[J]],VOL_VOLUMEN_SUMINISTROS[[#This Row],[FIN DE SEMANA]])</f>
        <v>1052-1TNO</v>
      </c>
      <c r="D382" s="360" t="str">
        <f>CONCATENATE(VOL_VOLUMEN_SUMINISTROS[[#This Row],[Grupo]],VOL_VOLUMEN_SUMINISTROS[[#This Row],[Proyecto]],VOL_VOLUMEN_SUMINISTROS[[#This Row],[FIN DE SEMANA]])</f>
        <v>241052-1NO</v>
      </c>
      <c r="E382" s="30" t="s">
        <v>146</v>
      </c>
      <c r="F382" s="30" t="s">
        <v>147</v>
      </c>
      <c r="G382" s="360">
        <v>24</v>
      </c>
      <c r="H382" s="30">
        <v>15</v>
      </c>
      <c r="I382" s="9" t="s">
        <v>364</v>
      </c>
      <c r="J382" s="9" t="s">
        <v>373</v>
      </c>
      <c r="K382" s="30">
        <v>1</v>
      </c>
      <c r="L382" s="9" t="s">
        <v>150</v>
      </c>
      <c r="M382" s="30" t="s">
        <v>84</v>
      </c>
      <c r="N382" s="30" t="s">
        <v>154</v>
      </c>
      <c r="O382" s="24">
        <v>0</v>
      </c>
      <c r="P382" s="24">
        <v>75</v>
      </c>
      <c r="Q382" s="24">
        <v>248</v>
      </c>
      <c r="R382" s="24">
        <v>0</v>
      </c>
      <c r="S382" s="24">
        <v>0</v>
      </c>
      <c r="T382" s="24">
        <v>323</v>
      </c>
    </row>
    <row r="383" spans="1:20">
      <c r="A383" s="9" t="s">
        <v>305</v>
      </c>
      <c r="B383" s="30" t="s">
        <v>363</v>
      </c>
      <c r="C383" s="30" t="str">
        <f>CONCATENATE(VOL_VOLUMEN_SUMINISTROS[[#This Row],[Proyecto]],VOL_VOLUMEN_SUMINISTROS[[#This Row],[J]],VOL_VOLUMEN_SUMINISTROS[[#This Row],[FIN DE SEMANA]])</f>
        <v>1052-1MNO</v>
      </c>
      <c r="D383" s="360" t="str">
        <f>CONCATENATE(VOL_VOLUMEN_SUMINISTROS[[#This Row],[Grupo]],VOL_VOLUMEN_SUMINISTROS[[#This Row],[Proyecto]],VOL_VOLUMEN_SUMINISTROS[[#This Row],[FIN DE SEMANA]])</f>
        <v>241052-1NO</v>
      </c>
      <c r="E383" s="30" t="s">
        <v>146</v>
      </c>
      <c r="F383" s="30" t="s">
        <v>147</v>
      </c>
      <c r="G383" s="360">
        <v>24</v>
      </c>
      <c r="H383" s="30">
        <v>15</v>
      </c>
      <c r="I383" s="9" t="s">
        <v>364</v>
      </c>
      <c r="J383" s="9" t="s">
        <v>373</v>
      </c>
      <c r="K383" s="30">
        <v>2</v>
      </c>
      <c r="L383" s="9" t="s">
        <v>164</v>
      </c>
      <c r="M383" s="30" t="s">
        <v>84</v>
      </c>
      <c r="N383" s="30" t="s">
        <v>151</v>
      </c>
      <c r="O383" s="24">
        <v>158</v>
      </c>
      <c r="P383" s="24">
        <v>164</v>
      </c>
      <c r="Q383" s="24">
        <v>35</v>
      </c>
      <c r="R383" s="24">
        <v>0</v>
      </c>
      <c r="S383" s="24">
        <v>0</v>
      </c>
      <c r="T383" s="24">
        <v>357</v>
      </c>
    </row>
    <row r="384" spans="1:20">
      <c r="A384" s="9" t="s">
        <v>305</v>
      </c>
      <c r="B384" s="30" t="s">
        <v>363</v>
      </c>
      <c r="C384" s="30" t="str">
        <f>CONCATENATE(VOL_VOLUMEN_SUMINISTROS[[#This Row],[Proyecto]],VOL_VOLUMEN_SUMINISTROS[[#This Row],[J]],VOL_VOLUMEN_SUMINISTROS[[#This Row],[FIN DE SEMANA]])</f>
        <v>1052-1TNO</v>
      </c>
      <c r="D384" s="360" t="str">
        <f>CONCATENATE(VOL_VOLUMEN_SUMINISTROS[[#This Row],[Grupo]],VOL_VOLUMEN_SUMINISTROS[[#This Row],[Proyecto]],VOL_VOLUMEN_SUMINISTROS[[#This Row],[FIN DE SEMANA]])</f>
        <v>241052-1NO</v>
      </c>
      <c r="E384" s="30" t="s">
        <v>146</v>
      </c>
      <c r="F384" s="30" t="s">
        <v>147</v>
      </c>
      <c r="G384" s="360">
        <v>24</v>
      </c>
      <c r="H384" s="30">
        <v>15</v>
      </c>
      <c r="I384" s="9" t="s">
        <v>364</v>
      </c>
      <c r="J384" s="9" t="s">
        <v>373</v>
      </c>
      <c r="K384" s="30">
        <v>2</v>
      </c>
      <c r="L384" s="9" t="s">
        <v>164</v>
      </c>
      <c r="M384" s="30" t="s">
        <v>84</v>
      </c>
      <c r="N384" s="30" t="s">
        <v>154</v>
      </c>
      <c r="O384" s="24">
        <v>84</v>
      </c>
      <c r="P384" s="24">
        <v>94</v>
      </c>
      <c r="Q384" s="24">
        <v>21</v>
      </c>
      <c r="R384" s="24">
        <v>0</v>
      </c>
      <c r="S384" s="24">
        <v>0</v>
      </c>
      <c r="T384" s="24">
        <v>199</v>
      </c>
    </row>
    <row r="385" spans="1:20">
      <c r="A385" s="9" t="s">
        <v>305</v>
      </c>
      <c r="B385" s="30" t="s">
        <v>363</v>
      </c>
      <c r="C385" s="30" t="str">
        <f>CONCATENATE(VOL_VOLUMEN_SUMINISTROS[[#This Row],[Proyecto]],VOL_VOLUMEN_SUMINISTROS[[#This Row],[J]],VOL_VOLUMEN_SUMINISTROS[[#This Row],[FIN DE SEMANA]])</f>
        <v>1052-1MNO</v>
      </c>
      <c r="D385" s="360" t="str">
        <f>CONCATENATE(VOL_VOLUMEN_SUMINISTROS[[#This Row],[Grupo]],VOL_VOLUMEN_SUMINISTROS[[#This Row],[Proyecto]],VOL_VOLUMEN_SUMINISTROS[[#This Row],[FIN DE SEMANA]])</f>
        <v>241052-1NO</v>
      </c>
      <c r="E385" s="30" t="s">
        <v>146</v>
      </c>
      <c r="F385" s="30" t="s">
        <v>147</v>
      </c>
      <c r="G385" s="360">
        <v>24</v>
      </c>
      <c r="H385" s="30">
        <v>15</v>
      </c>
      <c r="I385" s="9" t="s">
        <v>364</v>
      </c>
      <c r="J385" s="9" t="s">
        <v>374</v>
      </c>
      <c r="K385" s="30">
        <v>1</v>
      </c>
      <c r="L385" s="9" t="s">
        <v>375</v>
      </c>
      <c r="M385" s="30" t="s">
        <v>84</v>
      </c>
      <c r="N385" s="30" t="s">
        <v>151</v>
      </c>
      <c r="O385" s="24">
        <v>239</v>
      </c>
      <c r="P385" s="24">
        <v>310</v>
      </c>
      <c r="Q385" s="24">
        <v>71</v>
      </c>
      <c r="R385" s="24">
        <v>0</v>
      </c>
      <c r="S385" s="24">
        <v>0</v>
      </c>
      <c r="T385" s="24">
        <v>620</v>
      </c>
    </row>
    <row r="386" spans="1:20">
      <c r="A386" s="9" t="s">
        <v>305</v>
      </c>
      <c r="B386" s="30" t="s">
        <v>363</v>
      </c>
      <c r="C386" s="30" t="str">
        <f>CONCATENATE(VOL_VOLUMEN_SUMINISTROS[[#This Row],[Proyecto]],VOL_VOLUMEN_SUMINISTROS[[#This Row],[J]],VOL_VOLUMEN_SUMINISTROS[[#This Row],[FIN DE SEMANA]])</f>
        <v>1052-1TNO</v>
      </c>
      <c r="D386" s="360" t="str">
        <f>CONCATENATE(VOL_VOLUMEN_SUMINISTROS[[#This Row],[Grupo]],VOL_VOLUMEN_SUMINISTROS[[#This Row],[Proyecto]],VOL_VOLUMEN_SUMINISTROS[[#This Row],[FIN DE SEMANA]])</f>
        <v>241052-1NO</v>
      </c>
      <c r="E386" s="30" t="s">
        <v>146</v>
      </c>
      <c r="F386" s="30" t="s">
        <v>147</v>
      </c>
      <c r="G386" s="360">
        <v>24</v>
      </c>
      <c r="H386" s="30">
        <v>15</v>
      </c>
      <c r="I386" s="9" t="s">
        <v>364</v>
      </c>
      <c r="J386" s="9" t="s">
        <v>374</v>
      </c>
      <c r="K386" s="30">
        <v>1</v>
      </c>
      <c r="L386" s="9" t="s">
        <v>375</v>
      </c>
      <c r="M386" s="30" t="s">
        <v>84</v>
      </c>
      <c r="N386" s="30" t="s">
        <v>154</v>
      </c>
      <c r="O386" s="24">
        <v>43</v>
      </c>
      <c r="P386" s="24">
        <v>117</v>
      </c>
      <c r="Q386" s="24">
        <v>380</v>
      </c>
      <c r="R386" s="24">
        <v>0</v>
      </c>
      <c r="S386" s="24">
        <v>0</v>
      </c>
      <c r="T386" s="24">
        <v>540</v>
      </c>
    </row>
    <row r="387" spans="1:20">
      <c r="A387" s="9" t="s">
        <v>305</v>
      </c>
      <c r="B387" s="30" t="s">
        <v>363</v>
      </c>
      <c r="C387" s="30" t="str">
        <f>CONCATENATE(VOL_VOLUMEN_SUMINISTROS[[#This Row],[Proyecto]],VOL_VOLUMEN_SUMINISTROS[[#This Row],[J]],VOL_VOLUMEN_SUMINISTROS[[#This Row],[FIN DE SEMANA]])</f>
        <v>1052-1MNO</v>
      </c>
      <c r="D387" s="360" t="str">
        <f>CONCATENATE(VOL_VOLUMEN_SUMINISTROS[[#This Row],[Grupo]],VOL_VOLUMEN_SUMINISTROS[[#This Row],[Proyecto]],VOL_VOLUMEN_SUMINISTROS[[#This Row],[FIN DE SEMANA]])</f>
        <v>251052-1NO</v>
      </c>
      <c r="E387" s="30" t="s">
        <v>146</v>
      </c>
      <c r="F387" s="30" t="s">
        <v>147</v>
      </c>
      <c r="G387" s="360">
        <v>25</v>
      </c>
      <c r="H387" s="30">
        <v>18</v>
      </c>
      <c r="I387" s="9" t="s">
        <v>307</v>
      </c>
      <c r="J387" s="9" t="s">
        <v>376</v>
      </c>
      <c r="K387" s="30">
        <v>1</v>
      </c>
      <c r="L387" s="9" t="s">
        <v>377</v>
      </c>
      <c r="M387" s="30" t="s">
        <v>84</v>
      </c>
      <c r="N387" s="30" t="s">
        <v>151</v>
      </c>
      <c r="O387" s="24">
        <v>237</v>
      </c>
      <c r="P387" s="24">
        <v>289</v>
      </c>
      <c r="Q387" s="24">
        <v>329</v>
      </c>
      <c r="R387" s="24">
        <v>0</v>
      </c>
      <c r="S387" s="24">
        <v>0</v>
      </c>
      <c r="T387" s="24">
        <v>855</v>
      </c>
    </row>
    <row r="388" spans="1:20">
      <c r="A388" s="9" t="s">
        <v>305</v>
      </c>
      <c r="B388" s="30" t="s">
        <v>363</v>
      </c>
      <c r="C388" s="30" t="str">
        <f>CONCATENATE(VOL_VOLUMEN_SUMINISTROS[[#This Row],[Proyecto]],VOL_VOLUMEN_SUMINISTROS[[#This Row],[J]],VOL_VOLUMEN_SUMINISTROS[[#This Row],[FIN DE SEMANA]])</f>
        <v>1052-1TNO</v>
      </c>
      <c r="D388" s="360" t="str">
        <f>CONCATENATE(VOL_VOLUMEN_SUMINISTROS[[#This Row],[Grupo]],VOL_VOLUMEN_SUMINISTROS[[#This Row],[Proyecto]],VOL_VOLUMEN_SUMINISTROS[[#This Row],[FIN DE SEMANA]])</f>
        <v>251052-1NO</v>
      </c>
      <c r="E388" s="30" t="s">
        <v>146</v>
      </c>
      <c r="F388" s="30" t="s">
        <v>147</v>
      </c>
      <c r="G388" s="360">
        <v>25</v>
      </c>
      <c r="H388" s="30">
        <v>18</v>
      </c>
      <c r="I388" s="9" t="s">
        <v>307</v>
      </c>
      <c r="J388" s="9" t="s">
        <v>376</v>
      </c>
      <c r="K388" s="30">
        <v>1</v>
      </c>
      <c r="L388" s="9" t="s">
        <v>377</v>
      </c>
      <c r="M388" s="30" t="s">
        <v>84</v>
      </c>
      <c r="N388" s="30" t="s">
        <v>154</v>
      </c>
      <c r="O388" s="24">
        <v>96</v>
      </c>
      <c r="P388" s="24">
        <v>243</v>
      </c>
      <c r="Q388" s="24">
        <v>171</v>
      </c>
      <c r="R388" s="24">
        <v>0</v>
      </c>
      <c r="S388" s="24">
        <v>0</v>
      </c>
      <c r="T388" s="24">
        <v>510</v>
      </c>
    </row>
    <row r="389" spans="1:20">
      <c r="A389" s="9" t="s">
        <v>305</v>
      </c>
      <c r="B389" s="30" t="s">
        <v>363</v>
      </c>
      <c r="C389" s="30" t="str">
        <f>CONCATENATE(VOL_VOLUMEN_SUMINISTROS[[#This Row],[Proyecto]],VOL_VOLUMEN_SUMINISTROS[[#This Row],[J]],VOL_VOLUMEN_SUMINISTROS[[#This Row],[FIN DE SEMANA]])</f>
        <v>1052-1MNO</v>
      </c>
      <c r="D389" s="360" t="str">
        <f>CONCATENATE(VOL_VOLUMEN_SUMINISTROS[[#This Row],[Grupo]],VOL_VOLUMEN_SUMINISTROS[[#This Row],[Proyecto]],VOL_VOLUMEN_SUMINISTROS[[#This Row],[FIN DE SEMANA]])</f>
        <v>251052-1NO</v>
      </c>
      <c r="E389" s="30" t="s">
        <v>146</v>
      </c>
      <c r="F389" s="30" t="s">
        <v>147</v>
      </c>
      <c r="G389" s="360">
        <v>25</v>
      </c>
      <c r="H389" s="30">
        <v>18</v>
      </c>
      <c r="I389" s="9" t="s">
        <v>307</v>
      </c>
      <c r="J389" s="9" t="s">
        <v>378</v>
      </c>
      <c r="K389" s="30">
        <v>1</v>
      </c>
      <c r="L389" s="9" t="s">
        <v>152</v>
      </c>
      <c r="M389" s="30" t="s">
        <v>84</v>
      </c>
      <c r="N389" s="30" t="s">
        <v>151</v>
      </c>
      <c r="O389" s="24">
        <v>215</v>
      </c>
      <c r="P389" s="24">
        <v>163</v>
      </c>
      <c r="Q389" s="24">
        <v>34</v>
      </c>
      <c r="R389" s="24">
        <v>0</v>
      </c>
      <c r="S389" s="24">
        <v>0</v>
      </c>
      <c r="T389" s="24">
        <v>412</v>
      </c>
    </row>
    <row r="390" spans="1:20">
      <c r="A390" s="9" t="s">
        <v>305</v>
      </c>
      <c r="B390" s="30" t="s">
        <v>363</v>
      </c>
      <c r="C390" s="30" t="str">
        <f>CONCATENATE(VOL_VOLUMEN_SUMINISTROS[[#This Row],[Proyecto]],VOL_VOLUMEN_SUMINISTROS[[#This Row],[J]],VOL_VOLUMEN_SUMINISTROS[[#This Row],[FIN DE SEMANA]])</f>
        <v>1052-1TNO</v>
      </c>
      <c r="D390" s="360" t="str">
        <f>CONCATENATE(VOL_VOLUMEN_SUMINISTROS[[#This Row],[Grupo]],VOL_VOLUMEN_SUMINISTROS[[#This Row],[Proyecto]],VOL_VOLUMEN_SUMINISTROS[[#This Row],[FIN DE SEMANA]])</f>
        <v>251052-1NO</v>
      </c>
      <c r="E390" s="30" t="s">
        <v>146</v>
      </c>
      <c r="F390" s="30" t="s">
        <v>147</v>
      </c>
      <c r="G390" s="360">
        <v>25</v>
      </c>
      <c r="H390" s="30">
        <v>18</v>
      </c>
      <c r="I390" s="9" t="s">
        <v>307</v>
      </c>
      <c r="J390" s="9" t="s">
        <v>378</v>
      </c>
      <c r="K390" s="30">
        <v>1</v>
      </c>
      <c r="L390" s="9" t="s">
        <v>152</v>
      </c>
      <c r="M390" s="30" t="s">
        <v>84</v>
      </c>
      <c r="N390" s="30" t="s">
        <v>154</v>
      </c>
      <c r="O390" s="24">
        <v>0</v>
      </c>
      <c r="P390" s="24">
        <v>99</v>
      </c>
      <c r="Q390" s="24">
        <v>220</v>
      </c>
      <c r="R390" s="24">
        <v>0</v>
      </c>
      <c r="S390" s="24">
        <v>0</v>
      </c>
      <c r="T390" s="24">
        <v>319</v>
      </c>
    </row>
    <row r="391" spans="1:20">
      <c r="A391" s="9" t="s">
        <v>305</v>
      </c>
      <c r="B391" s="30" t="s">
        <v>363</v>
      </c>
      <c r="C391" s="30" t="str">
        <f>CONCATENATE(VOL_VOLUMEN_SUMINISTROS[[#This Row],[Proyecto]],VOL_VOLUMEN_SUMINISTROS[[#This Row],[J]],VOL_VOLUMEN_SUMINISTROS[[#This Row],[FIN DE SEMANA]])</f>
        <v>1052-1MNO</v>
      </c>
      <c r="D391" s="360" t="str">
        <f>CONCATENATE(VOL_VOLUMEN_SUMINISTROS[[#This Row],[Grupo]],VOL_VOLUMEN_SUMINISTROS[[#This Row],[Proyecto]],VOL_VOLUMEN_SUMINISTROS[[#This Row],[FIN DE SEMANA]])</f>
        <v>251052-1NO</v>
      </c>
      <c r="E391" s="30" t="s">
        <v>146</v>
      </c>
      <c r="F391" s="30" t="s">
        <v>147</v>
      </c>
      <c r="G391" s="360">
        <v>25</v>
      </c>
      <c r="H391" s="30">
        <v>18</v>
      </c>
      <c r="I391" s="9" t="s">
        <v>307</v>
      </c>
      <c r="J391" s="9" t="s">
        <v>379</v>
      </c>
      <c r="K391" s="30">
        <v>1</v>
      </c>
      <c r="L391" s="9" t="s">
        <v>380</v>
      </c>
      <c r="M391" s="30" t="s">
        <v>84</v>
      </c>
      <c r="N391" s="30" t="s">
        <v>151</v>
      </c>
      <c r="O391" s="24">
        <v>0</v>
      </c>
      <c r="P391" s="24">
        <v>165</v>
      </c>
      <c r="Q391" s="24">
        <v>287</v>
      </c>
      <c r="R391" s="24">
        <v>0</v>
      </c>
      <c r="S391" s="24">
        <v>0</v>
      </c>
      <c r="T391" s="24">
        <v>452</v>
      </c>
    </row>
    <row r="392" spans="1:20">
      <c r="A392" s="9" t="s">
        <v>305</v>
      </c>
      <c r="B392" s="30" t="s">
        <v>363</v>
      </c>
      <c r="C392" s="30" t="str">
        <f>CONCATENATE(VOL_VOLUMEN_SUMINISTROS[[#This Row],[Proyecto]],VOL_VOLUMEN_SUMINISTROS[[#This Row],[J]],VOL_VOLUMEN_SUMINISTROS[[#This Row],[FIN DE SEMANA]])</f>
        <v>1052-1TNO</v>
      </c>
      <c r="D392" s="360" t="str">
        <f>CONCATENATE(VOL_VOLUMEN_SUMINISTROS[[#This Row],[Grupo]],VOL_VOLUMEN_SUMINISTROS[[#This Row],[Proyecto]],VOL_VOLUMEN_SUMINISTROS[[#This Row],[FIN DE SEMANA]])</f>
        <v>251052-1NO</v>
      </c>
      <c r="E392" s="30" t="s">
        <v>146</v>
      </c>
      <c r="F392" s="30" t="s">
        <v>147</v>
      </c>
      <c r="G392" s="360">
        <v>25</v>
      </c>
      <c r="H392" s="30">
        <v>18</v>
      </c>
      <c r="I392" s="9" t="s">
        <v>307</v>
      </c>
      <c r="J392" s="9" t="s">
        <v>379</v>
      </c>
      <c r="K392" s="30">
        <v>1</v>
      </c>
      <c r="L392" s="9" t="s">
        <v>381</v>
      </c>
      <c r="M392" s="30" t="s">
        <v>84</v>
      </c>
      <c r="N392" s="30" t="s">
        <v>154</v>
      </c>
      <c r="O392" s="24">
        <v>0</v>
      </c>
      <c r="P392" s="24">
        <v>147</v>
      </c>
      <c r="Q392" s="24">
        <v>249</v>
      </c>
      <c r="R392" s="24">
        <v>0</v>
      </c>
      <c r="S392" s="24">
        <v>0</v>
      </c>
      <c r="T392" s="24">
        <v>396</v>
      </c>
    </row>
    <row r="393" spans="1:20">
      <c r="A393" s="9" t="s">
        <v>305</v>
      </c>
      <c r="B393" s="30" t="s">
        <v>363</v>
      </c>
      <c r="C393" s="30" t="str">
        <f>CONCATENATE(VOL_VOLUMEN_SUMINISTROS[[#This Row],[Proyecto]],VOL_VOLUMEN_SUMINISTROS[[#This Row],[J]],VOL_VOLUMEN_SUMINISTROS[[#This Row],[FIN DE SEMANA]])</f>
        <v>1052-1MNO</v>
      </c>
      <c r="D393" s="360" t="str">
        <f>CONCATENATE(VOL_VOLUMEN_SUMINISTROS[[#This Row],[Grupo]],VOL_VOLUMEN_SUMINISTROS[[#This Row],[Proyecto]],VOL_VOLUMEN_SUMINISTROS[[#This Row],[FIN DE SEMANA]])</f>
        <v>251052-1NO</v>
      </c>
      <c r="E393" s="30" t="s">
        <v>146</v>
      </c>
      <c r="F393" s="30" t="s">
        <v>147</v>
      </c>
      <c r="G393" s="360">
        <v>25</v>
      </c>
      <c r="H393" s="30">
        <v>18</v>
      </c>
      <c r="I393" s="9" t="s">
        <v>307</v>
      </c>
      <c r="J393" s="9" t="s">
        <v>379</v>
      </c>
      <c r="K393" s="30">
        <v>2</v>
      </c>
      <c r="L393" s="9" t="s">
        <v>382</v>
      </c>
      <c r="M393" s="30" t="s">
        <v>84</v>
      </c>
      <c r="N393" s="30" t="s">
        <v>151</v>
      </c>
      <c r="O393" s="24">
        <v>273</v>
      </c>
      <c r="P393" s="24">
        <v>168</v>
      </c>
      <c r="Q393" s="24">
        <v>26</v>
      </c>
      <c r="R393" s="24">
        <v>0</v>
      </c>
      <c r="S393" s="24">
        <v>0</v>
      </c>
      <c r="T393" s="24">
        <v>467</v>
      </c>
    </row>
    <row r="394" spans="1:20">
      <c r="A394" s="9" t="s">
        <v>305</v>
      </c>
      <c r="B394" s="30" t="s">
        <v>363</v>
      </c>
      <c r="C394" s="30" t="str">
        <f>CONCATENATE(VOL_VOLUMEN_SUMINISTROS[[#This Row],[Proyecto]],VOL_VOLUMEN_SUMINISTROS[[#This Row],[J]],VOL_VOLUMEN_SUMINISTROS[[#This Row],[FIN DE SEMANA]])</f>
        <v>1052-1TNO</v>
      </c>
      <c r="D394" s="360" t="str">
        <f>CONCATENATE(VOL_VOLUMEN_SUMINISTROS[[#This Row],[Grupo]],VOL_VOLUMEN_SUMINISTROS[[#This Row],[Proyecto]],VOL_VOLUMEN_SUMINISTROS[[#This Row],[FIN DE SEMANA]])</f>
        <v>251052-1NO</v>
      </c>
      <c r="E394" s="30" t="s">
        <v>146</v>
      </c>
      <c r="F394" s="30" t="s">
        <v>147</v>
      </c>
      <c r="G394" s="360">
        <v>25</v>
      </c>
      <c r="H394" s="30">
        <v>18</v>
      </c>
      <c r="I394" s="9" t="s">
        <v>307</v>
      </c>
      <c r="J394" s="9" t="s">
        <v>379</v>
      </c>
      <c r="K394" s="30">
        <v>2</v>
      </c>
      <c r="L394" s="9" t="s">
        <v>382</v>
      </c>
      <c r="M394" s="30" t="s">
        <v>84</v>
      </c>
      <c r="N394" s="30" t="s">
        <v>154</v>
      </c>
      <c r="O394" s="24">
        <v>269</v>
      </c>
      <c r="P394" s="24">
        <v>155</v>
      </c>
      <c r="Q394" s="24">
        <v>18</v>
      </c>
      <c r="R394" s="24">
        <v>0</v>
      </c>
      <c r="S394" s="24">
        <v>0</v>
      </c>
      <c r="T394" s="24">
        <v>442</v>
      </c>
    </row>
    <row r="395" spans="1:20">
      <c r="A395" s="9" t="s">
        <v>305</v>
      </c>
      <c r="B395" s="30" t="s">
        <v>363</v>
      </c>
      <c r="C395" s="30" t="str">
        <f>CONCATENATE(VOL_VOLUMEN_SUMINISTROS[[#This Row],[Proyecto]],VOL_VOLUMEN_SUMINISTROS[[#This Row],[J]],VOL_VOLUMEN_SUMINISTROS[[#This Row],[FIN DE SEMANA]])</f>
        <v>1052-1MNO</v>
      </c>
      <c r="D395" s="360" t="str">
        <f>CONCATENATE(VOL_VOLUMEN_SUMINISTROS[[#This Row],[Grupo]],VOL_VOLUMEN_SUMINISTROS[[#This Row],[Proyecto]],VOL_VOLUMEN_SUMINISTROS[[#This Row],[FIN DE SEMANA]])</f>
        <v>251052-1NO</v>
      </c>
      <c r="E395" s="30" t="s">
        <v>146</v>
      </c>
      <c r="F395" s="30" t="s">
        <v>147</v>
      </c>
      <c r="G395" s="360">
        <v>25</v>
      </c>
      <c r="H395" s="30">
        <v>18</v>
      </c>
      <c r="I395" s="9" t="s">
        <v>307</v>
      </c>
      <c r="J395" s="9" t="s">
        <v>379</v>
      </c>
      <c r="K395" s="30">
        <v>3</v>
      </c>
      <c r="L395" s="9" t="s">
        <v>383</v>
      </c>
      <c r="M395" s="30" t="s">
        <v>84</v>
      </c>
      <c r="N395" s="30" t="s">
        <v>151</v>
      </c>
      <c r="O395" s="24">
        <v>98</v>
      </c>
      <c r="P395" s="24">
        <v>65</v>
      </c>
      <c r="Q395" s="24">
        <v>12</v>
      </c>
      <c r="R395" s="24">
        <v>0</v>
      </c>
      <c r="S395" s="24">
        <v>0</v>
      </c>
      <c r="T395" s="24">
        <v>175</v>
      </c>
    </row>
    <row r="396" spans="1:20">
      <c r="A396" s="9" t="s">
        <v>305</v>
      </c>
      <c r="B396" s="30" t="s">
        <v>363</v>
      </c>
      <c r="C396" s="30" t="str">
        <f>CONCATENATE(VOL_VOLUMEN_SUMINISTROS[[#This Row],[Proyecto]],VOL_VOLUMEN_SUMINISTROS[[#This Row],[J]],VOL_VOLUMEN_SUMINISTROS[[#This Row],[FIN DE SEMANA]])</f>
        <v>1052-1MNO</v>
      </c>
      <c r="D396" s="360" t="str">
        <f>CONCATENATE(VOL_VOLUMEN_SUMINISTROS[[#This Row],[Grupo]],VOL_VOLUMEN_SUMINISTROS[[#This Row],[Proyecto]],VOL_VOLUMEN_SUMINISTROS[[#This Row],[FIN DE SEMANA]])</f>
        <v>251052-1NO</v>
      </c>
      <c r="E396" s="30" t="s">
        <v>146</v>
      </c>
      <c r="F396" s="30" t="s">
        <v>147</v>
      </c>
      <c r="G396" s="360">
        <v>25</v>
      </c>
      <c r="H396" s="30">
        <v>18</v>
      </c>
      <c r="I396" s="9" t="s">
        <v>307</v>
      </c>
      <c r="J396" s="9" t="s">
        <v>384</v>
      </c>
      <c r="K396" s="30">
        <v>2</v>
      </c>
      <c r="L396" s="9" t="s">
        <v>385</v>
      </c>
      <c r="M396" s="30" t="s">
        <v>84</v>
      </c>
      <c r="N396" s="30" t="s">
        <v>151</v>
      </c>
      <c r="O396" s="24">
        <v>106</v>
      </c>
      <c r="P396" s="24">
        <v>137</v>
      </c>
      <c r="Q396" s="24">
        <v>104</v>
      </c>
      <c r="R396" s="24">
        <v>0</v>
      </c>
      <c r="S396" s="24">
        <v>0</v>
      </c>
      <c r="T396" s="24">
        <v>347</v>
      </c>
    </row>
    <row r="397" spans="1:20">
      <c r="A397" s="9" t="s">
        <v>305</v>
      </c>
      <c r="B397" s="30" t="s">
        <v>363</v>
      </c>
      <c r="C397" s="30" t="str">
        <f>CONCATENATE(VOL_VOLUMEN_SUMINISTROS[[#This Row],[Proyecto]],VOL_VOLUMEN_SUMINISTROS[[#This Row],[J]],VOL_VOLUMEN_SUMINISTROS[[#This Row],[FIN DE SEMANA]])</f>
        <v>1052-1TNO</v>
      </c>
      <c r="D397" s="360" t="str">
        <f>CONCATENATE(VOL_VOLUMEN_SUMINISTROS[[#This Row],[Grupo]],VOL_VOLUMEN_SUMINISTROS[[#This Row],[Proyecto]],VOL_VOLUMEN_SUMINISTROS[[#This Row],[FIN DE SEMANA]])</f>
        <v>251052-1NO</v>
      </c>
      <c r="E397" s="30" t="s">
        <v>146</v>
      </c>
      <c r="F397" s="30" t="s">
        <v>147</v>
      </c>
      <c r="G397" s="360">
        <v>25</v>
      </c>
      <c r="H397" s="30">
        <v>18</v>
      </c>
      <c r="I397" s="9" t="s">
        <v>307</v>
      </c>
      <c r="J397" s="9" t="s">
        <v>384</v>
      </c>
      <c r="K397" s="30">
        <v>2</v>
      </c>
      <c r="L397" s="9" t="s">
        <v>385</v>
      </c>
      <c r="M397" s="30" t="s">
        <v>84</v>
      </c>
      <c r="N397" s="30" t="s">
        <v>154</v>
      </c>
      <c r="O397" s="24">
        <v>127</v>
      </c>
      <c r="P397" s="24">
        <v>143</v>
      </c>
      <c r="Q397" s="24">
        <v>100</v>
      </c>
      <c r="R397" s="24">
        <v>0</v>
      </c>
      <c r="S397" s="24">
        <v>0</v>
      </c>
      <c r="T397" s="24">
        <v>370</v>
      </c>
    </row>
    <row r="398" spans="1:20">
      <c r="A398" s="9" t="s">
        <v>305</v>
      </c>
      <c r="B398" s="30" t="s">
        <v>363</v>
      </c>
      <c r="C398" s="30" t="str">
        <f>CONCATENATE(VOL_VOLUMEN_SUMINISTROS[[#This Row],[Proyecto]],VOL_VOLUMEN_SUMINISTROS[[#This Row],[J]],VOL_VOLUMEN_SUMINISTROS[[#This Row],[FIN DE SEMANA]])</f>
        <v>1052-1MNO</v>
      </c>
      <c r="D398" s="360" t="str">
        <f>CONCATENATE(VOL_VOLUMEN_SUMINISTROS[[#This Row],[Grupo]],VOL_VOLUMEN_SUMINISTROS[[#This Row],[Proyecto]],VOL_VOLUMEN_SUMINISTROS[[#This Row],[FIN DE SEMANA]])</f>
        <v>251052-1NO</v>
      </c>
      <c r="E398" s="30" t="s">
        <v>146</v>
      </c>
      <c r="F398" s="30" t="s">
        <v>147</v>
      </c>
      <c r="G398" s="360">
        <v>25</v>
      </c>
      <c r="H398" s="30">
        <v>18</v>
      </c>
      <c r="I398" s="9" t="s">
        <v>307</v>
      </c>
      <c r="J398" s="9" t="s">
        <v>384</v>
      </c>
      <c r="K398" s="30">
        <v>3</v>
      </c>
      <c r="L398" s="9" t="s">
        <v>386</v>
      </c>
      <c r="M398" s="30" t="s">
        <v>84</v>
      </c>
      <c r="N398" s="30" t="s">
        <v>151</v>
      </c>
      <c r="O398" s="24">
        <v>158</v>
      </c>
      <c r="P398" s="24">
        <v>132</v>
      </c>
      <c r="Q398" s="24">
        <v>25</v>
      </c>
      <c r="R398" s="24">
        <v>0</v>
      </c>
      <c r="S398" s="24">
        <v>0</v>
      </c>
      <c r="T398" s="24">
        <v>315</v>
      </c>
    </row>
    <row r="399" spans="1:20">
      <c r="A399" s="9" t="s">
        <v>305</v>
      </c>
      <c r="B399" s="30" t="s">
        <v>363</v>
      </c>
      <c r="C399" s="30" t="str">
        <f>CONCATENATE(VOL_VOLUMEN_SUMINISTROS[[#This Row],[Proyecto]],VOL_VOLUMEN_SUMINISTROS[[#This Row],[J]],VOL_VOLUMEN_SUMINISTROS[[#This Row],[FIN DE SEMANA]])</f>
        <v>1052-1TNO</v>
      </c>
      <c r="D399" s="360" t="str">
        <f>CONCATENATE(VOL_VOLUMEN_SUMINISTROS[[#This Row],[Grupo]],VOL_VOLUMEN_SUMINISTROS[[#This Row],[Proyecto]],VOL_VOLUMEN_SUMINISTROS[[#This Row],[FIN DE SEMANA]])</f>
        <v>251052-1NO</v>
      </c>
      <c r="E399" s="30" t="s">
        <v>146</v>
      </c>
      <c r="F399" s="30" t="s">
        <v>147</v>
      </c>
      <c r="G399" s="360">
        <v>25</v>
      </c>
      <c r="H399" s="30">
        <v>18</v>
      </c>
      <c r="I399" s="9" t="s">
        <v>307</v>
      </c>
      <c r="J399" s="9" t="s">
        <v>384</v>
      </c>
      <c r="K399" s="30">
        <v>3</v>
      </c>
      <c r="L399" s="9" t="s">
        <v>386</v>
      </c>
      <c r="M399" s="30" t="s">
        <v>84</v>
      </c>
      <c r="N399" s="30" t="s">
        <v>154</v>
      </c>
      <c r="O399" s="24">
        <v>187</v>
      </c>
      <c r="P399" s="24">
        <v>100</v>
      </c>
      <c r="Q399" s="24">
        <v>18</v>
      </c>
      <c r="R399" s="24">
        <v>0</v>
      </c>
      <c r="S399" s="24">
        <v>0</v>
      </c>
      <c r="T399" s="24">
        <v>305</v>
      </c>
    </row>
    <row r="400" spans="1:20">
      <c r="A400" s="9" t="s">
        <v>305</v>
      </c>
      <c r="B400" s="30" t="s">
        <v>363</v>
      </c>
      <c r="C400" s="30" t="str">
        <f>CONCATENATE(VOL_VOLUMEN_SUMINISTROS[[#This Row],[Proyecto]],VOL_VOLUMEN_SUMINISTROS[[#This Row],[J]],VOL_VOLUMEN_SUMINISTROS[[#This Row],[FIN DE SEMANA]])</f>
        <v>1052-1MNO</v>
      </c>
      <c r="D400" s="360" t="str">
        <f>CONCATENATE(VOL_VOLUMEN_SUMINISTROS[[#This Row],[Grupo]],VOL_VOLUMEN_SUMINISTROS[[#This Row],[Proyecto]],VOL_VOLUMEN_SUMINISTROS[[#This Row],[FIN DE SEMANA]])</f>
        <v>251052-1NO</v>
      </c>
      <c r="E400" s="30" t="s">
        <v>146</v>
      </c>
      <c r="F400" s="30" t="s">
        <v>147</v>
      </c>
      <c r="G400" s="360">
        <v>25</v>
      </c>
      <c r="H400" s="30">
        <v>18</v>
      </c>
      <c r="I400" s="9" t="s">
        <v>307</v>
      </c>
      <c r="J400" s="9" t="s">
        <v>384</v>
      </c>
      <c r="K400" s="30">
        <v>4</v>
      </c>
      <c r="L400" s="9" t="s">
        <v>387</v>
      </c>
      <c r="M400" s="30" t="s">
        <v>84</v>
      </c>
      <c r="N400" s="30" t="s">
        <v>151</v>
      </c>
      <c r="O400" s="24">
        <v>164</v>
      </c>
      <c r="P400" s="24">
        <v>105</v>
      </c>
      <c r="Q400" s="24">
        <v>19</v>
      </c>
      <c r="R400" s="24">
        <v>0</v>
      </c>
      <c r="S400" s="24">
        <v>0</v>
      </c>
      <c r="T400" s="24">
        <v>288</v>
      </c>
    </row>
    <row r="401" spans="1:20">
      <c r="A401" s="9" t="s">
        <v>305</v>
      </c>
      <c r="B401" s="30" t="s">
        <v>363</v>
      </c>
      <c r="C401" s="30" t="str">
        <f>CONCATENATE(VOL_VOLUMEN_SUMINISTROS[[#This Row],[Proyecto]],VOL_VOLUMEN_SUMINISTROS[[#This Row],[J]],VOL_VOLUMEN_SUMINISTROS[[#This Row],[FIN DE SEMANA]])</f>
        <v>1052-1TNO</v>
      </c>
      <c r="D401" s="360" t="str">
        <f>CONCATENATE(VOL_VOLUMEN_SUMINISTROS[[#This Row],[Grupo]],VOL_VOLUMEN_SUMINISTROS[[#This Row],[Proyecto]],VOL_VOLUMEN_SUMINISTROS[[#This Row],[FIN DE SEMANA]])</f>
        <v>251052-1NO</v>
      </c>
      <c r="E401" s="30" t="s">
        <v>146</v>
      </c>
      <c r="F401" s="30" t="s">
        <v>147</v>
      </c>
      <c r="G401" s="360">
        <v>25</v>
      </c>
      <c r="H401" s="30">
        <v>18</v>
      </c>
      <c r="I401" s="9" t="s">
        <v>307</v>
      </c>
      <c r="J401" s="9" t="s">
        <v>384</v>
      </c>
      <c r="K401" s="30">
        <v>4</v>
      </c>
      <c r="L401" s="9" t="s">
        <v>388</v>
      </c>
      <c r="M401" s="30" t="s">
        <v>84</v>
      </c>
      <c r="N401" s="30" t="s">
        <v>154</v>
      </c>
      <c r="O401" s="24">
        <v>128</v>
      </c>
      <c r="P401" s="24">
        <v>80</v>
      </c>
      <c r="Q401" s="24">
        <v>16</v>
      </c>
      <c r="R401" s="24">
        <v>0</v>
      </c>
      <c r="S401" s="24">
        <v>0</v>
      </c>
      <c r="T401" s="24">
        <v>224</v>
      </c>
    </row>
    <row r="402" spans="1:20">
      <c r="A402" s="9" t="s">
        <v>305</v>
      </c>
      <c r="B402" s="30" t="s">
        <v>363</v>
      </c>
      <c r="C402" s="30" t="str">
        <f>CONCATENATE(VOL_VOLUMEN_SUMINISTROS[[#This Row],[Proyecto]],VOL_VOLUMEN_SUMINISTROS[[#This Row],[J]],VOL_VOLUMEN_SUMINISTROS[[#This Row],[FIN DE SEMANA]])</f>
        <v>1052-1MNO</v>
      </c>
      <c r="D402" s="360" t="str">
        <f>CONCATENATE(VOL_VOLUMEN_SUMINISTROS[[#This Row],[Grupo]],VOL_VOLUMEN_SUMINISTROS[[#This Row],[Proyecto]],VOL_VOLUMEN_SUMINISTROS[[#This Row],[FIN DE SEMANA]])</f>
        <v>251052-1NO</v>
      </c>
      <c r="E402" s="30" t="s">
        <v>146</v>
      </c>
      <c r="F402" s="30" t="s">
        <v>147</v>
      </c>
      <c r="G402" s="360">
        <v>25</v>
      </c>
      <c r="H402" s="30">
        <v>18</v>
      </c>
      <c r="I402" s="9" t="s">
        <v>307</v>
      </c>
      <c r="J402" s="9" t="s">
        <v>384</v>
      </c>
      <c r="K402" s="30">
        <v>5</v>
      </c>
      <c r="L402" s="9" t="s">
        <v>389</v>
      </c>
      <c r="M402" s="30" t="s">
        <v>84</v>
      </c>
      <c r="N402" s="30" t="s">
        <v>151</v>
      </c>
      <c r="O402" s="24">
        <v>0</v>
      </c>
      <c r="P402" s="24">
        <v>90</v>
      </c>
      <c r="Q402" s="24">
        <v>30</v>
      </c>
      <c r="R402" s="24">
        <v>0</v>
      </c>
      <c r="S402" s="24">
        <v>0</v>
      </c>
      <c r="T402" s="24">
        <v>120</v>
      </c>
    </row>
    <row r="403" spans="1:20">
      <c r="A403" s="9" t="s">
        <v>305</v>
      </c>
      <c r="B403" s="30" t="s">
        <v>363</v>
      </c>
      <c r="C403" s="30" t="str">
        <f>CONCATENATE(VOL_VOLUMEN_SUMINISTROS[[#This Row],[Proyecto]],VOL_VOLUMEN_SUMINISTROS[[#This Row],[J]],VOL_VOLUMEN_SUMINISTROS[[#This Row],[FIN DE SEMANA]])</f>
        <v>1052-1MNO</v>
      </c>
      <c r="D403" s="360" t="str">
        <f>CONCATENATE(VOL_VOLUMEN_SUMINISTROS[[#This Row],[Grupo]],VOL_VOLUMEN_SUMINISTROS[[#This Row],[Proyecto]],VOL_VOLUMEN_SUMINISTROS[[#This Row],[FIN DE SEMANA]])</f>
        <v>251052-1NO</v>
      </c>
      <c r="E403" s="30" t="s">
        <v>146</v>
      </c>
      <c r="F403" s="30" t="s">
        <v>147</v>
      </c>
      <c r="G403" s="360">
        <v>25</v>
      </c>
      <c r="H403" s="30">
        <v>18</v>
      </c>
      <c r="I403" s="9" t="s">
        <v>307</v>
      </c>
      <c r="J403" s="9" t="s">
        <v>390</v>
      </c>
      <c r="K403" s="30">
        <v>1</v>
      </c>
      <c r="L403" s="9" t="s">
        <v>391</v>
      </c>
      <c r="M403" s="30" t="s">
        <v>84</v>
      </c>
      <c r="N403" s="30" t="s">
        <v>151</v>
      </c>
      <c r="O403" s="24">
        <v>440</v>
      </c>
      <c r="P403" s="24">
        <v>453</v>
      </c>
      <c r="Q403" s="24">
        <v>833</v>
      </c>
      <c r="R403" s="24">
        <v>0</v>
      </c>
      <c r="S403" s="24">
        <v>0</v>
      </c>
      <c r="T403" s="24">
        <v>1726</v>
      </c>
    </row>
    <row r="404" spans="1:20">
      <c r="A404" s="9" t="s">
        <v>305</v>
      </c>
      <c r="B404" s="30" t="s">
        <v>363</v>
      </c>
      <c r="C404" s="30" t="str">
        <f>CONCATENATE(VOL_VOLUMEN_SUMINISTROS[[#This Row],[Proyecto]],VOL_VOLUMEN_SUMINISTROS[[#This Row],[J]],VOL_VOLUMEN_SUMINISTROS[[#This Row],[FIN DE SEMANA]])</f>
        <v>1052-1NNO</v>
      </c>
      <c r="D404" s="360" t="str">
        <f>CONCATENATE(VOL_VOLUMEN_SUMINISTROS[[#This Row],[Grupo]],VOL_VOLUMEN_SUMINISTROS[[#This Row],[Proyecto]],VOL_VOLUMEN_SUMINISTROS[[#This Row],[FIN DE SEMANA]])</f>
        <v>251052-1NO</v>
      </c>
      <c r="E404" s="30" t="s">
        <v>146</v>
      </c>
      <c r="F404" s="30" t="s">
        <v>147</v>
      </c>
      <c r="G404" s="360">
        <v>25</v>
      </c>
      <c r="H404" s="30">
        <v>18</v>
      </c>
      <c r="I404" s="9" t="s">
        <v>307</v>
      </c>
      <c r="J404" s="9" t="s">
        <v>390</v>
      </c>
      <c r="K404" s="30">
        <v>1</v>
      </c>
      <c r="L404" s="9" t="s">
        <v>391</v>
      </c>
      <c r="M404" s="30" t="s">
        <v>84</v>
      </c>
      <c r="N404" s="30" t="s">
        <v>153</v>
      </c>
      <c r="O404" s="24">
        <v>0</v>
      </c>
      <c r="P404" s="24">
        <v>0</v>
      </c>
      <c r="Q404" s="24">
        <v>0</v>
      </c>
      <c r="R404" s="24">
        <v>215</v>
      </c>
      <c r="S404" s="24">
        <v>167</v>
      </c>
      <c r="T404" s="24">
        <v>382</v>
      </c>
    </row>
    <row r="405" spans="1:20">
      <c r="A405" s="9" t="s">
        <v>305</v>
      </c>
      <c r="B405" s="30" t="s">
        <v>363</v>
      </c>
      <c r="C405" s="30" t="str">
        <f>CONCATENATE(VOL_VOLUMEN_SUMINISTROS[[#This Row],[Proyecto]],VOL_VOLUMEN_SUMINISTROS[[#This Row],[J]],VOL_VOLUMEN_SUMINISTROS[[#This Row],[FIN DE SEMANA]])</f>
        <v>1052-1TNO</v>
      </c>
      <c r="D405" s="360" t="str">
        <f>CONCATENATE(VOL_VOLUMEN_SUMINISTROS[[#This Row],[Grupo]],VOL_VOLUMEN_SUMINISTROS[[#This Row],[Proyecto]],VOL_VOLUMEN_SUMINISTROS[[#This Row],[FIN DE SEMANA]])</f>
        <v>251052-1NO</v>
      </c>
      <c r="E405" s="30" t="s">
        <v>146</v>
      </c>
      <c r="F405" s="30" t="s">
        <v>147</v>
      </c>
      <c r="G405" s="360">
        <v>25</v>
      </c>
      <c r="H405" s="30">
        <v>18</v>
      </c>
      <c r="I405" s="9" t="s">
        <v>307</v>
      </c>
      <c r="J405" s="9" t="s">
        <v>390</v>
      </c>
      <c r="K405" s="30">
        <v>1</v>
      </c>
      <c r="L405" s="9" t="s">
        <v>391</v>
      </c>
      <c r="M405" s="30" t="s">
        <v>84</v>
      </c>
      <c r="N405" s="30" t="s">
        <v>154</v>
      </c>
      <c r="O405" s="24">
        <v>283</v>
      </c>
      <c r="P405" s="24">
        <v>450</v>
      </c>
      <c r="Q405" s="24">
        <v>772</v>
      </c>
      <c r="R405" s="24">
        <v>0</v>
      </c>
      <c r="S405" s="24">
        <v>0</v>
      </c>
      <c r="T405" s="24">
        <v>1505</v>
      </c>
    </row>
    <row r="406" spans="1:20">
      <c r="A406" s="9" t="s">
        <v>305</v>
      </c>
      <c r="B406" s="30" t="s">
        <v>392</v>
      </c>
      <c r="C406" s="30" t="str">
        <f>CONCATENATE(VOL_VOLUMEN_SUMINISTROS[[#This Row],[Proyecto]],VOL_VOLUMEN_SUMINISTROS[[#This Row],[J]],VOL_VOLUMEN_SUMINISTROS[[#This Row],[FIN DE SEMANA]])</f>
        <v>1052-2MNO</v>
      </c>
      <c r="D406" s="360" t="str">
        <f>CONCATENATE(VOL_VOLUMEN_SUMINISTROS[[#This Row],[Grupo]],VOL_VOLUMEN_SUMINISTROS[[#This Row],[Proyecto]],VOL_VOLUMEN_SUMINISTROS[[#This Row],[FIN DE SEMANA]])</f>
        <v>241052-2NO</v>
      </c>
      <c r="E406" s="30" t="s">
        <v>182</v>
      </c>
      <c r="F406" s="30" t="s">
        <v>147</v>
      </c>
      <c r="G406" s="360">
        <v>24</v>
      </c>
      <c r="H406" s="30">
        <v>15</v>
      </c>
      <c r="I406" s="9" t="s">
        <v>364</v>
      </c>
      <c r="J406" s="9" t="s">
        <v>374</v>
      </c>
      <c r="K406" s="30">
        <v>1</v>
      </c>
      <c r="L406" s="9" t="s">
        <v>375</v>
      </c>
      <c r="M406" s="30" t="s">
        <v>84</v>
      </c>
      <c r="N406" s="30" t="s">
        <v>151</v>
      </c>
      <c r="O406" s="24">
        <v>0</v>
      </c>
      <c r="P406" s="24">
        <v>0</v>
      </c>
      <c r="Q406" s="24">
        <v>80</v>
      </c>
      <c r="R406" s="24">
        <v>0</v>
      </c>
      <c r="S406" s="24">
        <v>0</v>
      </c>
      <c r="T406" s="24">
        <v>80</v>
      </c>
    </row>
    <row r="407" spans="1:20">
      <c r="A407" s="9" t="s">
        <v>305</v>
      </c>
      <c r="B407" s="30" t="s">
        <v>392</v>
      </c>
      <c r="C407" s="30" t="str">
        <f>CONCATENATE(VOL_VOLUMEN_SUMINISTROS[[#This Row],[Proyecto]],VOL_VOLUMEN_SUMINISTROS[[#This Row],[J]],VOL_VOLUMEN_SUMINISTROS[[#This Row],[FIN DE SEMANA]])</f>
        <v>1052-2MNO</v>
      </c>
      <c r="D407" s="360" t="str">
        <f>CONCATENATE(VOL_VOLUMEN_SUMINISTROS[[#This Row],[Grupo]],VOL_VOLUMEN_SUMINISTROS[[#This Row],[Proyecto]],VOL_VOLUMEN_SUMINISTROS[[#This Row],[FIN DE SEMANA]])</f>
        <v>251052-2NO</v>
      </c>
      <c r="E407" s="30" t="s">
        <v>182</v>
      </c>
      <c r="F407" s="30" t="s">
        <v>147</v>
      </c>
      <c r="G407" s="360">
        <v>25</v>
      </c>
      <c r="H407" s="30">
        <v>18</v>
      </c>
      <c r="I407" s="9" t="s">
        <v>307</v>
      </c>
      <c r="J407" s="9" t="s">
        <v>376</v>
      </c>
      <c r="K407" s="30">
        <v>1</v>
      </c>
      <c r="L407" s="9" t="s">
        <v>377</v>
      </c>
      <c r="M407" s="30" t="s">
        <v>84</v>
      </c>
      <c r="N407" s="30" t="s">
        <v>151</v>
      </c>
      <c r="O407" s="24">
        <v>0</v>
      </c>
      <c r="P407" s="24">
        <v>0</v>
      </c>
      <c r="Q407" s="24">
        <v>65</v>
      </c>
      <c r="R407" s="24">
        <v>0</v>
      </c>
      <c r="S407" s="24">
        <v>0</v>
      </c>
      <c r="T407" s="24">
        <v>65</v>
      </c>
    </row>
    <row r="408" spans="1:20">
      <c r="A408" s="9" t="s">
        <v>305</v>
      </c>
      <c r="B408" s="30" t="s">
        <v>392</v>
      </c>
      <c r="C408" s="30" t="str">
        <f>CONCATENATE(VOL_VOLUMEN_SUMINISTROS[[#This Row],[Proyecto]],VOL_VOLUMEN_SUMINISTROS[[#This Row],[J]],VOL_VOLUMEN_SUMINISTROS[[#This Row],[FIN DE SEMANA]])</f>
        <v>1052-2TNO</v>
      </c>
      <c r="D408" s="360" t="str">
        <f>CONCATENATE(VOL_VOLUMEN_SUMINISTROS[[#This Row],[Grupo]],VOL_VOLUMEN_SUMINISTROS[[#This Row],[Proyecto]],VOL_VOLUMEN_SUMINISTROS[[#This Row],[FIN DE SEMANA]])</f>
        <v>251052-2NO</v>
      </c>
      <c r="E408" s="30" t="s">
        <v>182</v>
      </c>
      <c r="F408" s="30" t="s">
        <v>147</v>
      </c>
      <c r="G408" s="360">
        <v>25</v>
      </c>
      <c r="H408" s="30">
        <v>18</v>
      </c>
      <c r="I408" s="9" t="s">
        <v>307</v>
      </c>
      <c r="J408" s="9" t="s">
        <v>376</v>
      </c>
      <c r="K408" s="30">
        <v>1</v>
      </c>
      <c r="L408" s="9" t="s">
        <v>377</v>
      </c>
      <c r="M408" s="30" t="s">
        <v>84</v>
      </c>
      <c r="N408" s="30" t="s">
        <v>154</v>
      </c>
      <c r="O408" s="24">
        <v>0</v>
      </c>
      <c r="P408" s="24">
        <v>0</v>
      </c>
      <c r="Q408" s="24">
        <v>105</v>
      </c>
      <c r="R408" s="24">
        <v>0</v>
      </c>
      <c r="S408" s="24">
        <v>0</v>
      </c>
      <c r="T408" s="24">
        <v>105</v>
      </c>
    </row>
    <row r="409" spans="1:20">
      <c r="A409" s="9" t="s">
        <v>305</v>
      </c>
      <c r="B409" s="30" t="s">
        <v>392</v>
      </c>
      <c r="C409" s="30" t="str">
        <f>CONCATENATE(VOL_VOLUMEN_SUMINISTROS[[#This Row],[Proyecto]],VOL_VOLUMEN_SUMINISTROS[[#This Row],[J]],VOL_VOLUMEN_SUMINISTROS[[#This Row],[FIN DE SEMANA]])</f>
        <v>1052-2MNO</v>
      </c>
      <c r="D409" s="360" t="str">
        <f>CONCATENATE(VOL_VOLUMEN_SUMINISTROS[[#This Row],[Grupo]],VOL_VOLUMEN_SUMINISTROS[[#This Row],[Proyecto]],VOL_VOLUMEN_SUMINISTROS[[#This Row],[FIN DE SEMANA]])</f>
        <v>251052-2NO</v>
      </c>
      <c r="E409" s="30" t="s">
        <v>182</v>
      </c>
      <c r="F409" s="30" t="s">
        <v>147</v>
      </c>
      <c r="G409" s="360">
        <v>25</v>
      </c>
      <c r="H409" s="30">
        <v>18</v>
      </c>
      <c r="I409" s="9" t="s">
        <v>307</v>
      </c>
      <c r="J409" s="9" t="s">
        <v>379</v>
      </c>
      <c r="K409" s="30">
        <v>1</v>
      </c>
      <c r="L409" s="9" t="s">
        <v>380</v>
      </c>
      <c r="M409" s="30" t="s">
        <v>84</v>
      </c>
      <c r="N409" s="30" t="s">
        <v>151</v>
      </c>
      <c r="O409" s="24">
        <v>0</v>
      </c>
      <c r="P409" s="24">
        <v>60</v>
      </c>
      <c r="Q409" s="24">
        <v>140</v>
      </c>
      <c r="R409" s="24">
        <v>0</v>
      </c>
      <c r="S409" s="24">
        <v>0</v>
      </c>
      <c r="T409" s="24">
        <v>200</v>
      </c>
    </row>
    <row r="410" spans="1:20">
      <c r="A410" s="9" t="s">
        <v>305</v>
      </c>
      <c r="B410" s="30" t="s">
        <v>392</v>
      </c>
      <c r="C410" s="30" t="str">
        <f>CONCATENATE(VOL_VOLUMEN_SUMINISTROS[[#This Row],[Proyecto]],VOL_VOLUMEN_SUMINISTROS[[#This Row],[J]],VOL_VOLUMEN_SUMINISTROS[[#This Row],[FIN DE SEMANA]])</f>
        <v>1052-2TNO</v>
      </c>
      <c r="D410" s="360" t="str">
        <f>CONCATENATE(VOL_VOLUMEN_SUMINISTROS[[#This Row],[Grupo]],VOL_VOLUMEN_SUMINISTROS[[#This Row],[Proyecto]],VOL_VOLUMEN_SUMINISTROS[[#This Row],[FIN DE SEMANA]])</f>
        <v>251052-2NO</v>
      </c>
      <c r="E410" s="30" t="s">
        <v>182</v>
      </c>
      <c r="F410" s="30" t="s">
        <v>147</v>
      </c>
      <c r="G410" s="360">
        <v>25</v>
      </c>
      <c r="H410" s="30">
        <v>18</v>
      </c>
      <c r="I410" s="9" t="s">
        <v>307</v>
      </c>
      <c r="J410" s="9" t="s">
        <v>379</v>
      </c>
      <c r="K410" s="30">
        <v>1</v>
      </c>
      <c r="L410" s="9" t="s">
        <v>381</v>
      </c>
      <c r="M410" s="30" t="s">
        <v>84</v>
      </c>
      <c r="N410" s="30" t="s">
        <v>154</v>
      </c>
      <c r="O410" s="24">
        <v>0</v>
      </c>
      <c r="P410" s="24">
        <v>99</v>
      </c>
      <c r="Q410" s="24">
        <v>143</v>
      </c>
      <c r="R410" s="24">
        <v>0</v>
      </c>
      <c r="S410" s="24">
        <v>0</v>
      </c>
      <c r="T410" s="24">
        <v>242</v>
      </c>
    </row>
    <row r="411" spans="1:20">
      <c r="A411" s="9" t="s">
        <v>305</v>
      </c>
      <c r="B411" s="30" t="s">
        <v>392</v>
      </c>
      <c r="C411" s="30" t="str">
        <f>CONCATENATE(VOL_VOLUMEN_SUMINISTROS[[#This Row],[Proyecto]],VOL_VOLUMEN_SUMINISTROS[[#This Row],[J]],VOL_VOLUMEN_SUMINISTROS[[#This Row],[FIN DE SEMANA]])</f>
        <v>1052-2MNO</v>
      </c>
      <c r="D411" s="360" t="str">
        <f>CONCATENATE(VOL_VOLUMEN_SUMINISTROS[[#This Row],[Grupo]],VOL_VOLUMEN_SUMINISTROS[[#This Row],[Proyecto]],VOL_VOLUMEN_SUMINISTROS[[#This Row],[FIN DE SEMANA]])</f>
        <v>251052-2NO</v>
      </c>
      <c r="E411" s="30" t="s">
        <v>182</v>
      </c>
      <c r="F411" s="30" t="s">
        <v>147</v>
      </c>
      <c r="G411" s="360">
        <v>25</v>
      </c>
      <c r="H411" s="30">
        <v>18</v>
      </c>
      <c r="I411" s="9" t="s">
        <v>307</v>
      </c>
      <c r="J411" s="9" t="s">
        <v>379</v>
      </c>
      <c r="K411" s="30">
        <v>2</v>
      </c>
      <c r="L411" s="9" t="s">
        <v>382</v>
      </c>
      <c r="M411" s="30" t="s">
        <v>84</v>
      </c>
      <c r="N411" s="30" t="s">
        <v>151</v>
      </c>
      <c r="O411" s="24">
        <v>100</v>
      </c>
      <c r="P411" s="24">
        <v>122</v>
      </c>
      <c r="Q411" s="24">
        <v>24</v>
      </c>
      <c r="R411" s="24">
        <v>0</v>
      </c>
      <c r="S411" s="24">
        <v>0</v>
      </c>
      <c r="T411" s="24">
        <v>246</v>
      </c>
    </row>
    <row r="412" spans="1:20">
      <c r="A412" s="9" t="s">
        <v>305</v>
      </c>
      <c r="B412" s="30" t="s">
        <v>392</v>
      </c>
      <c r="C412" s="30" t="str">
        <f>CONCATENATE(VOL_VOLUMEN_SUMINISTROS[[#This Row],[Proyecto]],VOL_VOLUMEN_SUMINISTROS[[#This Row],[J]],VOL_VOLUMEN_SUMINISTROS[[#This Row],[FIN DE SEMANA]])</f>
        <v>1052-2M1NO</v>
      </c>
      <c r="D412" s="360" t="str">
        <f>CONCATENATE(VOL_VOLUMEN_SUMINISTROS[[#This Row],[Grupo]],VOL_VOLUMEN_SUMINISTROS[[#This Row],[Proyecto]],VOL_VOLUMEN_SUMINISTROS[[#This Row],[FIN DE SEMANA]])</f>
        <v>251052-2NO</v>
      </c>
      <c r="E412" s="30" t="s">
        <v>182</v>
      </c>
      <c r="F412" s="30" t="s">
        <v>147</v>
      </c>
      <c r="G412" s="360">
        <v>25</v>
      </c>
      <c r="H412" s="30">
        <v>18</v>
      </c>
      <c r="I412" s="9" t="s">
        <v>307</v>
      </c>
      <c r="J412" s="9" t="s">
        <v>379</v>
      </c>
      <c r="K412" s="30">
        <v>2</v>
      </c>
      <c r="L412" s="9" t="s">
        <v>382</v>
      </c>
      <c r="M412" s="30" t="s">
        <v>84</v>
      </c>
      <c r="N412" s="30" t="s">
        <v>215</v>
      </c>
      <c r="O412" s="24">
        <v>120</v>
      </c>
      <c r="P412" s="24">
        <v>60</v>
      </c>
      <c r="Q412" s="24">
        <v>0</v>
      </c>
      <c r="R412" s="24">
        <v>0</v>
      </c>
      <c r="S412" s="24">
        <v>0</v>
      </c>
      <c r="T412" s="24">
        <v>180</v>
      </c>
    </row>
    <row r="413" spans="1:20">
      <c r="A413" s="9" t="s">
        <v>305</v>
      </c>
      <c r="B413" s="30" t="s">
        <v>392</v>
      </c>
      <c r="C413" s="30" t="str">
        <f>CONCATENATE(VOL_VOLUMEN_SUMINISTROS[[#This Row],[Proyecto]],VOL_VOLUMEN_SUMINISTROS[[#This Row],[J]],VOL_VOLUMEN_SUMINISTROS[[#This Row],[FIN DE SEMANA]])</f>
        <v>1052-2TNO</v>
      </c>
      <c r="D413" s="360" t="str">
        <f>CONCATENATE(VOL_VOLUMEN_SUMINISTROS[[#This Row],[Grupo]],VOL_VOLUMEN_SUMINISTROS[[#This Row],[Proyecto]],VOL_VOLUMEN_SUMINISTROS[[#This Row],[FIN DE SEMANA]])</f>
        <v>251052-2NO</v>
      </c>
      <c r="E413" s="30" t="s">
        <v>182</v>
      </c>
      <c r="F413" s="30" t="s">
        <v>147</v>
      </c>
      <c r="G413" s="360">
        <v>25</v>
      </c>
      <c r="H413" s="30">
        <v>18</v>
      </c>
      <c r="I413" s="9" t="s">
        <v>307</v>
      </c>
      <c r="J413" s="9" t="s">
        <v>379</v>
      </c>
      <c r="K413" s="30">
        <v>2</v>
      </c>
      <c r="L413" s="9" t="s">
        <v>382</v>
      </c>
      <c r="M413" s="30" t="s">
        <v>84</v>
      </c>
      <c r="N413" s="30" t="s">
        <v>154</v>
      </c>
      <c r="O413" s="24">
        <v>120</v>
      </c>
      <c r="P413" s="24">
        <v>126</v>
      </c>
      <c r="Q413" s="24">
        <v>22</v>
      </c>
      <c r="R413" s="24">
        <v>0</v>
      </c>
      <c r="S413" s="24">
        <v>0</v>
      </c>
      <c r="T413" s="24">
        <v>268</v>
      </c>
    </row>
    <row r="414" spans="1:20">
      <c r="A414" s="9" t="s">
        <v>305</v>
      </c>
      <c r="B414" s="30" t="s">
        <v>392</v>
      </c>
      <c r="C414" s="30" t="str">
        <f>CONCATENATE(VOL_VOLUMEN_SUMINISTROS[[#This Row],[Proyecto]],VOL_VOLUMEN_SUMINISTROS[[#This Row],[J]],VOL_VOLUMEN_SUMINISTROS[[#This Row],[FIN DE SEMANA]])</f>
        <v>1052-2M1NO</v>
      </c>
      <c r="D414" s="360" t="str">
        <f>CONCATENATE(VOL_VOLUMEN_SUMINISTROS[[#This Row],[Grupo]],VOL_VOLUMEN_SUMINISTROS[[#This Row],[Proyecto]],VOL_VOLUMEN_SUMINISTROS[[#This Row],[FIN DE SEMANA]])</f>
        <v>251052-2NO</v>
      </c>
      <c r="E414" s="30" t="s">
        <v>182</v>
      </c>
      <c r="F414" s="30" t="s">
        <v>147</v>
      </c>
      <c r="G414" s="360">
        <v>25</v>
      </c>
      <c r="H414" s="30">
        <v>18</v>
      </c>
      <c r="I414" s="9" t="s">
        <v>307</v>
      </c>
      <c r="J414" s="9" t="s">
        <v>379</v>
      </c>
      <c r="K414" s="30">
        <v>3</v>
      </c>
      <c r="L414" s="9" t="s">
        <v>383</v>
      </c>
      <c r="M414" s="30" t="s">
        <v>84</v>
      </c>
      <c r="N414" s="30" t="s">
        <v>215</v>
      </c>
      <c r="O414" s="24">
        <v>22</v>
      </c>
      <c r="P414" s="24">
        <v>41</v>
      </c>
      <c r="Q414" s="24">
        <v>10</v>
      </c>
      <c r="R414" s="24">
        <v>0</v>
      </c>
      <c r="S414" s="24">
        <v>0</v>
      </c>
      <c r="T414" s="24">
        <v>73</v>
      </c>
    </row>
    <row r="415" spans="1:20">
      <c r="A415" s="9" t="s">
        <v>305</v>
      </c>
      <c r="B415" s="30" t="s">
        <v>392</v>
      </c>
      <c r="C415" s="30" t="str">
        <f>CONCATENATE(VOL_VOLUMEN_SUMINISTROS[[#This Row],[Proyecto]],VOL_VOLUMEN_SUMINISTROS[[#This Row],[J]],VOL_VOLUMEN_SUMINISTROS[[#This Row],[FIN DE SEMANA]])</f>
        <v>1052-2MNO</v>
      </c>
      <c r="D415" s="360" t="str">
        <f>CONCATENATE(VOL_VOLUMEN_SUMINISTROS[[#This Row],[Grupo]],VOL_VOLUMEN_SUMINISTROS[[#This Row],[Proyecto]],VOL_VOLUMEN_SUMINISTROS[[#This Row],[FIN DE SEMANA]])</f>
        <v>251052-2NO</v>
      </c>
      <c r="E415" s="30" t="s">
        <v>182</v>
      </c>
      <c r="F415" s="30" t="s">
        <v>147</v>
      </c>
      <c r="G415" s="360">
        <v>25</v>
      </c>
      <c r="H415" s="30">
        <v>18</v>
      </c>
      <c r="I415" s="9" t="s">
        <v>307</v>
      </c>
      <c r="J415" s="9" t="s">
        <v>384</v>
      </c>
      <c r="K415" s="30">
        <v>2</v>
      </c>
      <c r="L415" s="9" t="s">
        <v>385</v>
      </c>
      <c r="M415" s="30" t="s">
        <v>84</v>
      </c>
      <c r="N415" s="30" t="s">
        <v>151</v>
      </c>
      <c r="O415" s="24">
        <v>129</v>
      </c>
      <c r="P415" s="24">
        <v>0</v>
      </c>
      <c r="Q415" s="24">
        <v>0</v>
      </c>
      <c r="R415" s="24">
        <v>0</v>
      </c>
      <c r="S415" s="24">
        <v>0</v>
      </c>
      <c r="T415" s="24">
        <v>129</v>
      </c>
    </row>
    <row r="416" spans="1:20">
      <c r="A416" s="9" t="s">
        <v>305</v>
      </c>
      <c r="B416" s="30" t="s">
        <v>392</v>
      </c>
      <c r="C416" s="30" t="str">
        <f>CONCATENATE(VOL_VOLUMEN_SUMINISTROS[[#This Row],[Proyecto]],VOL_VOLUMEN_SUMINISTROS[[#This Row],[J]],VOL_VOLUMEN_SUMINISTROS[[#This Row],[FIN DE SEMANA]])</f>
        <v>1052-2M1NO</v>
      </c>
      <c r="D416" s="360" t="str">
        <f>CONCATENATE(VOL_VOLUMEN_SUMINISTROS[[#This Row],[Grupo]],VOL_VOLUMEN_SUMINISTROS[[#This Row],[Proyecto]],VOL_VOLUMEN_SUMINISTROS[[#This Row],[FIN DE SEMANA]])</f>
        <v>251052-2NO</v>
      </c>
      <c r="E416" s="30" t="s">
        <v>182</v>
      </c>
      <c r="F416" s="30" t="s">
        <v>147</v>
      </c>
      <c r="G416" s="360">
        <v>25</v>
      </c>
      <c r="H416" s="30">
        <v>18</v>
      </c>
      <c r="I416" s="9" t="s">
        <v>307</v>
      </c>
      <c r="J416" s="9" t="s">
        <v>384</v>
      </c>
      <c r="K416" s="30">
        <v>2</v>
      </c>
      <c r="L416" s="9" t="s">
        <v>385</v>
      </c>
      <c r="M416" s="30" t="s">
        <v>84</v>
      </c>
      <c r="N416" s="30" t="s">
        <v>215</v>
      </c>
      <c r="O416" s="24">
        <v>128</v>
      </c>
      <c r="P416" s="24">
        <v>283</v>
      </c>
      <c r="Q416" s="24">
        <v>197</v>
      </c>
      <c r="R416" s="24">
        <v>0</v>
      </c>
      <c r="S416" s="24">
        <v>0</v>
      </c>
      <c r="T416" s="24">
        <v>608</v>
      </c>
    </row>
    <row r="417" spans="1:20">
      <c r="A417" s="9" t="s">
        <v>305</v>
      </c>
      <c r="B417" s="30" t="s">
        <v>392</v>
      </c>
      <c r="C417" s="30" t="str">
        <f>CONCATENATE(VOL_VOLUMEN_SUMINISTROS[[#This Row],[Proyecto]],VOL_VOLUMEN_SUMINISTROS[[#This Row],[J]],VOL_VOLUMEN_SUMINISTROS[[#This Row],[FIN DE SEMANA]])</f>
        <v>1052-2MNO</v>
      </c>
      <c r="D417" s="360" t="str">
        <f>CONCATENATE(VOL_VOLUMEN_SUMINISTROS[[#This Row],[Grupo]],VOL_VOLUMEN_SUMINISTROS[[#This Row],[Proyecto]],VOL_VOLUMEN_SUMINISTROS[[#This Row],[FIN DE SEMANA]])</f>
        <v>251052-2NO</v>
      </c>
      <c r="E417" s="30" t="s">
        <v>182</v>
      </c>
      <c r="F417" s="30" t="s">
        <v>147</v>
      </c>
      <c r="G417" s="360">
        <v>25</v>
      </c>
      <c r="H417" s="30">
        <v>18</v>
      </c>
      <c r="I417" s="9" t="s">
        <v>307</v>
      </c>
      <c r="J417" s="9" t="s">
        <v>384</v>
      </c>
      <c r="K417" s="30">
        <v>3</v>
      </c>
      <c r="L417" s="9" t="s">
        <v>386</v>
      </c>
      <c r="M417" s="30" t="s">
        <v>84</v>
      </c>
      <c r="N417" s="30" t="s">
        <v>151</v>
      </c>
      <c r="O417" s="24">
        <v>141</v>
      </c>
      <c r="P417" s="24">
        <v>0</v>
      </c>
      <c r="Q417" s="24">
        <v>0</v>
      </c>
      <c r="R417" s="24">
        <v>0</v>
      </c>
      <c r="S417" s="24">
        <v>0</v>
      </c>
      <c r="T417" s="24">
        <v>141</v>
      </c>
    </row>
    <row r="418" spans="1:20">
      <c r="A418" s="9" t="s">
        <v>305</v>
      </c>
      <c r="B418" s="30" t="s">
        <v>392</v>
      </c>
      <c r="C418" s="30" t="str">
        <f>CONCATENATE(VOL_VOLUMEN_SUMINISTROS[[#This Row],[Proyecto]],VOL_VOLUMEN_SUMINISTROS[[#This Row],[J]],VOL_VOLUMEN_SUMINISTROS[[#This Row],[FIN DE SEMANA]])</f>
        <v>1052-2M1NO</v>
      </c>
      <c r="D418" s="360" t="str">
        <f>CONCATENATE(VOL_VOLUMEN_SUMINISTROS[[#This Row],[Grupo]],VOL_VOLUMEN_SUMINISTROS[[#This Row],[Proyecto]],VOL_VOLUMEN_SUMINISTROS[[#This Row],[FIN DE SEMANA]])</f>
        <v>251052-2NO</v>
      </c>
      <c r="E418" s="30" t="s">
        <v>182</v>
      </c>
      <c r="F418" s="30" t="s">
        <v>147</v>
      </c>
      <c r="G418" s="360">
        <v>25</v>
      </c>
      <c r="H418" s="30">
        <v>18</v>
      </c>
      <c r="I418" s="9" t="s">
        <v>307</v>
      </c>
      <c r="J418" s="9" t="s">
        <v>384</v>
      </c>
      <c r="K418" s="30">
        <v>3</v>
      </c>
      <c r="L418" s="9" t="s">
        <v>386</v>
      </c>
      <c r="M418" s="30" t="s">
        <v>84</v>
      </c>
      <c r="N418" s="30" t="s">
        <v>215</v>
      </c>
      <c r="O418" s="24">
        <v>216</v>
      </c>
      <c r="P418" s="24">
        <v>252</v>
      </c>
      <c r="Q418" s="24">
        <v>48</v>
      </c>
      <c r="R418" s="24">
        <v>0</v>
      </c>
      <c r="S418" s="24">
        <v>0</v>
      </c>
      <c r="T418" s="24">
        <v>516</v>
      </c>
    </row>
    <row r="419" spans="1:20">
      <c r="A419" s="9" t="s">
        <v>305</v>
      </c>
      <c r="B419" s="30" t="s">
        <v>392</v>
      </c>
      <c r="C419" s="30" t="str">
        <f>CONCATENATE(VOL_VOLUMEN_SUMINISTROS[[#This Row],[Proyecto]],VOL_VOLUMEN_SUMINISTROS[[#This Row],[J]],VOL_VOLUMEN_SUMINISTROS[[#This Row],[FIN DE SEMANA]])</f>
        <v>1052-2MNO</v>
      </c>
      <c r="D419" s="360" t="str">
        <f>CONCATENATE(VOL_VOLUMEN_SUMINISTROS[[#This Row],[Grupo]],VOL_VOLUMEN_SUMINISTROS[[#This Row],[Proyecto]],VOL_VOLUMEN_SUMINISTROS[[#This Row],[FIN DE SEMANA]])</f>
        <v>251052-2NO</v>
      </c>
      <c r="E419" s="30" t="s">
        <v>182</v>
      </c>
      <c r="F419" s="30" t="s">
        <v>147</v>
      </c>
      <c r="G419" s="360">
        <v>25</v>
      </c>
      <c r="H419" s="30">
        <v>18</v>
      </c>
      <c r="I419" s="9" t="s">
        <v>307</v>
      </c>
      <c r="J419" s="9" t="s">
        <v>384</v>
      </c>
      <c r="K419" s="30">
        <v>4</v>
      </c>
      <c r="L419" s="9" t="s">
        <v>387</v>
      </c>
      <c r="M419" s="30" t="s">
        <v>84</v>
      </c>
      <c r="N419" s="30" t="s">
        <v>151</v>
      </c>
      <c r="O419" s="24">
        <v>139</v>
      </c>
      <c r="P419" s="24">
        <v>0</v>
      </c>
      <c r="Q419" s="24">
        <v>0</v>
      </c>
      <c r="R419" s="24">
        <v>0</v>
      </c>
      <c r="S419" s="24">
        <v>0</v>
      </c>
      <c r="T419" s="24">
        <v>139</v>
      </c>
    </row>
    <row r="420" spans="1:20">
      <c r="A420" s="9" t="s">
        <v>305</v>
      </c>
      <c r="B420" s="30" t="s">
        <v>392</v>
      </c>
      <c r="C420" s="30" t="str">
        <f>CONCATENATE(VOL_VOLUMEN_SUMINISTROS[[#This Row],[Proyecto]],VOL_VOLUMEN_SUMINISTROS[[#This Row],[J]],VOL_VOLUMEN_SUMINISTROS[[#This Row],[FIN DE SEMANA]])</f>
        <v>1052-2M1NO</v>
      </c>
      <c r="D420" s="360" t="str">
        <f>CONCATENATE(VOL_VOLUMEN_SUMINISTROS[[#This Row],[Grupo]],VOL_VOLUMEN_SUMINISTROS[[#This Row],[Proyecto]],VOL_VOLUMEN_SUMINISTROS[[#This Row],[FIN DE SEMANA]])</f>
        <v>251052-2NO</v>
      </c>
      <c r="E420" s="30" t="s">
        <v>182</v>
      </c>
      <c r="F420" s="30" t="s">
        <v>147</v>
      </c>
      <c r="G420" s="360">
        <v>25</v>
      </c>
      <c r="H420" s="30">
        <v>18</v>
      </c>
      <c r="I420" s="9" t="s">
        <v>307</v>
      </c>
      <c r="J420" s="9" t="s">
        <v>384</v>
      </c>
      <c r="K420" s="30">
        <v>4</v>
      </c>
      <c r="L420" s="9" t="s">
        <v>387</v>
      </c>
      <c r="M420" s="30" t="s">
        <v>84</v>
      </c>
      <c r="N420" s="30" t="s">
        <v>215</v>
      </c>
      <c r="O420" s="24">
        <v>170</v>
      </c>
      <c r="P420" s="24">
        <v>196</v>
      </c>
      <c r="Q420" s="24">
        <v>37</v>
      </c>
      <c r="R420" s="24">
        <v>0</v>
      </c>
      <c r="S420" s="24">
        <v>0</v>
      </c>
      <c r="T420" s="24">
        <v>403</v>
      </c>
    </row>
    <row r="421" spans="1:20">
      <c r="A421" s="9" t="s">
        <v>305</v>
      </c>
      <c r="B421" s="30" t="s">
        <v>392</v>
      </c>
      <c r="C421" s="30" t="str">
        <f>CONCATENATE(VOL_VOLUMEN_SUMINISTROS[[#This Row],[Proyecto]],VOL_VOLUMEN_SUMINISTROS[[#This Row],[J]],VOL_VOLUMEN_SUMINISTROS[[#This Row],[FIN DE SEMANA]])</f>
        <v>1052-2MNO</v>
      </c>
      <c r="D421" s="360" t="str">
        <f>CONCATENATE(VOL_VOLUMEN_SUMINISTROS[[#This Row],[Grupo]],VOL_VOLUMEN_SUMINISTROS[[#This Row],[Proyecto]],VOL_VOLUMEN_SUMINISTROS[[#This Row],[FIN DE SEMANA]])</f>
        <v>251052-2NO</v>
      </c>
      <c r="E421" s="30" t="s">
        <v>182</v>
      </c>
      <c r="F421" s="30" t="s">
        <v>147</v>
      </c>
      <c r="G421" s="360">
        <v>25</v>
      </c>
      <c r="H421" s="30">
        <v>18</v>
      </c>
      <c r="I421" s="9" t="s">
        <v>307</v>
      </c>
      <c r="J421" s="9" t="s">
        <v>390</v>
      </c>
      <c r="K421" s="30">
        <v>1</v>
      </c>
      <c r="L421" s="9" t="s">
        <v>391</v>
      </c>
      <c r="M421" s="30" t="s">
        <v>84</v>
      </c>
      <c r="N421" s="30" t="s">
        <v>151</v>
      </c>
      <c r="O421" s="24">
        <v>0</v>
      </c>
      <c r="P421" s="24">
        <v>0</v>
      </c>
      <c r="Q421" s="24">
        <v>75</v>
      </c>
      <c r="R421" s="24">
        <v>0</v>
      </c>
      <c r="S421" s="24">
        <v>0</v>
      </c>
      <c r="T421" s="24">
        <v>75</v>
      </c>
    </row>
    <row r="422" spans="1:20">
      <c r="A422" s="9" t="s">
        <v>305</v>
      </c>
      <c r="B422" s="30" t="s">
        <v>392</v>
      </c>
      <c r="C422" s="30" t="str">
        <f>CONCATENATE(VOL_VOLUMEN_SUMINISTROS[[#This Row],[Proyecto]],VOL_VOLUMEN_SUMINISTROS[[#This Row],[J]],VOL_VOLUMEN_SUMINISTROS[[#This Row],[FIN DE SEMANA]])</f>
        <v>1052-2TNO</v>
      </c>
      <c r="D422" s="360" t="str">
        <f>CONCATENATE(VOL_VOLUMEN_SUMINISTROS[[#This Row],[Grupo]],VOL_VOLUMEN_SUMINISTROS[[#This Row],[Proyecto]],VOL_VOLUMEN_SUMINISTROS[[#This Row],[FIN DE SEMANA]])</f>
        <v>251052-2NO</v>
      </c>
      <c r="E422" s="30" t="s">
        <v>182</v>
      </c>
      <c r="F422" s="30" t="s">
        <v>147</v>
      </c>
      <c r="G422" s="360">
        <v>25</v>
      </c>
      <c r="H422" s="30">
        <v>18</v>
      </c>
      <c r="I422" s="9" t="s">
        <v>307</v>
      </c>
      <c r="J422" s="9" t="s">
        <v>390</v>
      </c>
      <c r="K422" s="30">
        <v>1</v>
      </c>
      <c r="L422" s="9" t="s">
        <v>391</v>
      </c>
      <c r="M422" s="30" t="s">
        <v>84</v>
      </c>
      <c r="N422" s="30" t="s">
        <v>154</v>
      </c>
      <c r="O422" s="24">
        <v>0</v>
      </c>
      <c r="P422" s="24">
        <v>0</v>
      </c>
      <c r="Q422" s="24">
        <v>40</v>
      </c>
      <c r="R422" s="24">
        <v>0</v>
      </c>
      <c r="S422" s="24">
        <v>0</v>
      </c>
      <c r="T422" s="24">
        <v>40</v>
      </c>
    </row>
    <row r="423" spans="1:20">
      <c r="A423" s="9" t="s">
        <v>305</v>
      </c>
      <c r="B423" s="30" t="s">
        <v>393</v>
      </c>
      <c r="C423" s="30" t="str">
        <f>CONCATENATE(VOL_VOLUMEN_SUMINISTROS[[#This Row],[Proyecto]],VOL_VOLUMEN_SUMINISTROS[[#This Row],[J]],VOL_VOLUMEN_SUMINISTROS[[#This Row],[FIN DE SEMANA]])</f>
        <v>1052-2MNO</v>
      </c>
      <c r="D423" s="360" t="str">
        <f>CONCATENATE(VOL_VOLUMEN_SUMINISTROS[[#This Row],[Grupo]],VOL_VOLUMEN_SUMINISTROS[[#This Row],[Proyecto]],VOL_VOLUMEN_SUMINISTROS[[#This Row],[FIN DE SEMANA]])</f>
        <v>241052-2NO</v>
      </c>
      <c r="E423" s="30" t="s">
        <v>182</v>
      </c>
      <c r="F423" s="30" t="s">
        <v>147</v>
      </c>
      <c r="G423" s="360">
        <v>24</v>
      </c>
      <c r="H423" s="30">
        <v>15</v>
      </c>
      <c r="I423" s="9" t="s">
        <v>364</v>
      </c>
      <c r="J423" s="9" t="s">
        <v>369</v>
      </c>
      <c r="K423" s="30">
        <v>1</v>
      </c>
      <c r="L423" s="9" t="s">
        <v>370</v>
      </c>
      <c r="M423" s="30" t="s">
        <v>84</v>
      </c>
      <c r="N423" s="30" t="s">
        <v>151</v>
      </c>
      <c r="O423" s="24">
        <v>0</v>
      </c>
      <c r="P423" s="24">
        <v>0</v>
      </c>
      <c r="Q423" s="24">
        <v>225</v>
      </c>
      <c r="R423" s="24">
        <v>0</v>
      </c>
      <c r="S423" s="24">
        <v>0</v>
      </c>
      <c r="T423" s="24">
        <v>225</v>
      </c>
    </row>
    <row r="424" spans="1:20">
      <c r="A424" s="9" t="s">
        <v>305</v>
      </c>
      <c r="B424" s="30" t="s">
        <v>393</v>
      </c>
      <c r="C424" s="30" t="str">
        <f>CONCATENATE(VOL_VOLUMEN_SUMINISTROS[[#This Row],[Proyecto]],VOL_VOLUMEN_SUMINISTROS[[#This Row],[J]],VOL_VOLUMEN_SUMINISTROS[[#This Row],[FIN DE SEMANA]])</f>
        <v>1052-2M1NO</v>
      </c>
      <c r="D424" s="360" t="str">
        <f>CONCATENATE(VOL_VOLUMEN_SUMINISTROS[[#This Row],[Grupo]],VOL_VOLUMEN_SUMINISTROS[[#This Row],[Proyecto]],VOL_VOLUMEN_SUMINISTROS[[#This Row],[FIN DE SEMANA]])</f>
        <v>251052-2NO</v>
      </c>
      <c r="E424" s="30" t="s">
        <v>182</v>
      </c>
      <c r="F424" s="30" t="s">
        <v>147</v>
      </c>
      <c r="G424" s="360">
        <v>25</v>
      </c>
      <c r="H424" s="30">
        <v>15</v>
      </c>
      <c r="I424" s="9" t="s">
        <v>364</v>
      </c>
      <c r="J424" s="9" t="s">
        <v>369</v>
      </c>
      <c r="K424" s="30">
        <v>2</v>
      </c>
      <c r="L424" s="9" t="s">
        <v>371</v>
      </c>
      <c r="M424" s="30" t="s">
        <v>84</v>
      </c>
      <c r="N424" s="30" t="s">
        <v>215</v>
      </c>
      <c r="O424" s="24">
        <v>0</v>
      </c>
      <c r="P424" s="24">
        <v>333</v>
      </c>
      <c r="Q424" s="24">
        <v>330</v>
      </c>
      <c r="R424" s="24">
        <v>0</v>
      </c>
      <c r="S424" s="24">
        <v>0</v>
      </c>
      <c r="T424" s="24">
        <v>663</v>
      </c>
    </row>
    <row r="425" spans="1:20">
      <c r="A425" s="9" t="s">
        <v>305</v>
      </c>
      <c r="B425" s="30" t="s">
        <v>393</v>
      </c>
      <c r="C425" s="30" t="str">
        <f>CONCATENATE(VOL_VOLUMEN_SUMINISTROS[[#This Row],[Proyecto]],VOL_VOLUMEN_SUMINISTROS[[#This Row],[J]],VOL_VOLUMEN_SUMINISTROS[[#This Row],[FIN DE SEMANA]])</f>
        <v>1052-2MNO</v>
      </c>
      <c r="D425" s="360" t="str">
        <f>CONCATENATE(VOL_VOLUMEN_SUMINISTROS[[#This Row],[Grupo]],VOL_VOLUMEN_SUMINISTROS[[#This Row],[Proyecto]],VOL_VOLUMEN_SUMINISTROS[[#This Row],[FIN DE SEMANA]])</f>
        <v>251052-2NO</v>
      </c>
      <c r="E425" s="30" t="s">
        <v>182</v>
      </c>
      <c r="F425" s="30" t="s">
        <v>147</v>
      </c>
      <c r="G425" s="360">
        <v>25</v>
      </c>
      <c r="H425" s="30">
        <v>18</v>
      </c>
      <c r="I425" s="9" t="s">
        <v>307</v>
      </c>
      <c r="J425" s="9" t="s">
        <v>378</v>
      </c>
      <c r="K425" s="30">
        <v>1</v>
      </c>
      <c r="L425" s="9" t="s">
        <v>152</v>
      </c>
      <c r="M425" s="30" t="s">
        <v>84</v>
      </c>
      <c r="N425" s="30" t="s">
        <v>151</v>
      </c>
      <c r="O425" s="24">
        <v>0</v>
      </c>
      <c r="P425" s="24">
        <v>18</v>
      </c>
      <c r="Q425" s="24">
        <v>92</v>
      </c>
      <c r="R425" s="24">
        <v>0</v>
      </c>
      <c r="S425" s="24">
        <v>0</v>
      </c>
      <c r="T425" s="24">
        <v>110</v>
      </c>
    </row>
    <row r="426" spans="1:20">
      <c r="A426" s="9" t="s">
        <v>305</v>
      </c>
      <c r="B426" s="30" t="s">
        <v>393</v>
      </c>
      <c r="C426" s="30" t="str">
        <f>CONCATENATE(VOL_VOLUMEN_SUMINISTROS[[#This Row],[Proyecto]],VOL_VOLUMEN_SUMINISTROS[[#This Row],[J]],VOL_VOLUMEN_SUMINISTROS[[#This Row],[FIN DE SEMANA]])</f>
        <v>1052-2TNO</v>
      </c>
      <c r="D426" s="360" t="str">
        <f>CONCATENATE(VOL_VOLUMEN_SUMINISTROS[[#This Row],[Grupo]],VOL_VOLUMEN_SUMINISTROS[[#This Row],[Proyecto]],VOL_VOLUMEN_SUMINISTROS[[#This Row],[FIN DE SEMANA]])</f>
        <v>251052-2NO</v>
      </c>
      <c r="E426" s="30" t="s">
        <v>182</v>
      </c>
      <c r="F426" s="30" t="s">
        <v>147</v>
      </c>
      <c r="G426" s="360">
        <v>25</v>
      </c>
      <c r="H426" s="30">
        <v>18</v>
      </c>
      <c r="I426" s="9" t="s">
        <v>307</v>
      </c>
      <c r="J426" s="9" t="s">
        <v>378</v>
      </c>
      <c r="K426" s="30">
        <v>1</v>
      </c>
      <c r="L426" s="9" t="s">
        <v>152</v>
      </c>
      <c r="M426" s="30" t="s">
        <v>84</v>
      </c>
      <c r="N426" s="30" t="s">
        <v>154</v>
      </c>
      <c r="O426" s="24">
        <v>93</v>
      </c>
      <c r="P426" s="24">
        <v>0</v>
      </c>
      <c r="Q426" s="24">
        <v>0</v>
      </c>
      <c r="R426" s="24">
        <v>0</v>
      </c>
      <c r="S426" s="24">
        <v>0</v>
      </c>
      <c r="T426" s="24">
        <v>93</v>
      </c>
    </row>
    <row r="427" spans="1:20">
      <c r="A427" s="9" t="s">
        <v>305</v>
      </c>
      <c r="B427" s="30" t="s">
        <v>393</v>
      </c>
      <c r="C427" s="30" t="str">
        <f>CONCATENATE(VOL_VOLUMEN_SUMINISTROS[[#This Row],[Proyecto]],VOL_VOLUMEN_SUMINISTROS[[#This Row],[J]],VOL_VOLUMEN_SUMINISTROS[[#This Row],[FIN DE SEMANA]])</f>
        <v>1052-2M1NO</v>
      </c>
      <c r="D427" s="360" t="str">
        <f>CONCATENATE(VOL_VOLUMEN_SUMINISTROS[[#This Row],[Grupo]],VOL_VOLUMEN_SUMINISTROS[[#This Row],[Proyecto]],VOL_VOLUMEN_SUMINISTROS[[#This Row],[FIN DE SEMANA]])</f>
        <v>251052-2NO</v>
      </c>
      <c r="E427" s="30" t="s">
        <v>182</v>
      </c>
      <c r="F427" s="30" t="s">
        <v>147</v>
      </c>
      <c r="G427" s="360">
        <v>25</v>
      </c>
      <c r="H427" s="30">
        <v>18</v>
      </c>
      <c r="I427" s="9" t="s">
        <v>307</v>
      </c>
      <c r="J427" s="9" t="s">
        <v>384</v>
      </c>
      <c r="K427" s="30">
        <v>5</v>
      </c>
      <c r="L427" s="9" t="s">
        <v>389</v>
      </c>
      <c r="M427" s="30" t="s">
        <v>84</v>
      </c>
      <c r="N427" s="30" t="s">
        <v>215</v>
      </c>
      <c r="O427" s="24">
        <v>0</v>
      </c>
      <c r="P427" s="24">
        <v>90</v>
      </c>
      <c r="Q427" s="24">
        <v>30</v>
      </c>
      <c r="R427" s="24">
        <v>0</v>
      </c>
      <c r="S427" s="24">
        <v>0</v>
      </c>
      <c r="T427" s="24">
        <v>120</v>
      </c>
    </row>
    <row r="428" spans="1:20">
      <c r="A428" s="9" t="s">
        <v>394</v>
      </c>
      <c r="B428" s="30" t="s">
        <v>395</v>
      </c>
      <c r="C428" s="30" t="str">
        <f>CONCATENATE(VOL_VOLUMEN_SUMINISTROS[[#This Row],[Proyecto]],VOL_VOLUMEN_SUMINISTROS[[#This Row],[J]],VOL_VOLUMEN_SUMINISTROS[[#This Row],[FIN DE SEMANA]])</f>
        <v>1052-1MNO</v>
      </c>
      <c r="D428" s="360" t="str">
        <f>CONCATENATE(VOL_VOLUMEN_SUMINISTROS[[#This Row],[Grupo]],VOL_VOLUMEN_SUMINISTROS[[#This Row],[Proyecto]],VOL_VOLUMEN_SUMINISTROS[[#This Row],[FIN DE SEMANA]])</f>
        <v>161052-1NO</v>
      </c>
      <c r="E428" s="30" t="s">
        <v>146</v>
      </c>
      <c r="F428" s="30" t="s">
        <v>147</v>
      </c>
      <c r="G428" s="360">
        <v>16</v>
      </c>
      <c r="H428" s="30">
        <v>1</v>
      </c>
      <c r="I428" s="9" t="s">
        <v>396</v>
      </c>
      <c r="J428" s="9" t="s">
        <v>397</v>
      </c>
      <c r="K428" s="30">
        <v>1</v>
      </c>
      <c r="L428" s="9" t="s">
        <v>398</v>
      </c>
      <c r="M428" s="30" t="s">
        <v>84</v>
      </c>
      <c r="N428" s="30" t="s">
        <v>151</v>
      </c>
      <c r="O428" s="24">
        <v>0</v>
      </c>
      <c r="P428" s="24">
        <v>210</v>
      </c>
      <c r="Q428" s="24">
        <v>524</v>
      </c>
      <c r="R428" s="24">
        <v>0</v>
      </c>
      <c r="S428" s="24">
        <v>0</v>
      </c>
      <c r="T428" s="24">
        <v>734</v>
      </c>
    </row>
    <row r="429" spans="1:20">
      <c r="A429" s="9" t="s">
        <v>394</v>
      </c>
      <c r="B429" s="30" t="s">
        <v>395</v>
      </c>
      <c r="C429" s="30" t="str">
        <f>CONCATENATE(VOL_VOLUMEN_SUMINISTROS[[#This Row],[Proyecto]],VOL_VOLUMEN_SUMINISTROS[[#This Row],[J]],VOL_VOLUMEN_SUMINISTROS[[#This Row],[FIN DE SEMANA]])</f>
        <v>1052-1NNO</v>
      </c>
      <c r="D429" s="360" t="str">
        <f>CONCATENATE(VOL_VOLUMEN_SUMINISTROS[[#This Row],[Grupo]],VOL_VOLUMEN_SUMINISTROS[[#This Row],[Proyecto]],VOL_VOLUMEN_SUMINISTROS[[#This Row],[FIN DE SEMANA]])</f>
        <v>161052-1NO</v>
      </c>
      <c r="E429" s="30" t="s">
        <v>146</v>
      </c>
      <c r="F429" s="30" t="s">
        <v>147</v>
      </c>
      <c r="G429" s="360">
        <v>16</v>
      </c>
      <c r="H429" s="30">
        <v>1</v>
      </c>
      <c r="I429" s="9" t="s">
        <v>396</v>
      </c>
      <c r="J429" s="9" t="s">
        <v>397</v>
      </c>
      <c r="K429" s="30">
        <v>1</v>
      </c>
      <c r="L429" s="9" t="s">
        <v>398</v>
      </c>
      <c r="M429" s="30" t="s">
        <v>84</v>
      </c>
      <c r="N429" s="30" t="s">
        <v>153</v>
      </c>
      <c r="O429" s="24">
        <v>0</v>
      </c>
      <c r="P429" s="24">
        <v>0</v>
      </c>
      <c r="Q429" s="24">
        <v>0</v>
      </c>
      <c r="R429" s="24">
        <v>106</v>
      </c>
      <c r="S429" s="24">
        <v>114</v>
      </c>
      <c r="T429" s="24">
        <v>220</v>
      </c>
    </row>
    <row r="430" spans="1:20">
      <c r="A430" s="9" t="s">
        <v>394</v>
      </c>
      <c r="B430" s="30" t="s">
        <v>395</v>
      </c>
      <c r="C430" s="30" t="str">
        <f>CONCATENATE(VOL_VOLUMEN_SUMINISTROS[[#This Row],[Proyecto]],VOL_VOLUMEN_SUMINISTROS[[#This Row],[J]],VOL_VOLUMEN_SUMINISTROS[[#This Row],[FIN DE SEMANA]])</f>
        <v>1052-1TNO</v>
      </c>
      <c r="D430" s="360" t="str">
        <f>CONCATENATE(VOL_VOLUMEN_SUMINISTROS[[#This Row],[Grupo]],VOL_VOLUMEN_SUMINISTROS[[#This Row],[Proyecto]],VOL_VOLUMEN_SUMINISTROS[[#This Row],[FIN DE SEMANA]])</f>
        <v>161052-1NO</v>
      </c>
      <c r="E430" s="30" t="s">
        <v>146</v>
      </c>
      <c r="F430" s="30" t="s">
        <v>147</v>
      </c>
      <c r="G430" s="360">
        <v>16</v>
      </c>
      <c r="H430" s="30">
        <v>1</v>
      </c>
      <c r="I430" s="9" t="s">
        <v>396</v>
      </c>
      <c r="J430" s="9" t="s">
        <v>397</v>
      </c>
      <c r="K430" s="30">
        <v>1</v>
      </c>
      <c r="L430" s="9" t="s">
        <v>398</v>
      </c>
      <c r="M430" s="30" t="s">
        <v>84</v>
      </c>
      <c r="N430" s="30" t="s">
        <v>154</v>
      </c>
      <c r="O430" s="24">
        <v>0</v>
      </c>
      <c r="P430" s="24">
        <v>201</v>
      </c>
      <c r="Q430" s="24">
        <v>413</v>
      </c>
      <c r="R430" s="24">
        <v>0</v>
      </c>
      <c r="S430" s="24">
        <v>0</v>
      </c>
      <c r="T430" s="24">
        <v>614</v>
      </c>
    </row>
    <row r="431" spans="1:20">
      <c r="A431" s="9" t="s">
        <v>394</v>
      </c>
      <c r="B431" s="30" t="s">
        <v>395</v>
      </c>
      <c r="C431" s="30" t="str">
        <f>CONCATENATE(VOL_VOLUMEN_SUMINISTROS[[#This Row],[Proyecto]],VOL_VOLUMEN_SUMINISTROS[[#This Row],[J]],VOL_VOLUMEN_SUMINISTROS[[#This Row],[FIN DE SEMANA]])</f>
        <v>1052-1MNO</v>
      </c>
      <c r="D431" s="360" t="str">
        <f>CONCATENATE(VOL_VOLUMEN_SUMINISTROS[[#This Row],[Grupo]],VOL_VOLUMEN_SUMINISTROS[[#This Row],[Proyecto]],VOL_VOLUMEN_SUMINISTROS[[#This Row],[FIN DE SEMANA]])</f>
        <v>161052-1NO</v>
      </c>
      <c r="E431" s="30" t="s">
        <v>146</v>
      </c>
      <c r="F431" s="30" t="s">
        <v>147</v>
      </c>
      <c r="G431" s="360">
        <v>16</v>
      </c>
      <c r="H431" s="30">
        <v>1</v>
      </c>
      <c r="I431" s="9" t="s">
        <v>396</v>
      </c>
      <c r="J431" s="9" t="s">
        <v>397</v>
      </c>
      <c r="K431" s="30">
        <v>2</v>
      </c>
      <c r="L431" s="9" t="s">
        <v>399</v>
      </c>
      <c r="M431" s="30" t="s">
        <v>84</v>
      </c>
      <c r="N431" s="30" t="s">
        <v>151</v>
      </c>
      <c r="O431" s="24">
        <v>109</v>
      </c>
      <c r="P431" s="24">
        <v>89</v>
      </c>
      <c r="Q431" s="24">
        <v>19</v>
      </c>
      <c r="R431" s="24">
        <v>0</v>
      </c>
      <c r="S431" s="24">
        <v>0</v>
      </c>
      <c r="T431" s="24">
        <v>217</v>
      </c>
    </row>
    <row r="432" spans="1:20">
      <c r="A432" s="9" t="s">
        <v>394</v>
      </c>
      <c r="B432" s="30" t="s">
        <v>395</v>
      </c>
      <c r="C432" s="30" t="str">
        <f>CONCATENATE(VOL_VOLUMEN_SUMINISTROS[[#This Row],[Proyecto]],VOL_VOLUMEN_SUMINISTROS[[#This Row],[J]],VOL_VOLUMEN_SUMINISTROS[[#This Row],[FIN DE SEMANA]])</f>
        <v>1052-1TNO</v>
      </c>
      <c r="D432" s="360" t="str">
        <f>CONCATENATE(VOL_VOLUMEN_SUMINISTROS[[#This Row],[Grupo]],VOL_VOLUMEN_SUMINISTROS[[#This Row],[Proyecto]],VOL_VOLUMEN_SUMINISTROS[[#This Row],[FIN DE SEMANA]])</f>
        <v>161052-1NO</v>
      </c>
      <c r="E432" s="30" t="s">
        <v>146</v>
      </c>
      <c r="F432" s="30" t="s">
        <v>147</v>
      </c>
      <c r="G432" s="360">
        <v>16</v>
      </c>
      <c r="H432" s="30">
        <v>1</v>
      </c>
      <c r="I432" s="9" t="s">
        <v>396</v>
      </c>
      <c r="J432" s="9" t="s">
        <v>397</v>
      </c>
      <c r="K432" s="30">
        <v>2</v>
      </c>
      <c r="L432" s="9" t="s">
        <v>399</v>
      </c>
      <c r="M432" s="30" t="s">
        <v>84</v>
      </c>
      <c r="N432" s="30" t="s">
        <v>154</v>
      </c>
      <c r="O432" s="24">
        <v>102</v>
      </c>
      <c r="P432" s="24">
        <v>71</v>
      </c>
      <c r="Q432" s="24">
        <v>14</v>
      </c>
      <c r="R432" s="24">
        <v>0</v>
      </c>
      <c r="S432" s="24">
        <v>0</v>
      </c>
      <c r="T432" s="24">
        <v>187</v>
      </c>
    </row>
    <row r="433" spans="1:20">
      <c r="A433" s="9" t="s">
        <v>394</v>
      </c>
      <c r="B433" s="30" t="s">
        <v>395</v>
      </c>
      <c r="C433" s="30" t="str">
        <f>CONCATENATE(VOL_VOLUMEN_SUMINISTROS[[#This Row],[Proyecto]],VOL_VOLUMEN_SUMINISTROS[[#This Row],[J]],VOL_VOLUMEN_SUMINISTROS[[#This Row],[FIN DE SEMANA]])</f>
        <v>1052-1MNO</v>
      </c>
      <c r="D433" s="360" t="str">
        <f>CONCATENATE(VOL_VOLUMEN_SUMINISTROS[[#This Row],[Grupo]],VOL_VOLUMEN_SUMINISTROS[[#This Row],[Proyecto]],VOL_VOLUMEN_SUMINISTROS[[#This Row],[FIN DE SEMANA]])</f>
        <v>161052-1NO</v>
      </c>
      <c r="E433" s="30" t="s">
        <v>146</v>
      </c>
      <c r="F433" s="30" t="s">
        <v>147</v>
      </c>
      <c r="G433" s="360">
        <v>16</v>
      </c>
      <c r="H433" s="30">
        <v>1</v>
      </c>
      <c r="I433" s="9" t="s">
        <v>396</v>
      </c>
      <c r="J433" s="9" t="s">
        <v>397</v>
      </c>
      <c r="K433" s="30">
        <v>3</v>
      </c>
      <c r="L433" s="9" t="s">
        <v>400</v>
      </c>
      <c r="M433" s="30" t="s">
        <v>84</v>
      </c>
      <c r="N433" s="30" t="s">
        <v>151</v>
      </c>
      <c r="O433" s="24">
        <v>178</v>
      </c>
      <c r="P433" s="24">
        <v>119</v>
      </c>
      <c r="Q433" s="24">
        <v>20</v>
      </c>
      <c r="R433" s="24">
        <v>0</v>
      </c>
      <c r="S433" s="24">
        <v>0</v>
      </c>
      <c r="T433" s="24">
        <v>317</v>
      </c>
    </row>
    <row r="434" spans="1:20">
      <c r="A434" s="9" t="s">
        <v>394</v>
      </c>
      <c r="B434" s="30" t="s">
        <v>395</v>
      </c>
      <c r="C434" s="30" t="str">
        <f>CONCATENATE(VOL_VOLUMEN_SUMINISTROS[[#This Row],[Proyecto]],VOL_VOLUMEN_SUMINISTROS[[#This Row],[J]],VOL_VOLUMEN_SUMINISTROS[[#This Row],[FIN DE SEMANA]])</f>
        <v>1052-1MNO</v>
      </c>
      <c r="D434" s="360" t="str">
        <f>CONCATENATE(VOL_VOLUMEN_SUMINISTROS[[#This Row],[Grupo]],VOL_VOLUMEN_SUMINISTROS[[#This Row],[Proyecto]],VOL_VOLUMEN_SUMINISTROS[[#This Row],[FIN DE SEMANA]])</f>
        <v>161052-1NO</v>
      </c>
      <c r="E434" s="30" t="s">
        <v>146</v>
      </c>
      <c r="F434" s="30" t="s">
        <v>147</v>
      </c>
      <c r="G434" s="360">
        <v>16</v>
      </c>
      <c r="H434" s="30">
        <v>1</v>
      </c>
      <c r="I434" s="9" t="s">
        <v>396</v>
      </c>
      <c r="J434" s="9" t="s">
        <v>397</v>
      </c>
      <c r="K434" s="30">
        <v>6</v>
      </c>
      <c r="L434" s="9" t="s">
        <v>401</v>
      </c>
      <c r="M434" s="30" t="s">
        <v>84</v>
      </c>
      <c r="N434" s="30" t="s">
        <v>151</v>
      </c>
      <c r="O434" s="24">
        <v>152</v>
      </c>
      <c r="P434" s="24">
        <v>149</v>
      </c>
      <c r="Q434" s="24">
        <v>32</v>
      </c>
      <c r="R434" s="24">
        <v>0</v>
      </c>
      <c r="S434" s="24">
        <v>0</v>
      </c>
      <c r="T434" s="24">
        <v>333</v>
      </c>
    </row>
    <row r="435" spans="1:20">
      <c r="A435" s="9" t="s">
        <v>394</v>
      </c>
      <c r="B435" s="30" t="s">
        <v>395</v>
      </c>
      <c r="C435" s="30" t="str">
        <f>CONCATENATE(VOL_VOLUMEN_SUMINISTROS[[#This Row],[Proyecto]],VOL_VOLUMEN_SUMINISTROS[[#This Row],[J]],VOL_VOLUMEN_SUMINISTROS[[#This Row],[FIN DE SEMANA]])</f>
        <v>1052-1TNO</v>
      </c>
      <c r="D435" s="360" t="str">
        <f>CONCATENATE(VOL_VOLUMEN_SUMINISTROS[[#This Row],[Grupo]],VOL_VOLUMEN_SUMINISTROS[[#This Row],[Proyecto]],VOL_VOLUMEN_SUMINISTROS[[#This Row],[FIN DE SEMANA]])</f>
        <v>161052-1NO</v>
      </c>
      <c r="E435" s="30" t="s">
        <v>146</v>
      </c>
      <c r="F435" s="30" t="s">
        <v>147</v>
      </c>
      <c r="G435" s="360">
        <v>16</v>
      </c>
      <c r="H435" s="30">
        <v>1</v>
      </c>
      <c r="I435" s="9" t="s">
        <v>396</v>
      </c>
      <c r="J435" s="9" t="s">
        <v>397</v>
      </c>
      <c r="K435" s="30">
        <v>6</v>
      </c>
      <c r="L435" s="9" t="s">
        <v>401</v>
      </c>
      <c r="M435" s="30" t="s">
        <v>84</v>
      </c>
      <c r="N435" s="30" t="s">
        <v>154</v>
      </c>
      <c r="O435" s="24">
        <v>120</v>
      </c>
      <c r="P435" s="24">
        <v>152</v>
      </c>
      <c r="Q435" s="24">
        <v>35</v>
      </c>
      <c r="R435" s="24">
        <v>0</v>
      </c>
      <c r="S435" s="24">
        <v>0</v>
      </c>
      <c r="T435" s="24">
        <v>307</v>
      </c>
    </row>
    <row r="436" spans="1:20">
      <c r="A436" s="9" t="s">
        <v>394</v>
      </c>
      <c r="B436" s="30" t="s">
        <v>395</v>
      </c>
      <c r="C436" s="30" t="str">
        <f>CONCATENATE(VOL_VOLUMEN_SUMINISTROS[[#This Row],[Proyecto]],VOL_VOLUMEN_SUMINISTROS[[#This Row],[J]],VOL_VOLUMEN_SUMINISTROS[[#This Row],[FIN DE SEMANA]])</f>
        <v>1052-1MNO</v>
      </c>
      <c r="D436" s="360" t="str">
        <f>CONCATENATE(VOL_VOLUMEN_SUMINISTROS[[#This Row],[Grupo]],VOL_VOLUMEN_SUMINISTROS[[#This Row],[Proyecto]],VOL_VOLUMEN_SUMINISTROS[[#This Row],[FIN DE SEMANA]])</f>
        <v>161052-1NO</v>
      </c>
      <c r="E436" s="30" t="s">
        <v>146</v>
      </c>
      <c r="F436" s="30" t="s">
        <v>147</v>
      </c>
      <c r="G436" s="360">
        <v>16</v>
      </c>
      <c r="H436" s="30">
        <v>1</v>
      </c>
      <c r="I436" s="9" t="s">
        <v>396</v>
      </c>
      <c r="J436" s="9" t="s">
        <v>402</v>
      </c>
      <c r="K436" s="30">
        <v>2</v>
      </c>
      <c r="L436" s="9" t="s">
        <v>403</v>
      </c>
      <c r="M436" s="30" t="s">
        <v>84</v>
      </c>
      <c r="N436" s="30" t="s">
        <v>151</v>
      </c>
      <c r="O436" s="24">
        <v>70</v>
      </c>
      <c r="P436" s="24">
        <v>221</v>
      </c>
      <c r="Q436" s="24">
        <v>62</v>
      </c>
      <c r="R436" s="24">
        <v>0</v>
      </c>
      <c r="S436" s="24">
        <v>0</v>
      </c>
      <c r="T436" s="24">
        <v>353</v>
      </c>
    </row>
    <row r="437" spans="1:20">
      <c r="A437" s="9" t="s">
        <v>394</v>
      </c>
      <c r="B437" s="30" t="s">
        <v>395</v>
      </c>
      <c r="C437" s="30" t="str">
        <f>CONCATENATE(VOL_VOLUMEN_SUMINISTROS[[#This Row],[Proyecto]],VOL_VOLUMEN_SUMINISTROS[[#This Row],[J]],VOL_VOLUMEN_SUMINISTROS[[#This Row],[FIN DE SEMANA]])</f>
        <v>1052-1TNO</v>
      </c>
      <c r="D437" s="360" t="str">
        <f>CONCATENATE(VOL_VOLUMEN_SUMINISTROS[[#This Row],[Grupo]],VOL_VOLUMEN_SUMINISTROS[[#This Row],[Proyecto]],VOL_VOLUMEN_SUMINISTROS[[#This Row],[FIN DE SEMANA]])</f>
        <v>161052-1NO</v>
      </c>
      <c r="E437" s="30" t="s">
        <v>146</v>
      </c>
      <c r="F437" s="30" t="s">
        <v>147</v>
      </c>
      <c r="G437" s="360">
        <v>16</v>
      </c>
      <c r="H437" s="30">
        <v>1</v>
      </c>
      <c r="I437" s="9" t="s">
        <v>396</v>
      </c>
      <c r="J437" s="9" t="s">
        <v>402</v>
      </c>
      <c r="K437" s="30">
        <v>2</v>
      </c>
      <c r="L437" s="9" t="s">
        <v>403</v>
      </c>
      <c r="M437" s="30" t="s">
        <v>84</v>
      </c>
      <c r="N437" s="30" t="s">
        <v>154</v>
      </c>
      <c r="O437" s="24">
        <v>64</v>
      </c>
      <c r="P437" s="24">
        <v>179</v>
      </c>
      <c r="Q437" s="24">
        <v>49</v>
      </c>
      <c r="R437" s="24">
        <v>0</v>
      </c>
      <c r="S437" s="24">
        <v>0</v>
      </c>
      <c r="T437" s="24">
        <v>292</v>
      </c>
    </row>
    <row r="438" spans="1:20">
      <c r="A438" s="9" t="s">
        <v>394</v>
      </c>
      <c r="B438" s="30" t="s">
        <v>395</v>
      </c>
      <c r="C438" s="30" t="str">
        <f>CONCATENATE(VOL_VOLUMEN_SUMINISTROS[[#This Row],[Proyecto]],VOL_VOLUMEN_SUMINISTROS[[#This Row],[J]],VOL_VOLUMEN_SUMINISTROS[[#This Row],[FIN DE SEMANA]])</f>
        <v>1052-1MNO</v>
      </c>
      <c r="D438" s="360" t="str">
        <f>CONCATENATE(VOL_VOLUMEN_SUMINISTROS[[#This Row],[Grupo]],VOL_VOLUMEN_SUMINISTROS[[#This Row],[Proyecto]],VOL_VOLUMEN_SUMINISTROS[[#This Row],[FIN DE SEMANA]])</f>
        <v>161052-1NO</v>
      </c>
      <c r="E438" s="30" t="s">
        <v>146</v>
      </c>
      <c r="F438" s="30" t="s">
        <v>147</v>
      </c>
      <c r="G438" s="360">
        <v>16</v>
      </c>
      <c r="H438" s="30">
        <v>1</v>
      </c>
      <c r="I438" s="9" t="s">
        <v>396</v>
      </c>
      <c r="J438" s="9" t="s">
        <v>402</v>
      </c>
      <c r="K438" s="30">
        <v>3</v>
      </c>
      <c r="L438" s="9" t="s">
        <v>404</v>
      </c>
      <c r="M438" s="30" t="s">
        <v>84</v>
      </c>
      <c r="N438" s="30" t="s">
        <v>151</v>
      </c>
      <c r="O438" s="24">
        <v>196</v>
      </c>
      <c r="P438" s="24">
        <v>64</v>
      </c>
      <c r="Q438" s="24">
        <v>0</v>
      </c>
      <c r="R438" s="24">
        <v>0</v>
      </c>
      <c r="S438" s="24">
        <v>0</v>
      </c>
      <c r="T438" s="24">
        <v>260</v>
      </c>
    </row>
    <row r="439" spans="1:20">
      <c r="A439" s="9" t="s">
        <v>394</v>
      </c>
      <c r="B439" s="30" t="s">
        <v>395</v>
      </c>
      <c r="C439" s="30" t="str">
        <f>CONCATENATE(VOL_VOLUMEN_SUMINISTROS[[#This Row],[Proyecto]],VOL_VOLUMEN_SUMINISTROS[[#This Row],[J]],VOL_VOLUMEN_SUMINISTROS[[#This Row],[FIN DE SEMANA]])</f>
        <v>1052-1TNO</v>
      </c>
      <c r="D439" s="360" t="str">
        <f>CONCATENATE(VOL_VOLUMEN_SUMINISTROS[[#This Row],[Grupo]],VOL_VOLUMEN_SUMINISTROS[[#This Row],[Proyecto]],VOL_VOLUMEN_SUMINISTROS[[#This Row],[FIN DE SEMANA]])</f>
        <v>161052-1NO</v>
      </c>
      <c r="E439" s="30" t="s">
        <v>146</v>
      </c>
      <c r="F439" s="30" t="s">
        <v>147</v>
      </c>
      <c r="G439" s="360">
        <v>16</v>
      </c>
      <c r="H439" s="30">
        <v>1</v>
      </c>
      <c r="I439" s="9" t="s">
        <v>396</v>
      </c>
      <c r="J439" s="9" t="s">
        <v>402</v>
      </c>
      <c r="K439" s="30">
        <v>3</v>
      </c>
      <c r="L439" s="9" t="s">
        <v>404</v>
      </c>
      <c r="M439" s="30" t="s">
        <v>84</v>
      </c>
      <c r="N439" s="30" t="s">
        <v>154</v>
      </c>
      <c r="O439" s="24">
        <v>171</v>
      </c>
      <c r="P439" s="24">
        <v>54</v>
      </c>
      <c r="Q439" s="24">
        <v>0</v>
      </c>
      <c r="R439" s="24">
        <v>0</v>
      </c>
      <c r="S439" s="24">
        <v>0</v>
      </c>
      <c r="T439" s="24">
        <v>225</v>
      </c>
    </row>
    <row r="440" spans="1:20">
      <c r="A440" s="9" t="s">
        <v>394</v>
      </c>
      <c r="B440" s="30" t="s">
        <v>395</v>
      </c>
      <c r="C440" s="30" t="str">
        <f>CONCATENATE(VOL_VOLUMEN_SUMINISTROS[[#This Row],[Proyecto]],VOL_VOLUMEN_SUMINISTROS[[#This Row],[J]],VOL_VOLUMEN_SUMINISTROS[[#This Row],[FIN DE SEMANA]])</f>
        <v>1052-1MNO</v>
      </c>
      <c r="D440" s="360" t="str">
        <f>CONCATENATE(VOL_VOLUMEN_SUMINISTROS[[#This Row],[Grupo]],VOL_VOLUMEN_SUMINISTROS[[#This Row],[Proyecto]],VOL_VOLUMEN_SUMINISTROS[[#This Row],[FIN DE SEMANA]])</f>
        <v>161052-1NO</v>
      </c>
      <c r="E440" s="30" t="s">
        <v>146</v>
      </c>
      <c r="F440" s="30" t="s">
        <v>147</v>
      </c>
      <c r="G440" s="360">
        <v>16</v>
      </c>
      <c r="H440" s="30">
        <v>1</v>
      </c>
      <c r="I440" s="9" t="s">
        <v>396</v>
      </c>
      <c r="J440" s="9" t="s">
        <v>402</v>
      </c>
      <c r="K440" s="30">
        <v>4</v>
      </c>
      <c r="L440" s="9" t="s">
        <v>405</v>
      </c>
      <c r="M440" s="30" t="s">
        <v>84</v>
      </c>
      <c r="N440" s="30" t="s">
        <v>151</v>
      </c>
      <c r="O440" s="24">
        <v>62</v>
      </c>
      <c r="P440" s="24">
        <v>0</v>
      </c>
      <c r="Q440" s="24">
        <v>0</v>
      </c>
      <c r="R440" s="24">
        <v>0</v>
      </c>
      <c r="S440" s="24">
        <v>0</v>
      </c>
      <c r="T440" s="24">
        <v>62</v>
      </c>
    </row>
    <row r="441" spans="1:20">
      <c r="A441" s="9" t="s">
        <v>394</v>
      </c>
      <c r="B441" s="30" t="s">
        <v>395</v>
      </c>
      <c r="C441" s="30" t="str">
        <f>CONCATENATE(VOL_VOLUMEN_SUMINISTROS[[#This Row],[Proyecto]],VOL_VOLUMEN_SUMINISTROS[[#This Row],[J]],VOL_VOLUMEN_SUMINISTROS[[#This Row],[FIN DE SEMANA]])</f>
        <v>1052-1MNO</v>
      </c>
      <c r="D441" s="360" t="str">
        <f>CONCATENATE(VOL_VOLUMEN_SUMINISTROS[[#This Row],[Grupo]],VOL_VOLUMEN_SUMINISTROS[[#This Row],[Proyecto]],VOL_VOLUMEN_SUMINISTROS[[#This Row],[FIN DE SEMANA]])</f>
        <v>161052-1NO</v>
      </c>
      <c r="E441" s="30" t="s">
        <v>146</v>
      </c>
      <c r="F441" s="30" t="s">
        <v>147</v>
      </c>
      <c r="G441" s="360">
        <v>16</v>
      </c>
      <c r="H441" s="30">
        <v>1</v>
      </c>
      <c r="I441" s="9" t="s">
        <v>396</v>
      </c>
      <c r="J441" s="9" t="s">
        <v>406</v>
      </c>
      <c r="K441" s="30">
        <v>1</v>
      </c>
      <c r="L441" s="9" t="s">
        <v>407</v>
      </c>
      <c r="M441" s="30" t="s">
        <v>84</v>
      </c>
      <c r="N441" s="30" t="s">
        <v>151</v>
      </c>
      <c r="O441" s="24">
        <v>96</v>
      </c>
      <c r="P441" s="24">
        <v>255</v>
      </c>
      <c r="Q441" s="24">
        <v>69</v>
      </c>
      <c r="R441" s="24">
        <v>0</v>
      </c>
      <c r="S441" s="24">
        <v>0</v>
      </c>
      <c r="T441" s="24">
        <v>420</v>
      </c>
    </row>
    <row r="442" spans="1:20">
      <c r="A442" s="9" t="s">
        <v>394</v>
      </c>
      <c r="B442" s="30" t="s">
        <v>395</v>
      </c>
      <c r="C442" s="30" t="str">
        <f>CONCATENATE(VOL_VOLUMEN_SUMINISTROS[[#This Row],[Proyecto]],VOL_VOLUMEN_SUMINISTROS[[#This Row],[J]],VOL_VOLUMEN_SUMINISTROS[[#This Row],[FIN DE SEMANA]])</f>
        <v>1052-1TNO</v>
      </c>
      <c r="D442" s="360" t="str">
        <f>CONCATENATE(VOL_VOLUMEN_SUMINISTROS[[#This Row],[Grupo]],VOL_VOLUMEN_SUMINISTROS[[#This Row],[Proyecto]],VOL_VOLUMEN_SUMINISTROS[[#This Row],[FIN DE SEMANA]])</f>
        <v>161052-1NO</v>
      </c>
      <c r="E442" s="30" t="s">
        <v>146</v>
      </c>
      <c r="F442" s="30" t="s">
        <v>147</v>
      </c>
      <c r="G442" s="360">
        <v>16</v>
      </c>
      <c r="H442" s="30">
        <v>1</v>
      </c>
      <c r="I442" s="9" t="s">
        <v>396</v>
      </c>
      <c r="J442" s="9" t="s">
        <v>406</v>
      </c>
      <c r="K442" s="30">
        <v>1</v>
      </c>
      <c r="L442" s="9" t="s">
        <v>408</v>
      </c>
      <c r="M442" s="30" t="s">
        <v>84</v>
      </c>
      <c r="N442" s="30" t="s">
        <v>154</v>
      </c>
      <c r="O442" s="24">
        <v>0</v>
      </c>
      <c r="P442" s="24">
        <v>183</v>
      </c>
      <c r="Q442" s="24">
        <v>379</v>
      </c>
      <c r="R442" s="24">
        <v>0</v>
      </c>
      <c r="S442" s="24">
        <v>0</v>
      </c>
      <c r="T442" s="24">
        <v>562</v>
      </c>
    </row>
    <row r="443" spans="1:20">
      <c r="A443" s="9" t="s">
        <v>394</v>
      </c>
      <c r="B443" s="30" t="s">
        <v>395</v>
      </c>
      <c r="C443" s="30" t="str">
        <f>CONCATENATE(VOL_VOLUMEN_SUMINISTROS[[#This Row],[Proyecto]],VOL_VOLUMEN_SUMINISTROS[[#This Row],[J]],VOL_VOLUMEN_SUMINISTROS[[#This Row],[FIN DE SEMANA]])</f>
        <v>1052-1MNO</v>
      </c>
      <c r="D443" s="360" t="str">
        <f>CONCATENATE(VOL_VOLUMEN_SUMINISTROS[[#This Row],[Grupo]],VOL_VOLUMEN_SUMINISTROS[[#This Row],[Proyecto]],VOL_VOLUMEN_SUMINISTROS[[#This Row],[FIN DE SEMANA]])</f>
        <v>161052-1NO</v>
      </c>
      <c r="E443" s="30" t="s">
        <v>146</v>
      </c>
      <c r="F443" s="30" t="s">
        <v>147</v>
      </c>
      <c r="G443" s="360">
        <v>16</v>
      </c>
      <c r="H443" s="30">
        <v>1</v>
      </c>
      <c r="I443" s="9" t="s">
        <v>396</v>
      </c>
      <c r="J443" s="9" t="s">
        <v>406</v>
      </c>
      <c r="K443" s="30">
        <v>2</v>
      </c>
      <c r="L443" s="9" t="s">
        <v>409</v>
      </c>
      <c r="M443" s="30" t="s">
        <v>84</v>
      </c>
      <c r="N443" s="30" t="s">
        <v>151</v>
      </c>
      <c r="O443" s="24">
        <v>158</v>
      </c>
      <c r="P443" s="24">
        <v>49</v>
      </c>
      <c r="Q443" s="24">
        <v>0</v>
      </c>
      <c r="R443" s="24">
        <v>0</v>
      </c>
      <c r="S443" s="24">
        <v>0</v>
      </c>
      <c r="T443" s="24">
        <v>207</v>
      </c>
    </row>
    <row r="444" spans="1:20">
      <c r="A444" s="9" t="s">
        <v>394</v>
      </c>
      <c r="B444" s="30" t="s">
        <v>395</v>
      </c>
      <c r="C444" s="30" t="str">
        <f>CONCATENATE(VOL_VOLUMEN_SUMINISTROS[[#This Row],[Proyecto]],VOL_VOLUMEN_SUMINISTROS[[#This Row],[J]],VOL_VOLUMEN_SUMINISTROS[[#This Row],[FIN DE SEMANA]])</f>
        <v>1052-1TNO</v>
      </c>
      <c r="D444" s="360" t="str">
        <f>CONCATENATE(VOL_VOLUMEN_SUMINISTROS[[#This Row],[Grupo]],VOL_VOLUMEN_SUMINISTROS[[#This Row],[Proyecto]],VOL_VOLUMEN_SUMINISTROS[[#This Row],[FIN DE SEMANA]])</f>
        <v>161052-1NO</v>
      </c>
      <c r="E444" s="30" t="s">
        <v>146</v>
      </c>
      <c r="F444" s="30" t="s">
        <v>147</v>
      </c>
      <c r="G444" s="360">
        <v>16</v>
      </c>
      <c r="H444" s="30">
        <v>1</v>
      </c>
      <c r="I444" s="9" t="s">
        <v>396</v>
      </c>
      <c r="J444" s="9" t="s">
        <v>406</v>
      </c>
      <c r="K444" s="30">
        <v>2</v>
      </c>
      <c r="L444" s="9" t="s">
        <v>409</v>
      </c>
      <c r="M444" s="30" t="s">
        <v>84</v>
      </c>
      <c r="N444" s="30" t="s">
        <v>154</v>
      </c>
      <c r="O444" s="24">
        <v>158</v>
      </c>
      <c r="P444" s="24">
        <v>49</v>
      </c>
      <c r="Q444" s="24">
        <v>0</v>
      </c>
      <c r="R444" s="24">
        <v>0</v>
      </c>
      <c r="S444" s="24">
        <v>0</v>
      </c>
      <c r="T444" s="24">
        <v>207</v>
      </c>
    </row>
    <row r="445" spans="1:20">
      <c r="A445" s="9" t="s">
        <v>394</v>
      </c>
      <c r="B445" s="30" t="s">
        <v>395</v>
      </c>
      <c r="C445" s="30" t="str">
        <f>CONCATENATE(VOL_VOLUMEN_SUMINISTROS[[#This Row],[Proyecto]],VOL_VOLUMEN_SUMINISTROS[[#This Row],[J]],VOL_VOLUMEN_SUMINISTROS[[#This Row],[FIN DE SEMANA]])</f>
        <v>1052-1MNO</v>
      </c>
      <c r="D445" s="360" t="str">
        <f>CONCATENATE(VOL_VOLUMEN_SUMINISTROS[[#This Row],[Grupo]],VOL_VOLUMEN_SUMINISTROS[[#This Row],[Proyecto]],VOL_VOLUMEN_SUMINISTROS[[#This Row],[FIN DE SEMANA]])</f>
        <v>161052-1NO</v>
      </c>
      <c r="E445" s="30" t="s">
        <v>146</v>
      </c>
      <c r="F445" s="30" t="s">
        <v>147</v>
      </c>
      <c r="G445" s="360">
        <v>16</v>
      </c>
      <c r="H445" s="30">
        <v>1</v>
      </c>
      <c r="I445" s="9" t="s">
        <v>396</v>
      </c>
      <c r="J445" s="9" t="s">
        <v>410</v>
      </c>
      <c r="K445" s="30">
        <v>1</v>
      </c>
      <c r="L445" s="9" t="s">
        <v>411</v>
      </c>
      <c r="M445" s="30" t="s">
        <v>84</v>
      </c>
      <c r="N445" s="30" t="s">
        <v>151</v>
      </c>
      <c r="O445" s="24">
        <v>0</v>
      </c>
      <c r="P445" s="24">
        <v>183</v>
      </c>
      <c r="Q445" s="24">
        <v>516</v>
      </c>
      <c r="R445" s="24">
        <v>0</v>
      </c>
      <c r="S445" s="24">
        <v>0</v>
      </c>
      <c r="T445" s="24">
        <v>699</v>
      </c>
    </row>
    <row r="446" spans="1:20">
      <c r="A446" s="9" t="s">
        <v>394</v>
      </c>
      <c r="B446" s="30" t="s">
        <v>395</v>
      </c>
      <c r="C446" s="30" t="str">
        <f>CONCATENATE(VOL_VOLUMEN_SUMINISTROS[[#This Row],[Proyecto]],VOL_VOLUMEN_SUMINISTROS[[#This Row],[J]],VOL_VOLUMEN_SUMINISTROS[[#This Row],[FIN DE SEMANA]])</f>
        <v>1052-1NNO</v>
      </c>
      <c r="D446" s="360" t="str">
        <f>CONCATENATE(VOL_VOLUMEN_SUMINISTROS[[#This Row],[Grupo]],VOL_VOLUMEN_SUMINISTROS[[#This Row],[Proyecto]],VOL_VOLUMEN_SUMINISTROS[[#This Row],[FIN DE SEMANA]])</f>
        <v>161052-1NO</v>
      </c>
      <c r="E446" s="30" t="s">
        <v>146</v>
      </c>
      <c r="F446" s="30" t="s">
        <v>147</v>
      </c>
      <c r="G446" s="360">
        <v>16</v>
      </c>
      <c r="H446" s="30">
        <v>1</v>
      </c>
      <c r="I446" s="9" t="s">
        <v>396</v>
      </c>
      <c r="J446" s="9" t="s">
        <v>410</v>
      </c>
      <c r="K446" s="30">
        <v>1</v>
      </c>
      <c r="L446" s="9" t="s">
        <v>411</v>
      </c>
      <c r="M446" s="30" t="s">
        <v>84</v>
      </c>
      <c r="N446" s="30" t="s">
        <v>153</v>
      </c>
      <c r="O446" s="24">
        <v>0</v>
      </c>
      <c r="P446" s="24">
        <v>0</v>
      </c>
      <c r="Q446" s="24">
        <v>0</v>
      </c>
      <c r="R446" s="24">
        <v>109</v>
      </c>
      <c r="S446" s="24">
        <v>121</v>
      </c>
      <c r="T446" s="24">
        <v>230</v>
      </c>
    </row>
    <row r="447" spans="1:20">
      <c r="A447" s="9" t="s">
        <v>394</v>
      </c>
      <c r="B447" s="30" t="s">
        <v>395</v>
      </c>
      <c r="C447" s="30" t="str">
        <f>CONCATENATE(VOL_VOLUMEN_SUMINISTROS[[#This Row],[Proyecto]],VOL_VOLUMEN_SUMINISTROS[[#This Row],[J]],VOL_VOLUMEN_SUMINISTROS[[#This Row],[FIN DE SEMANA]])</f>
        <v>1052-1MNO</v>
      </c>
      <c r="D447" s="360" t="str">
        <f>CONCATENATE(VOL_VOLUMEN_SUMINISTROS[[#This Row],[Grupo]],VOL_VOLUMEN_SUMINISTROS[[#This Row],[Proyecto]],VOL_VOLUMEN_SUMINISTROS[[#This Row],[FIN DE SEMANA]])</f>
        <v>161052-1NO</v>
      </c>
      <c r="E447" s="30" t="s">
        <v>146</v>
      </c>
      <c r="F447" s="30" t="s">
        <v>147</v>
      </c>
      <c r="G447" s="360">
        <v>16</v>
      </c>
      <c r="H447" s="30">
        <v>1</v>
      </c>
      <c r="I447" s="9" t="s">
        <v>396</v>
      </c>
      <c r="J447" s="9" t="s">
        <v>410</v>
      </c>
      <c r="K447" s="30">
        <v>2</v>
      </c>
      <c r="L447" s="9" t="s">
        <v>412</v>
      </c>
      <c r="M447" s="30" t="s">
        <v>84</v>
      </c>
      <c r="N447" s="30" t="s">
        <v>151</v>
      </c>
      <c r="O447" s="24">
        <v>97</v>
      </c>
      <c r="P447" s="24">
        <v>93</v>
      </c>
      <c r="Q447" s="24">
        <v>19</v>
      </c>
      <c r="R447" s="24">
        <v>0</v>
      </c>
      <c r="S447" s="24">
        <v>0</v>
      </c>
      <c r="T447" s="24">
        <v>209</v>
      </c>
    </row>
    <row r="448" spans="1:20">
      <c r="A448" s="9" t="s">
        <v>394</v>
      </c>
      <c r="B448" s="30" t="s">
        <v>395</v>
      </c>
      <c r="C448" s="30" t="str">
        <f>CONCATENATE(VOL_VOLUMEN_SUMINISTROS[[#This Row],[Proyecto]],VOL_VOLUMEN_SUMINISTROS[[#This Row],[J]],VOL_VOLUMEN_SUMINISTROS[[#This Row],[FIN DE SEMANA]])</f>
        <v>1052-1MNO</v>
      </c>
      <c r="D448" s="360" t="str">
        <f>CONCATENATE(VOL_VOLUMEN_SUMINISTROS[[#This Row],[Grupo]],VOL_VOLUMEN_SUMINISTROS[[#This Row],[Proyecto]],VOL_VOLUMEN_SUMINISTROS[[#This Row],[FIN DE SEMANA]])</f>
        <v>161052-1NO</v>
      </c>
      <c r="E448" s="30" t="s">
        <v>146</v>
      </c>
      <c r="F448" s="30" t="s">
        <v>147</v>
      </c>
      <c r="G448" s="360">
        <v>16</v>
      </c>
      <c r="H448" s="30">
        <v>1</v>
      </c>
      <c r="I448" s="9" t="s">
        <v>396</v>
      </c>
      <c r="J448" s="9" t="s">
        <v>410</v>
      </c>
      <c r="K448" s="30">
        <v>3</v>
      </c>
      <c r="L448" s="9" t="s">
        <v>413</v>
      </c>
      <c r="M448" s="30" t="s">
        <v>84</v>
      </c>
      <c r="N448" s="30" t="s">
        <v>151</v>
      </c>
      <c r="O448" s="24">
        <v>85</v>
      </c>
      <c r="P448" s="24">
        <v>78</v>
      </c>
      <c r="Q448" s="24">
        <v>16</v>
      </c>
      <c r="R448" s="24">
        <v>0</v>
      </c>
      <c r="S448" s="24">
        <v>0</v>
      </c>
      <c r="T448" s="24">
        <v>179</v>
      </c>
    </row>
    <row r="449" spans="1:20">
      <c r="A449" s="9" t="s">
        <v>394</v>
      </c>
      <c r="B449" s="30" t="s">
        <v>395</v>
      </c>
      <c r="C449" s="30" t="str">
        <f>CONCATENATE(VOL_VOLUMEN_SUMINISTROS[[#This Row],[Proyecto]],VOL_VOLUMEN_SUMINISTROS[[#This Row],[J]],VOL_VOLUMEN_SUMINISTROS[[#This Row],[FIN DE SEMANA]])</f>
        <v>1052-1MNO</v>
      </c>
      <c r="D449" s="360" t="str">
        <f>CONCATENATE(VOL_VOLUMEN_SUMINISTROS[[#This Row],[Grupo]],VOL_VOLUMEN_SUMINISTROS[[#This Row],[Proyecto]],VOL_VOLUMEN_SUMINISTROS[[#This Row],[FIN DE SEMANA]])</f>
        <v>161052-1NO</v>
      </c>
      <c r="E449" s="30" t="s">
        <v>146</v>
      </c>
      <c r="F449" s="30" t="s">
        <v>147</v>
      </c>
      <c r="G449" s="360">
        <v>16</v>
      </c>
      <c r="H449" s="30">
        <v>1</v>
      </c>
      <c r="I449" s="9" t="s">
        <v>396</v>
      </c>
      <c r="J449" s="9" t="s">
        <v>414</v>
      </c>
      <c r="K449" s="30">
        <v>1</v>
      </c>
      <c r="L449" s="9" t="s">
        <v>415</v>
      </c>
      <c r="M449" s="30" t="s">
        <v>84</v>
      </c>
      <c r="N449" s="30" t="s">
        <v>151</v>
      </c>
      <c r="O449" s="24">
        <v>215</v>
      </c>
      <c r="P449" s="24">
        <v>223</v>
      </c>
      <c r="Q449" s="24">
        <v>51</v>
      </c>
      <c r="R449" s="24">
        <v>0</v>
      </c>
      <c r="S449" s="24">
        <v>0</v>
      </c>
      <c r="T449" s="24">
        <v>489</v>
      </c>
    </row>
    <row r="450" spans="1:20">
      <c r="A450" s="9" t="s">
        <v>394</v>
      </c>
      <c r="B450" s="30" t="s">
        <v>395</v>
      </c>
      <c r="C450" s="30" t="str">
        <f>CONCATENATE(VOL_VOLUMEN_SUMINISTROS[[#This Row],[Proyecto]],VOL_VOLUMEN_SUMINISTROS[[#This Row],[J]],VOL_VOLUMEN_SUMINISTROS[[#This Row],[FIN DE SEMANA]])</f>
        <v>1052-1NNO</v>
      </c>
      <c r="D450" s="360" t="str">
        <f>CONCATENATE(VOL_VOLUMEN_SUMINISTROS[[#This Row],[Grupo]],VOL_VOLUMEN_SUMINISTROS[[#This Row],[Proyecto]],VOL_VOLUMEN_SUMINISTROS[[#This Row],[FIN DE SEMANA]])</f>
        <v>161052-1NO</v>
      </c>
      <c r="E450" s="30" t="s">
        <v>146</v>
      </c>
      <c r="F450" s="30" t="s">
        <v>147</v>
      </c>
      <c r="G450" s="360">
        <v>16</v>
      </c>
      <c r="H450" s="30">
        <v>1</v>
      </c>
      <c r="I450" s="9" t="s">
        <v>396</v>
      </c>
      <c r="J450" s="9" t="s">
        <v>414</v>
      </c>
      <c r="K450" s="30">
        <v>1</v>
      </c>
      <c r="L450" s="9" t="s">
        <v>415</v>
      </c>
      <c r="M450" s="30" t="s">
        <v>84</v>
      </c>
      <c r="N450" s="30" t="s">
        <v>153</v>
      </c>
      <c r="O450" s="24">
        <v>0</v>
      </c>
      <c r="P450" s="24">
        <v>0</v>
      </c>
      <c r="Q450" s="24">
        <v>0</v>
      </c>
      <c r="R450" s="24">
        <v>28</v>
      </c>
      <c r="S450" s="24">
        <v>22</v>
      </c>
      <c r="T450" s="24">
        <v>50</v>
      </c>
    </row>
    <row r="451" spans="1:20">
      <c r="A451" s="9" t="s">
        <v>394</v>
      </c>
      <c r="B451" s="30" t="s">
        <v>395</v>
      </c>
      <c r="C451" s="30" t="str">
        <f>CONCATENATE(VOL_VOLUMEN_SUMINISTROS[[#This Row],[Proyecto]],VOL_VOLUMEN_SUMINISTROS[[#This Row],[J]],VOL_VOLUMEN_SUMINISTROS[[#This Row],[FIN DE SEMANA]])</f>
        <v>1052-1TNO</v>
      </c>
      <c r="D451" s="360" t="str">
        <f>CONCATENATE(VOL_VOLUMEN_SUMINISTROS[[#This Row],[Grupo]],VOL_VOLUMEN_SUMINISTROS[[#This Row],[Proyecto]],VOL_VOLUMEN_SUMINISTROS[[#This Row],[FIN DE SEMANA]])</f>
        <v>161052-1NO</v>
      </c>
      <c r="E451" s="30" t="s">
        <v>146</v>
      </c>
      <c r="F451" s="30" t="s">
        <v>147</v>
      </c>
      <c r="G451" s="360">
        <v>16</v>
      </c>
      <c r="H451" s="30">
        <v>1</v>
      </c>
      <c r="I451" s="9" t="s">
        <v>396</v>
      </c>
      <c r="J451" s="9" t="s">
        <v>414</v>
      </c>
      <c r="K451" s="30">
        <v>1</v>
      </c>
      <c r="L451" s="9" t="s">
        <v>415</v>
      </c>
      <c r="M451" s="30" t="s">
        <v>84</v>
      </c>
      <c r="N451" s="30" t="s">
        <v>154</v>
      </c>
      <c r="O451" s="24">
        <v>23</v>
      </c>
      <c r="P451" s="24">
        <v>129</v>
      </c>
      <c r="Q451" s="24">
        <v>341</v>
      </c>
      <c r="R451" s="24">
        <v>0</v>
      </c>
      <c r="S451" s="24">
        <v>0</v>
      </c>
      <c r="T451" s="24">
        <v>493</v>
      </c>
    </row>
    <row r="452" spans="1:20">
      <c r="A452" s="9" t="s">
        <v>394</v>
      </c>
      <c r="B452" s="30" t="s">
        <v>395</v>
      </c>
      <c r="C452" s="30" t="str">
        <f>CONCATENATE(VOL_VOLUMEN_SUMINISTROS[[#This Row],[Proyecto]],VOL_VOLUMEN_SUMINISTROS[[#This Row],[J]],VOL_VOLUMEN_SUMINISTROS[[#This Row],[FIN DE SEMANA]])</f>
        <v>1052-1MNO</v>
      </c>
      <c r="D452" s="360" t="str">
        <f>CONCATENATE(VOL_VOLUMEN_SUMINISTROS[[#This Row],[Grupo]],VOL_VOLUMEN_SUMINISTROS[[#This Row],[Proyecto]],VOL_VOLUMEN_SUMINISTROS[[#This Row],[FIN DE SEMANA]])</f>
        <v>261052-1NO</v>
      </c>
      <c r="E452" s="30" t="s">
        <v>146</v>
      </c>
      <c r="F452" s="30" t="s">
        <v>147</v>
      </c>
      <c r="G452" s="360">
        <v>26</v>
      </c>
      <c r="H452" s="30">
        <v>18</v>
      </c>
      <c r="I452" s="9" t="s">
        <v>307</v>
      </c>
      <c r="J452" s="9" t="s">
        <v>416</v>
      </c>
      <c r="K452" s="30">
        <v>1</v>
      </c>
      <c r="L452" s="9" t="s">
        <v>417</v>
      </c>
      <c r="M452" s="30" t="s">
        <v>84</v>
      </c>
      <c r="N452" s="30" t="s">
        <v>151</v>
      </c>
      <c r="O452" s="24">
        <v>0</v>
      </c>
      <c r="P452" s="24">
        <v>225</v>
      </c>
      <c r="Q452" s="24">
        <v>725</v>
      </c>
      <c r="R452" s="24">
        <v>0</v>
      </c>
      <c r="S452" s="24">
        <v>0</v>
      </c>
      <c r="T452" s="24">
        <v>950</v>
      </c>
    </row>
    <row r="453" spans="1:20">
      <c r="A453" s="9" t="s">
        <v>394</v>
      </c>
      <c r="B453" s="30" t="s">
        <v>395</v>
      </c>
      <c r="C453" s="30" t="str">
        <f>CONCATENATE(VOL_VOLUMEN_SUMINISTROS[[#This Row],[Proyecto]],VOL_VOLUMEN_SUMINISTROS[[#This Row],[J]],VOL_VOLUMEN_SUMINISTROS[[#This Row],[FIN DE SEMANA]])</f>
        <v>1052-1NNO</v>
      </c>
      <c r="D453" s="360" t="str">
        <f>CONCATENATE(VOL_VOLUMEN_SUMINISTROS[[#This Row],[Grupo]],VOL_VOLUMEN_SUMINISTROS[[#This Row],[Proyecto]],VOL_VOLUMEN_SUMINISTROS[[#This Row],[FIN DE SEMANA]])</f>
        <v>261052-1NO</v>
      </c>
      <c r="E453" s="30" t="s">
        <v>146</v>
      </c>
      <c r="F453" s="30" t="s">
        <v>147</v>
      </c>
      <c r="G453" s="360">
        <v>26</v>
      </c>
      <c r="H453" s="30">
        <v>18</v>
      </c>
      <c r="I453" s="9" t="s">
        <v>307</v>
      </c>
      <c r="J453" s="9" t="s">
        <v>416</v>
      </c>
      <c r="K453" s="30">
        <v>1</v>
      </c>
      <c r="L453" s="9" t="s">
        <v>417</v>
      </c>
      <c r="M453" s="30" t="s">
        <v>84</v>
      </c>
      <c r="N453" s="30" t="s">
        <v>153</v>
      </c>
      <c r="O453" s="24">
        <v>0</v>
      </c>
      <c r="P453" s="24">
        <v>0</v>
      </c>
      <c r="Q453" s="24">
        <v>0</v>
      </c>
      <c r="R453" s="24">
        <v>80</v>
      </c>
      <c r="S453" s="24">
        <v>90</v>
      </c>
      <c r="T453" s="24">
        <v>170</v>
      </c>
    </row>
    <row r="454" spans="1:20">
      <c r="A454" s="9" t="s">
        <v>394</v>
      </c>
      <c r="B454" s="30" t="s">
        <v>395</v>
      </c>
      <c r="C454" s="30" t="str">
        <f>CONCATENATE(VOL_VOLUMEN_SUMINISTROS[[#This Row],[Proyecto]],VOL_VOLUMEN_SUMINISTROS[[#This Row],[J]],VOL_VOLUMEN_SUMINISTROS[[#This Row],[FIN DE SEMANA]])</f>
        <v>1052-1TNO</v>
      </c>
      <c r="D454" s="360" t="str">
        <f>CONCATENATE(VOL_VOLUMEN_SUMINISTROS[[#This Row],[Grupo]],VOL_VOLUMEN_SUMINISTROS[[#This Row],[Proyecto]],VOL_VOLUMEN_SUMINISTROS[[#This Row],[FIN DE SEMANA]])</f>
        <v>261052-1NO</v>
      </c>
      <c r="E454" s="30" t="s">
        <v>146</v>
      </c>
      <c r="F454" s="30" t="s">
        <v>147</v>
      </c>
      <c r="G454" s="360">
        <v>26</v>
      </c>
      <c r="H454" s="30">
        <v>18</v>
      </c>
      <c r="I454" s="9" t="s">
        <v>307</v>
      </c>
      <c r="J454" s="9" t="s">
        <v>416</v>
      </c>
      <c r="K454" s="30">
        <v>1</v>
      </c>
      <c r="L454" s="9" t="s">
        <v>417</v>
      </c>
      <c r="M454" s="30" t="s">
        <v>84</v>
      </c>
      <c r="N454" s="30" t="s">
        <v>154</v>
      </c>
      <c r="O454" s="24">
        <v>0</v>
      </c>
      <c r="P454" s="24">
        <v>309</v>
      </c>
      <c r="Q454" s="24">
        <v>451</v>
      </c>
      <c r="R454" s="24">
        <v>0</v>
      </c>
      <c r="S454" s="24">
        <v>0</v>
      </c>
      <c r="T454" s="24">
        <v>760</v>
      </c>
    </row>
    <row r="455" spans="1:20">
      <c r="A455" s="9" t="s">
        <v>394</v>
      </c>
      <c r="B455" s="30" t="s">
        <v>395</v>
      </c>
      <c r="C455" s="30" t="str">
        <f>CONCATENATE(VOL_VOLUMEN_SUMINISTROS[[#This Row],[Proyecto]],VOL_VOLUMEN_SUMINISTROS[[#This Row],[J]],VOL_VOLUMEN_SUMINISTROS[[#This Row],[FIN DE SEMANA]])</f>
        <v>1052-1MNO</v>
      </c>
      <c r="D455" s="360" t="str">
        <f>CONCATENATE(VOL_VOLUMEN_SUMINISTROS[[#This Row],[Grupo]],VOL_VOLUMEN_SUMINISTROS[[#This Row],[Proyecto]],VOL_VOLUMEN_SUMINISTROS[[#This Row],[FIN DE SEMANA]])</f>
        <v>261052-1NO</v>
      </c>
      <c r="E455" s="30" t="s">
        <v>146</v>
      </c>
      <c r="F455" s="30" t="s">
        <v>147</v>
      </c>
      <c r="G455" s="360">
        <v>26</v>
      </c>
      <c r="H455" s="30">
        <v>18</v>
      </c>
      <c r="I455" s="9" t="s">
        <v>307</v>
      </c>
      <c r="J455" s="9" t="s">
        <v>416</v>
      </c>
      <c r="K455" s="30">
        <v>2</v>
      </c>
      <c r="L455" s="9" t="s">
        <v>418</v>
      </c>
      <c r="M455" s="30" t="s">
        <v>84</v>
      </c>
      <c r="N455" s="30" t="s">
        <v>151</v>
      </c>
      <c r="O455" s="24">
        <v>172</v>
      </c>
      <c r="P455" s="24">
        <v>135</v>
      </c>
      <c r="Q455" s="24">
        <v>27</v>
      </c>
      <c r="R455" s="24">
        <v>0</v>
      </c>
      <c r="S455" s="24">
        <v>0</v>
      </c>
      <c r="T455" s="24">
        <v>334</v>
      </c>
    </row>
    <row r="456" spans="1:20">
      <c r="A456" s="9" t="s">
        <v>394</v>
      </c>
      <c r="B456" s="30" t="s">
        <v>395</v>
      </c>
      <c r="C456" s="30" t="str">
        <f>CONCATENATE(VOL_VOLUMEN_SUMINISTROS[[#This Row],[Proyecto]],VOL_VOLUMEN_SUMINISTROS[[#This Row],[J]],VOL_VOLUMEN_SUMINISTROS[[#This Row],[FIN DE SEMANA]])</f>
        <v>1052-1TNO</v>
      </c>
      <c r="D456" s="360" t="str">
        <f>CONCATENATE(VOL_VOLUMEN_SUMINISTROS[[#This Row],[Grupo]],VOL_VOLUMEN_SUMINISTROS[[#This Row],[Proyecto]],VOL_VOLUMEN_SUMINISTROS[[#This Row],[FIN DE SEMANA]])</f>
        <v>261052-1NO</v>
      </c>
      <c r="E456" s="30" t="s">
        <v>146</v>
      </c>
      <c r="F456" s="30" t="s">
        <v>147</v>
      </c>
      <c r="G456" s="360">
        <v>26</v>
      </c>
      <c r="H456" s="30">
        <v>18</v>
      </c>
      <c r="I456" s="9" t="s">
        <v>307</v>
      </c>
      <c r="J456" s="9" t="s">
        <v>416</v>
      </c>
      <c r="K456" s="30">
        <v>2</v>
      </c>
      <c r="L456" s="9" t="s">
        <v>418</v>
      </c>
      <c r="M456" s="30" t="s">
        <v>84</v>
      </c>
      <c r="N456" s="30" t="s">
        <v>154</v>
      </c>
      <c r="O456" s="24">
        <v>136</v>
      </c>
      <c r="P456" s="24">
        <v>123</v>
      </c>
      <c r="Q456" s="24">
        <v>25</v>
      </c>
      <c r="R456" s="24">
        <v>0</v>
      </c>
      <c r="S456" s="24">
        <v>0</v>
      </c>
      <c r="T456" s="24">
        <v>284</v>
      </c>
    </row>
    <row r="457" spans="1:20">
      <c r="A457" s="9" t="s">
        <v>394</v>
      </c>
      <c r="B457" s="30" t="s">
        <v>395</v>
      </c>
      <c r="C457" s="30" t="str">
        <f>CONCATENATE(VOL_VOLUMEN_SUMINISTROS[[#This Row],[Proyecto]],VOL_VOLUMEN_SUMINISTROS[[#This Row],[J]],VOL_VOLUMEN_SUMINISTROS[[#This Row],[FIN DE SEMANA]])</f>
        <v>1052-1MNO</v>
      </c>
      <c r="D457" s="360" t="str">
        <f>CONCATENATE(VOL_VOLUMEN_SUMINISTROS[[#This Row],[Grupo]],VOL_VOLUMEN_SUMINISTROS[[#This Row],[Proyecto]],VOL_VOLUMEN_SUMINISTROS[[#This Row],[FIN DE SEMANA]])</f>
        <v>261052-1NO</v>
      </c>
      <c r="E457" s="30" t="s">
        <v>146</v>
      </c>
      <c r="F457" s="30" t="s">
        <v>147</v>
      </c>
      <c r="G457" s="360">
        <v>26</v>
      </c>
      <c r="H457" s="30">
        <v>18</v>
      </c>
      <c r="I457" s="9" t="s">
        <v>307</v>
      </c>
      <c r="J457" s="9" t="s">
        <v>416</v>
      </c>
      <c r="K457" s="30">
        <v>3</v>
      </c>
      <c r="L457" s="9" t="s">
        <v>419</v>
      </c>
      <c r="M457" s="30" t="s">
        <v>84</v>
      </c>
      <c r="N457" s="30" t="s">
        <v>151</v>
      </c>
      <c r="O457" s="24">
        <v>112</v>
      </c>
      <c r="P457" s="24">
        <v>134</v>
      </c>
      <c r="Q457" s="24">
        <v>30</v>
      </c>
      <c r="R457" s="24">
        <v>0</v>
      </c>
      <c r="S457" s="24">
        <v>0</v>
      </c>
      <c r="T457" s="24">
        <v>276</v>
      </c>
    </row>
    <row r="458" spans="1:20">
      <c r="A458" s="9" t="s">
        <v>394</v>
      </c>
      <c r="B458" s="30" t="s">
        <v>395</v>
      </c>
      <c r="C458" s="30" t="str">
        <f>CONCATENATE(VOL_VOLUMEN_SUMINISTROS[[#This Row],[Proyecto]],VOL_VOLUMEN_SUMINISTROS[[#This Row],[J]],VOL_VOLUMEN_SUMINISTROS[[#This Row],[FIN DE SEMANA]])</f>
        <v>1052-1TNO</v>
      </c>
      <c r="D458" s="360" t="str">
        <f>CONCATENATE(VOL_VOLUMEN_SUMINISTROS[[#This Row],[Grupo]],VOL_VOLUMEN_SUMINISTROS[[#This Row],[Proyecto]],VOL_VOLUMEN_SUMINISTROS[[#This Row],[FIN DE SEMANA]])</f>
        <v>261052-1NO</v>
      </c>
      <c r="E458" s="30" t="s">
        <v>146</v>
      </c>
      <c r="F458" s="30" t="s">
        <v>147</v>
      </c>
      <c r="G458" s="360">
        <v>26</v>
      </c>
      <c r="H458" s="30">
        <v>18</v>
      </c>
      <c r="I458" s="9" t="s">
        <v>307</v>
      </c>
      <c r="J458" s="9" t="s">
        <v>416</v>
      </c>
      <c r="K458" s="30">
        <v>3</v>
      </c>
      <c r="L458" s="9" t="s">
        <v>419</v>
      </c>
      <c r="M458" s="30" t="s">
        <v>84</v>
      </c>
      <c r="N458" s="30" t="s">
        <v>154</v>
      </c>
      <c r="O458" s="24">
        <v>98</v>
      </c>
      <c r="P458" s="24">
        <v>95</v>
      </c>
      <c r="Q458" s="24">
        <v>22</v>
      </c>
      <c r="R458" s="24">
        <v>0</v>
      </c>
      <c r="S458" s="24">
        <v>0</v>
      </c>
      <c r="T458" s="24">
        <v>215</v>
      </c>
    </row>
    <row r="459" spans="1:20">
      <c r="A459" s="9" t="s">
        <v>394</v>
      </c>
      <c r="B459" s="30" t="s">
        <v>395</v>
      </c>
      <c r="C459" s="30" t="str">
        <f>CONCATENATE(VOL_VOLUMEN_SUMINISTROS[[#This Row],[Proyecto]],VOL_VOLUMEN_SUMINISTROS[[#This Row],[J]],VOL_VOLUMEN_SUMINISTROS[[#This Row],[FIN DE SEMANA]])</f>
        <v>1052-1MNO</v>
      </c>
      <c r="D459" s="360" t="str">
        <f>CONCATENATE(VOL_VOLUMEN_SUMINISTROS[[#This Row],[Grupo]],VOL_VOLUMEN_SUMINISTROS[[#This Row],[Proyecto]],VOL_VOLUMEN_SUMINISTROS[[#This Row],[FIN DE SEMANA]])</f>
        <v>251052-1NO</v>
      </c>
      <c r="E459" s="30" t="s">
        <v>146</v>
      </c>
      <c r="F459" s="30" t="s">
        <v>147</v>
      </c>
      <c r="G459" s="360">
        <v>25</v>
      </c>
      <c r="H459" s="30">
        <v>18</v>
      </c>
      <c r="I459" s="9" t="s">
        <v>307</v>
      </c>
      <c r="J459" s="9" t="s">
        <v>420</v>
      </c>
      <c r="K459" s="30">
        <v>1</v>
      </c>
      <c r="L459" s="9" t="s">
        <v>421</v>
      </c>
      <c r="M459" s="30" t="s">
        <v>84</v>
      </c>
      <c r="N459" s="30" t="s">
        <v>151</v>
      </c>
      <c r="O459" s="24">
        <v>321</v>
      </c>
      <c r="P459" s="24">
        <v>377</v>
      </c>
      <c r="Q459" s="24">
        <v>535</v>
      </c>
      <c r="R459" s="24">
        <v>0</v>
      </c>
      <c r="S459" s="24">
        <v>0</v>
      </c>
      <c r="T459" s="24">
        <v>1233</v>
      </c>
    </row>
    <row r="460" spans="1:20">
      <c r="A460" s="9" t="s">
        <v>394</v>
      </c>
      <c r="B460" s="30" t="s">
        <v>395</v>
      </c>
      <c r="C460" s="30" t="str">
        <f>CONCATENATE(VOL_VOLUMEN_SUMINISTROS[[#This Row],[Proyecto]],VOL_VOLUMEN_SUMINISTROS[[#This Row],[J]],VOL_VOLUMEN_SUMINISTROS[[#This Row],[FIN DE SEMANA]])</f>
        <v>1052-1NNO</v>
      </c>
      <c r="D460" s="360" t="str">
        <f>CONCATENATE(VOL_VOLUMEN_SUMINISTROS[[#This Row],[Grupo]],VOL_VOLUMEN_SUMINISTROS[[#This Row],[Proyecto]],VOL_VOLUMEN_SUMINISTROS[[#This Row],[FIN DE SEMANA]])</f>
        <v>261052-1NO</v>
      </c>
      <c r="E460" s="30" t="s">
        <v>146</v>
      </c>
      <c r="F460" s="30" t="s">
        <v>147</v>
      </c>
      <c r="G460" s="360">
        <v>26</v>
      </c>
      <c r="H460" s="30">
        <v>18</v>
      </c>
      <c r="I460" s="9" t="s">
        <v>307</v>
      </c>
      <c r="J460" s="9" t="s">
        <v>420</v>
      </c>
      <c r="K460" s="30">
        <v>1</v>
      </c>
      <c r="L460" s="9" t="s">
        <v>421</v>
      </c>
      <c r="M460" s="30" t="s">
        <v>84</v>
      </c>
      <c r="N460" s="30" t="s">
        <v>153</v>
      </c>
      <c r="O460" s="24">
        <v>0</v>
      </c>
      <c r="P460" s="24">
        <v>0</v>
      </c>
      <c r="Q460" s="24">
        <v>0</v>
      </c>
      <c r="R460" s="24">
        <v>40</v>
      </c>
      <c r="S460" s="24">
        <v>60</v>
      </c>
      <c r="T460" s="24">
        <v>100</v>
      </c>
    </row>
    <row r="461" spans="1:20">
      <c r="A461" s="9" t="s">
        <v>394</v>
      </c>
      <c r="B461" s="30" t="s">
        <v>395</v>
      </c>
      <c r="C461" s="30" t="str">
        <f>CONCATENATE(VOL_VOLUMEN_SUMINISTROS[[#This Row],[Proyecto]],VOL_VOLUMEN_SUMINISTROS[[#This Row],[J]],VOL_VOLUMEN_SUMINISTROS[[#This Row],[FIN DE SEMANA]])</f>
        <v>1052-1TNO</v>
      </c>
      <c r="D461" s="360" t="str">
        <f>CONCATENATE(VOL_VOLUMEN_SUMINISTROS[[#This Row],[Grupo]],VOL_VOLUMEN_SUMINISTROS[[#This Row],[Proyecto]],VOL_VOLUMEN_SUMINISTROS[[#This Row],[FIN DE SEMANA]])</f>
        <v>251052-1NO</v>
      </c>
      <c r="E461" s="30" t="s">
        <v>146</v>
      </c>
      <c r="F461" s="30" t="s">
        <v>147</v>
      </c>
      <c r="G461" s="360">
        <v>25</v>
      </c>
      <c r="H461" s="30">
        <v>18</v>
      </c>
      <c r="I461" s="9" t="s">
        <v>307</v>
      </c>
      <c r="J461" s="9" t="s">
        <v>420</v>
      </c>
      <c r="K461" s="30">
        <v>1</v>
      </c>
      <c r="L461" s="9" t="s">
        <v>421</v>
      </c>
      <c r="M461" s="30" t="s">
        <v>84</v>
      </c>
      <c r="N461" s="30" t="s">
        <v>154</v>
      </c>
      <c r="O461" s="24">
        <v>267</v>
      </c>
      <c r="P461" s="24">
        <v>402</v>
      </c>
      <c r="Q461" s="24">
        <v>320</v>
      </c>
      <c r="R461" s="24">
        <v>0</v>
      </c>
      <c r="S461" s="24">
        <v>0</v>
      </c>
      <c r="T461" s="24">
        <v>989</v>
      </c>
    </row>
    <row r="462" spans="1:20">
      <c r="A462" s="9" t="s">
        <v>394</v>
      </c>
      <c r="B462" s="30" t="s">
        <v>395</v>
      </c>
      <c r="C462" s="30" t="str">
        <f>CONCATENATE(VOL_VOLUMEN_SUMINISTROS[[#This Row],[Proyecto]],VOL_VOLUMEN_SUMINISTROS[[#This Row],[J]],VOL_VOLUMEN_SUMINISTROS[[#This Row],[FIN DE SEMANA]])</f>
        <v>1052-1MNO</v>
      </c>
      <c r="D462" s="360" t="str">
        <f>CONCATENATE(VOL_VOLUMEN_SUMINISTROS[[#This Row],[Grupo]],VOL_VOLUMEN_SUMINISTROS[[#This Row],[Proyecto]],VOL_VOLUMEN_SUMINISTROS[[#This Row],[FIN DE SEMANA]])</f>
        <v>251052-1NO</v>
      </c>
      <c r="E462" s="30" t="s">
        <v>146</v>
      </c>
      <c r="F462" s="30" t="s">
        <v>147</v>
      </c>
      <c r="G462" s="360">
        <v>25</v>
      </c>
      <c r="H462" s="30">
        <v>18</v>
      </c>
      <c r="I462" s="9" t="s">
        <v>307</v>
      </c>
      <c r="J462" s="9" t="s">
        <v>422</v>
      </c>
      <c r="K462" s="30">
        <v>1</v>
      </c>
      <c r="L462" s="9" t="s">
        <v>423</v>
      </c>
      <c r="M462" s="30" t="s">
        <v>84</v>
      </c>
      <c r="N462" s="30" t="s">
        <v>151</v>
      </c>
      <c r="O462" s="24">
        <v>181</v>
      </c>
      <c r="P462" s="24">
        <v>233</v>
      </c>
      <c r="Q462" s="24">
        <v>434</v>
      </c>
      <c r="R462" s="24">
        <v>0</v>
      </c>
      <c r="S462" s="24">
        <v>0</v>
      </c>
      <c r="T462" s="24">
        <v>848</v>
      </c>
    </row>
    <row r="463" spans="1:20">
      <c r="A463" s="9" t="s">
        <v>394</v>
      </c>
      <c r="B463" s="30" t="s">
        <v>395</v>
      </c>
      <c r="C463" s="30" t="str">
        <f>CONCATENATE(VOL_VOLUMEN_SUMINISTROS[[#This Row],[Proyecto]],VOL_VOLUMEN_SUMINISTROS[[#This Row],[J]],VOL_VOLUMEN_SUMINISTROS[[#This Row],[FIN DE SEMANA]])</f>
        <v>1052-1TNO</v>
      </c>
      <c r="D463" s="360" t="str">
        <f>CONCATENATE(VOL_VOLUMEN_SUMINISTROS[[#This Row],[Grupo]],VOL_VOLUMEN_SUMINISTROS[[#This Row],[Proyecto]],VOL_VOLUMEN_SUMINISTROS[[#This Row],[FIN DE SEMANA]])</f>
        <v>251052-1NO</v>
      </c>
      <c r="E463" s="30" t="s">
        <v>146</v>
      </c>
      <c r="F463" s="30" t="s">
        <v>147</v>
      </c>
      <c r="G463" s="360">
        <v>25</v>
      </c>
      <c r="H463" s="30">
        <v>18</v>
      </c>
      <c r="I463" s="9" t="s">
        <v>307</v>
      </c>
      <c r="J463" s="9" t="s">
        <v>422</v>
      </c>
      <c r="K463" s="30">
        <v>1</v>
      </c>
      <c r="L463" s="9" t="s">
        <v>423</v>
      </c>
      <c r="M463" s="30" t="s">
        <v>84</v>
      </c>
      <c r="N463" s="30" t="s">
        <v>154</v>
      </c>
      <c r="O463" s="24">
        <v>155</v>
      </c>
      <c r="P463" s="24">
        <v>227</v>
      </c>
      <c r="Q463" s="24">
        <v>308</v>
      </c>
      <c r="R463" s="24">
        <v>0</v>
      </c>
      <c r="S463" s="24">
        <v>0</v>
      </c>
      <c r="T463" s="24">
        <v>690</v>
      </c>
    </row>
    <row r="464" spans="1:20">
      <c r="A464" s="9" t="s">
        <v>394</v>
      </c>
      <c r="B464" s="30" t="s">
        <v>395</v>
      </c>
      <c r="C464" s="30" t="str">
        <f>CONCATENATE(VOL_VOLUMEN_SUMINISTROS[[#This Row],[Proyecto]],VOL_VOLUMEN_SUMINISTROS[[#This Row],[J]],VOL_VOLUMEN_SUMINISTROS[[#This Row],[FIN DE SEMANA]])</f>
        <v>1052-1MNO</v>
      </c>
      <c r="D464" s="360" t="str">
        <f>CONCATENATE(VOL_VOLUMEN_SUMINISTROS[[#This Row],[Grupo]],VOL_VOLUMEN_SUMINISTROS[[#This Row],[Proyecto]],VOL_VOLUMEN_SUMINISTROS[[#This Row],[FIN DE SEMANA]])</f>
        <v>251052-1NO</v>
      </c>
      <c r="E464" s="30" t="s">
        <v>146</v>
      </c>
      <c r="F464" s="30" t="s">
        <v>147</v>
      </c>
      <c r="G464" s="360">
        <v>25</v>
      </c>
      <c r="H464" s="30">
        <v>18</v>
      </c>
      <c r="I464" s="9" t="s">
        <v>307</v>
      </c>
      <c r="J464" s="9" t="s">
        <v>422</v>
      </c>
      <c r="K464" s="30">
        <v>2</v>
      </c>
      <c r="L464" s="9" t="s">
        <v>424</v>
      </c>
      <c r="M464" s="30" t="s">
        <v>84</v>
      </c>
      <c r="N464" s="30" t="s">
        <v>151</v>
      </c>
      <c r="O464" s="24">
        <v>227</v>
      </c>
      <c r="P464" s="24">
        <v>165</v>
      </c>
      <c r="Q464" s="24">
        <v>33</v>
      </c>
      <c r="R464" s="24">
        <v>0</v>
      </c>
      <c r="S464" s="24">
        <v>0</v>
      </c>
      <c r="T464" s="24">
        <v>425</v>
      </c>
    </row>
    <row r="465" spans="1:20">
      <c r="A465" s="9" t="s">
        <v>394</v>
      </c>
      <c r="B465" s="30" t="s">
        <v>395</v>
      </c>
      <c r="C465" s="30" t="str">
        <f>CONCATENATE(VOL_VOLUMEN_SUMINISTROS[[#This Row],[Proyecto]],VOL_VOLUMEN_SUMINISTROS[[#This Row],[J]],VOL_VOLUMEN_SUMINISTROS[[#This Row],[FIN DE SEMANA]])</f>
        <v>1052-1TNO</v>
      </c>
      <c r="D465" s="360" t="str">
        <f>CONCATENATE(VOL_VOLUMEN_SUMINISTROS[[#This Row],[Grupo]],VOL_VOLUMEN_SUMINISTROS[[#This Row],[Proyecto]],VOL_VOLUMEN_SUMINISTROS[[#This Row],[FIN DE SEMANA]])</f>
        <v>251052-1NO</v>
      </c>
      <c r="E465" s="30" t="s">
        <v>146</v>
      </c>
      <c r="F465" s="30" t="s">
        <v>147</v>
      </c>
      <c r="G465" s="360">
        <v>25</v>
      </c>
      <c r="H465" s="30">
        <v>18</v>
      </c>
      <c r="I465" s="9" t="s">
        <v>307</v>
      </c>
      <c r="J465" s="9" t="s">
        <v>422</v>
      </c>
      <c r="K465" s="30">
        <v>2</v>
      </c>
      <c r="L465" s="9" t="s">
        <v>424</v>
      </c>
      <c r="M465" s="30" t="s">
        <v>84</v>
      </c>
      <c r="N465" s="30" t="s">
        <v>154</v>
      </c>
      <c r="O465" s="24">
        <v>194</v>
      </c>
      <c r="P465" s="24">
        <v>159</v>
      </c>
      <c r="Q465" s="24">
        <v>32</v>
      </c>
      <c r="R465" s="24">
        <v>0</v>
      </c>
      <c r="S465" s="24">
        <v>0</v>
      </c>
      <c r="T465" s="24">
        <v>385</v>
      </c>
    </row>
    <row r="466" spans="1:20">
      <c r="A466" s="9" t="s">
        <v>394</v>
      </c>
      <c r="B466" s="30" t="s">
        <v>395</v>
      </c>
      <c r="C466" s="30" t="str">
        <f>CONCATENATE(VOL_VOLUMEN_SUMINISTROS[[#This Row],[Proyecto]],VOL_VOLUMEN_SUMINISTROS[[#This Row],[J]],VOL_VOLUMEN_SUMINISTROS[[#This Row],[FIN DE SEMANA]])</f>
        <v>1052-1MNO</v>
      </c>
      <c r="D466" s="360" t="str">
        <f>CONCATENATE(VOL_VOLUMEN_SUMINISTROS[[#This Row],[Grupo]],VOL_VOLUMEN_SUMINISTROS[[#This Row],[Proyecto]],VOL_VOLUMEN_SUMINISTROS[[#This Row],[FIN DE SEMANA]])</f>
        <v>251052-1NO</v>
      </c>
      <c r="E466" s="30" t="s">
        <v>146</v>
      </c>
      <c r="F466" s="30" t="s">
        <v>147</v>
      </c>
      <c r="G466" s="360">
        <v>25</v>
      </c>
      <c r="H466" s="30">
        <v>18</v>
      </c>
      <c r="I466" s="9" t="s">
        <v>307</v>
      </c>
      <c r="J466" s="9" t="s">
        <v>425</v>
      </c>
      <c r="K466" s="30">
        <v>1</v>
      </c>
      <c r="L466" s="9" t="s">
        <v>426</v>
      </c>
      <c r="M466" s="30" t="s">
        <v>84</v>
      </c>
      <c r="N466" s="30" t="s">
        <v>151</v>
      </c>
      <c r="O466" s="24">
        <v>110</v>
      </c>
      <c r="P466" s="24">
        <v>334</v>
      </c>
      <c r="Q466" s="24">
        <v>509</v>
      </c>
      <c r="R466" s="24">
        <v>0</v>
      </c>
      <c r="S466" s="24">
        <v>0</v>
      </c>
      <c r="T466" s="24">
        <v>953</v>
      </c>
    </row>
    <row r="467" spans="1:20">
      <c r="A467" s="9" t="s">
        <v>394</v>
      </c>
      <c r="B467" s="30" t="s">
        <v>395</v>
      </c>
      <c r="C467" s="30" t="str">
        <f>CONCATENATE(VOL_VOLUMEN_SUMINISTROS[[#This Row],[Proyecto]],VOL_VOLUMEN_SUMINISTROS[[#This Row],[J]],VOL_VOLUMEN_SUMINISTROS[[#This Row],[FIN DE SEMANA]])</f>
        <v>1052-1TNO</v>
      </c>
      <c r="D467" s="360" t="str">
        <f>CONCATENATE(VOL_VOLUMEN_SUMINISTROS[[#This Row],[Grupo]],VOL_VOLUMEN_SUMINISTROS[[#This Row],[Proyecto]],VOL_VOLUMEN_SUMINISTROS[[#This Row],[FIN DE SEMANA]])</f>
        <v>251052-1NO</v>
      </c>
      <c r="E467" s="30" t="s">
        <v>146</v>
      </c>
      <c r="F467" s="30" t="s">
        <v>147</v>
      </c>
      <c r="G467" s="360">
        <v>25</v>
      </c>
      <c r="H467" s="30">
        <v>18</v>
      </c>
      <c r="I467" s="9" t="s">
        <v>307</v>
      </c>
      <c r="J467" s="9" t="s">
        <v>425</v>
      </c>
      <c r="K467" s="30">
        <v>1</v>
      </c>
      <c r="L467" s="9" t="s">
        <v>426</v>
      </c>
      <c r="M467" s="30" t="s">
        <v>84</v>
      </c>
      <c r="N467" s="30" t="s">
        <v>154</v>
      </c>
      <c r="O467" s="24">
        <v>112</v>
      </c>
      <c r="P467" s="24">
        <v>359</v>
      </c>
      <c r="Q467" s="24">
        <v>365</v>
      </c>
      <c r="R467" s="24">
        <v>0</v>
      </c>
      <c r="S467" s="24">
        <v>0</v>
      </c>
      <c r="T467" s="24">
        <v>836</v>
      </c>
    </row>
    <row r="468" spans="1:20">
      <c r="A468" s="9" t="s">
        <v>394</v>
      </c>
      <c r="B468" s="30" t="s">
        <v>395</v>
      </c>
      <c r="C468" s="30" t="str">
        <f>CONCATENATE(VOL_VOLUMEN_SUMINISTROS[[#This Row],[Proyecto]],VOL_VOLUMEN_SUMINISTROS[[#This Row],[J]],VOL_VOLUMEN_SUMINISTROS[[#This Row],[FIN DE SEMANA]])</f>
        <v>1052-1MNO</v>
      </c>
      <c r="D468" s="360" t="str">
        <f>CONCATENATE(VOL_VOLUMEN_SUMINISTROS[[#This Row],[Grupo]],VOL_VOLUMEN_SUMINISTROS[[#This Row],[Proyecto]],VOL_VOLUMEN_SUMINISTROS[[#This Row],[FIN DE SEMANA]])</f>
        <v>251052-1NO</v>
      </c>
      <c r="E468" s="30" t="s">
        <v>146</v>
      </c>
      <c r="F468" s="30" t="s">
        <v>147</v>
      </c>
      <c r="G468" s="360">
        <v>25</v>
      </c>
      <c r="H468" s="30">
        <v>18</v>
      </c>
      <c r="I468" s="9" t="s">
        <v>307</v>
      </c>
      <c r="J468" s="9" t="s">
        <v>425</v>
      </c>
      <c r="K468" s="30">
        <v>2</v>
      </c>
      <c r="L468" s="9" t="s">
        <v>427</v>
      </c>
      <c r="M468" s="30" t="s">
        <v>84</v>
      </c>
      <c r="N468" s="30" t="s">
        <v>151</v>
      </c>
      <c r="O468" s="24">
        <v>152</v>
      </c>
      <c r="P468" s="24">
        <v>61</v>
      </c>
      <c r="Q468" s="24">
        <v>7</v>
      </c>
      <c r="R468" s="24">
        <v>0</v>
      </c>
      <c r="S468" s="24">
        <v>0</v>
      </c>
      <c r="T468" s="24">
        <v>220</v>
      </c>
    </row>
    <row r="469" spans="1:20">
      <c r="A469" s="9" t="s">
        <v>394</v>
      </c>
      <c r="B469" s="30" t="s">
        <v>395</v>
      </c>
      <c r="C469" s="30" t="str">
        <f>CONCATENATE(VOL_VOLUMEN_SUMINISTROS[[#This Row],[Proyecto]],VOL_VOLUMEN_SUMINISTROS[[#This Row],[J]],VOL_VOLUMEN_SUMINISTROS[[#This Row],[FIN DE SEMANA]])</f>
        <v>1052-1TNO</v>
      </c>
      <c r="D469" s="360" t="str">
        <f>CONCATENATE(VOL_VOLUMEN_SUMINISTROS[[#This Row],[Grupo]],VOL_VOLUMEN_SUMINISTROS[[#This Row],[Proyecto]],VOL_VOLUMEN_SUMINISTROS[[#This Row],[FIN DE SEMANA]])</f>
        <v>251052-1NO</v>
      </c>
      <c r="E469" s="30" t="s">
        <v>146</v>
      </c>
      <c r="F469" s="30" t="s">
        <v>147</v>
      </c>
      <c r="G469" s="360">
        <v>25</v>
      </c>
      <c r="H469" s="30">
        <v>18</v>
      </c>
      <c r="I469" s="9" t="s">
        <v>307</v>
      </c>
      <c r="J469" s="9" t="s">
        <v>425</v>
      </c>
      <c r="K469" s="30">
        <v>2</v>
      </c>
      <c r="L469" s="9" t="s">
        <v>427</v>
      </c>
      <c r="M469" s="30" t="s">
        <v>84</v>
      </c>
      <c r="N469" s="30" t="s">
        <v>154</v>
      </c>
      <c r="O469" s="24">
        <v>97</v>
      </c>
      <c r="P469" s="24">
        <v>68</v>
      </c>
      <c r="Q469" s="24">
        <v>14</v>
      </c>
      <c r="R469" s="24">
        <v>0</v>
      </c>
      <c r="S469" s="24">
        <v>0</v>
      </c>
      <c r="T469" s="24">
        <v>179</v>
      </c>
    </row>
    <row r="470" spans="1:20">
      <c r="A470" s="9" t="s">
        <v>394</v>
      </c>
      <c r="B470" s="30" t="s">
        <v>395</v>
      </c>
      <c r="C470" s="30" t="str">
        <f>CONCATENATE(VOL_VOLUMEN_SUMINISTROS[[#This Row],[Proyecto]],VOL_VOLUMEN_SUMINISTROS[[#This Row],[J]],VOL_VOLUMEN_SUMINISTROS[[#This Row],[FIN DE SEMANA]])</f>
        <v>1052-1MNO</v>
      </c>
      <c r="D470" s="360" t="str">
        <f>CONCATENATE(VOL_VOLUMEN_SUMINISTROS[[#This Row],[Grupo]],VOL_VOLUMEN_SUMINISTROS[[#This Row],[Proyecto]],VOL_VOLUMEN_SUMINISTROS[[#This Row],[FIN DE SEMANA]])</f>
        <v>251052-1NO</v>
      </c>
      <c r="E470" s="30" t="s">
        <v>146</v>
      </c>
      <c r="F470" s="30" t="s">
        <v>147</v>
      </c>
      <c r="G470" s="360">
        <v>25</v>
      </c>
      <c r="H470" s="30">
        <v>18</v>
      </c>
      <c r="I470" s="9" t="s">
        <v>307</v>
      </c>
      <c r="J470" s="9" t="s">
        <v>425</v>
      </c>
      <c r="K470" s="30">
        <v>3</v>
      </c>
      <c r="L470" s="9" t="s">
        <v>428</v>
      </c>
      <c r="M470" s="30" t="s">
        <v>84</v>
      </c>
      <c r="N470" s="30" t="s">
        <v>151</v>
      </c>
      <c r="O470" s="24">
        <v>146</v>
      </c>
      <c r="P470" s="24">
        <v>99</v>
      </c>
      <c r="Q470" s="24">
        <v>17</v>
      </c>
      <c r="R470" s="24">
        <v>0</v>
      </c>
      <c r="S470" s="24">
        <v>0</v>
      </c>
      <c r="T470" s="24">
        <v>262</v>
      </c>
    </row>
    <row r="471" spans="1:20">
      <c r="A471" s="9" t="s">
        <v>394</v>
      </c>
      <c r="B471" s="30" t="s">
        <v>395</v>
      </c>
      <c r="C471" s="30" t="str">
        <f>CONCATENATE(VOL_VOLUMEN_SUMINISTROS[[#This Row],[Proyecto]],VOL_VOLUMEN_SUMINISTROS[[#This Row],[J]],VOL_VOLUMEN_SUMINISTROS[[#This Row],[FIN DE SEMANA]])</f>
        <v>1052-1MNO</v>
      </c>
      <c r="D471" s="360" t="str">
        <f>CONCATENATE(VOL_VOLUMEN_SUMINISTROS[[#This Row],[Grupo]],VOL_VOLUMEN_SUMINISTROS[[#This Row],[Proyecto]],VOL_VOLUMEN_SUMINISTROS[[#This Row],[FIN DE SEMANA]])</f>
        <v>251052-1NO</v>
      </c>
      <c r="E471" s="30" t="s">
        <v>146</v>
      </c>
      <c r="F471" s="30" t="s">
        <v>147</v>
      </c>
      <c r="G471" s="360">
        <v>25</v>
      </c>
      <c r="H471" s="30">
        <v>18</v>
      </c>
      <c r="I471" s="9" t="s">
        <v>307</v>
      </c>
      <c r="J471" s="9" t="s">
        <v>429</v>
      </c>
      <c r="K471" s="30">
        <v>1</v>
      </c>
      <c r="L471" s="9" t="s">
        <v>152</v>
      </c>
      <c r="M471" s="30" t="s">
        <v>84</v>
      </c>
      <c r="N471" s="30" t="s">
        <v>151</v>
      </c>
      <c r="O471" s="24">
        <v>494</v>
      </c>
      <c r="P471" s="24">
        <v>740</v>
      </c>
      <c r="Q471" s="24">
        <v>958</v>
      </c>
      <c r="R471" s="24">
        <v>0</v>
      </c>
      <c r="S471" s="24">
        <v>0</v>
      </c>
      <c r="T471" s="24">
        <v>2192</v>
      </c>
    </row>
    <row r="472" spans="1:20">
      <c r="A472" s="9" t="s">
        <v>394</v>
      </c>
      <c r="B472" s="30" t="s">
        <v>395</v>
      </c>
      <c r="C472" s="30" t="str">
        <f>CONCATENATE(VOL_VOLUMEN_SUMINISTROS[[#This Row],[Proyecto]],VOL_VOLUMEN_SUMINISTROS[[#This Row],[J]],VOL_VOLUMEN_SUMINISTROS[[#This Row],[FIN DE SEMANA]])</f>
        <v>1052-1TNO</v>
      </c>
      <c r="D472" s="360" t="str">
        <f>CONCATENATE(VOL_VOLUMEN_SUMINISTROS[[#This Row],[Grupo]],VOL_VOLUMEN_SUMINISTROS[[#This Row],[Proyecto]],VOL_VOLUMEN_SUMINISTROS[[#This Row],[FIN DE SEMANA]])</f>
        <v>251052-1NO</v>
      </c>
      <c r="E472" s="30" t="s">
        <v>146</v>
      </c>
      <c r="F472" s="30" t="s">
        <v>147</v>
      </c>
      <c r="G472" s="360">
        <v>25</v>
      </c>
      <c r="H472" s="30">
        <v>18</v>
      </c>
      <c r="I472" s="9" t="s">
        <v>307</v>
      </c>
      <c r="J472" s="9" t="s">
        <v>429</v>
      </c>
      <c r="K472" s="30">
        <v>1</v>
      </c>
      <c r="L472" s="9" t="s">
        <v>430</v>
      </c>
      <c r="M472" s="30" t="s">
        <v>84</v>
      </c>
      <c r="N472" s="30" t="s">
        <v>154</v>
      </c>
      <c r="O472" s="24">
        <v>443</v>
      </c>
      <c r="P472" s="24">
        <v>674</v>
      </c>
      <c r="Q472" s="24">
        <v>859</v>
      </c>
      <c r="R472" s="24">
        <v>0</v>
      </c>
      <c r="S472" s="24">
        <v>0</v>
      </c>
      <c r="T472" s="24">
        <v>1976</v>
      </c>
    </row>
    <row r="473" spans="1:20">
      <c r="A473" s="9" t="s">
        <v>394</v>
      </c>
      <c r="B473" s="30" t="s">
        <v>431</v>
      </c>
      <c r="C473" s="30" t="str">
        <f>CONCATENATE(VOL_VOLUMEN_SUMINISTROS[[#This Row],[Proyecto]],VOL_VOLUMEN_SUMINISTROS[[#This Row],[J]],VOL_VOLUMEN_SUMINISTROS[[#This Row],[FIN DE SEMANA]])</f>
        <v>1052-2MNO</v>
      </c>
      <c r="D473" s="360" t="str">
        <f>CONCATENATE(VOL_VOLUMEN_SUMINISTROS[[#This Row],[Grupo]],VOL_VOLUMEN_SUMINISTROS[[#This Row],[Proyecto]],VOL_VOLUMEN_SUMINISTROS[[#This Row],[FIN DE SEMANA]])</f>
        <v>251052-2NO</v>
      </c>
      <c r="E473" s="30" t="s">
        <v>182</v>
      </c>
      <c r="F473" s="30" t="s">
        <v>147</v>
      </c>
      <c r="G473" s="360">
        <v>25</v>
      </c>
      <c r="H473" s="30">
        <v>18</v>
      </c>
      <c r="I473" s="9" t="s">
        <v>307</v>
      </c>
      <c r="J473" s="9" t="s">
        <v>420</v>
      </c>
      <c r="K473" s="30">
        <v>1</v>
      </c>
      <c r="L473" s="9" t="s">
        <v>421</v>
      </c>
      <c r="M473" s="30" t="s">
        <v>84</v>
      </c>
      <c r="N473" s="30" t="s">
        <v>151</v>
      </c>
      <c r="O473" s="24">
        <v>0</v>
      </c>
      <c r="P473" s="24">
        <v>0</v>
      </c>
      <c r="Q473" s="24">
        <v>91</v>
      </c>
      <c r="R473" s="24">
        <v>0</v>
      </c>
      <c r="S473" s="24">
        <v>0</v>
      </c>
      <c r="T473" s="24">
        <v>91</v>
      </c>
    </row>
    <row r="474" spans="1:20">
      <c r="A474" s="9" t="s">
        <v>394</v>
      </c>
      <c r="B474" s="30" t="s">
        <v>431</v>
      </c>
      <c r="C474" s="30" t="str">
        <f>CONCATENATE(VOL_VOLUMEN_SUMINISTROS[[#This Row],[Proyecto]],VOL_VOLUMEN_SUMINISTROS[[#This Row],[J]],VOL_VOLUMEN_SUMINISTROS[[#This Row],[FIN DE SEMANA]])</f>
        <v>1052-2TNO</v>
      </c>
      <c r="D474" s="360" t="str">
        <f>CONCATENATE(VOL_VOLUMEN_SUMINISTROS[[#This Row],[Grupo]],VOL_VOLUMEN_SUMINISTROS[[#This Row],[Proyecto]],VOL_VOLUMEN_SUMINISTROS[[#This Row],[FIN DE SEMANA]])</f>
        <v>251052-2NO</v>
      </c>
      <c r="E474" s="30" t="s">
        <v>182</v>
      </c>
      <c r="F474" s="30" t="s">
        <v>147</v>
      </c>
      <c r="G474" s="360">
        <v>25</v>
      </c>
      <c r="H474" s="30">
        <v>18</v>
      </c>
      <c r="I474" s="9" t="s">
        <v>307</v>
      </c>
      <c r="J474" s="9" t="s">
        <v>420</v>
      </c>
      <c r="K474" s="30">
        <v>1</v>
      </c>
      <c r="L474" s="9" t="s">
        <v>421</v>
      </c>
      <c r="M474" s="30" t="s">
        <v>84</v>
      </c>
      <c r="N474" s="30" t="s">
        <v>154</v>
      </c>
      <c r="O474" s="24">
        <v>0</v>
      </c>
      <c r="P474" s="24">
        <v>0</v>
      </c>
      <c r="Q474" s="24">
        <v>188</v>
      </c>
      <c r="R474" s="24">
        <v>0</v>
      </c>
      <c r="S474" s="24">
        <v>0</v>
      </c>
      <c r="T474" s="24">
        <v>188</v>
      </c>
    </row>
    <row r="475" spans="1:20">
      <c r="A475" s="9" t="s">
        <v>394</v>
      </c>
      <c r="B475" s="30" t="s">
        <v>431</v>
      </c>
      <c r="C475" s="30" t="str">
        <f>CONCATENATE(VOL_VOLUMEN_SUMINISTROS[[#This Row],[Proyecto]],VOL_VOLUMEN_SUMINISTROS[[#This Row],[J]],VOL_VOLUMEN_SUMINISTROS[[#This Row],[FIN DE SEMANA]])</f>
        <v>1052-2MNO</v>
      </c>
      <c r="D475" s="360" t="str">
        <f>CONCATENATE(VOL_VOLUMEN_SUMINISTROS[[#This Row],[Grupo]],VOL_VOLUMEN_SUMINISTROS[[#This Row],[Proyecto]],VOL_VOLUMEN_SUMINISTROS[[#This Row],[FIN DE SEMANA]])</f>
        <v>251052-2NO</v>
      </c>
      <c r="E475" s="30" t="s">
        <v>182</v>
      </c>
      <c r="F475" s="30" t="s">
        <v>147</v>
      </c>
      <c r="G475" s="360">
        <v>25</v>
      </c>
      <c r="H475" s="30">
        <v>18</v>
      </c>
      <c r="I475" s="9" t="s">
        <v>307</v>
      </c>
      <c r="J475" s="9" t="s">
        <v>422</v>
      </c>
      <c r="K475" s="30">
        <v>1</v>
      </c>
      <c r="L475" s="9" t="s">
        <v>423</v>
      </c>
      <c r="M475" s="30" t="s">
        <v>84</v>
      </c>
      <c r="N475" s="30" t="s">
        <v>151</v>
      </c>
      <c r="O475" s="24">
        <v>56</v>
      </c>
      <c r="P475" s="24">
        <v>175</v>
      </c>
      <c r="Q475" s="24">
        <v>169</v>
      </c>
      <c r="R475" s="24">
        <v>0</v>
      </c>
      <c r="S475" s="24">
        <v>0</v>
      </c>
      <c r="T475" s="24">
        <v>400</v>
      </c>
    </row>
    <row r="476" spans="1:20">
      <c r="A476" s="9" t="s">
        <v>394</v>
      </c>
      <c r="B476" s="30" t="s">
        <v>431</v>
      </c>
      <c r="C476" s="30" t="str">
        <f>CONCATENATE(VOL_VOLUMEN_SUMINISTROS[[#This Row],[Proyecto]],VOL_VOLUMEN_SUMINISTROS[[#This Row],[J]],VOL_VOLUMEN_SUMINISTROS[[#This Row],[FIN DE SEMANA]])</f>
        <v>1052-2M1NO</v>
      </c>
      <c r="D476" s="360" t="str">
        <f>CONCATENATE(VOL_VOLUMEN_SUMINISTROS[[#This Row],[Grupo]],VOL_VOLUMEN_SUMINISTROS[[#This Row],[Proyecto]],VOL_VOLUMEN_SUMINISTROS[[#This Row],[FIN DE SEMANA]])</f>
        <v>261052-2NO</v>
      </c>
      <c r="E476" s="30" t="s">
        <v>182</v>
      </c>
      <c r="F476" s="30" t="s">
        <v>147</v>
      </c>
      <c r="G476" s="360">
        <v>26</v>
      </c>
      <c r="H476" s="30">
        <v>18</v>
      </c>
      <c r="I476" s="9" t="s">
        <v>307</v>
      </c>
      <c r="J476" s="9" t="s">
        <v>422</v>
      </c>
      <c r="K476" s="30">
        <v>1</v>
      </c>
      <c r="L476" s="9" t="s">
        <v>423</v>
      </c>
      <c r="M476" s="30" t="s">
        <v>84</v>
      </c>
      <c r="N476" s="30" t="s">
        <v>215</v>
      </c>
      <c r="O476" s="24">
        <v>56</v>
      </c>
      <c r="P476" s="24">
        <v>193</v>
      </c>
      <c r="Q476" s="24">
        <v>145</v>
      </c>
      <c r="R476" s="24">
        <v>0</v>
      </c>
      <c r="S476" s="24">
        <v>0</v>
      </c>
      <c r="T476" s="24">
        <v>394</v>
      </c>
    </row>
    <row r="477" spans="1:20">
      <c r="A477" s="9" t="s">
        <v>394</v>
      </c>
      <c r="B477" s="30" t="s">
        <v>431</v>
      </c>
      <c r="C477" s="30" t="str">
        <f>CONCATENATE(VOL_VOLUMEN_SUMINISTROS[[#This Row],[Proyecto]],VOL_VOLUMEN_SUMINISTROS[[#This Row],[J]],VOL_VOLUMEN_SUMINISTROS[[#This Row],[FIN DE SEMANA]])</f>
        <v>1052-2TNO</v>
      </c>
      <c r="D477" s="360" t="str">
        <f>CONCATENATE(VOL_VOLUMEN_SUMINISTROS[[#This Row],[Grupo]],VOL_VOLUMEN_SUMINISTROS[[#This Row],[Proyecto]],VOL_VOLUMEN_SUMINISTROS[[#This Row],[FIN DE SEMANA]])</f>
        <v>251052-2NO</v>
      </c>
      <c r="E477" s="30" t="s">
        <v>182</v>
      </c>
      <c r="F477" s="30" t="s">
        <v>147</v>
      </c>
      <c r="G477" s="360">
        <v>25</v>
      </c>
      <c r="H477" s="30">
        <v>18</v>
      </c>
      <c r="I477" s="9" t="s">
        <v>307</v>
      </c>
      <c r="J477" s="9" t="s">
        <v>422</v>
      </c>
      <c r="K477" s="30">
        <v>1</v>
      </c>
      <c r="L477" s="9" t="s">
        <v>423</v>
      </c>
      <c r="M477" s="30" t="s">
        <v>84</v>
      </c>
      <c r="N477" s="30" t="s">
        <v>154</v>
      </c>
      <c r="O477" s="24">
        <v>0</v>
      </c>
      <c r="P477" s="24">
        <v>0</v>
      </c>
      <c r="Q477" s="24">
        <v>80</v>
      </c>
      <c r="R477" s="24">
        <v>0</v>
      </c>
      <c r="S477" s="24">
        <v>0</v>
      </c>
      <c r="T477" s="24">
        <v>80</v>
      </c>
    </row>
    <row r="478" spans="1:20">
      <c r="A478" s="9" t="s">
        <v>394</v>
      </c>
      <c r="B478" s="30" t="s">
        <v>431</v>
      </c>
      <c r="C478" s="30" t="str">
        <f>CONCATENATE(VOL_VOLUMEN_SUMINISTROS[[#This Row],[Proyecto]],VOL_VOLUMEN_SUMINISTROS[[#This Row],[J]],VOL_VOLUMEN_SUMINISTROS[[#This Row],[FIN DE SEMANA]])</f>
        <v>1052-2MNO</v>
      </c>
      <c r="D478" s="360" t="str">
        <f>CONCATENATE(VOL_VOLUMEN_SUMINISTROS[[#This Row],[Grupo]],VOL_VOLUMEN_SUMINISTROS[[#This Row],[Proyecto]],VOL_VOLUMEN_SUMINISTROS[[#This Row],[FIN DE SEMANA]])</f>
        <v>251052-2NO</v>
      </c>
      <c r="E478" s="30" t="s">
        <v>182</v>
      </c>
      <c r="F478" s="30" t="s">
        <v>147</v>
      </c>
      <c r="G478" s="360">
        <v>25</v>
      </c>
      <c r="H478" s="30">
        <v>18</v>
      </c>
      <c r="I478" s="9" t="s">
        <v>307</v>
      </c>
      <c r="J478" s="9" t="s">
        <v>422</v>
      </c>
      <c r="K478" s="30">
        <v>2</v>
      </c>
      <c r="L478" s="9" t="s">
        <v>424</v>
      </c>
      <c r="M478" s="30" t="s">
        <v>84</v>
      </c>
      <c r="N478" s="30" t="s">
        <v>151</v>
      </c>
      <c r="O478" s="24">
        <v>50</v>
      </c>
      <c r="P478" s="24">
        <v>49</v>
      </c>
      <c r="Q478" s="24">
        <v>8</v>
      </c>
      <c r="R478" s="24">
        <v>0</v>
      </c>
      <c r="S478" s="24">
        <v>0</v>
      </c>
      <c r="T478" s="24">
        <v>107</v>
      </c>
    </row>
    <row r="479" spans="1:20">
      <c r="A479" s="9" t="s">
        <v>394</v>
      </c>
      <c r="B479" s="30" t="s">
        <v>431</v>
      </c>
      <c r="C479" s="30" t="str">
        <f>CONCATENATE(VOL_VOLUMEN_SUMINISTROS[[#This Row],[Proyecto]],VOL_VOLUMEN_SUMINISTROS[[#This Row],[J]],VOL_VOLUMEN_SUMINISTROS[[#This Row],[FIN DE SEMANA]])</f>
        <v>1052-2M1NO</v>
      </c>
      <c r="D479" s="360" t="str">
        <f>CONCATENATE(VOL_VOLUMEN_SUMINISTROS[[#This Row],[Grupo]],VOL_VOLUMEN_SUMINISTROS[[#This Row],[Proyecto]],VOL_VOLUMEN_SUMINISTROS[[#This Row],[FIN DE SEMANA]])</f>
        <v>261052-2NO</v>
      </c>
      <c r="E479" s="30" t="s">
        <v>182</v>
      </c>
      <c r="F479" s="30" t="s">
        <v>147</v>
      </c>
      <c r="G479" s="360">
        <v>26</v>
      </c>
      <c r="H479" s="30">
        <v>18</v>
      </c>
      <c r="I479" s="9" t="s">
        <v>307</v>
      </c>
      <c r="J479" s="9" t="s">
        <v>422</v>
      </c>
      <c r="K479" s="30">
        <v>2</v>
      </c>
      <c r="L479" s="9" t="s">
        <v>424</v>
      </c>
      <c r="M479" s="30" t="s">
        <v>84</v>
      </c>
      <c r="N479" s="30" t="s">
        <v>215</v>
      </c>
      <c r="O479" s="24">
        <v>50</v>
      </c>
      <c r="P479" s="24">
        <v>70</v>
      </c>
      <c r="Q479" s="24">
        <v>15</v>
      </c>
      <c r="R479" s="24">
        <v>0</v>
      </c>
      <c r="S479" s="24">
        <v>0</v>
      </c>
      <c r="T479" s="24">
        <v>135</v>
      </c>
    </row>
    <row r="480" spans="1:20">
      <c r="A480" s="9" t="s">
        <v>394</v>
      </c>
      <c r="B480" s="30" t="s">
        <v>431</v>
      </c>
      <c r="C480" s="30" t="str">
        <f>CONCATENATE(VOL_VOLUMEN_SUMINISTROS[[#This Row],[Proyecto]],VOL_VOLUMEN_SUMINISTROS[[#This Row],[J]],VOL_VOLUMEN_SUMINISTROS[[#This Row],[FIN DE SEMANA]])</f>
        <v>1052-2MNO</v>
      </c>
      <c r="D480" s="360" t="str">
        <f>CONCATENATE(VOL_VOLUMEN_SUMINISTROS[[#This Row],[Grupo]],VOL_VOLUMEN_SUMINISTROS[[#This Row],[Proyecto]],VOL_VOLUMEN_SUMINISTROS[[#This Row],[FIN DE SEMANA]])</f>
        <v>251052-2NO</v>
      </c>
      <c r="E480" s="30" t="s">
        <v>182</v>
      </c>
      <c r="F480" s="30" t="s">
        <v>147</v>
      </c>
      <c r="G480" s="360">
        <v>25</v>
      </c>
      <c r="H480" s="30">
        <v>18</v>
      </c>
      <c r="I480" s="9" t="s">
        <v>307</v>
      </c>
      <c r="J480" s="9" t="s">
        <v>425</v>
      </c>
      <c r="K480" s="30">
        <v>1</v>
      </c>
      <c r="L480" s="9" t="s">
        <v>426</v>
      </c>
      <c r="M480" s="30" t="s">
        <v>84</v>
      </c>
      <c r="N480" s="30" t="s">
        <v>151</v>
      </c>
      <c r="O480" s="24">
        <v>0</v>
      </c>
      <c r="P480" s="24">
        <v>0</v>
      </c>
      <c r="Q480" s="24">
        <v>75</v>
      </c>
      <c r="R480" s="24">
        <v>0</v>
      </c>
      <c r="S480" s="24">
        <v>0</v>
      </c>
      <c r="T480" s="24">
        <v>75</v>
      </c>
    </row>
    <row r="481" spans="1:20">
      <c r="A481" s="9" t="s">
        <v>394</v>
      </c>
      <c r="B481" s="30" t="s">
        <v>431</v>
      </c>
      <c r="C481" s="30" t="str">
        <f>CONCATENATE(VOL_VOLUMEN_SUMINISTROS[[#This Row],[Proyecto]],VOL_VOLUMEN_SUMINISTROS[[#This Row],[J]],VOL_VOLUMEN_SUMINISTROS[[#This Row],[FIN DE SEMANA]])</f>
        <v>1052-2M1NO</v>
      </c>
      <c r="D481" s="360" t="str">
        <f>CONCATENATE(VOL_VOLUMEN_SUMINISTROS[[#This Row],[Grupo]],VOL_VOLUMEN_SUMINISTROS[[#This Row],[Proyecto]],VOL_VOLUMEN_SUMINISTROS[[#This Row],[FIN DE SEMANA]])</f>
        <v>261052-2NO</v>
      </c>
      <c r="E481" s="30" t="s">
        <v>182</v>
      </c>
      <c r="F481" s="30" t="s">
        <v>147</v>
      </c>
      <c r="G481" s="360">
        <v>26</v>
      </c>
      <c r="H481" s="30">
        <v>18</v>
      </c>
      <c r="I481" s="9" t="s">
        <v>307</v>
      </c>
      <c r="J481" s="9" t="s">
        <v>425</v>
      </c>
      <c r="K481" s="30">
        <v>1</v>
      </c>
      <c r="L481" s="9" t="s">
        <v>426</v>
      </c>
      <c r="M481" s="30" t="s">
        <v>84</v>
      </c>
      <c r="N481" s="30" t="s">
        <v>215</v>
      </c>
      <c r="O481" s="24">
        <v>0</v>
      </c>
      <c r="P481" s="24">
        <v>138</v>
      </c>
      <c r="Q481" s="24">
        <v>46</v>
      </c>
      <c r="R481" s="24">
        <v>0</v>
      </c>
      <c r="S481" s="24">
        <v>0</v>
      </c>
      <c r="T481" s="24">
        <v>184</v>
      </c>
    </row>
    <row r="482" spans="1:20">
      <c r="A482" s="9" t="s">
        <v>394</v>
      </c>
      <c r="B482" s="30" t="s">
        <v>431</v>
      </c>
      <c r="C482" s="30" t="str">
        <f>CONCATENATE(VOL_VOLUMEN_SUMINISTROS[[#This Row],[Proyecto]],VOL_VOLUMEN_SUMINISTROS[[#This Row],[J]],VOL_VOLUMEN_SUMINISTROS[[#This Row],[FIN DE SEMANA]])</f>
        <v>1052-2TNO</v>
      </c>
      <c r="D482" s="360" t="str">
        <f>CONCATENATE(VOL_VOLUMEN_SUMINISTROS[[#This Row],[Grupo]],VOL_VOLUMEN_SUMINISTROS[[#This Row],[Proyecto]],VOL_VOLUMEN_SUMINISTROS[[#This Row],[FIN DE SEMANA]])</f>
        <v>251052-2NO</v>
      </c>
      <c r="E482" s="30" t="s">
        <v>182</v>
      </c>
      <c r="F482" s="30" t="s">
        <v>147</v>
      </c>
      <c r="G482" s="360">
        <v>25</v>
      </c>
      <c r="H482" s="30">
        <v>18</v>
      </c>
      <c r="I482" s="9" t="s">
        <v>307</v>
      </c>
      <c r="J482" s="9" t="s">
        <v>425</v>
      </c>
      <c r="K482" s="30">
        <v>1</v>
      </c>
      <c r="L482" s="9" t="s">
        <v>426</v>
      </c>
      <c r="M482" s="30" t="s">
        <v>84</v>
      </c>
      <c r="N482" s="30" t="s">
        <v>154</v>
      </c>
      <c r="O482" s="24">
        <v>0</v>
      </c>
      <c r="P482" s="24">
        <v>123</v>
      </c>
      <c r="Q482" s="24">
        <v>161</v>
      </c>
      <c r="R482" s="24">
        <v>0</v>
      </c>
      <c r="S482" s="24">
        <v>0</v>
      </c>
      <c r="T482" s="24">
        <v>284</v>
      </c>
    </row>
    <row r="483" spans="1:20">
      <c r="A483" s="9" t="s">
        <v>394</v>
      </c>
      <c r="B483" s="30" t="s">
        <v>431</v>
      </c>
      <c r="C483" s="30" t="str">
        <f>CONCATENATE(VOL_VOLUMEN_SUMINISTROS[[#This Row],[Proyecto]],VOL_VOLUMEN_SUMINISTROS[[#This Row],[J]],VOL_VOLUMEN_SUMINISTROS[[#This Row],[FIN DE SEMANA]])</f>
        <v>1052-2MNO</v>
      </c>
      <c r="D483" s="360" t="str">
        <f>CONCATENATE(VOL_VOLUMEN_SUMINISTROS[[#This Row],[Grupo]],VOL_VOLUMEN_SUMINISTROS[[#This Row],[Proyecto]],VOL_VOLUMEN_SUMINISTROS[[#This Row],[FIN DE SEMANA]])</f>
        <v>251052-2NO</v>
      </c>
      <c r="E483" s="30" t="s">
        <v>182</v>
      </c>
      <c r="F483" s="30" t="s">
        <v>147</v>
      </c>
      <c r="G483" s="360">
        <v>25</v>
      </c>
      <c r="H483" s="30">
        <v>18</v>
      </c>
      <c r="I483" s="9" t="s">
        <v>307</v>
      </c>
      <c r="J483" s="9" t="s">
        <v>425</v>
      </c>
      <c r="K483" s="30">
        <v>2</v>
      </c>
      <c r="L483" s="9" t="s">
        <v>427</v>
      </c>
      <c r="M483" s="30" t="s">
        <v>84</v>
      </c>
      <c r="N483" s="30" t="s">
        <v>151</v>
      </c>
      <c r="O483" s="24">
        <v>90</v>
      </c>
      <c r="P483" s="24">
        <v>0</v>
      </c>
      <c r="Q483" s="24">
        <v>0</v>
      </c>
      <c r="R483" s="24">
        <v>0</v>
      </c>
      <c r="S483" s="24">
        <v>0</v>
      </c>
      <c r="T483" s="24">
        <v>90</v>
      </c>
    </row>
    <row r="484" spans="1:20">
      <c r="A484" s="9" t="s">
        <v>394</v>
      </c>
      <c r="B484" s="30" t="s">
        <v>431</v>
      </c>
      <c r="C484" s="30" t="str">
        <f>CONCATENATE(VOL_VOLUMEN_SUMINISTROS[[#This Row],[Proyecto]],VOL_VOLUMEN_SUMINISTROS[[#This Row],[J]],VOL_VOLUMEN_SUMINISTROS[[#This Row],[FIN DE SEMANA]])</f>
        <v>1052-2TNO</v>
      </c>
      <c r="D484" s="360" t="str">
        <f>CONCATENATE(VOL_VOLUMEN_SUMINISTROS[[#This Row],[Grupo]],VOL_VOLUMEN_SUMINISTROS[[#This Row],[Proyecto]],VOL_VOLUMEN_SUMINISTROS[[#This Row],[FIN DE SEMANA]])</f>
        <v>251052-2NO</v>
      </c>
      <c r="E484" s="30" t="s">
        <v>182</v>
      </c>
      <c r="F484" s="30" t="s">
        <v>147</v>
      </c>
      <c r="G484" s="360">
        <v>25</v>
      </c>
      <c r="H484" s="30">
        <v>18</v>
      </c>
      <c r="I484" s="9" t="s">
        <v>307</v>
      </c>
      <c r="J484" s="9" t="s">
        <v>425</v>
      </c>
      <c r="K484" s="30">
        <v>2</v>
      </c>
      <c r="L484" s="9" t="s">
        <v>427</v>
      </c>
      <c r="M484" s="30" t="s">
        <v>84</v>
      </c>
      <c r="N484" s="30" t="s">
        <v>154</v>
      </c>
      <c r="O484" s="24">
        <v>50</v>
      </c>
      <c r="P484" s="24">
        <v>0</v>
      </c>
      <c r="Q484" s="24">
        <v>0</v>
      </c>
      <c r="R484" s="24">
        <v>0</v>
      </c>
      <c r="S484" s="24">
        <v>0</v>
      </c>
      <c r="T484" s="24">
        <v>50</v>
      </c>
    </row>
    <row r="485" spans="1:20">
      <c r="A485" s="9" t="s">
        <v>394</v>
      </c>
      <c r="B485" s="30" t="s">
        <v>431</v>
      </c>
      <c r="C485" s="30" t="str">
        <f>CONCATENATE(VOL_VOLUMEN_SUMINISTROS[[#This Row],[Proyecto]],VOL_VOLUMEN_SUMINISTROS[[#This Row],[J]],VOL_VOLUMEN_SUMINISTROS[[#This Row],[FIN DE SEMANA]])</f>
        <v>1052-2MNO</v>
      </c>
      <c r="D485" s="360" t="str">
        <f>CONCATENATE(VOL_VOLUMEN_SUMINISTROS[[#This Row],[Grupo]],VOL_VOLUMEN_SUMINISTROS[[#This Row],[Proyecto]],VOL_VOLUMEN_SUMINISTROS[[#This Row],[FIN DE SEMANA]])</f>
        <v>251052-2NO</v>
      </c>
      <c r="E485" s="30" t="s">
        <v>182</v>
      </c>
      <c r="F485" s="30" t="s">
        <v>147</v>
      </c>
      <c r="G485" s="360">
        <v>25</v>
      </c>
      <c r="H485" s="30">
        <v>18</v>
      </c>
      <c r="I485" s="9" t="s">
        <v>307</v>
      </c>
      <c r="J485" s="9" t="s">
        <v>425</v>
      </c>
      <c r="K485" s="30">
        <v>3</v>
      </c>
      <c r="L485" s="9" t="s">
        <v>428</v>
      </c>
      <c r="M485" s="30" t="s">
        <v>84</v>
      </c>
      <c r="N485" s="30" t="s">
        <v>151</v>
      </c>
      <c r="O485" s="24">
        <v>146</v>
      </c>
      <c r="P485" s="24">
        <v>99</v>
      </c>
      <c r="Q485" s="24">
        <v>17</v>
      </c>
      <c r="R485" s="24">
        <v>0</v>
      </c>
      <c r="S485" s="24">
        <v>0</v>
      </c>
      <c r="T485" s="24">
        <v>262</v>
      </c>
    </row>
    <row r="486" spans="1:20">
      <c r="A486" s="9" t="s">
        <v>394</v>
      </c>
      <c r="B486" s="30" t="s">
        <v>431</v>
      </c>
      <c r="C486" s="30" t="str">
        <f>CONCATENATE(VOL_VOLUMEN_SUMINISTROS[[#This Row],[Proyecto]],VOL_VOLUMEN_SUMINISTROS[[#This Row],[J]],VOL_VOLUMEN_SUMINISTROS[[#This Row],[FIN DE SEMANA]])</f>
        <v>1052-2MNO</v>
      </c>
      <c r="D486" s="360" t="str">
        <f>CONCATENATE(VOL_VOLUMEN_SUMINISTROS[[#This Row],[Grupo]],VOL_VOLUMEN_SUMINISTROS[[#This Row],[Proyecto]],VOL_VOLUMEN_SUMINISTROS[[#This Row],[FIN DE SEMANA]])</f>
        <v>251052-2NO</v>
      </c>
      <c r="E486" s="30" t="s">
        <v>182</v>
      </c>
      <c r="F486" s="30" t="s">
        <v>147</v>
      </c>
      <c r="G486" s="360">
        <v>25</v>
      </c>
      <c r="H486" s="30">
        <v>18</v>
      </c>
      <c r="I486" s="9" t="s">
        <v>307</v>
      </c>
      <c r="J486" s="9" t="s">
        <v>429</v>
      </c>
      <c r="K486" s="30">
        <v>1</v>
      </c>
      <c r="L486" s="9" t="s">
        <v>152</v>
      </c>
      <c r="M486" s="30" t="s">
        <v>84</v>
      </c>
      <c r="N486" s="30" t="s">
        <v>151</v>
      </c>
      <c r="O486" s="24">
        <v>200</v>
      </c>
      <c r="P486" s="24">
        <v>189</v>
      </c>
      <c r="Q486" s="24">
        <v>463</v>
      </c>
      <c r="R486" s="24">
        <v>0</v>
      </c>
      <c r="S486" s="24">
        <v>0</v>
      </c>
      <c r="T486" s="24">
        <v>852</v>
      </c>
    </row>
    <row r="487" spans="1:20">
      <c r="A487" s="9" t="s">
        <v>394</v>
      </c>
      <c r="B487" s="30" t="s">
        <v>431</v>
      </c>
      <c r="C487" s="30" t="str">
        <f>CONCATENATE(VOL_VOLUMEN_SUMINISTROS[[#This Row],[Proyecto]],VOL_VOLUMEN_SUMINISTROS[[#This Row],[J]],VOL_VOLUMEN_SUMINISTROS[[#This Row],[FIN DE SEMANA]])</f>
        <v>1052-2TNO</v>
      </c>
      <c r="D487" s="360" t="str">
        <f>CONCATENATE(VOL_VOLUMEN_SUMINISTROS[[#This Row],[Grupo]],VOL_VOLUMEN_SUMINISTROS[[#This Row],[Proyecto]],VOL_VOLUMEN_SUMINISTROS[[#This Row],[FIN DE SEMANA]])</f>
        <v>251052-2NO</v>
      </c>
      <c r="E487" s="30" t="s">
        <v>182</v>
      </c>
      <c r="F487" s="30" t="s">
        <v>147</v>
      </c>
      <c r="G487" s="360">
        <v>25</v>
      </c>
      <c r="H487" s="30">
        <v>18</v>
      </c>
      <c r="I487" s="9" t="s">
        <v>307</v>
      </c>
      <c r="J487" s="9" t="s">
        <v>429</v>
      </c>
      <c r="K487" s="30">
        <v>1</v>
      </c>
      <c r="L487" s="9" t="s">
        <v>430</v>
      </c>
      <c r="M487" s="30" t="s">
        <v>84</v>
      </c>
      <c r="N487" s="30" t="s">
        <v>154</v>
      </c>
      <c r="O487" s="24">
        <v>200</v>
      </c>
      <c r="P487" s="24">
        <v>189</v>
      </c>
      <c r="Q487" s="24">
        <v>483</v>
      </c>
      <c r="R487" s="24">
        <v>0</v>
      </c>
      <c r="S487" s="24">
        <v>0</v>
      </c>
      <c r="T487" s="24">
        <v>872</v>
      </c>
    </row>
    <row r="488" spans="1:20">
      <c r="A488" s="9" t="s">
        <v>432</v>
      </c>
      <c r="B488" s="30" t="s">
        <v>433</v>
      </c>
      <c r="C488" s="30" t="str">
        <f>CONCATENATE(VOL_VOLUMEN_SUMINISTROS[[#This Row],[Proyecto]],VOL_VOLUMEN_SUMINISTROS[[#This Row],[J]],VOL_VOLUMEN_SUMINISTROS[[#This Row],[FIN DE SEMANA]])</f>
        <v>1052-1MNO</v>
      </c>
      <c r="D488" s="360" t="str">
        <f>CONCATENATE(VOL_VOLUMEN_SUMINISTROS[[#This Row],[Grupo]],VOL_VOLUMEN_SUMINISTROS[[#This Row],[Proyecto]],VOL_VOLUMEN_SUMINISTROS[[#This Row],[FIN DE SEMANA]])</f>
        <v>71052-1NO</v>
      </c>
      <c r="E488" s="30" t="s">
        <v>146</v>
      </c>
      <c r="F488" s="30" t="s">
        <v>147</v>
      </c>
      <c r="G488" s="360">
        <v>7</v>
      </c>
      <c r="H488" s="30">
        <v>16</v>
      </c>
      <c r="I488" s="9" t="s">
        <v>434</v>
      </c>
      <c r="J488" s="9" t="s">
        <v>435</v>
      </c>
      <c r="K488" s="30">
        <v>1</v>
      </c>
      <c r="L488" s="9" t="s">
        <v>436</v>
      </c>
      <c r="M488" s="30" t="s">
        <v>84</v>
      </c>
      <c r="N488" s="30" t="s">
        <v>151</v>
      </c>
      <c r="O488" s="24">
        <v>179</v>
      </c>
      <c r="P488" s="24">
        <v>415</v>
      </c>
      <c r="Q488" s="24">
        <v>673</v>
      </c>
      <c r="R488" s="24">
        <v>0</v>
      </c>
      <c r="S488" s="24">
        <v>0</v>
      </c>
      <c r="T488" s="24">
        <v>1267</v>
      </c>
    </row>
    <row r="489" spans="1:20">
      <c r="A489" s="9" t="s">
        <v>432</v>
      </c>
      <c r="B489" s="30" t="s">
        <v>433</v>
      </c>
      <c r="C489" s="30" t="str">
        <f>CONCATENATE(VOL_VOLUMEN_SUMINISTROS[[#This Row],[Proyecto]],VOL_VOLUMEN_SUMINISTROS[[#This Row],[J]],VOL_VOLUMEN_SUMINISTROS[[#This Row],[FIN DE SEMANA]])</f>
        <v>1052-1NNO</v>
      </c>
      <c r="D489" s="360" t="str">
        <f>CONCATENATE(VOL_VOLUMEN_SUMINISTROS[[#This Row],[Grupo]],VOL_VOLUMEN_SUMINISTROS[[#This Row],[Proyecto]],VOL_VOLUMEN_SUMINISTROS[[#This Row],[FIN DE SEMANA]])</f>
        <v>71052-1NO</v>
      </c>
      <c r="E489" s="30" t="s">
        <v>146</v>
      </c>
      <c r="F489" s="30" t="s">
        <v>147</v>
      </c>
      <c r="G489" s="360">
        <v>7</v>
      </c>
      <c r="H489" s="30">
        <v>16</v>
      </c>
      <c r="I489" s="9" t="s">
        <v>434</v>
      </c>
      <c r="J489" s="9" t="s">
        <v>435</v>
      </c>
      <c r="K489" s="30">
        <v>1</v>
      </c>
      <c r="L489" s="9" t="s">
        <v>436</v>
      </c>
      <c r="M489" s="30" t="s">
        <v>84</v>
      </c>
      <c r="N489" s="30" t="s">
        <v>153</v>
      </c>
      <c r="O489" s="24">
        <v>0</v>
      </c>
      <c r="P489" s="24">
        <v>0</v>
      </c>
      <c r="Q489" s="24">
        <v>0</v>
      </c>
      <c r="R489" s="24">
        <v>82</v>
      </c>
      <c r="S489" s="24">
        <v>66</v>
      </c>
      <c r="T489" s="24">
        <v>148</v>
      </c>
    </row>
    <row r="490" spans="1:20">
      <c r="A490" s="9" t="s">
        <v>432</v>
      </c>
      <c r="B490" s="30" t="s">
        <v>433</v>
      </c>
      <c r="C490" s="30" t="str">
        <f>CONCATENATE(VOL_VOLUMEN_SUMINISTROS[[#This Row],[Proyecto]],VOL_VOLUMEN_SUMINISTROS[[#This Row],[J]],VOL_VOLUMEN_SUMINISTROS[[#This Row],[FIN DE SEMANA]])</f>
        <v>1052-1TNO</v>
      </c>
      <c r="D490" s="360" t="str">
        <f>CONCATENATE(VOL_VOLUMEN_SUMINISTROS[[#This Row],[Grupo]],VOL_VOLUMEN_SUMINISTROS[[#This Row],[Proyecto]],VOL_VOLUMEN_SUMINISTROS[[#This Row],[FIN DE SEMANA]])</f>
        <v>71052-1NO</v>
      </c>
      <c r="E490" s="30" t="s">
        <v>146</v>
      </c>
      <c r="F490" s="30" t="s">
        <v>147</v>
      </c>
      <c r="G490" s="360">
        <v>7</v>
      </c>
      <c r="H490" s="30">
        <v>16</v>
      </c>
      <c r="I490" s="9" t="s">
        <v>434</v>
      </c>
      <c r="J490" s="9" t="s">
        <v>435</v>
      </c>
      <c r="K490" s="30">
        <v>1</v>
      </c>
      <c r="L490" s="9" t="s">
        <v>436</v>
      </c>
      <c r="M490" s="30" t="s">
        <v>84</v>
      </c>
      <c r="N490" s="30" t="s">
        <v>154</v>
      </c>
      <c r="O490" s="24">
        <v>190</v>
      </c>
      <c r="P490" s="24">
        <v>243</v>
      </c>
      <c r="Q490" s="24">
        <v>471</v>
      </c>
      <c r="R490" s="24">
        <v>0</v>
      </c>
      <c r="S490" s="24">
        <v>0</v>
      </c>
      <c r="T490" s="24">
        <v>904</v>
      </c>
    </row>
    <row r="491" spans="1:20">
      <c r="A491" s="9" t="s">
        <v>432</v>
      </c>
      <c r="B491" s="30" t="s">
        <v>433</v>
      </c>
      <c r="C491" s="30" t="str">
        <f>CONCATENATE(VOL_VOLUMEN_SUMINISTROS[[#This Row],[Proyecto]],VOL_VOLUMEN_SUMINISTROS[[#This Row],[J]],VOL_VOLUMEN_SUMINISTROS[[#This Row],[FIN DE SEMANA]])</f>
        <v>1052-1MNO</v>
      </c>
      <c r="D491" s="360" t="str">
        <f>CONCATENATE(VOL_VOLUMEN_SUMINISTROS[[#This Row],[Grupo]],VOL_VOLUMEN_SUMINISTROS[[#This Row],[Proyecto]],VOL_VOLUMEN_SUMINISTROS[[#This Row],[FIN DE SEMANA]])</f>
        <v>71052-1NO</v>
      </c>
      <c r="E491" s="30" t="s">
        <v>146</v>
      </c>
      <c r="F491" s="30" t="s">
        <v>147</v>
      </c>
      <c r="G491" s="360">
        <v>7</v>
      </c>
      <c r="H491" s="30">
        <v>16</v>
      </c>
      <c r="I491" s="9" t="s">
        <v>434</v>
      </c>
      <c r="J491" s="9" t="s">
        <v>437</v>
      </c>
      <c r="K491" s="30">
        <v>1</v>
      </c>
      <c r="L491" s="9" t="s">
        <v>438</v>
      </c>
      <c r="M491" s="30" t="s">
        <v>84</v>
      </c>
      <c r="N491" s="30" t="s">
        <v>151</v>
      </c>
      <c r="O491" s="24">
        <v>107</v>
      </c>
      <c r="P491" s="24">
        <v>28</v>
      </c>
      <c r="Q491" s="24">
        <v>0</v>
      </c>
      <c r="R491" s="24">
        <v>0</v>
      </c>
      <c r="S491" s="24">
        <v>0</v>
      </c>
      <c r="T491" s="24">
        <v>135</v>
      </c>
    </row>
    <row r="492" spans="1:20">
      <c r="A492" s="9" t="s">
        <v>432</v>
      </c>
      <c r="B492" s="30" t="s">
        <v>433</v>
      </c>
      <c r="C492" s="30" t="str">
        <f>CONCATENATE(VOL_VOLUMEN_SUMINISTROS[[#This Row],[Proyecto]],VOL_VOLUMEN_SUMINISTROS[[#This Row],[J]],VOL_VOLUMEN_SUMINISTROS[[#This Row],[FIN DE SEMANA]])</f>
        <v>1052-1TNO</v>
      </c>
      <c r="D492" s="360" t="str">
        <f>CONCATENATE(VOL_VOLUMEN_SUMINISTROS[[#This Row],[Grupo]],VOL_VOLUMEN_SUMINISTROS[[#This Row],[Proyecto]],VOL_VOLUMEN_SUMINISTROS[[#This Row],[FIN DE SEMANA]])</f>
        <v>71052-1NO</v>
      </c>
      <c r="E492" s="30" t="s">
        <v>146</v>
      </c>
      <c r="F492" s="30" t="s">
        <v>147</v>
      </c>
      <c r="G492" s="360">
        <v>7</v>
      </c>
      <c r="H492" s="30">
        <v>16</v>
      </c>
      <c r="I492" s="9" t="s">
        <v>434</v>
      </c>
      <c r="J492" s="9" t="s">
        <v>437</v>
      </c>
      <c r="K492" s="30">
        <v>1</v>
      </c>
      <c r="L492" s="9" t="s">
        <v>439</v>
      </c>
      <c r="M492" s="30" t="s">
        <v>84</v>
      </c>
      <c r="N492" s="30" t="s">
        <v>154</v>
      </c>
      <c r="O492" s="24">
        <v>0</v>
      </c>
      <c r="P492" s="24">
        <v>57</v>
      </c>
      <c r="Q492" s="24">
        <v>19</v>
      </c>
      <c r="R492" s="24">
        <v>0</v>
      </c>
      <c r="S492" s="24">
        <v>0</v>
      </c>
      <c r="T492" s="24">
        <v>76</v>
      </c>
    </row>
    <row r="493" spans="1:20">
      <c r="A493" s="9" t="s">
        <v>432</v>
      </c>
      <c r="B493" s="30" t="s">
        <v>433</v>
      </c>
      <c r="C493" s="30" t="str">
        <f>CONCATENATE(VOL_VOLUMEN_SUMINISTROS[[#This Row],[Proyecto]],VOL_VOLUMEN_SUMINISTROS[[#This Row],[J]],VOL_VOLUMEN_SUMINISTROS[[#This Row],[FIN DE SEMANA]])</f>
        <v>1052-1MNO</v>
      </c>
      <c r="D493" s="360" t="str">
        <f>CONCATENATE(VOL_VOLUMEN_SUMINISTROS[[#This Row],[Grupo]],VOL_VOLUMEN_SUMINISTROS[[#This Row],[Proyecto]],VOL_VOLUMEN_SUMINISTROS[[#This Row],[FIN DE SEMANA]])</f>
        <v>71052-1NO</v>
      </c>
      <c r="E493" s="30" t="s">
        <v>146</v>
      </c>
      <c r="F493" s="30" t="s">
        <v>147</v>
      </c>
      <c r="G493" s="360">
        <v>7</v>
      </c>
      <c r="H493" s="30">
        <v>16</v>
      </c>
      <c r="I493" s="9" t="s">
        <v>434</v>
      </c>
      <c r="J493" s="9" t="s">
        <v>437</v>
      </c>
      <c r="K493" s="30">
        <v>2</v>
      </c>
      <c r="L493" s="9" t="s">
        <v>438</v>
      </c>
      <c r="M493" s="30" t="s">
        <v>84</v>
      </c>
      <c r="N493" s="30" t="s">
        <v>151</v>
      </c>
      <c r="O493" s="24">
        <v>28</v>
      </c>
      <c r="P493" s="24">
        <v>74</v>
      </c>
      <c r="Q493" s="24">
        <v>20</v>
      </c>
      <c r="R493" s="24">
        <v>0</v>
      </c>
      <c r="S493" s="24">
        <v>0</v>
      </c>
      <c r="T493" s="24">
        <v>122</v>
      </c>
    </row>
    <row r="494" spans="1:20">
      <c r="A494" s="9" t="s">
        <v>432</v>
      </c>
      <c r="B494" s="30" t="s">
        <v>433</v>
      </c>
      <c r="C494" s="30" t="str">
        <f>CONCATENATE(VOL_VOLUMEN_SUMINISTROS[[#This Row],[Proyecto]],VOL_VOLUMEN_SUMINISTROS[[#This Row],[J]],VOL_VOLUMEN_SUMINISTROS[[#This Row],[FIN DE SEMANA]])</f>
        <v>1052-1TNO</v>
      </c>
      <c r="D494" s="360" t="str">
        <f>CONCATENATE(VOL_VOLUMEN_SUMINISTROS[[#This Row],[Grupo]],VOL_VOLUMEN_SUMINISTROS[[#This Row],[Proyecto]],VOL_VOLUMEN_SUMINISTROS[[#This Row],[FIN DE SEMANA]])</f>
        <v>71052-1NO</v>
      </c>
      <c r="E494" s="30" t="s">
        <v>146</v>
      </c>
      <c r="F494" s="30" t="s">
        <v>147</v>
      </c>
      <c r="G494" s="360">
        <v>7</v>
      </c>
      <c r="H494" s="30">
        <v>16</v>
      </c>
      <c r="I494" s="9" t="s">
        <v>434</v>
      </c>
      <c r="J494" s="9" t="s">
        <v>437</v>
      </c>
      <c r="K494" s="30">
        <v>2</v>
      </c>
      <c r="L494" s="9" t="s">
        <v>438</v>
      </c>
      <c r="M494" s="30" t="s">
        <v>84</v>
      </c>
      <c r="N494" s="30" t="s">
        <v>154</v>
      </c>
      <c r="O494" s="24">
        <v>0</v>
      </c>
      <c r="P494" s="24">
        <v>24</v>
      </c>
      <c r="Q494" s="24">
        <v>70</v>
      </c>
      <c r="R494" s="24">
        <v>0</v>
      </c>
      <c r="S494" s="24">
        <v>0</v>
      </c>
      <c r="T494" s="24">
        <v>94</v>
      </c>
    </row>
    <row r="495" spans="1:20">
      <c r="A495" s="9" t="s">
        <v>432</v>
      </c>
      <c r="B495" s="30" t="s">
        <v>433</v>
      </c>
      <c r="C495" s="30" t="str">
        <f>CONCATENATE(VOL_VOLUMEN_SUMINISTROS[[#This Row],[Proyecto]],VOL_VOLUMEN_SUMINISTROS[[#This Row],[J]],VOL_VOLUMEN_SUMINISTROS[[#This Row],[FIN DE SEMANA]])</f>
        <v>1052-1MNO</v>
      </c>
      <c r="D495" s="360" t="str">
        <f>CONCATENATE(VOL_VOLUMEN_SUMINISTROS[[#This Row],[Grupo]],VOL_VOLUMEN_SUMINISTROS[[#This Row],[Proyecto]],VOL_VOLUMEN_SUMINISTROS[[#This Row],[FIN DE SEMANA]])</f>
        <v>101052-1NO</v>
      </c>
      <c r="E495" s="30" t="s">
        <v>146</v>
      </c>
      <c r="F495" s="30" t="s">
        <v>147</v>
      </c>
      <c r="G495" s="360">
        <v>10</v>
      </c>
      <c r="H495" s="30">
        <v>8</v>
      </c>
      <c r="I495" s="9" t="s">
        <v>148</v>
      </c>
      <c r="J495" s="9" t="s">
        <v>440</v>
      </c>
      <c r="K495" s="30">
        <v>1</v>
      </c>
      <c r="L495" s="9" t="s">
        <v>441</v>
      </c>
      <c r="M495" s="30" t="s">
        <v>84</v>
      </c>
      <c r="N495" s="30" t="s">
        <v>151</v>
      </c>
      <c r="O495" s="24">
        <v>0</v>
      </c>
      <c r="P495" s="24">
        <v>210</v>
      </c>
      <c r="Q495" s="24">
        <v>404</v>
      </c>
      <c r="R495" s="24">
        <v>0</v>
      </c>
      <c r="S495" s="24">
        <v>0</v>
      </c>
      <c r="T495" s="24">
        <v>614</v>
      </c>
    </row>
    <row r="496" spans="1:20">
      <c r="A496" s="9" t="s">
        <v>432</v>
      </c>
      <c r="B496" s="30" t="s">
        <v>433</v>
      </c>
      <c r="C496" s="30" t="str">
        <f>CONCATENATE(VOL_VOLUMEN_SUMINISTROS[[#This Row],[Proyecto]],VOL_VOLUMEN_SUMINISTROS[[#This Row],[J]],VOL_VOLUMEN_SUMINISTROS[[#This Row],[FIN DE SEMANA]])</f>
        <v>1052-1TNO</v>
      </c>
      <c r="D496" s="360" t="str">
        <f>CONCATENATE(VOL_VOLUMEN_SUMINISTROS[[#This Row],[Grupo]],VOL_VOLUMEN_SUMINISTROS[[#This Row],[Proyecto]],VOL_VOLUMEN_SUMINISTROS[[#This Row],[FIN DE SEMANA]])</f>
        <v>101052-1NO</v>
      </c>
      <c r="E496" s="30" t="s">
        <v>146</v>
      </c>
      <c r="F496" s="30" t="s">
        <v>147</v>
      </c>
      <c r="G496" s="360">
        <v>10</v>
      </c>
      <c r="H496" s="30">
        <v>8</v>
      </c>
      <c r="I496" s="9" t="s">
        <v>148</v>
      </c>
      <c r="J496" s="9" t="s">
        <v>440</v>
      </c>
      <c r="K496" s="30">
        <v>1</v>
      </c>
      <c r="L496" s="9" t="s">
        <v>441</v>
      </c>
      <c r="M496" s="30" t="s">
        <v>84</v>
      </c>
      <c r="N496" s="30" t="s">
        <v>154</v>
      </c>
      <c r="O496" s="24">
        <v>0</v>
      </c>
      <c r="P496" s="24">
        <v>207</v>
      </c>
      <c r="Q496" s="24">
        <v>403</v>
      </c>
      <c r="R496" s="24">
        <v>0</v>
      </c>
      <c r="S496" s="24">
        <v>0</v>
      </c>
      <c r="T496" s="24">
        <v>610</v>
      </c>
    </row>
    <row r="497" spans="1:20">
      <c r="A497" s="9" t="s">
        <v>432</v>
      </c>
      <c r="B497" s="30" t="s">
        <v>433</v>
      </c>
      <c r="C497" s="30" t="str">
        <f>CONCATENATE(VOL_VOLUMEN_SUMINISTROS[[#This Row],[Proyecto]],VOL_VOLUMEN_SUMINISTROS[[#This Row],[J]],VOL_VOLUMEN_SUMINISTROS[[#This Row],[FIN DE SEMANA]])</f>
        <v>1052-1MNO</v>
      </c>
      <c r="D497" s="360" t="str">
        <f>CONCATENATE(VOL_VOLUMEN_SUMINISTROS[[#This Row],[Grupo]],VOL_VOLUMEN_SUMINISTROS[[#This Row],[Proyecto]],VOL_VOLUMEN_SUMINISTROS[[#This Row],[FIN DE SEMANA]])</f>
        <v>101052-1NO</v>
      </c>
      <c r="E497" s="30" t="s">
        <v>146</v>
      </c>
      <c r="F497" s="30" t="s">
        <v>147</v>
      </c>
      <c r="G497" s="360">
        <v>10</v>
      </c>
      <c r="H497" s="30">
        <v>8</v>
      </c>
      <c r="I497" s="9" t="s">
        <v>148</v>
      </c>
      <c r="J497" s="9" t="s">
        <v>440</v>
      </c>
      <c r="K497" s="30">
        <v>2</v>
      </c>
      <c r="L497" s="9" t="s">
        <v>442</v>
      </c>
      <c r="M497" s="30" t="s">
        <v>84</v>
      </c>
      <c r="N497" s="30" t="s">
        <v>151</v>
      </c>
      <c r="O497" s="24">
        <v>120</v>
      </c>
      <c r="P497" s="24">
        <v>141</v>
      </c>
      <c r="Q497" s="24">
        <v>27</v>
      </c>
      <c r="R497" s="24">
        <v>0</v>
      </c>
      <c r="S497" s="24">
        <v>0</v>
      </c>
      <c r="T497" s="24">
        <v>288</v>
      </c>
    </row>
    <row r="498" spans="1:20">
      <c r="A498" s="9" t="s">
        <v>432</v>
      </c>
      <c r="B498" s="30" t="s">
        <v>433</v>
      </c>
      <c r="C498" s="30" t="str">
        <f>CONCATENATE(VOL_VOLUMEN_SUMINISTROS[[#This Row],[Proyecto]],VOL_VOLUMEN_SUMINISTROS[[#This Row],[J]],VOL_VOLUMEN_SUMINISTROS[[#This Row],[FIN DE SEMANA]])</f>
        <v>1052-1TNO</v>
      </c>
      <c r="D498" s="360" t="str">
        <f>CONCATENATE(VOL_VOLUMEN_SUMINISTROS[[#This Row],[Grupo]],VOL_VOLUMEN_SUMINISTROS[[#This Row],[Proyecto]],VOL_VOLUMEN_SUMINISTROS[[#This Row],[FIN DE SEMANA]])</f>
        <v>101052-1NO</v>
      </c>
      <c r="E498" s="30" t="s">
        <v>146</v>
      </c>
      <c r="F498" s="30" t="s">
        <v>147</v>
      </c>
      <c r="G498" s="360">
        <v>10</v>
      </c>
      <c r="H498" s="30">
        <v>8</v>
      </c>
      <c r="I498" s="9" t="s">
        <v>148</v>
      </c>
      <c r="J498" s="9" t="s">
        <v>440</v>
      </c>
      <c r="K498" s="30">
        <v>2</v>
      </c>
      <c r="L498" s="9" t="s">
        <v>442</v>
      </c>
      <c r="M498" s="30" t="s">
        <v>84</v>
      </c>
      <c r="N498" s="30" t="s">
        <v>154</v>
      </c>
      <c r="O498" s="24">
        <v>118</v>
      </c>
      <c r="P498" s="24">
        <v>140</v>
      </c>
      <c r="Q498" s="24">
        <v>27</v>
      </c>
      <c r="R498" s="24">
        <v>0</v>
      </c>
      <c r="S498" s="24">
        <v>0</v>
      </c>
      <c r="T498" s="24">
        <v>285</v>
      </c>
    </row>
    <row r="499" spans="1:20">
      <c r="A499" s="9" t="s">
        <v>432</v>
      </c>
      <c r="B499" s="30" t="s">
        <v>433</v>
      </c>
      <c r="C499" s="30" t="str">
        <f>CONCATENATE(VOL_VOLUMEN_SUMINISTROS[[#This Row],[Proyecto]],VOL_VOLUMEN_SUMINISTROS[[#This Row],[J]],VOL_VOLUMEN_SUMINISTROS[[#This Row],[FIN DE SEMANA]])</f>
        <v>1052-1MNO</v>
      </c>
      <c r="D499" s="360" t="str">
        <f>CONCATENATE(VOL_VOLUMEN_SUMINISTROS[[#This Row],[Grupo]],VOL_VOLUMEN_SUMINISTROS[[#This Row],[Proyecto]],VOL_VOLUMEN_SUMINISTROS[[#This Row],[FIN DE SEMANA]])</f>
        <v>101052-1NO</v>
      </c>
      <c r="E499" s="30" t="s">
        <v>146</v>
      </c>
      <c r="F499" s="30" t="s">
        <v>147</v>
      </c>
      <c r="G499" s="360">
        <v>10</v>
      </c>
      <c r="H499" s="30">
        <v>8</v>
      </c>
      <c r="I499" s="9" t="s">
        <v>148</v>
      </c>
      <c r="J499" s="9" t="s">
        <v>440</v>
      </c>
      <c r="K499" s="30">
        <v>3</v>
      </c>
      <c r="L499" s="9" t="s">
        <v>443</v>
      </c>
      <c r="M499" s="30" t="s">
        <v>84</v>
      </c>
      <c r="N499" s="30" t="s">
        <v>151</v>
      </c>
      <c r="O499" s="24">
        <v>101</v>
      </c>
      <c r="P499" s="24">
        <v>13</v>
      </c>
      <c r="Q499" s="24">
        <v>0</v>
      </c>
      <c r="R499" s="24">
        <v>0</v>
      </c>
      <c r="S499" s="24">
        <v>0</v>
      </c>
      <c r="T499" s="24">
        <v>114</v>
      </c>
    </row>
    <row r="500" spans="1:20">
      <c r="A500" s="9" t="s">
        <v>432</v>
      </c>
      <c r="B500" s="30" t="s">
        <v>433</v>
      </c>
      <c r="C500" s="30" t="str">
        <f>CONCATENATE(VOL_VOLUMEN_SUMINISTROS[[#This Row],[Proyecto]],VOL_VOLUMEN_SUMINISTROS[[#This Row],[J]],VOL_VOLUMEN_SUMINISTROS[[#This Row],[FIN DE SEMANA]])</f>
        <v>1052-1TNO</v>
      </c>
      <c r="D500" s="360" t="str">
        <f>CONCATENATE(VOL_VOLUMEN_SUMINISTROS[[#This Row],[Grupo]],VOL_VOLUMEN_SUMINISTROS[[#This Row],[Proyecto]],VOL_VOLUMEN_SUMINISTROS[[#This Row],[FIN DE SEMANA]])</f>
        <v>101052-1NO</v>
      </c>
      <c r="E500" s="30" t="s">
        <v>146</v>
      </c>
      <c r="F500" s="30" t="s">
        <v>147</v>
      </c>
      <c r="G500" s="360">
        <v>10</v>
      </c>
      <c r="H500" s="30">
        <v>8</v>
      </c>
      <c r="I500" s="9" t="s">
        <v>148</v>
      </c>
      <c r="J500" s="9" t="s">
        <v>440</v>
      </c>
      <c r="K500" s="30">
        <v>3</v>
      </c>
      <c r="L500" s="9" t="s">
        <v>443</v>
      </c>
      <c r="M500" s="30" t="s">
        <v>84</v>
      </c>
      <c r="N500" s="30" t="s">
        <v>154</v>
      </c>
      <c r="O500" s="24">
        <v>99</v>
      </c>
      <c r="P500" s="24">
        <v>12</v>
      </c>
      <c r="Q500" s="24">
        <v>0</v>
      </c>
      <c r="R500" s="24">
        <v>0</v>
      </c>
      <c r="S500" s="24">
        <v>0</v>
      </c>
      <c r="T500" s="24">
        <v>111</v>
      </c>
    </row>
    <row r="501" spans="1:20">
      <c r="A501" s="9" t="s">
        <v>432</v>
      </c>
      <c r="B501" s="30" t="s">
        <v>433</v>
      </c>
      <c r="C501" s="30" t="str">
        <f>CONCATENATE(VOL_VOLUMEN_SUMINISTROS[[#This Row],[Proyecto]],VOL_VOLUMEN_SUMINISTROS[[#This Row],[J]],VOL_VOLUMEN_SUMINISTROS[[#This Row],[FIN DE SEMANA]])</f>
        <v>1052-1MNO</v>
      </c>
      <c r="D501" s="360" t="str">
        <f>CONCATENATE(VOL_VOLUMEN_SUMINISTROS[[#This Row],[Grupo]],VOL_VOLUMEN_SUMINISTROS[[#This Row],[Proyecto]],VOL_VOLUMEN_SUMINISTROS[[#This Row],[FIN DE SEMANA]])</f>
        <v>11052-1NO</v>
      </c>
      <c r="E501" s="30" t="s">
        <v>146</v>
      </c>
      <c r="F501" s="30" t="s">
        <v>147</v>
      </c>
      <c r="G501" s="360">
        <v>1</v>
      </c>
      <c r="H501" s="30">
        <v>8</v>
      </c>
      <c r="I501" s="9" t="s">
        <v>148</v>
      </c>
      <c r="J501" s="9" t="s">
        <v>444</v>
      </c>
      <c r="K501" s="30">
        <v>1</v>
      </c>
      <c r="L501" s="9" t="s">
        <v>445</v>
      </c>
      <c r="M501" s="30" t="s">
        <v>84</v>
      </c>
      <c r="N501" s="30" t="s">
        <v>151</v>
      </c>
      <c r="O501" s="24">
        <v>185</v>
      </c>
      <c r="P501" s="24">
        <v>380</v>
      </c>
      <c r="Q501" s="24">
        <v>648</v>
      </c>
      <c r="R501" s="24">
        <v>0</v>
      </c>
      <c r="S501" s="24">
        <v>0</v>
      </c>
      <c r="T501" s="24">
        <v>1213</v>
      </c>
    </row>
    <row r="502" spans="1:20">
      <c r="A502" s="9" t="s">
        <v>432</v>
      </c>
      <c r="B502" s="30" t="s">
        <v>433</v>
      </c>
      <c r="C502" s="30" t="str">
        <f>CONCATENATE(VOL_VOLUMEN_SUMINISTROS[[#This Row],[Proyecto]],VOL_VOLUMEN_SUMINISTROS[[#This Row],[J]],VOL_VOLUMEN_SUMINISTROS[[#This Row],[FIN DE SEMANA]])</f>
        <v>1052-1NNO</v>
      </c>
      <c r="D502" s="360" t="str">
        <f>CONCATENATE(VOL_VOLUMEN_SUMINISTROS[[#This Row],[Grupo]],VOL_VOLUMEN_SUMINISTROS[[#This Row],[Proyecto]],VOL_VOLUMEN_SUMINISTROS[[#This Row],[FIN DE SEMANA]])</f>
        <v>11052-1NO</v>
      </c>
      <c r="E502" s="30" t="s">
        <v>146</v>
      </c>
      <c r="F502" s="30" t="s">
        <v>147</v>
      </c>
      <c r="G502" s="360">
        <v>1</v>
      </c>
      <c r="H502" s="30">
        <v>8</v>
      </c>
      <c r="I502" s="9" t="s">
        <v>148</v>
      </c>
      <c r="J502" s="9" t="s">
        <v>444</v>
      </c>
      <c r="K502" s="30">
        <v>1</v>
      </c>
      <c r="L502" s="9" t="s">
        <v>445</v>
      </c>
      <c r="M502" s="30" t="s">
        <v>84</v>
      </c>
      <c r="N502" s="30" t="s">
        <v>153</v>
      </c>
      <c r="O502" s="24">
        <v>0</v>
      </c>
      <c r="P502" s="24">
        <v>0</v>
      </c>
      <c r="Q502" s="24">
        <v>0</v>
      </c>
      <c r="R502" s="24">
        <v>180</v>
      </c>
      <c r="S502" s="24">
        <v>180</v>
      </c>
      <c r="T502" s="24">
        <v>360</v>
      </c>
    </row>
    <row r="503" spans="1:20">
      <c r="A503" s="9" t="s">
        <v>432</v>
      </c>
      <c r="B503" s="30" t="s">
        <v>433</v>
      </c>
      <c r="C503" s="30" t="str">
        <f>CONCATENATE(VOL_VOLUMEN_SUMINISTROS[[#This Row],[Proyecto]],VOL_VOLUMEN_SUMINISTROS[[#This Row],[J]],VOL_VOLUMEN_SUMINISTROS[[#This Row],[FIN DE SEMANA]])</f>
        <v>1052-1TNO</v>
      </c>
      <c r="D503" s="360" t="str">
        <f>CONCATENATE(VOL_VOLUMEN_SUMINISTROS[[#This Row],[Grupo]],VOL_VOLUMEN_SUMINISTROS[[#This Row],[Proyecto]],VOL_VOLUMEN_SUMINISTROS[[#This Row],[FIN DE SEMANA]])</f>
        <v>11052-1NO</v>
      </c>
      <c r="E503" s="30" t="s">
        <v>146</v>
      </c>
      <c r="F503" s="30" t="s">
        <v>147</v>
      </c>
      <c r="G503" s="360">
        <v>1</v>
      </c>
      <c r="H503" s="30">
        <v>8</v>
      </c>
      <c r="I503" s="9" t="s">
        <v>148</v>
      </c>
      <c r="J503" s="9" t="s">
        <v>444</v>
      </c>
      <c r="K503" s="30">
        <v>1</v>
      </c>
      <c r="L503" s="9" t="s">
        <v>445</v>
      </c>
      <c r="M503" s="30" t="s">
        <v>84</v>
      </c>
      <c r="N503" s="30" t="s">
        <v>154</v>
      </c>
      <c r="O503" s="24">
        <v>165</v>
      </c>
      <c r="P503" s="24">
        <v>443</v>
      </c>
      <c r="Q503" s="24">
        <v>399</v>
      </c>
      <c r="R503" s="24">
        <v>0</v>
      </c>
      <c r="S503" s="24">
        <v>0</v>
      </c>
      <c r="T503" s="24">
        <v>1007</v>
      </c>
    </row>
    <row r="504" spans="1:20">
      <c r="A504" s="9" t="s">
        <v>432</v>
      </c>
      <c r="B504" s="30" t="s">
        <v>433</v>
      </c>
      <c r="C504" s="30" t="str">
        <f>CONCATENATE(VOL_VOLUMEN_SUMINISTROS[[#This Row],[Proyecto]],VOL_VOLUMEN_SUMINISTROS[[#This Row],[J]],VOL_VOLUMEN_SUMINISTROS[[#This Row],[FIN DE SEMANA]])</f>
        <v>1052-1MNO</v>
      </c>
      <c r="D504" s="360" t="str">
        <f>CONCATENATE(VOL_VOLUMEN_SUMINISTROS[[#This Row],[Grupo]],VOL_VOLUMEN_SUMINISTROS[[#This Row],[Proyecto]],VOL_VOLUMEN_SUMINISTROS[[#This Row],[FIN DE SEMANA]])</f>
        <v>11052-1NO</v>
      </c>
      <c r="E504" s="30" t="s">
        <v>146</v>
      </c>
      <c r="F504" s="30" t="s">
        <v>147</v>
      </c>
      <c r="G504" s="360">
        <v>1</v>
      </c>
      <c r="H504" s="30">
        <v>8</v>
      </c>
      <c r="I504" s="9" t="s">
        <v>148</v>
      </c>
      <c r="J504" s="9" t="s">
        <v>444</v>
      </c>
      <c r="K504" s="30">
        <v>2</v>
      </c>
      <c r="L504" s="9" t="s">
        <v>446</v>
      </c>
      <c r="M504" s="30" t="s">
        <v>84</v>
      </c>
      <c r="N504" s="30" t="s">
        <v>151</v>
      </c>
      <c r="O504" s="24">
        <v>95</v>
      </c>
      <c r="P504" s="24">
        <v>86</v>
      </c>
      <c r="Q504" s="24">
        <v>17</v>
      </c>
      <c r="R504" s="24">
        <v>0</v>
      </c>
      <c r="S504" s="24">
        <v>0</v>
      </c>
      <c r="T504" s="24">
        <v>198</v>
      </c>
    </row>
    <row r="505" spans="1:20">
      <c r="A505" s="9" t="s">
        <v>432</v>
      </c>
      <c r="B505" s="30" t="s">
        <v>433</v>
      </c>
      <c r="C505" s="30" t="str">
        <f>CONCATENATE(VOL_VOLUMEN_SUMINISTROS[[#This Row],[Proyecto]],VOL_VOLUMEN_SUMINISTROS[[#This Row],[J]],VOL_VOLUMEN_SUMINISTROS[[#This Row],[FIN DE SEMANA]])</f>
        <v>1052-1TNO</v>
      </c>
      <c r="D505" s="360" t="str">
        <f>CONCATENATE(VOL_VOLUMEN_SUMINISTROS[[#This Row],[Grupo]],VOL_VOLUMEN_SUMINISTROS[[#This Row],[Proyecto]],VOL_VOLUMEN_SUMINISTROS[[#This Row],[FIN DE SEMANA]])</f>
        <v>11052-1NO</v>
      </c>
      <c r="E505" s="30" t="s">
        <v>146</v>
      </c>
      <c r="F505" s="30" t="s">
        <v>147</v>
      </c>
      <c r="G505" s="360">
        <v>1</v>
      </c>
      <c r="H505" s="30">
        <v>8</v>
      </c>
      <c r="I505" s="9" t="s">
        <v>148</v>
      </c>
      <c r="J505" s="9" t="s">
        <v>444</v>
      </c>
      <c r="K505" s="30">
        <v>2</v>
      </c>
      <c r="L505" s="9" t="s">
        <v>446</v>
      </c>
      <c r="M505" s="30" t="s">
        <v>84</v>
      </c>
      <c r="N505" s="30" t="s">
        <v>154</v>
      </c>
      <c r="O505" s="24">
        <v>100</v>
      </c>
      <c r="P505" s="24">
        <v>89</v>
      </c>
      <c r="Q505" s="24">
        <v>18</v>
      </c>
      <c r="R505" s="24">
        <v>0</v>
      </c>
      <c r="S505" s="24">
        <v>0</v>
      </c>
      <c r="T505" s="24">
        <v>207</v>
      </c>
    </row>
    <row r="506" spans="1:20">
      <c r="A506" s="9" t="s">
        <v>432</v>
      </c>
      <c r="B506" s="30" t="s">
        <v>433</v>
      </c>
      <c r="C506" s="30" t="str">
        <f>CONCATENATE(VOL_VOLUMEN_SUMINISTROS[[#This Row],[Proyecto]],VOL_VOLUMEN_SUMINISTROS[[#This Row],[J]],VOL_VOLUMEN_SUMINISTROS[[#This Row],[FIN DE SEMANA]])</f>
        <v>1052-1MNO</v>
      </c>
      <c r="D506" s="360" t="str">
        <f>CONCATENATE(VOL_VOLUMEN_SUMINISTROS[[#This Row],[Grupo]],VOL_VOLUMEN_SUMINISTROS[[#This Row],[Proyecto]],VOL_VOLUMEN_SUMINISTROS[[#This Row],[FIN DE SEMANA]])</f>
        <v>11052-1NO</v>
      </c>
      <c r="E506" s="30" t="s">
        <v>146</v>
      </c>
      <c r="F506" s="30" t="s">
        <v>147</v>
      </c>
      <c r="G506" s="360">
        <v>1</v>
      </c>
      <c r="H506" s="30">
        <v>8</v>
      </c>
      <c r="I506" s="9" t="s">
        <v>148</v>
      </c>
      <c r="J506" s="9" t="s">
        <v>444</v>
      </c>
      <c r="K506" s="30">
        <v>3</v>
      </c>
      <c r="L506" s="9" t="s">
        <v>447</v>
      </c>
      <c r="M506" s="30" t="s">
        <v>84</v>
      </c>
      <c r="N506" s="30" t="s">
        <v>151</v>
      </c>
      <c r="O506" s="24">
        <v>95</v>
      </c>
      <c r="P506" s="24">
        <v>89</v>
      </c>
      <c r="Q506" s="24">
        <v>18</v>
      </c>
      <c r="R506" s="24">
        <v>0</v>
      </c>
      <c r="S506" s="24">
        <v>0</v>
      </c>
      <c r="T506" s="24">
        <v>202</v>
      </c>
    </row>
    <row r="507" spans="1:20">
      <c r="A507" s="9" t="s">
        <v>432</v>
      </c>
      <c r="B507" s="30" t="s">
        <v>433</v>
      </c>
      <c r="C507" s="30" t="str">
        <f>CONCATENATE(VOL_VOLUMEN_SUMINISTROS[[#This Row],[Proyecto]],VOL_VOLUMEN_SUMINISTROS[[#This Row],[J]],VOL_VOLUMEN_SUMINISTROS[[#This Row],[FIN DE SEMANA]])</f>
        <v>1052-1TNO</v>
      </c>
      <c r="D507" s="360" t="str">
        <f>CONCATENATE(VOL_VOLUMEN_SUMINISTROS[[#This Row],[Grupo]],VOL_VOLUMEN_SUMINISTROS[[#This Row],[Proyecto]],VOL_VOLUMEN_SUMINISTROS[[#This Row],[FIN DE SEMANA]])</f>
        <v>11052-1NO</v>
      </c>
      <c r="E507" s="30" t="s">
        <v>146</v>
      </c>
      <c r="F507" s="30" t="s">
        <v>147</v>
      </c>
      <c r="G507" s="360">
        <v>1</v>
      </c>
      <c r="H507" s="30">
        <v>8</v>
      </c>
      <c r="I507" s="9" t="s">
        <v>148</v>
      </c>
      <c r="J507" s="9" t="s">
        <v>444</v>
      </c>
      <c r="K507" s="30">
        <v>3</v>
      </c>
      <c r="L507" s="9" t="s">
        <v>447</v>
      </c>
      <c r="M507" s="30" t="s">
        <v>84</v>
      </c>
      <c r="N507" s="30" t="s">
        <v>154</v>
      </c>
      <c r="O507" s="24">
        <v>84</v>
      </c>
      <c r="P507" s="24">
        <v>85</v>
      </c>
      <c r="Q507" s="24">
        <v>18</v>
      </c>
      <c r="R507" s="24">
        <v>0</v>
      </c>
      <c r="S507" s="24">
        <v>0</v>
      </c>
      <c r="T507" s="24">
        <v>187</v>
      </c>
    </row>
    <row r="508" spans="1:20">
      <c r="A508" s="9" t="s">
        <v>432</v>
      </c>
      <c r="B508" s="30" t="s">
        <v>433</v>
      </c>
      <c r="C508" s="30" t="str">
        <f>CONCATENATE(VOL_VOLUMEN_SUMINISTROS[[#This Row],[Proyecto]],VOL_VOLUMEN_SUMINISTROS[[#This Row],[J]],VOL_VOLUMEN_SUMINISTROS[[#This Row],[FIN DE SEMANA]])</f>
        <v>1052-1MNO</v>
      </c>
      <c r="D508" s="360" t="str">
        <f>CONCATENATE(VOL_VOLUMEN_SUMINISTROS[[#This Row],[Grupo]],VOL_VOLUMEN_SUMINISTROS[[#This Row],[Proyecto]],VOL_VOLUMEN_SUMINISTROS[[#This Row],[FIN DE SEMANA]])</f>
        <v>11052-1NO</v>
      </c>
      <c r="E508" s="30" t="s">
        <v>146</v>
      </c>
      <c r="F508" s="30" t="s">
        <v>147</v>
      </c>
      <c r="G508" s="360">
        <v>1</v>
      </c>
      <c r="H508" s="30">
        <v>8</v>
      </c>
      <c r="I508" s="9" t="s">
        <v>148</v>
      </c>
      <c r="J508" s="9" t="s">
        <v>448</v>
      </c>
      <c r="K508" s="30">
        <v>1</v>
      </c>
      <c r="L508" s="9" t="s">
        <v>449</v>
      </c>
      <c r="M508" s="30" t="s">
        <v>84</v>
      </c>
      <c r="N508" s="30" t="s">
        <v>151</v>
      </c>
      <c r="O508" s="24">
        <v>211</v>
      </c>
      <c r="P508" s="24">
        <v>371</v>
      </c>
      <c r="Q508" s="24">
        <v>555</v>
      </c>
      <c r="R508" s="24">
        <v>0</v>
      </c>
      <c r="S508" s="24">
        <v>0</v>
      </c>
      <c r="T508" s="24">
        <v>1137</v>
      </c>
    </row>
    <row r="509" spans="1:20">
      <c r="A509" s="9" t="s">
        <v>432</v>
      </c>
      <c r="B509" s="30" t="s">
        <v>433</v>
      </c>
      <c r="C509" s="30" t="str">
        <f>CONCATENATE(VOL_VOLUMEN_SUMINISTROS[[#This Row],[Proyecto]],VOL_VOLUMEN_SUMINISTROS[[#This Row],[J]],VOL_VOLUMEN_SUMINISTROS[[#This Row],[FIN DE SEMANA]])</f>
        <v>1052-1NNO</v>
      </c>
      <c r="D509" s="360" t="str">
        <f>CONCATENATE(VOL_VOLUMEN_SUMINISTROS[[#This Row],[Grupo]],VOL_VOLUMEN_SUMINISTROS[[#This Row],[Proyecto]],VOL_VOLUMEN_SUMINISTROS[[#This Row],[FIN DE SEMANA]])</f>
        <v>11052-1NO</v>
      </c>
      <c r="E509" s="30" t="s">
        <v>146</v>
      </c>
      <c r="F509" s="30" t="s">
        <v>147</v>
      </c>
      <c r="G509" s="360">
        <v>1</v>
      </c>
      <c r="H509" s="30">
        <v>8</v>
      </c>
      <c r="I509" s="9" t="s">
        <v>148</v>
      </c>
      <c r="J509" s="9" t="s">
        <v>448</v>
      </c>
      <c r="K509" s="30">
        <v>1</v>
      </c>
      <c r="L509" s="9" t="s">
        <v>449</v>
      </c>
      <c r="M509" s="30" t="s">
        <v>84</v>
      </c>
      <c r="N509" s="30" t="s">
        <v>153</v>
      </c>
      <c r="O509" s="24">
        <v>0</v>
      </c>
      <c r="P509" s="24">
        <v>0</v>
      </c>
      <c r="Q509" s="24">
        <v>0</v>
      </c>
      <c r="R509" s="24">
        <v>204</v>
      </c>
      <c r="S509" s="24">
        <v>215</v>
      </c>
      <c r="T509" s="24">
        <v>419</v>
      </c>
    </row>
    <row r="510" spans="1:20">
      <c r="A510" s="9" t="s">
        <v>432</v>
      </c>
      <c r="B510" s="30" t="s">
        <v>433</v>
      </c>
      <c r="C510" s="30" t="str">
        <f>CONCATENATE(VOL_VOLUMEN_SUMINISTROS[[#This Row],[Proyecto]],VOL_VOLUMEN_SUMINISTROS[[#This Row],[J]],VOL_VOLUMEN_SUMINISTROS[[#This Row],[FIN DE SEMANA]])</f>
        <v>1052-1TNO</v>
      </c>
      <c r="D510" s="360" t="str">
        <f>CONCATENATE(VOL_VOLUMEN_SUMINISTROS[[#This Row],[Grupo]],VOL_VOLUMEN_SUMINISTROS[[#This Row],[Proyecto]],VOL_VOLUMEN_SUMINISTROS[[#This Row],[FIN DE SEMANA]])</f>
        <v>11052-1NO</v>
      </c>
      <c r="E510" s="30" t="s">
        <v>146</v>
      </c>
      <c r="F510" s="30" t="s">
        <v>147</v>
      </c>
      <c r="G510" s="360">
        <v>1</v>
      </c>
      <c r="H510" s="30">
        <v>8</v>
      </c>
      <c r="I510" s="9" t="s">
        <v>148</v>
      </c>
      <c r="J510" s="9" t="s">
        <v>448</v>
      </c>
      <c r="K510" s="30">
        <v>1</v>
      </c>
      <c r="L510" s="9" t="s">
        <v>449</v>
      </c>
      <c r="M510" s="30" t="s">
        <v>84</v>
      </c>
      <c r="N510" s="30" t="s">
        <v>154</v>
      </c>
      <c r="O510" s="24">
        <v>211</v>
      </c>
      <c r="P510" s="24">
        <v>362</v>
      </c>
      <c r="Q510" s="24">
        <v>475</v>
      </c>
      <c r="R510" s="24">
        <v>0</v>
      </c>
      <c r="S510" s="24">
        <v>0</v>
      </c>
      <c r="T510" s="24">
        <v>1048</v>
      </c>
    </row>
    <row r="511" spans="1:20">
      <c r="A511" s="9" t="s">
        <v>432</v>
      </c>
      <c r="B511" s="30" t="s">
        <v>433</v>
      </c>
      <c r="C511" s="30" t="str">
        <f>CONCATENATE(VOL_VOLUMEN_SUMINISTROS[[#This Row],[Proyecto]],VOL_VOLUMEN_SUMINISTROS[[#This Row],[J]],VOL_VOLUMEN_SUMINISTROS[[#This Row],[FIN DE SEMANA]])</f>
        <v>1052-1MNO</v>
      </c>
      <c r="D511" s="360" t="str">
        <f>CONCATENATE(VOL_VOLUMEN_SUMINISTROS[[#This Row],[Grupo]],VOL_VOLUMEN_SUMINISTROS[[#This Row],[Proyecto]],VOL_VOLUMEN_SUMINISTROS[[#This Row],[FIN DE SEMANA]])</f>
        <v>11052-1NO</v>
      </c>
      <c r="E511" s="30" t="s">
        <v>146</v>
      </c>
      <c r="F511" s="30" t="s">
        <v>147</v>
      </c>
      <c r="G511" s="360">
        <v>1</v>
      </c>
      <c r="H511" s="30">
        <v>8</v>
      </c>
      <c r="I511" s="9" t="s">
        <v>148</v>
      </c>
      <c r="J511" s="9" t="s">
        <v>450</v>
      </c>
      <c r="K511" s="30">
        <v>1</v>
      </c>
      <c r="L511" s="9" t="s">
        <v>451</v>
      </c>
      <c r="M511" s="30" t="s">
        <v>84</v>
      </c>
      <c r="N511" s="30" t="s">
        <v>151</v>
      </c>
      <c r="O511" s="24">
        <v>191</v>
      </c>
      <c r="P511" s="24">
        <v>486</v>
      </c>
      <c r="Q511" s="24">
        <v>666</v>
      </c>
      <c r="R511" s="24">
        <v>0</v>
      </c>
      <c r="S511" s="24">
        <v>0</v>
      </c>
      <c r="T511" s="24">
        <v>1343</v>
      </c>
    </row>
    <row r="512" spans="1:20">
      <c r="A512" s="9" t="s">
        <v>432</v>
      </c>
      <c r="B512" s="30" t="s">
        <v>433</v>
      </c>
      <c r="C512" s="30" t="str">
        <f>CONCATENATE(VOL_VOLUMEN_SUMINISTROS[[#This Row],[Proyecto]],VOL_VOLUMEN_SUMINISTROS[[#This Row],[J]],VOL_VOLUMEN_SUMINISTROS[[#This Row],[FIN DE SEMANA]])</f>
        <v>1052-1TNO</v>
      </c>
      <c r="D512" s="360" t="str">
        <f>CONCATENATE(VOL_VOLUMEN_SUMINISTROS[[#This Row],[Grupo]],VOL_VOLUMEN_SUMINISTROS[[#This Row],[Proyecto]],VOL_VOLUMEN_SUMINISTROS[[#This Row],[FIN DE SEMANA]])</f>
        <v>11052-1NO</v>
      </c>
      <c r="E512" s="30" t="s">
        <v>146</v>
      </c>
      <c r="F512" s="30" t="s">
        <v>147</v>
      </c>
      <c r="G512" s="360">
        <v>1</v>
      </c>
      <c r="H512" s="30">
        <v>8</v>
      </c>
      <c r="I512" s="9" t="s">
        <v>148</v>
      </c>
      <c r="J512" s="9" t="s">
        <v>450</v>
      </c>
      <c r="K512" s="30">
        <v>1</v>
      </c>
      <c r="L512" s="9" t="s">
        <v>451</v>
      </c>
      <c r="M512" s="30" t="s">
        <v>84</v>
      </c>
      <c r="N512" s="30" t="s">
        <v>154</v>
      </c>
      <c r="O512" s="24">
        <v>309</v>
      </c>
      <c r="P512" s="24">
        <v>447</v>
      </c>
      <c r="Q512" s="24">
        <v>459</v>
      </c>
      <c r="R512" s="24">
        <v>0</v>
      </c>
      <c r="S512" s="24">
        <v>0</v>
      </c>
      <c r="T512" s="24">
        <v>1215</v>
      </c>
    </row>
    <row r="513" spans="1:20">
      <c r="A513" s="9" t="s">
        <v>432</v>
      </c>
      <c r="B513" s="30" t="s">
        <v>433</v>
      </c>
      <c r="C513" s="30" t="str">
        <f>CONCATENATE(VOL_VOLUMEN_SUMINISTROS[[#This Row],[Proyecto]],VOL_VOLUMEN_SUMINISTROS[[#This Row],[J]],VOL_VOLUMEN_SUMINISTROS[[#This Row],[FIN DE SEMANA]])</f>
        <v>1052-1MNO</v>
      </c>
      <c r="D513" s="360" t="str">
        <f>CONCATENATE(VOL_VOLUMEN_SUMINISTROS[[#This Row],[Grupo]],VOL_VOLUMEN_SUMINISTROS[[#This Row],[Proyecto]],VOL_VOLUMEN_SUMINISTROS[[#This Row],[FIN DE SEMANA]])</f>
        <v>11052-1NO</v>
      </c>
      <c r="E513" s="30" t="s">
        <v>146</v>
      </c>
      <c r="F513" s="30" t="s">
        <v>147</v>
      </c>
      <c r="G513" s="360">
        <v>1</v>
      </c>
      <c r="H513" s="30">
        <v>8</v>
      </c>
      <c r="I513" s="9" t="s">
        <v>148</v>
      </c>
      <c r="J513" s="9" t="s">
        <v>452</v>
      </c>
      <c r="K513" s="30">
        <v>1</v>
      </c>
      <c r="L513" s="9" t="s">
        <v>453</v>
      </c>
      <c r="M513" s="30" t="s">
        <v>84</v>
      </c>
      <c r="N513" s="30" t="s">
        <v>151</v>
      </c>
      <c r="O513" s="24">
        <v>206</v>
      </c>
      <c r="P513" s="24">
        <v>327</v>
      </c>
      <c r="Q513" s="24">
        <v>395</v>
      </c>
      <c r="R513" s="24">
        <v>0</v>
      </c>
      <c r="S513" s="24">
        <v>0</v>
      </c>
      <c r="T513" s="24">
        <v>928</v>
      </c>
    </row>
    <row r="514" spans="1:20">
      <c r="A514" s="9" t="s">
        <v>432</v>
      </c>
      <c r="B514" s="30" t="s">
        <v>433</v>
      </c>
      <c r="C514" s="30" t="str">
        <f>CONCATENATE(VOL_VOLUMEN_SUMINISTROS[[#This Row],[Proyecto]],VOL_VOLUMEN_SUMINISTROS[[#This Row],[J]],VOL_VOLUMEN_SUMINISTROS[[#This Row],[FIN DE SEMANA]])</f>
        <v>1052-1TNO</v>
      </c>
      <c r="D514" s="360" t="str">
        <f>CONCATENATE(VOL_VOLUMEN_SUMINISTROS[[#This Row],[Grupo]],VOL_VOLUMEN_SUMINISTROS[[#This Row],[Proyecto]],VOL_VOLUMEN_SUMINISTROS[[#This Row],[FIN DE SEMANA]])</f>
        <v>11052-1NO</v>
      </c>
      <c r="E514" s="30" t="s">
        <v>146</v>
      </c>
      <c r="F514" s="30" t="s">
        <v>147</v>
      </c>
      <c r="G514" s="360">
        <v>1</v>
      </c>
      <c r="H514" s="30">
        <v>8</v>
      </c>
      <c r="I514" s="9" t="s">
        <v>148</v>
      </c>
      <c r="J514" s="9" t="s">
        <v>452</v>
      </c>
      <c r="K514" s="30">
        <v>1</v>
      </c>
      <c r="L514" s="9" t="s">
        <v>453</v>
      </c>
      <c r="M514" s="30" t="s">
        <v>84</v>
      </c>
      <c r="N514" s="30" t="s">
        <v>154</v>
      </c>
      <c r="O514" s="24">
        <v>205</v>
      </c>
      <c r="P514" s="24">
        <v>335</v>
      </c>
      <c r="Q514" s="24">
        <v>332</v>
      </c>
      <c r="R514" s="24">
        <v>0</v>
      </c>
      <c r="S514" s="24">
        <v>0</v>
      </c>
      <c r="T514" s="24">
        <v>872</v>
      </c>
    </row>
    <row r="515" spans="1:20">
      <c r="A515" s="9" t="s">
        <v>432</v>
      </c>
      <c r="B515" s="30" t="s">
        <v>433</v>
      </c>
      <c r="C515" s="30" t="str">
        <f>CONCATENATE(VOL_VOLUMEN_SUMINISTROS[[#This Row],[Proyecto]],VOL_VOLUMEN_SUMINISTROS[[#This Row],[J]],VOL_VOLUMEN_SUMINISTROS[[#This Row],[FIN DE SEMANA]])</f>
        <v>1052-1MNO</v>
      </c>
      <c r="D515" s="360" t="str">
        <f>CONCATENATE(VOL_VOLUMEN_SUMINISTROS[[#This Row],[Grupo]],VOL_VOLUMEN_SUMINISTROS[[#This Row],[Proyecto]],VOL_VOLUMEN_SUMINISTROS[[#This Row],[FIN DE SEMANA]])</f>
        <v>11052-1NO</v>
      </c>
      <c r="E515" s="30" t="s">
        <v>146</v>
      </c>
      <c r="F515" s="30" t="s">
        <v>147</v>
      </c>
      <c r="G515" s="360">
        <v>1</v>
      </c>
      <c r="H515" s="30">
        <v>8</v>
      </c>
      <c r="I515" s="9" t="s">
        <v>148</v>
      </c>
      <c r="J515" s="9" t="s">
        <v>454</v>
      </c>
      <c r="K515" s="30">
        <v>1</v>
      </c>
      <c r="L515" s="9" t="s">
        <v>455</v>
      </c>
      <c r="M515" s="30" t="s">
        <v>84</v>
      </c>
      <c r="N515" s="30" t="s">
        <v>151</v>
      </c>
      <c r="O515" s="24">
        <v>0</v>
      </c>
      <c r="P515" s="24">
        <v>261</v>
      </c>
      <c r="Q515" s="24">
        <v>451</v>
      </c>
      <c r="R515" s="24">
        <v>0</v>
      </c>
      <c r="S515" s="24">
        <v>0</v>
      </c>
      <c r="T515" s="24">
        <v>712</v>
      </c>
    </row>
    <row r="516" spans="1:20">
      <c r="A516" s="9" t="s">
        <v>432</v>
      </c>
      <c r="B516" s="30" t="s">
        <v>433</v>
      </c>
      <c r="C516" s="30" t="str">
        <f>CONCATENATE(VOL_VOLUMEN_SUMINISTROS[[#This Row],[Proyecto]],VOL_VOLUMEN_SUMINISTROS[[#This Row],[J]],VOL_VOLUMEN_SUMINISTROS[[#This Row],[FIN DE SEMANA]])</f>
        <v>1052-1TNO</v>
      </c>
      <c r="D516" s="360" t="str">
        <f>CONCATENATE(VOL_VOLUMEN_SUMINISTROS[[#This Row],[Grupo]],VOL_VOLUMEN_SUMINISTROS[[#This Row],[Proyecto]],VOL_VOLUMEN_SUMINISTROS[[#This Row],[FIN DE SEMANA]])</f>
        <v>11052-1NO</v>
      </c>
      <c r="E516" s="30" t="s">
        <v>146</v>
      </c>
      <c r="F516" s="30" t="s">
        <v>147</v>
      </c>
      <c r="G516" s="360">
        <v>1</v>
      </c>
      <c r="H516" s="30">
        <v>8</v>
      </c>
      <c r="I516" s="9" t="s">
        <v>148</v>
      </c>
      <c r="J516" s="9" t="s">
        <v>454</v>
      </c>
      <c r="K516" s="30">
        <v>1</v>
      </c>
      <c r="L516" s="9" t="s">
        <v>455</v>
      </c>
      <c r="M516" s="30" t="s">
        <v>84</v>
      </c>
      <c r="N516" s="30" t="s">
        <v>154</v>
      </c>
      <c r="O516" s="24">
        <v>0</v>
      </c>
      <c r="P516" s="24">
        <v>249</v>
      </c>
      <c r="Q516" s="24">
        <v>365</v>
      </c>
      <c r="R516" s="24">
        <v>0</v>
      </c>
      <c r="S516" s="24">
        <v>0</v>
      </c>
      <c r="T516" s="24">
        <v>614</v>
      </c>
    </row>
    <row r="517" spans="1:20">
      <c r="A517" s="9" t="s">
        <v>432</v>
      </c>
      <c r="B517" s="30" t="s">
        <v>433</v>
      </c>
      <c r="C517" s="30" t="str">
        <f>CONCATENATE(VOL_VOLUMEN_SUMINISTROS[[#This Row],[Proyecto]],VOL_VOLUMEN_SUMINISTROS[[#This Row],[J]],VOL_VOLUMEN_SUMINISTROS[[#This Row],[FIN DE SEMANA]])</f>
        <v>1052-1MNO</v>
      </c>
      <c r="D517" s="360" t="str">
        <f>CONCATENATE(VOL_VOLUMEN_SUMINISTROS[[#This Row],[Grupo]],VOL_VOLUMEN_SUMINISTROS[[#This Row],[Proyecto]],VOL_VOLUMEN_SUMINISTROS[[#This Row],[FIN DE SEMANA]])</f>
        <v>11052-1NO</v>
      </c>
      <c r="E517" s="30" t="s">
        <v>146</v>
      </c>
      <c r="F517" s="30" t="s">
        <v>147</v>
      </c>
      <c r="G517" s="360">
        <v>1</v>
      </c>
      <c r="H517" s="30">
        <v>8</v>
      </c>
      <c r="I517" s="9" t="s">
        <v>148</v>
      </c>
      <c r="J517" s="9" t="s">
        <v>454</v>
      </c>
      <c r="K517" s="30">
        <v>2</v>
      </c>
      <c r="L517" s="9" t="s">
        <v>456</v>
      </c>
      <c r="M517" s="30" t="s">
        <v>84</v>
      </c>
      <c r="N517" s="30" t="s">
        <v>151</v>
      </c>
      <c r="O517" s="24">
        <v>340</v>
      </c>
      <c r="P517" s="24">
        <v>228</v>
      </c>
      <c r="Q517" s="24">
        <v>36</v>
      </c>
      <c r="R517" s="24">
        <v>0</v>
      </c>
      <c r="S517" s="24">
        <v>0</v>
      </c>
      <c r="T517" s="24">
        <v>604</v>
      </c>
    </row>
    <row r="518" spans="1:20">
      <c r="A518" s="9" t="s">
        <v>432</v>
      </c>
      <c r="B518" s="30" t="s">
        <v>433</v>
      </c>
      <c r="C518" s="30" t="str">
        <f>CONCATENATE(VOL_VOLUMEN_SUMINISTROS[[#This Row],[Proyecto]],VOL_VOLUMEN_SUMINISTROS[[#This Row],[J]],VOL_VOLUMEN_SUMINISTROS[[#This Row],[FIN DE SEMANA]])</f>
        <v>1052-1TNO</v>
      </c>
      <c r="D518" s="360" t="str">
        <f>CONCATENATE(VOL_VOLUMEN_SUMINISTROS[[#This Row],[Grupo]],VOL_VOLUMEN_SUMINISTROS[[#This Row],[Proyecto]],VOL_VOLUMEN_SUMINISTROS[[#This Row],[FIN DE SEMANA]])</f>
        <v>11052-1NO</v>
      </c>
      <c r="E518" s="30" t="s">
        <v>146</v>
      </c>
      <c r="F518" s="30" t="s">
        <v>147</v>
      </c>
      <c r="G518" s="360">
        <v>1</v>
      </c>
      <c r="H518" s="30">
        <v>8</v>
      </c>
      <c r="I518" s="9" t="s">
        <v>148</v>
      </c>
      <c r="J518" s="9" t="s">
        <v>454</v>
      </c>
      <c r="K518" s="30">
        <v>2</v>
      </c>
      <c r="L518" s="9" t="s">
        <v>456</v>
      </c>
      <c r="M518" s="30" t="s">
        <v>84</v>
      </c>
      <c r="N518" s="30" t="s">
        <v>154</v>
      </c>
      <c r="O518" s="24">
        <v>330</v>
      </c>
      <c r="P518" s="24">
        <v>211</v>
      </c>
      <c r="Q518" s="24">
        <v>32</v>
      </c>
      <c r="R518" s="24">
        <v>0</v>
      </c>
      <c r="S518" s="24">
        <v>0</v>
      </c>
      <c r="T518" s="24">
        <v>573</v>
      </c>
    </row>
    <row r="519" spans="1:20">
      <c r="A519" s="9" t="s">
        <v>432</v>
      </c>
      <c r="B519" s="30" t="s">
        <v>433</v>
      </c>
      <c r="C519" s="30" t="str">
        <f>CONCATENATE(VOL_VOLUMEN_SUMINISTROS[[#This Row],[Proyecto]],VOL_VOLUMEN_SUMINISTROS[[#This Row],[J]],VOL_VOLUMEN_SUMINISTROS[[#This Row],[FIN DE SEMANA]])</f>
        <v>1052-1MNO</v>
      </c>
      <c r="D519" s="360" t="str">
        <f>CONCATENATE(VOL_VOLUMEN_SUMINISTROS[[#This Row],[Grupo]],VOL_VOLUMEN_SUMINISTROS[[#This Row],[Proyecto]],VOL_VOLUMEN_SUMINISTROS[[#This Row],[FIN DE SEMANA]])</f>
        <v>11052-1NO</v>
      </c>
      <c r="E519" s="30" t="s">
        <v>146</v>
      </c>
      <c r="F519" s="30" t="s">
        <v>147</v>
      </c>
      <c r="G519" s="360">
        <v>1</v>
      </c>
      <c r="H519" s="30">
        <v>8</v>
      </c>
      <c r="I519" s="9" t="s">
        <v>148</v>
      </c>
      <c r="J519" s="9" t="s">
        <v>454</v>
      </c>
      <c r="K519" s="30">
        <v>3</v>
      </c>
      <c r="L519" s="9" t="s">
        <v>457</v>
      </c>
      <c r="M519" s="30" t="s">
        <v>84</v>
      </c>
      <c r="N519" s="30" t="s">
        <v>151</v>
      </c>
      <c r="O519" s="24">
        <v>113</v>
      </c>
      <c r="P519" s="24">
        <v>0</v>
      </c>
      <c r="Q519" s="24">
        <v>0</v>
      </c>
      <c r="R519" s="24">
        <v>0</v>
      </c>
      <c r="S519" s="24">
        <v>0</v>
      </c>
      <c r="T519" s="24">
        <v>113</v>
      </c>
    </row>
    <row r="520" spans="1:20">
      <c r="A520" s="9" t="s">
        <v>432</v>
      </c>
      <c r="B520" s="30" t="s">
        <v>433</v>
      </c>
      <c r="C520" s="30" t="str">
        <f>CONCATENATE(VOL_VOLUMEN_SUMINISTROS[[#This Row],[Proyecto]],VOL_VOLUMEN_SUMINISTROS[[#This Row],[J]],VOL_VOLUMEN_SUMINISTROS[[#This Row],[FIN DE SEMANA]])</f>
        <v>1052-1MNO</v>
      </c>
      <c r="D520" s="360" t="str">
        <f>CONCATENATE(VOL_VOLUMEN_SUMINISTROS[[#This Row],[Grupo]],VOL_VOLUMEN_SUMINISTROS[[#This Row],[Proyecto]],VOL_VOLUMEN_SUMINISTROS[[#This Row],[FIN DE SEMANA]])</f>
        <v>11052-1NO</v>
      </c>
      <c r="E520" s="30" t="s">
        <v>146</v>
      </c>
      <c r="F520" s="30" t="s">
        <v>147</v>
      </c>
      <c r="G520" s="360">
        <v>1</v>
      </c>
      <c r="H520" s="30">
        <v>8</v>
      </c>
      <c r="I520" s="9" t="s">
        <v>148</v>
      </c>
      <c r="J520" s="9" t="s">
        <v>458</v>
      </c>
      <c r="K520" s="30">
        <v>1</v>
      </c>
      <c r="L520" s="9" t="s">
        <v>459</v>
      </c>
      <c r="M520" s="30" t="s">
        <v>84</v>
      </c>
      <c r="N520" s="30" t="s">
        <v>151</v>
      </c>
      <c r="O520" s="24">
        <v>221</v>
      </c>
      <c r="P520" s="24">
        <v>305</v>
      </c>
      <c r="Q520" s="24">
        <v>228</v>
      </c>
      <c r="R520" s="24">
        <v>0</v>
      </c>
      <c r="S520" s="24">
        <v>0</v>
      </c>
      <c r="T520" s="24">
        <v>754</v>
      </c>
    </row>
    <row r="521" spans="1:20">
      <c r="A521" s="9" t="s">
        <v>432</v>
      </c>
      <c r="B521" s="30" t="s">
        <v>433</v>
      </c>
      <c r="C521" s="30" t="str">
        <f>CONCATENATE(VOL_VOLUMEN_SUMINISTROS[[#This Row],[Proyecto]],VOL_VOLUMEN_SUMINISTROS[[#This Row],[J]],VOL_VOLUMEN_SUMINISTROS[[#This Row],[FIN DE SEMANA]])</f>
        <v>1052-1TNO</v>
      </c>
      <c r="D521" s="360" t="str">
        <f>CONCATENATE(VOL_VOLUMEN_SUMINISTROS[[#This Row],[Grupo]],VOL_VOLUMEN_SUMINISTROS[[#This Row],[Proyecto]],VOL_VOLUMEN_SUMINISTROS[[#This Row],[FIN DE SEMANA]])</f>
        <v>11052-1NO</v>
      </c>
      <c r="E521" s="30" t="s">
        <v>146</v>
      </c>
      <c r="F521" s="30" t="s">
        <v>147</v>
      </c>
      <c r="G521" s="360">
        <v>1</v>
      </c>
      <c r="H521" s="30">
        <v>8</v>
      </c>
      <c r="I521" s="9" t="s">
        <v>148</v>
      </c>
      <c r="J521" s="9" t="s">
        <v>458</v>
      </c>
      <c r="K521" s="30">
        <v>1</v>
      </c>
      <c r="L521" s="9" t="s">
        <v>459</v>
      </c>
      <c r="M521" s="30" t="s">
        <v>84</v>
      </c>
      <c r="N521" s="30" t="s">
        <v>154</v>
      </c>
      <c r="O521" s="24">
        <v>221</v>
      </c>
      <c r="P521" s="24">
        <v>307</v>
      </c>
      <c r="Q521" s="24">
        <v>215</v>
      </c>
      <c r="R521" s="24">
        <v>0</v>
      </c>
      <c r="S521" s="24">
        <v>0</v>
      </c>
      <c r="T521" s="24">
        <v>743</v>
      </c>
    </row>
    <row r="522" spans="1:20">
      <c r="A522" s="9" t="s">
        <v>432</v>
      </c>
      <c r="B522" s="30" t="s">
        <v>433</v>
      </c>
      <c r="C522" s="30" t="str">
        <f>CONCATENATE(VOL_VOLUMEN_SUMINISTROS[[#This Row],[Proyecto]],VOL_VOLUMEN_SUMINISTROS[[#This Row],[J]],VOL_VOLUMEN_SUMINISTROS[[#This Row],[FIN DE SEMANA]])</f>
        <v>1052-1MNO</v>
      </c>
      <c r="D522" s="360" t="str">
        <f>CONCATENATE(VOL_VOLUMEN_SUMINISTROS[[#This Row],[Grupo]],VOL_VOLUMEN_SUMINISTROS[[#This Row],[Proyecto]],VOL_VOLUMEN_SUMINISTROS[[#This Row],[FIN DE SEMANA]])</f>
        <v>41052-1NO</v>
      </c>
      <c r="E522" s="30" t="s">
        <v>146</v>
      </c>
      <c r="F522" s="30" t="s">
        <v>147</v>
      </c>
      <c r="G522" s="360">
        <v>4</v>
      </c>
      <c r="H522" s="30">
        <v>8</v>
      </c>
      <c r="I522" s="9" t="s">
        <v>148</v>
      </c>
      <c r="J522" s="9" t="s">
        <v>460</v>
      </c>
      <c r="K522" s="30">
        <v>1</v>
      </c>
      <c r="L522" s="9" t="s">
        <v>461</v>
      </c>
      <c r="M522" s="30" t="s">
        <v>84</v>
      </c>
      <c r="N522" s="30" t="s">
        <v>151</v>
      </c>
      <c r="O522" s="24">
        <v>269</v>
      </c>
      <c r="P522" s="24">
        <v>328</v>
      </c>
      <c r="Q522" s="24">
        <v>419</v>
      </c>
      <c r="R522" s="24">
        <v>0</v>
      </c>
      <c r="S522" s="24">
        <v>0</v>
      </c>
      <c r="T522" s="24">
        <v>1016</v>
      </c>
    </row>
    <row r="523" spans="1:20">
      <c r="A523" s="9" t="s">
        <v>432</v>
      </c>
      <c r="B523" s="30" t="s">
        <v>433</v>
      </c>
      <c r="C523" s="30" t="str">
        <f>CONCATENATE(VOL_VOLUMEN_SUMINISTROS[[#This Row],[Proyecto]],VOL_VOLUMEN_SUMINISTROS[[#This Row],[J]],VOL_VOLUMEN_SUMINISTROS[[#This Row],[FIN DE SEMANA]])</f>
        <v>1052-1TNO</v>
      </c>
      <c r="D523" s="360" t="str">
        <f>CONCATENATE(VOL_VOLUMEN_SUMINISTROS[[#This Row],[Grupo]],VOL_VOLUMEN_SUMINISTROS[[#This Row],[Proyecto]],VOL_VOLUMEN_SUMINISTROS[[#This Row],[FIN DE SEMANA]])</f>
        <v>41052-1NO</v>
      </c>
      <c r="E523" s="30" t="s">
        <v>146</v>
      </c>
      <c r="F523" s="30" t="s">
        <v>147</v>
      </c>
      <c r="G523" s="360">
        <v>4</v>
      </c>
      <c r="H523" s="30">
        <v>8</v>
      </c>
      <c r="I523" s="9" t="s">
        <v>148</v>
      </c>
      <c r="J523" s="9" t="s">
        <v>460</v>
      </c>
      <c r="K523" s="30">
        <v>1</v>
      </c>
      <c r="L523" s="9" t="s">
        <v>461</v>
      </c>
      <c r="M523" s="30" t="s">
        <v>84</v>
      </c>
      <c r="N523" s="30" t="s">
        <v>154</v>
      </c>
      <c r="O523" s="24">
        <v>243</v>
      </c>
      <c r="P523" s="24">
        <v>366</v>
      </c>
      <c r="Q523" s="24">
        <v>414</v>
      </c>
      <c r="R523" s="24">
        <v>0</v>
      </c>
      <c r="S523" s="24">
        <v>0</v>
      </c>
      <c r="T523" s="24">
        <v>1023</v>
      </c>
    </row>
    <row r="524" spans="1:20">
      <c r="A524" s="9" t="s">
        <v>432</v>
      </c>
      <c r="B524" s="30" t="s">
        <v>433</v>
      </c>
      <c r="C524" s="30" t="str">
        <f>CONCATENATE(VOL_VOLUMEN_SUMINISTROS[[#This Row],[Proyecto]],VOL_VOLUMEN_SUMINISTROS[[#This Row],[J]],VOL_VOLUMEN_SUMINISTROS[[#This Row],[FIN DE SEMANA]])</f>
        <v>1052-1MNO</v>
      </c>
      <c r="D524" s="360" t="str">
        <f>CONCATENATE(VOL_VOLUMEN_SUMINISTROS[[#This Row],[Grupo]],VOL_VOLUMEN_SUMINISTROS[[#This Row],[Proyecto]],VOL_VOLUMEN_SUMINISTROS[[#This Row],[FIN DE SEMANA]])</f>
        <v>11052-1NO</v>
      </c>
      <c r="E524" s="30" t="s">
        <v>146</v>
      </c>
      <c r="F524" s="30" t="s">
        <v>147</v>
      </c>
      <c r="G524" s="360">
        <v>1</v>
      </c>
      <c r="H524" s="30">
        <v>8</v>
      </c>
      <c r="I524" s="9" t="s">
        <v>148</v>
      </c>
      <c r="J524" s="9" t="s">
        <v>462</v>
      </c>
      <c r="K524" s="30">
        <v>1</v>
      </c>
      <c r="L524" s="9" t="s">
        <v>463</v>
      </c>
      <c r="M524" s="30" t="s">
        <v>84</v>
      </c>
      <c r="N524" s="30" t="s">
        <v>151</v>
      </c>
      <c r="O524" s="24">
        <v>20</v>
      </c>
      <c r="P524" s="24">
        <v>147</v>
      </c>
      <c r="Q524" s="24">
        <v>346</v>
      </c>
      <c r="R524" s="24">
        <v>0</v>
      </c>
      <c r="S524" s="24">
        <v>0</v>
      </c>
      <c r="T524" s="24">
        <v>513</v>
      </c>
    </row>
    <row r="525" spans="1:20">
      <c r="A525" s="9" t="s">
        <v>432</v>
      </c>
      <c r="B525" s="30" t="s">
        <v>433</v>
      </c>
      <c r="C525" s="30" t="str">
        <f>CONCATENATE(VOL_VOLUMEN_SUMINISTROS[[#This Row],[Proyecto]],VOL_VOLUMEN_SUMINISTROS[[#This Row],[J]],VOL_VOLUMEN_SUMINISTROS[[#This Row],[FIN DE SEMANA]])</f>
        <v>1052-1TNO</v>
      </c>
      <c r="D525" s="360" t="str">
        <f>CONCATENATE(VOL_VOLUMEN_SUMINISTROS[[#This Row],[Grupo]],VOL_VOLUMEN_SUMINISTROS[[#This Row],[Proyecto]],VOL_VOLUMEN_SUMINISTROS[[#This Row],[FIN DE SEMANA]])</f>
        <v>11052-1NO</v>
      </c>
      <c r="E525" s="30" t="s">
        <v>146</v>
      </c>
      <c r="F525" s="30" t="s">
        <v>147</v>
      </c>
      <c r="G525" s="360">
        <v>1</v>
      </c>
      <c r="H525" s="30">
        <v>8</v>
      </c>
      <c r="I525" s="9" t="s">
        <v>148</v>
      </c>
      <c r="J525" s="9" t="s">
        <v>462</v>
      </c>
      <c r="K525" s="30">
        <v>1</v>
      </c>
      <c r="L525" s="9" t="s">
        <v>463</v>
      </c>
      <c r="M525" s="30" t="s">
        <v>84</v>
      </c>
      <c r="N525" s="30" t="s">
        <v>154</v>
      </c>
      <c r="O525" s="24">
        <v>25</v>
      </c>
      <c r="P525" s="24">
        <v>147</v>
      </c>
      <c r="Q525" s="24">
        <v>306</v>
      </c>
      <c r="R525" s="24">
        <v>0</v>
      </c>
      <c r="S525" s="24">
        <v>0</v>
      </c>
      <c r="T525" s="24">
        <v>478</v>
      </c>
    </row>
    <row r="526" spans="1:20">
      <c r="A526" s="9" t="s">
        <v>432</v>
      </c>
      <c r="B526" s="30" t="s">
        <v>433</v>
      </c>
      <c r="C526" s="30" t="str">
        <f>CONCATENATE(VOL_VOLUMEN_SUMINISTROS[[#This Row],[Proyecto]],VOL_VOLUMEN_SUMINISTROS[[#This Row],[J]],VOL_VOLUMEN_SUMINISTROS[[#This Row],[FIN DE SEMANA]])</f>
        <v>1052-1MNO</v>
      </c>
      <c r="D526" s="360" t="str">
        <f>CONCATENATE(VOL_VOLUMEN_SUMINISTROS[[#This Row],[Grupo]],VOL_VOLUMEN_SUMINISTROS[[#This Row],[Proyecto]],VOL_VOLUMEN_SUMINISTROS[[#This Row],[FIN DE SEMANA]])</f>
        <v>11052-1NO</v>
      </c>
      <c r="E526" s="30" t="s">
        <v>146</v>
      </c>
      <c r="F526" s="30" t="s">
        <v>147</v>
      </c>
      <c r="G526" s="360">
        <v>1</v>
      </c>
      <c r="H526" s="30">
        <v>8</v>
      </c>
      <c r="I526" s="9" t="s">
        <v>148</v>
      </c>
      <c r="J526" s="9" t="s">
        <v>462</v>
      </c>
      <c r="K526" s="30">
        <v>2</v>
      </c>
      <c r="L526" s="9" t="s">
        <v>464</v>
      </c>
      <c r="M526" s="30" t="s">
        <v>84</v>
      </c>
      <c r="N526" s="30" t="s">
        <v>151</v>
      </c>
      <c r="O526" s="24">
        <v>272</v>
      </c>
      <c r="P526" s="24">
        <v>253</v>
      </c>
      <c r="Q526" s="24">
        <v>51</v>
      </c>
      <c r="R526" s="24">
        <v>0</v>
      </c>
      <c r="S526" s="24">
        <v>0</v>
      </c>
      <c r="T526" s="24">
        <v>576</v>
      </c>
    </row>
    <row r="527" spans="1:20">
      <c r="A527" s="9" t="s">
        <v>432</v>
      </c>
      <c r="B527" s="30" t="s">
        <v>433</v>
      </c>
      <c r="C527" s="30" t="str">
        <f>CONCATENATE(VOL_VOLUMEN_SUMINISTROS[[#This Row],[Proyecto]],VOL_VOLUMEN_SUMINISTROS[[#This Row],[J]],VOL_VOLUMEN_SUMINISTROS[[#This Row],[FIN DE SEMANA]])</f>
        <v>1052-1TNO</v>
      </c>
      <c r="D527" s="360" t="str">
        <f>CONCATENATE(VOL_VOLUMEN_SUMINISTROS[[#This Row],[Grupo]],VOL_VOLUMEN_SUMINISTROS[[#This Row],[Proyecto]],VOL_VOLUMEN_SUMINISTROS[[#This Row],[FIN DE SEMANA]])</f>
        <v>11052-1NO</v>
      </c>
      <c r="E527" s="30" t="s">
        <v>146</v>
      </c>
      <c r="F527" s="30" t="s">
        <v>147</v>
      </c>
      <c r="G527" s="360">
        <v>1</v>
      </c>
      <c r="H527" s="30">
        <v>8</v>
      </c>
      <c r="I527" s="9" t="s">
        <v>148</v>
      </c>
      <c r="J527" s="9" t="s">
        <v>462</v>
      </c>
      <c r="K527" s="30">
        <v>2</v>
      </c>
      <c r="L527" s="9" t="s">
        <v>464</v>
      </c>
      <c r="M527" s="30" t="s">
        <v>84</v>
      </c>
      <c r="N527" s="30" t="s">
        <v>154</v>
      </c>
      <c r="O527" s="24">
        <v>280</v>
      </c>
      <c r="P527" s="24">
        <v>255</v>
      </c>
      <c r="Q527" s="24">
        <v>51</v>
      </c>
      <c r="R527" s="24">
        <v>0</v>
      </c>
      <c r="S527" s="24">
        <v>0</v>
      </c>
      <c r="T527" s="24">
        <v>586</v>
      </c>
    </row>
    <row r="528" spans="1:20">
      <c r="A528" s="9" t="s">
        <v>432</v>
      </c>
      <c r="B528" s="30" t="s">
        <v>433</v>
      </c>
      <c r="C528" s="30" t="str">
        <f>CONCATENATE(VOL_VOLUMEN_SUMINISTROS[[#This Row],[Proyecto]],VOL_VOLUMEN_SUMINISTROS[[#This Row],[J]],VOL_VOLUMEN_SUMINISTROS[[#This Row],[FIN DE SEMANA]])</f>
        <v>1052-1MNO</v>
      </c>
      <c r="D528" s="360" t="str">
        <f>CONCATENATE(VOL_VOLUMEN_SUMINISTROS[[#This Row],[Grupo]],VOL_VOLUMEN_SUMINISTROS[[#This Row],[Proyecto]],VOL_VOLUMEN_SUMINISTROS[[#This Row],[FIN DE SEMANA]])</f>
        <v>11052-1NO</v>
      </c>
      <c r="E528" s="30" t="s">
        <v>146</v>
      </c>
      <c r="F528" s="30" t="s">
        <v>147</v>
      </c>
      <c r="G528" s="360">
        <v>1</v>
      </c>
      <c r="H528" s="30">
        <v>8</v>
      </c>
      <c r="I528" s="9" t="s">
        <v>148</v>
      </c>
      <c r="J528" s="9" t="s">
        <v>465</v>
      </c>
      <c r="K528" s="30">
        <v>1</v>
      </c>
      <c r="L528" s="9" t="s">
        <v>466</v>
      </c>
      <c r="M528" s="30" t="s">
        <v>84</v>
      </c>
      <c r="N528" s="30" t="s">
        <v>151</v>
      </c>
      <c r="O528" s="24">
        <v>0</v>
      </c>
      <c r="P528" s="24">
        <v>324</v>
      </c>
      <c r="Q528" s="24">
        <v>495</v>
      </c>
      <c r="R528" s="24">
        <v>0</v>
      </c>
      <c r="S528" s="24">
        <v>0</v>
      </c>
      <c r="T528" s="24">
        <v>819</v>
      </c>
    </row>
    <row r="529" spans="1:20">
      <c r="A529" s="9" t="s">
        <v>432</v>
      </c>
      <c r="B529" s="30" t="s">
        <v>433</v>
      </c>
      <c r="C529" s="30" t="str">
        <f>CONCATENATE(VOL_VOLUMEN_SUMINISTROS[[#This Row],[Proyecto]],VOL_VOLUMEN_SUMINISTROS[[#This Row],[J]],VOL_VOLUMEN_SUMINISTROS[[#This Row],[FIN DE SEMANA]])</f>
        <v>1052-1TNO</v>
      </c>
      <c r="D529" s="360" t="str">
        <f>CONCATENATE(VOL_VOLUMEN_SUMINISTROS[[#This Row],[Grupo]],VOL_VOLUMEN_SUMINISTROS[[#This Row],[Proyecto]],VOL_VOLUMEN_SUMINISTROS[[#This Row],[FIN DE SEMANA]])</f>
        <v>11052-1NO</v>
      </c>
      <c r="E529" s="30" t="s">
        <v>146</v>
      </c>
      <c r="F529" s="30" t="s">
        <v>147</v>
      </c>
      <c r="G529" s="360">
        <v>1</v>
      </c>
      <c r="H529" s="30">
        <v>8</v>
      </c>
      <c r="I529" s="9" t="s">
        <v>148</v>
      </c>
      <c r="J529" s="9" t="s">
        <v>465</v>
      </c>
      <c r="K529" s="30">
        <v>1</v>
      </c>
      <c r="L529" s="9" t="s">
        <v>466</v>
      </c>
      <c r="M529" s="30" t="s">
        <v>84</v>
      </c>
      <c r="N529" s="30" t="s">
        <v>154</v>
      </c>
      <c r="O529" s="24">
        <v>0</v>
      </c>
      <c r="P529" s="24">
        <v>342</v>
      </c>
      <c r="Q529" s="24">
        <v>438</v>
      </c>
      <c r="R529" s="24">
        <v>0</v>
      </c>
      <c r="S529" s="24">
        <v>0</v>
      </c>
      <c r="T529" s="24">
        <v>780</v>
      </c>
    </row>
    <row r="530" spans="1:20">
      <c r="A530" s="9" t="s">
        <v>432</v>
      </c>
      <c r="B530" s="30" t="s">
        <v>433</v>
      </c>
      <c r="C530" s="30" t="str">
        <f>CONCATENATE(VOL_VOLUMEN_SUMINISTROS[[#This Row],[Proyecto]],VOL_VOLUMEN_SUMINISTROS[[#This Row],[J]],VOL_VOLUMEN_SUMINISTROS[[#This Row],[FIN DE SEMANA]])</f>
        <v>1052-1MNO</v>
      </c>
      <c r="D530" s="360" t="str">
        <f>CONCATENATE(VOL_VOLUMEN_SUMINISTROS[[#This Row],[Grupo]],VOL_VOLUMEN_SUMINISTROS[[#This Row],[Proyecto]],VOL_VOLUMEN_SUMINISTROS[[#This Row],[FIN DE SEMANA]])</f>
        <v>11052-1NO</v>
      </c>
      <c r="E530" s="30" t="s">
        <v>146</v>
      </c>
      <c r="F530" s="30" t="s">
        <v>147</v>
      </c>
      <c r="G530" s="360">
        <v>1</v>
      </c>
      <c r="H530" s="30">
        <v>8</v>
      </c>
      <c r="I530" s="9" t="s">
        <v>148</v>
      </c>
      <c r="J530" s="9" t="s">
        <v>465</v>
      </c>
      <c r="K530" s="30">
        <v>2</v>
      </c>
      <c r="L530" s="9" t="s">
        <v>467</v>
      </c>
      <c r="M530" s="30" t="s">
        <v>84</v>
      </c>
      <c r="N530" s="30" t="s">
        <v>151</v>
      </c>
      <c r="O530" s="24">
        <v>148</v>
      </c>
      <c r="P530" s="24">
        <v>0</v>
      </c>
      <c r="Q530" s="24">
        <v>0</v>
      </c>
      <c r="R530" s="24">
        <v>0</v>
      </c>
      <c r="S530" s="24">
        <v>0</v>
      </c>
      <c r="T530" s="24">
        <v>148</v>
      </c>
    </row>
    <row r="531" spans="1:20">
      <c r="A531" s="9" t="s">
        <v>432</v>
      </c>
      <c r="B531" s="30" t="s">
        <v>433</v>
      </c>
      <c r="C531" s="30" t="str">
        <f>CONCATENATE(VOL_VOLUMEN_SUMINISTROS[[#This Row],[Proyecto]],VOL_VOLUMEN_SUMINISTROS[[#This Row],[J]],VOL_VOLUMEN_SUMINISTROS[[#This Row],[FIN DE SEMANA]])</f>
        <v>1052-1TNO</v>
      </c>
      <c r="D531" s="360" t="str">
        <f>CONCATENATE(VOL_VOLUMEN_SUMINISTROS[[#This Row],[Grupo]],VOL_VOLUMEN_SUMINISTROS[[#This Row],[Proyecto]],VOL_VOLUMEN_SUMINISTROS[[#This Row],[FIN DE SEMANA]])</f>
        <v>11052-1NO</v>
      </c>
      <c r="E531" s="30" t="s">
        <v>146</v>
      </c>
      <c r="F531" s="30" t="s">
        <v>147</v>
      </c>
      <c r="G531" s="360">
        <v>1</v>
      </c>
      <c r="H531" s="30">
        <v>8</v>
      </c>
      <c r="I531" s="9" t="s">
        <v>148</v>
      </c>
      <c r="J531" s="9" t="s">
        <v>465</v>
      </c>
      <c r="K531" s="30">
        <v>2</v>
      </c>
      <c r="L531" s="9" t="s">
        <v>467</v>
      </c>
      <c r="M531" s="30" t="s">
        <v>84</v>
      </c>
      <c r="N531" s="30" t="s">
        <v>154</v>
      </c>
      <c r="O531" s="24">
        <v>142</v>
      </c>
      <c r="P531" s="24">
        <v>0</v>
      </c>
      <c r="Q531" s="24">
        <v>0</v>
      </c>
      <c r="R531" s="24">
        <v>0</v>
      </c>
      <c r="S531" s="24">
        <v>0</v>
      </c>
      <c r="T531" s="24">
        <v>142</v>
      </c>
    </row>
    <row r="532" spans="1:20">
      <c r="A532" s="9" t="s">
        <v>432</v>
      </c>
      <c r="B532" s="30" t="s">
        <v>433</v>
      </c>
      <c r="C532" s="30" t="str">
        <f>CONCATENATE(VOL_VOLUMEN_SUMINISTROS[[#This Row],[Proyecto]],VOL_VOLUMEN_SUMINISTROS[[#This Row],[J]],VOL_VOLUMEN_SUMINISTROS[[#This Row],[FIN DE SEMANA]])</f>
        <v>1052-1MNO</v>
      </c>
      <c r="D532" s="360" t="str">
        <f>CONCATENATE(VOL_VOLUMEN_SUMINISTROS[[#This Row],[Grupo]],VOL_VOLUMEN_SUMINISTROS[[#This Row],[Proyecto]],VOL_VOLUMEN_SUMINISTROS[[#This Row],[FIN DE SEMANA]])</f>
        <v>11052-1NO</v>
      </c>
      <c r="E532" s="30" t="s">
        <v>146</v>
      </c>
      <c r="F532" s="30" t="s">
        <v>147</v>
      </c>
      <c r="G532" s="360">
        <v>1</v>
      </c>
      <c r="H532" s="30">
        <v>8</v>
      </c>
      <c r="I532" s="9" t="s">
        <v>148</v>
      </c>
      <c r="J532" s="9" t="s">
        <v>465</v>
      </c>
      <c r="K532" s="30">
        <v>3</v>
      </c>
      <c r="L532" s="9" t="s">
        <v>468</v>
      </c>
      <c r="M532" s="30" t="s">
        <v>84</v>
      </c>
      <c r="N532" s="30" t="s">
        <v>151</v>
      </c>
      <c r="O532" s="24">
        <v>403</v>
      </c>
      <c r="P532" s="24">
        <v>230</v>
      </c>
      <c r="Q532" s="24">
        <v>33</v>
      </c>
      <c r="R532" s="24">
        <v>0</v>
      </c>
      <c r="S532" s="24">
        <v>0</v>
      </c>
      <c r="T532" s="24">
        <v>666</v>
      </c>
    </row>
    <row r="533" spans="1:20">
      <c r="A533" s="9" t="s">
        <v>432</v>
      </c>
      <c r="B533" s="30" t="s">
        <v>433</v>
      </c>
      <c r="C533" s="30" t="str">
        <f>CONCATENATE(VOL_VOLUMEN_SUMINISTROS[[#This Row],[Proyecto]],VOL_VOLUMEN_SUMINISTROS[[#This Row],[J]],VOL_VOLUMEN_SUMINISTROS[[#This Row],[FIN DE SEMANA]])</f>
        <v>1052-1TNO</v>
      </c>
      <c r="D533" s="360" t="str">
        <f>CONCATENATE(VOL_VOLUMEN_SUMINISTROS[[#This Row],[Grupo]],VOL_VOLUMEN_SUMINISTROS[[#This Row],[Proyecto]],VOL_VOLUMEN_SUMINISTROS[[#This Row],[FIN DE SEMANA]])</f>
        <v>11052-1NO</v>
      </c>
      <c r="E533" s="30" t="s">
        <v>146</v>
      </c>
      <c r="F533" s="30" t="s">
        <v>147</v>
      </c>
      <c r="G533" s="360">
        <v>1</v>
      </c>
      <c r="H533" s="30">
        <v>8</v>
      </c>
      <c r="I533" s="9" t="s">
        <v>148</v>
      </c>
      <c r="J533" s="9" t="s">
        <v>465</v>
      </c>
      <c r="K533" s="30">
        <v>3</v>
      </c>
      <c r="L533" s="9" t="s">
        <v>468</v>
      </c>
      <c r="M533" s="30" t="s">
        <v>84</v>
      </c>
      <c r="N533" s="30" t="s">
        <v>154</v>
      </c>
      <c r="O533" s="24">
        <v>394</v>
      </c>
      <c r="P533" s="24">
        <v>227</v>
      </c>
      <c r="Q533" s="24">
        <v>32</v>
      </c>
      <c r="R533" s="24">
        <v>0</v>
      </c>
      <c r="S533" s="24">
        <v>0</v>
      </c>
      <c r="T533" s="24">
        <v>653</v>
      </c>
    </row>
    <row r="534" spans="1:20">
      <c r="A534" s="9" t="s">
        <v>432</v>
      </c>
      <c r="B534" s="30" t="s">
        <v>469</v>
      </c>
      <c r="C534" s="30" t="str">
        <f>CONCATENATE(VOL_VOLUMEN_SUMINISTROS[[#This Row],[Proyecto]],VOL_VOLUMEN_SUMINISTROS[[#This Row],[J]],VOL_VOLUMEN_SUMINISTROS[[#This Row],[FIN DE SEMANA]])</f>
        <v>1052-2MNO</v>
      </c>
      <c r="D534" s="360" t="str">
        <f>CONCATENATE(VOL_VOLUMEN_SUMINISTROS[[#This Row],[Grupo]],VOL_VOLUMEN_SUMINISTROS[[#This Row],[Proyecto]],VOL_VOLUMEN_SUMINISTROS[[#This Row],[FIN DE SEMANA]])</f>
        <v>71052-2NO</v>
      </c>
      <c r="E534" s="30" t="s">
        <v>182</v>
      </c>
      <c r="F534" s="30" t="s">
        <v>147</v>
      </c>
      <c r="G534" s="360">
        <v>7</v>
      </c>
      <c r="H534" s="30">
        <v>16</v>
      </c>
      <c r="I534" s="9" t="s">
        <v>434</v>
      </c>
      <c r="J534" s="9" t="s">
        <v>437</v>
      </c>
      <c r="K534" s="30">
        <v>1</v>
      </c>
      <c r="L534" s="9" t="s">
        <v>438</v>
      </c>
      <c r="M534" s="30" t="s">
        <v>84</v>
      </c>
      <c r="N534" s="30" t="s">
        <v>151</v>
      </c>
      <c r="O534" s="24">
        <v>0</v>
      </c>
      <c r="P534" s="24">
        <v>12</v>
      </c>
      <c r="Q534" s="24">
        <v>29</v>
      </c>
      <c r="R534" s="24">
        <v>0</v>
      </c>
      <c r="S534" s="24">
        <v>0</v>
      </c>
      <c r="T534" s="24">
        <v>41</v>
      </c>
    </row>
    <row r="535" spans="1:20">
      <c r="A535" s="9" t="s">
        <v>432</v>
      </c>
      <c r="B535" s="30" t="s">
        <v>469</v>
      </c>
      <c r="C535" s="30" t="str">
        <f>CONCATENATE(VOL_VOLUMEN_SUMINISTROS[[#This Row],[Proyecto]],VOL_VOLUMEN_SUMINISTROS[[#This Row],[J]],VOL_VOLUMEN_SUMINISTROS[[#This Row],[FIN DE SEMANA]])</f>
        <v>1052-2M1NO</v>
      </c>
      <c r="D535" s="360" t="str">
        <f>CONCATENATE(VOL_VOLUMEN_SUMINISTROS[[#This Row],[Grupo]],VOL_VOLUMEN_SUMINISTROS[[#This Row],[Proyecto]],VOL_VOLUMEN_SUMINISTROS[[#This Row],[FIN DE SEMANA]])</f>
        <v>71052-2NO</v>
      </c>
      <c r="E535" s="30" t="s">
        <v>182</v>
      </c>
      <c r="F535" s="30" t="s">
        <v>147</v>
      </c>
      <c r="G535" s="360">
        <v>7</v>
      </c>
      <c r="H535" s="30">
        <v>16</v>
      </c>
      <c r="I535" s="9" t="s">
        <v>434</v>
      </c>
      <c r="J535" s="9" t="s">
        <v>437</v>
      </c>
      <c r="K535" s="30">
        <v>1</v>
      </c>
      <c r="L535" s="9" t="s">
        <v>438</v>
      </c>
      <c r="M535" s="30" t="s">
        <v>84</v>
      </c>
      <c r="N535" s="30" t="s">
        <v>215</v>
      </c>
      <c r="O535" s="24">
        <v>14</v>
      </c>
      <c r="P535" s="24">
        <v>49</v>
      </c>
      <c r="Q535" s="24">
        <v>79</v>
      </c>
      <c r="R535" s="24">
        <v>0</v>
      </c>
      <c r="S535" s="24">
        <v>0</v>
      </c>
      <c r="T535" s="24">
        <v>142</v>
      </c>
    </row>
    <row r="536" spans="1:20">
      <c r="A536" s="9" t="s">
        <v>432</v>
      </c>
      <c r="B536" s="30" t="s">
        <v>469</v>
      </c>
      <c r="C536" s="30" t="str">
        <f>CONCATENATE(VOL_VOLUMEN_SUMINISTROS[[#This Row],[Proyecto]],VOL_VOLUMEN_SUMINISTROS[[#This Row],[J]],VOL_VOLUMEN_SUMINISTROS[[#This Row],[FIN DE SEMANA]])</f>
        <v>1052-2TNO</v>
      </c>
      <c r="D536" s="360" t="str">
        <f>CONCATENATE(VOL_VOLUMEN_SUMINISTROS[[#This Row],[Grupo]],VOL_VOLUMEN_SUMINISTROS[[#This Row],[Proyecto]],VOL_VOLUMEN_SUMINISTROS[[#This Row],[FIN DE SEMANA]])</f>
        <v>71052-2NO</v>
      </c>
      <c r="E536" s="30" t="s">
        <v>182</v>
      </c>
      <c r="F536" s="30" t="s">
        <v>147</v>
      </c>
      <c r="G536" s="360">
        <v>7</v>
      </c>
      <c r="H536" s="30">
        <v>16</v>
      </c>
      <c r="I536" s="9" t="s">
        <v>434</v>
      </c>
      <c r="J536" s="9" t="s">
        <v>437</v>
      </c>
      <c r="K536" s="30">
        <v>1</v>
      </c>
      <c r="L536" s="9" t="s">
        <v>439</v>
      </c>
      <c r="M536" s="30" t="s">
        <v>84</v>
      </c>
      <c r="N536" s="30" t="s">
        <v>154</v>
      </c>
      <c r="O536" s="24">
        <v>60</v>
      </c>
      <c r="P536" s="24">
        <v>78</v>
      </c>
      <c r="Q536" s="24">
        <v>16</v>
      </c>
      <c r="R536" s="24">
        <v>0</v>
      </c>
      <c r="S536" s="24">
        <v>0</v>
      </c>
      <c r="T536" s="24">
        <v>154</v>
      </c>
    </row>
    <row r="537" spans="1:20">
      <c r="A537" s="9" t="s">
        <v>432</v>
      </c>
      <c r="B537" s="30" t="s">
        <v>470</v>
      </c>
      <c r="C537" s="30" t="str">
        <f>CONCATENATE(VOL_VOLUMEN_SUMINISTROS[[#This Row],[Proyecto]],VOL_VOLUMEN_SUMINISTROS[[#This Row],[J]],VOL_VOLUMEN_SUMINISTROS[[#This Row],[FIN DE SEMANA]])</f>
        <v>1052-2MNO</v>
      </c>
      <c r="D537" s="360" t="str">
        <f>CONCATENATE(VOL_VOLUMEN_SUMINISTROS[[#This Row],[Grupo]],VOL_VOLUMEN_SUMINISTROS[[#This Row],[Proyecto]],VOL_VOLUMEN_SUMINISTROS[[#This Row],[FIN DE SEMANA]])</f>
        <v>71052-2NO</v>
      </c>
      <c r="E537" s="30" t="s">
        <v>182</v>
      </c>
      <c r="F537" s="30" t="s">
        <v>147</v>
      </c>
      <c r="G537" s="360">
        <v>7</v>
      </c>
      <c r="H537" s="30">
        <v>16</v>
      </c>
      <c r="I537" s="9" t="s">
        <v>434</v>
      </c>
      <c r="J537" s="9" t="s">
        <v>435</v>
      </c>
      <c r="K537" s="30">
        <v>1</v>
      </c>
      <c r="L537" s="9" t="s">
        <v>436</v>
      </c>
      <c r="M537" s="30" t="s">
        <v>84</v>
      </c>
      <c r="N537" s="30" t="s">
        <v>151</v>
      </c>
      <c r="O537" s="24">
        <v>0</v>
      </c>
      <c r="P537" s="24">
        <v>0</v>
      </c>
      <c r="Q537" s="24">
        <v>131</v>
      </c>
      <c r="R537" s="24">
        <v>0</v>
      </c>
      <c r="S537" s="24">
        <v>0</v>
      </c>
      <c r="T537" s="24">
        <v>131</v>
      </c>
    </row>
    <row r="538" spans="1:20">
      <c r="A538" s="9" t="s">
        <v>432</v>
      </c>
      <c r="B538" s="30" t="s">
        <v>470</v>
      </c>
      <c r="C538" s="30" t="str">
        <f>CONCATENATE(VOL_VOLUMEN_SUMINISTROS[[#This Row],[Proyecto]],VOL_VOLUMEN_SUMINISTROS[[#This Row],[J]],VOL_VOLUMEN_SUMINISTROS[[#This Row],[FIN DE SEMANA]])</f>
        <v>1052-2TNO</v>
      </c>
      <c r="D538" s="360" t="str">
        <f>CONCATENATE(VOL_VOLUMEN_SUMINISTROS[[#This Row],[Grupo]],VOL_VOLUMEN_SUMINISTROS[[#This Row],[Proyecto]],VOL_VOLUMEN_SUMINISTROS[[#This Row],[FIN DE SEMANA]])</f>
        <v>71052-2NO</v>
      </c>
      <c r="E538" s="30" t="s">
        <v>182</v>
      </c>
      <c r="F538" s="30" t="s">
        <v>147</v>
      </c>
      <c r="G538" s="360">
        <v>7</v>
      </c>
      <c r="H538" s="30">
        <v>16</v>
      </c>
      <c r="I538" s="9" t="s">
        <v>434</v>
      </c>
      <c r="J538" s="9" t="s">
        <v>435</v>
      </c>
      <c r="K538" s="30">
        <v>1</v>
      </c>
      <c r="L538" s="9" t="s">
        <v>436</v>
      </c>
      <c r="M538" s="30" t="s">
        <v>84</v>
      </c>
      <c r="N538" s="30" t="s">
        <v>154</v>
      </c>
      <c r="O538" s="24">
        <v>0</v>
      </c>
      <c r="P538" s="24">
        <v>0</v>
      </c>
      <c r="Q538" s="24">
        <v>131</v>
      </c>
      <c r="R538" s="24">
        <v>0</v>
      </c>
      <c r="S538" s="24">
        <v>0</v>
      </c>
      <c r="T538" s="24">
        <v>131</v>
      </c>
    </row>
    <row r="539" spans="1:20">
      <c r="A539" s="9" t="s">
        <v>432</v>
      </c>
      <c r="B539" s="30" t="s">
        <v>470</v>
      </c>
      <c r="C539" s="30" t="str">
        <f>CONCATENATE(VOL_VOLUMEN_SUMINISTROS[[#This Row],[Proyecto]],VOL_VOLUMEN_SUMINISTROS[[#This Row],[J]],VOL_VOLUMEN_SUMINISTROS[[#This Row],[FIN DE SEMANA]])</f>
        <v>1052-2MNO</v>
      </c>
      <c r="D539" s="360" t="str">
        <f>CONCATENATE(VOL_VOLUMEN_SUMINISTROS[[#This Row],[Grupo]],VOL_VOLUMEN_SUMINISTROS[[#This Row],[Proyecto]],VOL_VOLUMEN_SUMINISTROS[[#This Row],[FIN DE SEMANA]])</f>
        <v>71052-2NO</v>
      </c>
      <c r="E539" s="30" t="s">
        <v>182</v>
      </c>
      <c r="F539" s="30" t="s">
        <v>147</v>
      </c>
      <c r="G539" s="360">
        <v>7</v>
      </c>
      <c r="H539" s="30">
        <v>16</v>
      </c>
      <c r="I539" s="9" t="s">
        <v>434</v>
      </c>
      <c r="J539" s="9" t="s">
        <v>437</v>
      </c>
      <c r="K539" s="30">
        <v>1</v>
      </c>
      <c r="L539" s="9" t="s">
        <v>438</v>
      </c>
      <c r="M539" s="30" t="s">
        <v>84</v>
      </c>
      <c r="N539" s="30" t="s">
        <v>151</v>
      </c>
      <c r="O539" s="24">
        <v>0</v>
      </c>
      <c r="P539" s="24">
        <v>0</v>
      </c>
      <c r="Q539" s="24">
        <v>38</v>
      </c>
      <c r="R539" s="24">
        <v>0</v>
      </c>
      <c r="S539" s="24">
        <v>0</v>
      </c>
      <c r="T539" s="24">
        <v>38</v>
      </c>
    </row>
    <row r="540" spans="1:20">
      <c r="A540" s="9" t="s">
        <v>432</v>
      </c>
      <c r="B540" s="30" t="s">
        <v>470</v>
      </c>
      <c r="C540" s="30" t="str">
        <f>CONCATENATE(VOL_VOLUMEN_SUMINISTROS[[#This Row],[Proyecto]],VOL_VOLUMEN_SUMINISTROS[[#This Row],[J]],VOL_VOLUMEN_SUMINISTROS[[#This Row],[FIN DE SEMANA]])</f>
        <v>1052-2MNO</v>
      </c>
      <c r="D540" s="360" t="str">
        <f>CONCATENATE(VOL_VOLUMEN_SUMINISTROS[[#This Row],[Grupo]],VOL_VOLUMEN_SUMINISTROS[[#This Row],[Proyecto]],VOL_VOLUMEN_SUMINISTROS[[#This Row],[FIN DE SEMANA]])</f>
        <v>101052-2NO</v>
      </c>
      <c r="E540" s="30" t="s">
        <v>182</v>
      </c>
      <c r="F540" s="30" t="s">
        <v>147</v>
      </c>
      <c r="G540" s="360">
        <v>10</v>
      </c>
      <c r="H540" s="30">
        <v>8</v>
      </c>
      <c r="I540" s="9" t="s">
        <v>148</v>
      </c>
      <c r="J540" s="9" t="s">
        <v>440</v>
      </c>
      <c r="K540" s="30">
        <v>1</v>
      </c>
      <c r="L540" s="9" t="s">
        <v>441</v>
      </c>
      <c r="M540" s="30" t="s">
        <v>84</v>
      </c>
      <c r="N540" s="30" t="s">
        <v>151</v>
      </c>
      <c r="O540" s="24">
        <v>0</v>
      </c>
      <c r="P540" s="24">
        <v>0</v>
      </c>
      <c r="Q540" s="24">
        <v>78</v>
      </c>
      <c r="R540" s="24">
        <v>0</v>
      </c>
      <c r="S540" s="24">
        <v>0</v>
      </c>
      <c r="T540" s="24">
        <v>78</v>
      </c>
    </row>
    <row r="541" spans="1:20">
      <c r="A541" s="9" t="s">
        <v>432</v>
      </c>
      <c r="B541" s="30" t="s">
        <v>470</v>
      </c>
      <c r="C541" s="30" t="str">
        <f>CONCATENATE(VOL_VOLUMEN_SUMINISTROS[[#This Row],[Proyecto]],VOL_VOLUMEN_SUMINISTROS[[#This Row],[J]],VOL_VOLUMEN_SUMINISTROS[[#This Row],[FIN DE SEMANA]])</f>
        <v>1052-2TNO</v>
      </c>
      <c r="D541" s="360" t="str">
        <f>CONCATENATE(VOL_VOLUMEN_SUMINISTROS[[#This Row],[Grupo]],VOL_VOLUMEN_SUMINISTROS[[#This Row],[Proyecto]],VOL_VOLUMEN_SUMINISTROS[[#This Row],[FIN DE SEMANA]])</f>
        <v>101052-2NO</v>
      </c>
      <c r="E541" s="30" t="s">
        <v>182</v>
      </c>
      <c r="F541" s="30" t="s">
        <v>147</v>
      </c>
      <c r="G541" s="360">
        <v>10</v>
      </c>
      <c r="H541" s="30">
        <v>8</v>
      </c>
      <c r="I541" s="9" t="s">
        <v>148</v>
      </c>
      <c r="J541" s="9" t="s">
        <v>440</v>
      </c>
      <c r="K541" s="30">
        <v>1</v>
      </c>
      <c r="L541" s="9" t="s">
        <v>441</v>
      </c>
      <c r="M541" s="30" t="s">
        <v>84</v>
      </c>
      <c r="N541" s="30" t="s">
        <v>154</v>
      </c>
      <c r="O541" s="24">
        <v>0</v>
      </c>
      <c r="P541" s="24">
        <v>0</v>
      </c>
      <c r="Q541" s="24">
        <v>74</v>
      </c>
      <c r="R541" s="24">
        <v>0</v>
      </c>
      <c r="S541" s="24">
        <v>0</v>
      </c>
      <c r="T541" s="24">
        <v>74</v>
      </c>
    </row>
    <row r="542" spans="1:20">
      <c r="A542" s="9" t="s">
        <v>432</v>
      </c>
      <c r="B542" s="30" t="s">
        <v>470</v>
      </c>
      <c r="C542" s="30" t="str">
        <f>CONCATENATE(VOL_VOLUMEN_SUMINISTROS[[#This Row],[Proyecto]],VOL_VOLUMEN_SUMINISTROS[[#This Row],[J]],VOL_VOLUMEN_SUMINISTROS[[#This Row],[FIN DE SEMANA]])</f>
        <v>1052-2M1NO</v>
      </c>
      <c r="D542" s="360" t="str">
        <f>CONCATENATE(VOL_VOLUMEN_SUMINISTROS[[#This Row],[Grupo]],VOL_VOLUMEN_SUMINISTROS[[#This Row],[Proyecto]],VOL_VOLUMEN_SUMINISTROS[[#This Row],[FIN DE SEMANA]])</f>
        <v>41052-2NO</v>
      </c>
      <c r="E542" s="30" t="s">
        <v>182</v>
      </c>
      <c r="F542" s="30" t="s">
        <v>147</v>
      </c>
      <c r="G542" s="360">
        <v>4</v>
      </c>
      <c r="H542" s="30">
        <v>8</v>
      </c>
      <c r="I542" s="9" t="s">
        <v>148</v>
      </c>
      <c r="J542" s="9" t="s">
        <v>448</v>
      </c>
      <c r="K542" s="30">
        <v>1</v>
      </c>
      <c r="L542" s="9" t="s">
        <v>449</v>
      </c>
      <c r="M542" s="30" t="s">
        <v>84</v>
      </c>
      <c r="N542" s="30" t="s">
        <v>215</v>
      </c>
      <c r="O542" s="24">
        <v>0</v>
      </c>
      <c r="P542" s="24">
        <v>0</v>
      </c>
      <c r="Q542" s="24">
        <v>171</v>
      </c>
      <c r="R542" s="24">
        <v>0</v>
      </c>
      <c r="S542" s="24">
        <v>0</v>
      </c>
      <c r="T542" s="24">
        <v>171</v>
      </c>
    </row>
    <row r="543" spans="1:20">
      <c r="A543" s="9" t="s">
        <v>432</v>
      </c>
      <c r="B543" s="30" t="s">
        <v>470</v>
      </c>
      <c r="C543" s="30" t="str">
        <f>CONCATENATE(VOL_VOLUMEN_SUMINISTROS[[#This Row],[Proyecto]],VOL_VOLUMEN_SUMINISTROS[[#This Row],[J]],VOL_VOLUMEN_SUMINISTROS[[#This Row],[FIN DE SEMANA]])</f>
        <v>1052-2TNO</v>
      </c>
      <c r="D543" s="360" t="str">
        <f>CONCATENATE(VOL_VOLUMEN_SUMINISTROS[[#This Row],[Grupo]],VOL_VOLUMEN_SUMINISTROS[[#This Row],[Proyecto]],VOL_VOLUMEN_SUMINISTROS[[#This Row],[FIN DE SEMANA]])</f>
        <v>11052-2NO</v>
      </c>
      <c r="E543" s="30" t="s">
        <v>182</v>
      </c>
      <c r="F543" s="30" t="s">
        <v>147</v>
      </c>
      <c r="G543" s="360">
        <v>1</v>
      </c>
      <c r="H543" s="30">
        <v>8</v>
      </c>
      <c r="I543" s="9" t="s">
        <v>148</v>
      </c>
      <c r="J543" s="9" t="s">
        <v>448</v>
      </c>
      <c r="K543" s="30">
        <v>1</v>
      </c>
      <c r="L543" s="9" t="s">
        <v>449</v>
      </c>
      <c r="M543" s="30" t="s">
        <v>84</v>
      </c>
      <c r="N543" s="30" t="s">
        <v>154</v>
      </c>
      <c r="O543" s="24">
        <v>0</v>
      </c>
      <c r="P543" s="24">
        <v>0</v>
      </c>
      <c r="Q543" s="24">
        <v>197</v>
      </c>
      <c r="R543" s="24">
        <v>0</v>
      </c>
      <c r="S543" s="24">
        <v>0</v>
      </c>
      <c r="T543" s="24">
        <v>197</v>
      </c>
    </row>
    <row r="544" spans="1:20">
      <c r="A544" s="9" t="s">
        <v>432</v>
      </c>
      <c r="B544" s="30" t="s">
        <v>470</v>
      </c>
      <c r="C544" s="30" t="str">
        <f>CONCATENATE(VOL_VOLUMEN_SUMINISTROS[[#This Row],[Proyecto]],VOL_VOLUMEN_SUMINISTROS[[#This Row],[J]],VOL_VOLUMEN_SUMINISTROS[[#This Row],[FIN DE SEMANA]])</f>
        <v>1052-2TNO</v>
      </c>
      <c r="D544" s="360" t="str">
        <f>CONCATENATE(VOL_VOLUMEN_SUMINISTROS[[#This Row],[Grupo]],VOL_VOLUMEN_SUMINISTROS[[#This Row],[Proyecto]],VOL_VOLUMEN_SUMINISTROS[[#This Row],[FIN DE SEMANA]])</f>
        <v>11052-2NO</v>
      </c>
      <c r="E544" s="30" t="s">
        <v>182</v>
      </c>
      <c r="F544" s="30" t="s">
        <v>147</v>
      </c>
      <c r="G544" s="360">
        <v>1</v>
      </c>
      <c r="H544" s="30">
        <v>8</v>
      </c>
      <c r="I544" s="9" t="s">
        <v>148</v>
      </c>
      <c r="J544" s="9" t="s">
        <v>450</v>
      </c>
      <c r="K544" s="30">
        <v>1</v>
      </c>
      <c r="L544" s="9" t="s">
        <v>451</v>
      </c>
      <c r="M544" s="30" t="s">
        <v>84</v>
      </c>
      <c r="N544" s="30" t="s">
        <v>154</v>
      </c>
      <c r="O544" s="24">
        <v>0</v>
      </c>
      <c r="P544" s="24">
        <v>0</v>
      </c>
      <c r="Q544" s="24">
        <v>150</v>
      </c>
      <c r="R544" s="24">
        <v>0</v>
      </c>
      <c r="S544" s="24">
        <v>0</v>
      </c>
      <c r="T544" s="24">
        <v>150</v>
      </c>
    </row>
    <row r="545" spans="1:20">
      <c r="A545" s="9" t="s">
        <v>432</v>
      </c>
      <c r="B545" s="30" t="s">
        <v>470</v>
      </c>
      <c r="C545" s="30" t="str">
        <f>CONCATENATE(VOL_VOLUMEN_SUMINISTROS[[#This Row],[Proyecto]],VOL_VOLUMEN_SUMINISTROS[[#This Row],[J]],VOL_VOLUMEN_SUMINISTROS[[#This Row],[FIN DE SEMANA]])</f>
        <v>1052-2MNO</v>
      </c>
      <c r="D545" s="360" t="str">
        <f>CONCATENATE(VOL_VOLUMEN_SUMINISTROS[[#This Row],[Grupo]],VOL_VOLUMEN_SUMINISTROS[[#This Row],[Proyecto]],VOL_VOLUMEN_SUMINISTROS[[#This Row],[FIN DE SEMANA]])</f>
        <v>41052-2NO</v>
      </c>
      <c r="E545" s="30" t="s">
        <v>182</v>
      </c>
      <c r="F545" s="30" t="s">
        <v>147</v>
      </c>
      <c r="G545" s="360">
        <v>4</v>
      </c>
      <c r="H545" s="30">
        <v>8</v>
      </c>
      <c r="I545" s="9" t="s">
        <v>148</v>
      </c>
      <c r="J545" s="9" t="s">
        <v>460</v>
      </c>
      <c r="K545" s="30">
        <v>1</v>
      </c>
      <c r="L545" s="9" t="s">
        <v>461</v>
      </c>
      <c r="M545" s="30" t="s">
        <v>84</v>
      </c>
      <c r="N545" s="30" t="s">
        <v>151</v>
      </c>
      <c r="O545" s="24">
        <v>0</v>
      </c>
      <c r="P545" s="24">
        <v>0</v>
      </c>
      <c r="Q545" s="24">
        <v>120</v>
      </c>
      <c r="R545" s="24">
        <v>0</v>
      </c>
      <c r="S545" s="24">
        <v>0</v>
      </c>
      <c r="T545" s="24">
        <v>120</v>
      </c>
    </row>
    <row r="546" spans="1:20">
      <c r="A546" s="9" t="s">
        <v>432</v>
      </c>
      <c r="B546" s="30" t="s">
        <v>470</v>
      </c>
      <c r="C546" s="30" t="str">
        <f>CONCATENATE(VOL_VOLUMEN_SUMINISTROS[[#This Row],[Proyecto]],VOL_VOLUMEN_SUMINISTROS[[#This Row],[J]],VOL_VOLUMEN_SUMINISTROS[[#This Row],[FIN DE SEMANA]])</f>
        <v>1052-2TNO</v>
      </c>
      <c r="D546" s="360" t="str">
        <f>CONCATENATE(VOL_VOLUMEN_SUMINISTROS[[#This Row],[Grupo]],VOL_VOLUMEN_SUMINISTROS[[#This Row],[Proyecto]],VOL_VOLUMEN_SUMINISTROS[[#This Row],[FIN DE SEMANA]])</f>
        <v>41052-2NO</v>
      </c>
      <c r="E546" s="30" t="s">
        <v>182</v>
      </c>
      <c r="F546" s="30" t="s">
        <v>147</v>
      </c>
      <c r="G546" s="360">
        <v>4</v>
      </c>
      <c r="H546" s="30">
        <v>8</v>
      </c>
      <c r="I546" s="9" t="s">
        <v>148</v>
      </c>
      <c r="J546" s="9" t="s">
        <v>460</v>
      </c>
      <c r="K546" s="30">
        <v>1</v>
      </c>
      <c r="L546" s="9" t="s">
        <v>461</v>
      </c>
      <c r="M546" s="30" t="s">
        <v>84</v>
      </c>
      <c r="N546" s="30" t="s">
        <v>154</v>
      </c>
      <c r="O546" s="24">
        <v>0</v>
      </c>
      <c r="P546" s="24">
        <v>0</v>
      </c>
      <c r="Q546" s="24">
        <v>120</v>
      </c>
      <c r="R546" s="24">
        <v>0</v>
      </c>
      <c r="S546" s="24">
        <v>0</v>
      </c>
      <c r="T546" s="24">
        <v>120</v>
      </c>
    </row>
    <row r="547" spans="1:20">
      <c r="A547" s="9" t="s">
        <v>432</v>
      </c>
      <c r="B547" s="30" t="s">
        <v>470</v>
      </c>
      <c r="C547" s="30" t="str">
        <f>CONCATENATE(VOL_VOLUMEN_SUMINISTROS[[#This Row],[Proyecto]],VOL_VOLUMEN_SUMINISTROS[[#This Row],[J]],VOL_VOLUMEN_SUMINISTROS[[#This Row],[FIN DE SEMANA]])</f>
        <v>1052-2MNO</v>
      </c>
      <c r="D547" s="360" t="str">
        <f>CONCATENATE(VOL_VOLUMEN_SUMINISTROS[[#This Row],[Grupo]],VOL_VOLUMEN_SUMINISTROS[[#This Row],[Proyecto]],VOL_VOLUMEN_SUMINISTROS[[#This Row],[FIN DE SEMANA]])</f>
        <v>11052-2NO</v>
      </c>
      <c r="E547" s="30" t="s">
        <v>182</v>
      </c>
      <c r="F547" s="30" t="s">
        <v>147</v>
      </c>
      <c r="G547" s="360">
        <v>1</v>
      </c>
      <c r="H547" s="30">
        <v>8</v>
      </c>
      <c r="I547" s="9" t="s">
        <v>148</v>
      </c>
      <c r="J547" s="9" t="s">
        <v>462</v>
      </c>
      <c r="K547" s="30">
        <v>1</v>
      </c>
      <c r="L547" s="9" t="s">
        <v>463</v>
      </c>
      <c r="M547" s="30" t="s">
        <v>84</v>
      </c>
      <c r="N547" s="30" t="s">
        <v>151</v>
      </c>
      <c r="O547" s="24">
        <v>0</v>
      </c>
      <c r="P547" s="24">
        <v>0</v>
      </c>
      <c r="Q547" s="24">
        <v>74</v>
      </c>
      <c r="R547" s="24">
        <v>0</v>
      </c>
      <c r="S547" s="24">
        <v>0</v>
      </c>
      <c r="T547" s="24">
        <v>74</v>
      </c>
    </row>
    <row r="548" spans="1:20">
      <c r="A548" s="9" t="s">
        <v>432</v>
      </c>
      <c r="B548" s="30" t="s">
        <v>470</v>
      </c>
      <c r="C548" s="30" t="str">
        <f>CONCATENATE(VOL_VOLUMEN_SUMINISTROS[[#This Row],[Proyecto]],VOL_VOLUMEN_SUMINISTROS[[#This Row],[J]],VOL_VOLUMEN_SUMINISTROS[[#This Row],[FIN DE SEMANA]])</f>
        <v>1052-2TNO</v>
      </c>
      <c r="D548" s="360" t="str">
        <f>CONCATENATE(VOL_VOLUMEN_SUMINISTROS[[#This Row],[Grupo]],VOL_VOLUMEN_SUMINISTROS[[#This Row],[Proyecto]],VOL_VOLUMEN_SUMINISTROS[[#This Row],[FIN DE SEMANA]])</f>
        <v>11052-2NO</v>
      </c>
      <c r="E548" s="30" t="s">
        <v>182</v>
      </c>
      <c r="F548" s="30" t="s">
        <v>147</v>
      </c>
      <c r="G548" s="360">
        <v>1</v>
      </c>
      <c r="H548" s="30">
        <v>8</v>
      </c>
      <c r="I548" s="9" t="s">
        <v>148</v>
      </c>
      <c r="J548" s="9" t="s">
        <v>462</v>
      </c>
      <c r="K548" s="30">
        <v>1</v>
      </c>
      <c r="L548" s="9" t="s">
        <v>463</v>
      </c>
      <c r="M548" s="30" t="s">
        <v>84</v>
      </c>
      <c r="N548" s="30" t="s">
        <v>154</v>
      </c>
      <c r="O548" s="24">
        <v>0</v>
      </c>
      <c r="P548" s="24">
        <v>0</v>
      </c>
      <c r="Q548" s="24">
        <v>116</v>
      </c>
      <c r="R548" s="24">
        <v>0</v>
      </c>
      <c r="S548" s="24">
        <v>0</v>
      </c>
      <c r="T548" s="24">
        <v>116</v>
      </c>
    </row>
    <row r="549" spans="1:20">
      <c r="A549" s="9" t="s">
        <v>432</v>
      </c>
      <c r="B549" s="30" t="s">
        <v>470</v>
      </c>
      <c r="C549" s="30" t="str">
        <f>CONCATENATE(VOL_VOLUMEN_SUMINISTROS[[#This Row],[Proyecto]],VOL_VOLUMEN_SUMINISTROS[[#This Row],[J]],VOL_VOLUMEN_SUMINISTROS[[#This Row],[FIN DE SEMANA]])</f>
        <v>1052-2MNO</v>
      </c>
      <c r="D549" s="360" t="str">
        <f>CONCATENATE(VOL_VOLUMEN_SUMINISTROS[[#This Row],[Grupo]],VOL_VOLUMEN_SUMINISTROS[[#This Row],[Proyecto]],VOL_VOLUMEN_SUMINISTROS[[#This Row],[FIN DE SEMANA]])</f>
        <v>11052-2NO</v>
      </c>
      <c r="E549" s="30" t="s">
        <v>182</v>
      </c>
      <c r="F549" s="30" t="s">
        <v>147</v>
      </c>
      <c r="G549" s="360">
        <v>1</v>
      </c>
      <c r="H549" s="30">
        <v>8</v>
      </c>
      <c r="I549" s="9" t="s">
        <v>148</v>
      </c>
      <c r="J549" s="9" t="s">
        <v>465</v>
      </c>
      <c r="K549" s="30">
        <v>1</v>
      </c>
      <c r="L549" s="9" t="s">
        <v>466</v>
      </c>
      <c r="M549" s="30" t="s">
        <v>84</v>
      </c>
      <c r="N549" s="30" t="s">
        <v>151</v>
      </c>
      <c r="O549" s="24">
        <v>0</v>
      </c>
      <c r="P549" s="24">
        <v>0</v>
      </c>
      <c r="Q549" s="24">
        <v>59</v>
      </c>
      <c r="R549" s="24">
        <v>0</v>
      </c>
      <c r="S549" s="24">
        <v>0</v>
      </c>
      <c r="T549" s="24">
        <v>59</v>
      </c>
    </row>
    <row r="550" spans="1:20">
      <c r="A550" s="9" t="s">
        <v>432</v>
      </c>
      <c r="B550" s="30" t="s">
        <v>470</v>
      </c>
      <c r="C550" s="30" t="str">
        <f>CONCATENATE(VOL_VOLUMEN_SUMINISTROS[[#This Row],[Proyecto]],VOL_VOLUMEN_SUMINISTROS[[#This Row],[J]],VOL_VOLUMEN_SUMINISTROS[[#This Row],[FIN DE SEMANA]])</f>
        <v>1052-2TNO</v>
      </c>
      <c r="D550" s="360" t="str">
        <f>CONCATENATE(VOL_VOLUMEN_SUMINISTROS[[#This Row],[Grupo]],VOL_VOLUMEN_SUMINISTROS[[#This Row],[Proyecto]],VOL_VOLUMEN_SUMINISTROS[[#This Row],[FIN DE SEMANA]])</f>
        <v>11052-2NO</v>
      </c>
      <c r="E550" s="30" t="s">
        <v>182</v>
      </c>
      <c r="F550" s="30" t="s">
        <v>147</v>
      </c>
      <c r="G550" s="360">
        <v>1</v>
      </c>
      <c r="H550" s="30">
        <v>8</v>
      </c>
      <c r="I550" s="9" t="s">
        <v>148</v>
      </c>
      <c r="J550" s="9" t="s">
        <v>465</v>
      </c>
      <c r="K550" s="30">
        <v>1</v>
      </c>
      <c r="L550" s="9" t="s">
        <v>466</v>
      </c>
      <c r="M550" s="30" t="s">
        <v>84</v>
      </c>
      <c r="N550" s="30" t="s">
        <v>154</v>
      </c>
      <c r="O550" s="24">
        <v>0</v>
      </c>
      <c r="P550" s="24">
        <v>0</v>
      </c>
      <c r="Q550" s="24">
        <v>63</v>
      </c>
      <c r="R550" s="24">
        <v>0</v>
      </c>
      <c r="S550" s="24">
        <v>0</v>
      </c>
      <c r="T550" s="24">
        <v>63</v>
      </c>
    </row>
    <row r="551" spans="1:20">
      <c r="A551" s="9" t="s">
        <v>432</v>
      </c>
      <c r="B551" s="30" t="s">
        <v>471</v>
      </c>
      <c r="C551" s="30" t="str">
        <f>CONCATENATE(VOL_VOLUMEN_SUMINISTROS[[#This Row],[Proyecto]],VOL_VOLUMEN_SUMINISTROS[[#This Row],[J]],VOL_VOLUMEN_SUMINISTROS[[#This Row],[FIN DE SEMANA]])</f>
        <v>1052-2MNO</v>
      </c>
      <c r="D551" s="360" t="str">
        <f>CONCATENATE(VOL_VOLUMEN_SUMINISTROS[[#This Row],[Grupo]],VOL_VOLUMEN_SUMINISTROS[[#This Row],[Proyecto]],VOL_VOLUMEN_SUMINISTROS[[#This Row],[FIN DE SEMANA]])</f>
        <v>71052-2NO</v>
      </c>
      <c r="E551" s="30" t="s">
        <v>182</v>
      </c>
      <c r="F551" s="30" t="s">
        <v>147</v>
      </c>
      <c r="G551" s="360">
        <v>7</v>
      </c>
      <c r="H551" s="30">
        <v>16</v>
      </c>
      <c r="I551" s="9" t="s">
        <v>434</v>
      </c>
      <c r="J551" s="9" t="s">
        <v>437</v>
      </c>
      <c r="K551" s="30">
        <v>1</v>
      </c>
      <c r="L551" s="9" t="s">
        <v>438</v>
      </c>
      <c r="M551" s="30" t="s">
        <v>84</v>
      </c>
      <c r="N551" s="30" t="s">
        <v>151</v>
      </c>
      <c r="O551" s="24">
        <v>49</v>
      </c>
      <c r="P551" s="24">
        <v>0</v>
      </c>
      <c r="Q551" s="24">
        <v>0</v>
      </c>
      <c r="R551" s="24">
        <v>0</v>
      </c>
      <c r="S551" s="24">
        <v>0</v>
      </c>
      <c r="T551" s="24">
        <v>49</v>
      </c>
    </row>
    <row r="552" spans="1:20">
      <c r="A552" s="9" t="s">
        <v>432</v>
      </c>
      <c r="B552" s="30" t="s">
        <v>472</v>
      </c>
      <c r="C552" s="30" t="str">
        <f>CONCATENATE(VOL_VOLUMEN_SUMINISTROS[[#This Row],[Proyecto]],VOL_VOLUMEN_SUMINISTROS[[#This Row],[J]],VOL_VOLUMEN_SUMINISTROS[[#This Row],[FIN DE SEMANA]])</f>
        <v>1052-1MNO</v>
      </c>
      <c r="D552" s="360" t="str">
        <f>CONCATENATE(VOL_VOLUMEN_SUMINISTROS[[#This Row],[Grupo]],VOL_VOLUMEN_SUMINISTROS[[#This Row],[Proyecto]],VOL_VOLUMEN_SUMINISTROS[[#This Row],[FIN DE SEMANA]])</f>
        <v>291052-1NO</v>
      </c>
      <c r="E552" s="30" t="s">
        <v>146</v>
      </c>
      <c r="F552" s="30" t="s">
        <v>147</v>
      </c>
      <c r="G552" s="360">
        <v>29</v>
      </c>
      <c r="H552" s="30">
        <v>7</v>
      </c>
      <c r="I552" s="9" t="s">
        <v>220</v>
      </c>
      <c r="J552" s="9" t="s">
        <v>473</v>
      </c>
      <c r="K552" s="30">
        <v>1</v>
      </c>
      <c r="L552" s="9" t="s">
        <v>474</v>
      </c>
      <c r="M552" s="30" t="s">
        <v>84</v>
      </c>
      <c r="N552" s="30" t="s">
        <v>151</v>
      </c>
      <c r="O552" s="24">
        <v>0</v>
      </c>
      <c r="P552" s="24">
        <v>369</v>
      </c>
      <c r="Q552" s="24">
        <v>712</v>
      </c>
      <c r="R552" s="24">
        <v>0</v>
      </c>
      <c r="S552" s="24">
        <v>0</v>
      </c>
      <c r="T552" s="24">
        <v>1081</v>
      </c>
    </row>
    <row r="553" spans="1:20">
      <c r="A553" s="9" t="s">
        <v>432</v>
      </c>
      <c r="B553" s="30" t="s">
        <v>472</v>
      </c>
      <c r="C553" s="30" t="str">
        <f>CONCATENATE(VOL_VOLUMEN_SUMINISTROS[[#This Row],[Proyecto]],VOL_VOLUMEN_SUMINISTROS[[#This Row],[J]],VOL_VOLUMEN_SUMINISTROS[[#This Row],[FIN DE SEMANA]])</f>
        <v>1052-1TNO</v>
      </c>
      <c r="D553" s="360" t="str">
        <f>CONCATENATE(VOL_VOLUMEN_SUMINISTROS[[#This Row],[Grupo]],VOL_VOLUMEN_SUMINISTROS[[#This Row],[Proyecto]],VOL_VOLUMEN_SUMINISTROS[[#This Row],[FIN DE SEMANA]])</f>
        <v>291052-1NO</v>
      </c>
      <c r="E553" s="30" t="s">
        <v>146</v>
      </c>
      <c r="F553" s="30" t="s">
        <v>147</v>
      </c>
      <c r="G553" s="360">
        <v>29</v>
      </c>
      <c r="H553" s="30">
        <v>7</v>
      </c>
      <c r="I553" s="9" t="s">
        <v>220</v>
      </c>
      <c r="J553" s="9" t="s">
        <v>473</v>
      </c>
      <c r="K553" s="30">
        <v>1</v>
      </c>
      <c r="L553" s="9" t="s">
        <v>474</v>
      </c>
      <c r="M553" s="30" t="s">
        <v>84</v>
      </c>
      <c r="N553" s="30" t="s">
        <v>154</v>
      </c>
      <c r="O553" s="24">
        <v>0</v>
      </c>
      <c r="P553" s="24">
        <v>363</v>
      </c>
      <c r="Q553" s="24">
        <v>734</v>
      </c>
      <c r="R553" s="24">
        <v>0</v>
      </c>
      <c r="S553" s="24">
        <v>0</v>
      </c>
      <c r="T553" s="24">
        <v>1097</v>
      </c>
    </row>
    <row r="554" spans="1:20">
      <c r="A554" s="9" t="s">
        <v>432</v>
      </c>
      <c r="B554" s="30" t="s">
        <v>472</v>
      </c>
      <c r="C554" s="30" t="str">
        <f>CONCATENATE(VOL_VOLUMEN_SUMINISTROS[[#This Row],[Proyecto]],VOL_VOLUMEN_SUMINISTROS[[#This Row],[J]],VOL_VOLUMEN_SUMINISTROS[[#This Row],[FIN DE SEMANA]])</f>
        <v>1052-1MNO</v>
      </c>
      <c r="D554" s="360" t="str">
        <f>CONCATENATE(VOL_VOLUMEN_SUMINISTROS[[#This Row],[Grupo]],VOL_VOLUMEN_SUMINISTROS[[#This Row],[Proyecto]],VOL_VOLUMEN_SUMINISTROS[[#This Row],[FIN DE SEMANA]])</f>
        <v>291052-1NO</v>
      </c>
      <c r="E554" s="30" t="s">
        <v>146</v>
      </c>
      <c r="F554" s="30" t="s">
        <v>147</v>
      </c>
      <c r="G554" s="360">
        <v>29</v>
      </c>
      <c r="H554" s="30">
        <v>7</v>
      </c>
      <c r="I554" s="9" t="s">
        <v>220</v>
      </c>
      <c r="J554" s="9" t="s">
        <v>473</v>
      </c>
      <c r="K554" s="30">
        <v>2</v>
      </c>
      <c r="L554" s="9" t="s">
        <v>475</v>
      </c>
      <c r="M554" s="30" t="s">
        <v>84</v>
      </c>
      <c r="N554" s="30" t="s">
        <v>151</v>
      </c>
      <c r="O554" s="24">
        <v>312</v>
      </c>
      <c r="P554" s="24">
        <v>71</v>
      </c>
      <c r="Q554" s="24">
        <v>0</v>
      </c>
      <c r="R554" s="24">
        <v>0</v>
      </c>
      <c r="S554" s="24">
        <v>0</v>
      </c>
      <c r="T554" s="24">
        <v>383</v>
      </c>
    </row>
    <row r="555" spans="1:20">
      <c r="A555" s="9" t="s">
        <v>432</v>
      </c>
      <c r="B555" s="30" t="s">
        <v>472</v>
      </c>
      <c r="C555" s="30" t="str">
        <f>CONCATENATE(VOL_VOLUMEN_SUMINISTROS[[#This Row],[Proyecto]],VOL_VOLUMEN_SUMINISTROS[[#This Row],[J]],VOL_VOLUMEN_SUMINISTROS[[#This Row],[FIN DE SEMANA]])</f>
        <v>1052-1TNO</v>
      </c>
      <c r="D555" s="360" t="str">
        <f>CONCATENATE(VOL_VOLUMEN_SUMINISTROS[[#This Row],[Grupo]],VOL_VOLUMEN_SUMINISTROS[[#This Row],[Proyecto]],VOL_VOLUMEN_SUMINISTROS[[#This Row],[FIN DE SEMANA]])</f>
        <v>291052-1NO</v>
      </c>
      <c r="E555" s="30" t="s">
        <v>146</v>
      </c>
      <c r="F555" s="30" t="s">
        <v>147</v>
      </c>
      <c r="G555" s="360">
        <v>29</v>
      </c>
      <c r="H555" s="30">
        <v>7</v>
      </c>
      <c r="I555" s="9" t="s">
        <v>220</v>
      </c>
      <c r="J555" s="9" t="s">
        <v>473</v>
      </c>
      <c r="K555" s="30">
        <v>2</v>
      </c>
      <c r="L555" s="9" t="s">
        <v>475</v>
      </c>
      <c r="M555" s="30" t="s">
        <v>84</v>
      </c>
      <c r="N555" s="30" t="s">
        <v>154</v>
      </c>
      <c r="O555" s="24">
        <v>305</v>
      </c>
      <c r="P555" s="24">
        <v>70</v>
      </c>
      <c r="Q555" s="24">
        <v>0</v>
      </c>
      <c r="R555" s="24">
        <v>0</v>
      </c>
      <c r="S555" s="24">
        <v>0</v>
      </c>
      <c r="T555" s="24">
        <v>375</v>
      </c>
    </row>
    <row r="556" spans="1:20">
      <c r="A556" s="9" t="s">
        <v>432</v>
      </c>
      <c r="B556" s="30" t="s">
        <v>472</v>
      </c>
      <c r="C556" s="30" t="str">
        <f>CONCATENATE(VOL_VOLUMEN_SUMINISTROS[[#This Row],[Proyecto]],VOL_VOLUMEN_SUMINISTROS[[#This Row],[J]],VOL_VOLUMEN_SUMINISTROS[[#This Row],[FIN DE SEMANA]])</f>
        <v>1052-1MNO</v>
      </c>
      <c r="D556" s="360" t="str">
        <f>CONCATENATE(VOL_VOLUMEN_SUMINISTROS[[#This Row],[Grupo]],VOL_VOLUMEN_SUMINISTROS[[#This Row],[Proyecto]],VOL_VOLUMEN_SUMINISTROS[[#This Row],[FIN DE SEMANA]])</f>
        <v>291052-1NO</v>
      </c>
      <c r="E556" s="30" t="s">
        <v>146</v>
      </c>
      <c r="F556" s="30" t="s">
        <v>147</v>
      </c>
      <c r="G556" s="360">
        <v>29</v>
      </c>
      <c r="H556" s="30">
        <v>7</v>
      </c>
      <c r="I556" s="9" t="s">
        <v>220</v>
      </c>
      <c r="J556" s="9" t="s">
        <v>473</v>
      </c>
      <c r="K556" s="30">
        <v>3</v>
      </c>
      <c r="L556" s="9" t="s">
        <v>476</v>
      </c>
      <c r="M556" s="30" t="s">
        <v>84</v>
      </c>
      <c r="N556" s="30" t="s">
        <v>151</v>
      </c>
      <c r="O556" s="24">
        <v>112</v>
      </c>
      <c r="P556" s="24">
        <v>176</v>
      </c>
      <c r="Q556" s="24">
        <v>40</v>
      </c>
      <c r="R556" s="24">
        <v>0</v>
      </c>
      <c r="S556" s="24">
        <v>0</v>
      </c>
      <c r="T556" s="24">
        <v>328</v>
      </c>
    </row>
    <row r="557" spans="1:20">
      <c r="A557" s="9" t="s">
        <v>432</v>
      </c>
      <c r="B557" s="30" t="s">
        <v>472</v>
      </c>
      <c r="C557" s="30" t="str">
        <f>CONCATENATE(VOL_VOLUMEN_SUMINISTROS[[#This Row],[Proyecto]],VOL_VOLUMEN_SUMINISTROS[[#This Row],[J]],VOL_VOLUMEN_SUMINISTROS[[#This Row],[FIN DE SEMANA]])</f>
        <v>1052-1TNO</v>
      </c>
      <c r="D557" s="360" t="str">
        <f>CONCATENATE(VOL_VOLUMEN_SUMINISTROS[[#This Row],[Grupo]],VOL_VOLUMEN_SUMINISTROS[[#This Row],[Proyecto]],VOL_VOLUMEN_SUMINISTROS[[#This Row],[FIN DE SEMANA]])</f>
        <v>291052-1NO</v>
      </c>
      <c r="E557" s="30" t="s">
        <v>146</v>
      </c>
      <c r="F557" s="30" t="s">
        <v>147</v>
      </c>
      <c r="G557" s="360">
        <v>29</v>
      </c>
      <c r="H557" s="30">
        <v>7</v>
      </c>
      <c r="I557" s="9" t="s">
        <v>220</v>
      </c>
      <c r="J557" s="9" t="s">
        <v>473</v>
      </c>
      <c r="K557" s="30">
        <v>3</v>
      </c>
      <c r="L557" s="9" t="s">
        <v>476</v>
      </c>
      <c r="M557" s="30" t="s">
        <v>84</v>
      </c>
      <c r="N557" s="30" t="s">
        <v>154</v>
      </c>
      <c r="O557" s="24">
        <v>110</v>
      </c>
      <c r="P557" s="24">
        <v>175</v>
      </c>
      <c r="Q557" s="24">
        <v>40</v>
      </c>
      <c r="R557" s="24">
        <v>0</v>
      </c>
      <c r="S557" s="24">
        <v>0</v>
      </c>
      <c r="T557" s="24">
        <v>325</v>
      </c>
    </row>
    <row r="558" spans="1:20">
      <c r="A558" s="9" t="s">
        <v>432</v>
      </c>
      <c r="B558" s="30" t="s">
        <v>472</v>
      </c>
      <c r="C558" s="30" t="str">
        <f>CONCATENATE(VOL_VOLUMEN_SUMINISTROS[[#This Row],[Proyecto]],VOL_VOLUMEN_SUMINISTROS[[#This Row],[J]],VOL_VOLUMEN_SUMINISTROS[[#This Row],[FIN DE SEMANA]])</f>
        <v>1052-1MNO</v>
      </c>
      <c r="D558" s="360" t="str">
        <f>CONCATENATE(VOL_VOLUMEN_SUMINISTROS[[#This Row],[Grupo]],VOL_VOLUMEN_SUMINISTROS[[#This Row],[Proyecto]],VOL_VOLUMEN_SUMINISTROS[[#This Row],[FIN DE SEMANA]])</f>
        <v>291052-1NO</v>
      </c>
      <c r="E558" s="30" t="s">
        <v>146</v>
      </c>
      <c r="F558" s="30" t="s">
        <v>147</v>
      </c>
      <c r="G558" s="360">
        <v>29</v>
      </c>
      <c r="H558" s="30">
        <v>7</v>
      </c>
      <c r="I558" s="9" t="s">
        <v>220</v>
      </c>
      <c r="J558" s="9" t="s">
        <v>473</v>
      </c>
      <c r="K558" s="30">
        <v>4</v>
      </c>
      <c r="L558" s="9" t="s">
        <v>225</v>
      </c>
      <c r="M558" s="30" t="s">
        <v>84</v>
      </c>
      <c r="N558" s="30" t="s">
        <v>151</v>
      </c>
      <c r="O558" s="24">
        <v>75</v>
      </c>
      <c r="P558" s="24">
        <v>0</v>
      </c>
      <c r="Q558" s="24">
        <v>0</v>
      </c>
      <c r="R558" s="24">
        <v>0</v>
      </c>
      <c r="S558" s="24">
        <v>0</v>
      </c>
      <c r="T558" s="24">
        <v>75</v>
      </c>
    </row>
    <row r="559" spans="1:20">
      <c r="A559" s="9" t="s">
        <v>432</v>
      </c>
      <c r="B559" s="30" t="s">
        <v>472</v>
      </c>
      <c r="C559" s="30" t="str">
        <f>CONCATENATE(VOL_VOLUMEN_SUMINISTROS[[#This Row],[Proyecto]],VOL_VOLUMEN_SUMINISTROS[[#This Row],[J]],VOL_VOLUMEN_SUMINISTROS[[#This Row],[FIN DE SEMANA]])</f>
        <v>1052-1TNO</v>
      </c>
      <c r="D559" s="360" t="str">
        <f>CONCATENATE(VOL_VOLUMEN_SUMINISTROS[[#This Row],[Grupo]],VOL_VOLUMEN_SUMINISTROS[[#This Row],[Proyecto]],VOL_VOLUMEN_SUMINISTROS[[#This Row],[FIN DE SEMANA]])</f>
        <v>291052-1NO</v>
      </c>
      <c r="E559" s="30" t="s">
        <v>146</v>
      </c>
      <c r="F559" s="30" t="s">
        <v>147</v>
      </c>
      <c r="G559" s="360">
        <v>29</v>
      </c>
      <c r="H559" s="30">
        <v>7</v>
      </c>
      <c r="I559" s="9" t="s">
        <v>220</v>
      </c>
      <c r="J559" s="9" t="s">
        <v>473</v>
      </c>
      <c r="K559" s="30">
        <v>4</v>
      </c>
      <c r="L559" s="9" t="s">
        <v>225</v>
      </c>
      <c r="M559" s="30" t="s">
        <v>84</v>
      </c>
      <c r="N559" s="30" t="s">
        <v>154</v>
      </c>
      <c r="O559" s="24">
        <v>75</v>
      </c>
      <c r="P559" s="24">
        <v>0</v>
      </c>
      <c r="Q559" s="24">
        <v>0</v>
      </c>
      <c r="R559" s="24">
        <v>0</v>
      </c>
      <c r="S559" s="24">
        <v>0</v>
      </c>
      <c r="T559" s="24">
        <v>75</v>
      </c>
    </row>
    <row r="560" spans="1:20">
      <c r="A560" s="9" t="s">
        <v>432</v>
      </c>
      <c r="B560" s="30" t="s">
        <v>472</v>
      </c>
      <c r="C560" s="30" t="str">
        <f>CONCATENATE(VOL_VOLUMEN_SUMINISTROS[[#This Row],[Proyecto]],VOL_VOLUMEN_SUMINISTROS[[#This Row],[J]],VOL_VOLUMEN_SUMINISTROS[[#This Row],[FIN DE SEMANA]])</f>
        <v>1052-1MNO</v>
      </c>
      <c r="D560" s="360" t="str">
        <f>CONCATENATE(VOL_VOLUMEN_SUMINISTROS[[#This Row],[Grupo]],VOL_VOLUMEN_SUMINISTROS[[#This Row],[Proyecto]],VOL_VOLUMEN_SUMINISTROS[[#This Row],[FIN DE SEMANA]])</f>
        <v>271052-1NO</v>
      </c>
      <c r="E560" s="30" t="s">
        <v>146</v>
      </c>
      <c r="F560" s="30" t="s">
        <v>147</v>
      </c>
      <c r="G560" s="360">
        <v>27</v>
      </c>
      <c r="H560" s="30">
        <v>7</v>
      </c>
      <c r="I560" s="9" t="s">
        <v>220</v>
      </c>
      <c r="J560" s="9" t="s">
        <v>477</v>
      </c>
      <c r="K560" s="30">
        <v>1</v>
      </c>
      <c r="L560" s="9" t="s">
        <v>478</v>
      </c>
      <c r="M560" s="30" t="s">
        <v>84</v>
      </c>
      <c r="N560" s="30" t="s">
        <v>151</v>
      </c>
      <c r="O560" s="24">
        <v>117</v>
      </c>
      <c r="P560" s="24">
        <v>89</v>
      </c>
      <c r="Q560" s="24">
        <v>18</v>
      </c>
      <c r="R560" s="24">
        <v>0</v>
      </c>
      <c r="S560" s="24">
        <v>0</v>
      </c>
      <c r="T560" s="24">
        <v>224</v>
      </c>
    </row>
    <row r="561" spans="1:20">
      <c r="A561" s="9" t="s">
        <v>432</v>
      </c>
      <c r="B561" s="30" t="s">
        <v>472</v>
      </c>
      <c r="C561" s="30" t="str">
        <f>CONCATENATE(VOL_VOLUMEN_SUMINISTROS[[#This Row],[Proyecto]],VOL_VOLUMEN_SUMINISTROS[[#This Row],[J]],VOL_VOLUMEN_SUMINISTROS[[#This Row],[FIN DE SEMANA]])</f>
        <v>1052-1TNO</v>
      </c>
      <c r="D561" s="360" t="str">
        <f>CONCATENATE(VOL_VOLUMEN_SUMINISTROS[[#This Row],[Grupo]],VOL_VOLUMEN_SUMINISTROS[[#This Row],[Proyecto]],VOL_VOLUMEN_SUMINISTROS[[#This Row],[FIN DE SEMANA]])</f>
        <v>271052-1NO</v>
      </c>
      <c r="E561" s="30" t="s">
        <v>146</v>
      </c>
      <c r="F561" s="30" t="s">
        <v>147</v>
      </c>
      <c r="G561" s="360">
        <v>27</v>
      </c>
      <c r="H561" s="30">
        <v>7</v>
      </c>
      <c r="I561" s="9" t="s">
        <v>220</v>
      </c>
      <c r="J561" s="9" t="s">
        <v>477</v>
      </c>
      <c r="K561" s="30">
        <v>1</v>
      </c>
      <c r="L561" s="9" t="s">
        <v>478</v>
      </c>
      <c r="M561" s="30" t="s">
        <v>84</v>
      </c>
      <c r="N561" s="30" t="s">
        <v>154</v>
      </c>
      <c r="O561" s="24">
        <v>110</v>
      </c>
      <c r="P561" s="24">
        <v>80</v>
      </c>
      <c r="Q561" s="24">
        <v>16</v>
      </c>
      <c r="R561" s="24">
        <v>0</v>
      </c>
      <c r="S561" s="24">
        <v>0</v>
      </c>
      <c r="T561" s="24">
        <v>206</v>
      </c>
    </row>
    <row r="562" spans="1:20">
      <c r="A562" s="9" t="s">
        <v>432</v>
      </c>
      <c r="B562" s="30" t="s">
        <v>472</v>
      </c>
      <c r="C562" s="30" t="str">
        <f>CONCATENATE(VOL_VOLUMEN_SUMINISTROS[[#This Row],[Proyecto]],VOL_VOLUMEN_SUMINISTROS[[#This Row],[J]],VOL_VOLUMEN_SUMINISTROS[[#This Row],[FIN DE SEMANA]])</f>
        <v>1052-1MNO</v>
      </c>
      <c r="D562" s="360" t="str">
        <f>CONCATENATE(VOL_VOLUMEN_SUMINISTROS[[#This Row],[Grupo]],VOL_VOLUMEN_SUMINISTROS[[#This Row],[Proyecto]],VOL_VOLUMEN_SUMINISTROS[[#This Row],[FIN DE SEMANA]])</f>
        <v>271052-1NO</v>
      </c>
      <c r="E562" s="30" t="s">
        <v>146</v>
      </c>
      <c r="F562" s="30" t="s">
        <v>147</v>
      </c>
      <c r="G562" s="360">
        <v>27</v>
      </c>
      <c r="H562" s="30">
        <v>7</v>
      </c>
      <c r="I562" s="9" t="s">
        <v>220</v>
      </c>
      <c r="J562" s="9" t="s">
        <v>479</v>
      </c>
      <c r="K562" s="30">
        <v>1</v>
      </c>
      <c r="L562" s="9" t="s">
        <v>480</v>
      </c>
      <c r="M562" s="30" t="s">
        <v>84</v>
      </c>
      <c r="N562" s="30" t="s">
        <v>151</v>
      </c>
      <c r="O562" s="24">
        <v>252</v>
      </c>
      <c r="P562" s="24">
        <v>372</v>
      </c>
      <c r="Q562" s="24">
        <v>400</v>
      </c>
      <c r="R562" s="24">
        <v>0</v>
      </c>
      <c r="S562" s="24">
        <v>0</v>
      </c>
      <c r="T562" s="24">
        <v>1024</v>
      </c>
    </row>
    <row r="563" spans="1:20">
      <c r="A563" s="9" t="s">
        <v>432</v>
      </c>
      <c r="B563" s="30" t="s">
        <v>472</v>
      </c>
      <c r="C563" s="30" t="str">
        <f>CONCATENATE(VOL_VOLUMEN_SUMINISTROS[[#This Row],[Proyecto]],VOL_VOLUMEN_SUMINISTROS[[#This Row],[J]],VOL_VOLUMEN_SUMINISTROS[[#This Row],[FIN DE SEMANA]])</f>
        <v>1052-1TNO</v>
      </c>
      <c r="D563" s="360" t="str">
        <f>CONCATENATE(VOL_VOLUMEN_SUMINISTROS[[#This Row],[Grupo]],VOL_VOLUMEN_SUMINISTROS[[#This Row],[Proyecto]],VOL_VOLUMEN_SUMINISTROS[[#This Row],[FIN DE SEMANA]])</f>
        <v>271052-1NO</v>
      </c>
      <c r="E563" s="30" t="s">
        <v>146</v>
      </c>
      <c r="F563" s="30" t="s">
        <v>147</v>
      </c>
      <c r="G563" s="360">
        <v>27</v>
      </c>
      <c r="H563" s="30">
        <v>7</v>
      </c>
      <c r="I563" s="9" t="s">
        <v>220</v>
      </c>
      <c r="J563" s="9" t="s">
        <v>479</v>
      </c>
      <c r="K563" s="30">
        <v>1</v>
      </c>
      <c r="L563" s="9" t="s">
        <v>480</v>
      </c>
      <c r="M563" s="30" t="s">
        <v>84</v>
      </c>
      <c r="N563" s="30" t="s">
        <v>154</v>
      </c>
      <c r="O563" s="24">
        <v>275</v>
      </c>
      <c r="P563" s="24">
        <v>330</v>
      </c>
      <c r="Q563" s="24">
        <v>364</v>
      </c>
      <c r="R563" s="24">
        <v>0</v>
      </c>
      <c r="S563" s="24">
        <v>0</v>
      </c>
      <c r="T563" s="24">
        <v>969</v>
      </c>
    </row>
    <row r="564" spans="1:20">
      <c r="A564" s="9" t="s">
        <v>432</v>
      </c>
      <c r="B564" s="30" t="s">
        <v>472</v>
      </c>
      <c r="C564" s="30" t="str">
        <f>CONCATENATE(VOL_VOLUMEN_SUMINISTROS[[#This Row],[Proyecto]],VOL_VOLUMEN_SUMINISTROS[[#This Row],[J]],VOL_VOLUMEN_SUMINISTROS[[#This Row],[FIN DE SEMANA]])</f>
        <v>1052-1MNO</v>
      </c>
      <c r="D564" s="360" t="str">
        <f>CONCATENATE(VOL_VOLUMEN_SUMINISTROS[[#This Row],[Grupo]],VOL_VOLUMEN_SUMINISTROS[[#This Row],[Proyecto]],VOL_VOLUMEN_SUMINISTROS[[#This Row],[FIN DE SEMANA]])</f>
        <v>271052-1NO</v>
      </c>
      <c r="E564" s="30" t="s">
        <v>146</v>
      </c>
      <c r="F564" s="30" t="s">
        <v>147</v>
      </c>
      <c r="G564" s="360">
        <v>27</v>
      </c>
      <c r="H564" s="30">
        <v>7</v>
      </c>
      <c r="I564" s="9" t="s">
        <v>220</v>
      </c>
      <c r="J564" s="9" t="s">
        <v>481</v>
      </c>
      <c r="K564" s="30">
        <v>2</v>
      </c>
      <c r="L564" s="9" t="s">
        <v>482</v>
      </c>
      <c r="M564" s="30" t="s">
        <v>84</v>
      </c>
      <c r="N564" s="30" t="s">
        <v>151</v>
      </c>
      <c r="O564" s="24">
        <v>224</v>
      </c>
      <c r="P564" s="24">
        <v>466</v>
      </c>
      <c r="Q564" s="24">
        <v>118</v>
      </c>
      <c r="R564" s="24">
        <v>0</v>
      </c>
      <c r="S564" s="24">
        <v>0</v>
      </c>
      <c r="T564" s="24">
        <v>808</v>
      </c>
    </row>
    <row r="565" spans="1:20">
      <c r="A565" s="9" t="s">
        <v>432</v>
      </c>
      <c r="B565" s="30" t="s">
        <v>472</v>
      </c>
      <c r="C565" s="30" t="str">
        <f>CONCATENATE(VOL_VOLUMEN_SUMINISTROS[[#This Row],[Proyecto]],VOL_VOLUMEN_SUMINISTROS[[#This Row],[J]],VOL_VOLUMEN_SUMINISTROS[[#This Row],[FIN DE SEMANA]])</f>
        <v>1052-1TNO</v>
      </c>
      <c r="D565" s="360" t="str">
        <f>CONCATENATE(VOL_VOLUMEN_SUMINISTROS[[#This Row],[Grupo]],VOL_VOLUMEN_SUMINISTROS[[#This Row],[Proyecto]],VOL_VOLUMEN_SUMINISTROS[[#This Row],[FIN DE SEMANA]])</f>
        <v>271052-1NO</v>
      </c>
      <c r="E565" s="30" t="s">
        <v>146</v>
      </c>
      <c r="F565" s="30" t="s">
        <v>147</v>
      </c>
      <c r="G565" s="360">
        <v>27</v>
      </c>
      <c r="H565" s="30">
        <v>7</v>
      </c>
      <c r="I565" s="9" t="s">
        <v>220</v>
      </c>
      <c r="J565" s="9" t="s">
        <v>481</v>
      </c>
      <c r="K565" s="30">
        <v>2</v>
      </c>
      <c r="L565" s="9" t="s">
        <v>482</v>
      </c>
      <c r="M565" s="30" t="s">
        <v>84</v>
      </c>
      <c r="N565" s="30" t="s">
        <v>154</v>
      </c>
      <c r="O565" s="24">
        <v>212</v>
      </c>
      <c r="P565" s="24">
        <v>466</v>
      </c>
      <c r="Q565" s="24">
        <v>120</v>
      </c>
      <c r="R565" s="24">
        <v>0</v>
      </c>
      <c r="S565" s="24">
        <v>0</v>
      </c>
      <c r="T565" s="24">
        <v>798</v>
      </c>
    </row>
    <row r="566" spans="1:20">
      <c r="A566" s="9" t="s">
        <v>432</v>
      </c>
      <c r="B566" s="30" t="s">
        <v>472</v>
      </c>
      <c r="C566" s="30" t="str">
        <f>CONCATENATE(VOL_VOLUMEN_SUMINISTROS[[#This Row],[Proyecto]],VOL_VOLUMEN_SUMINISTROS[[#This Row],[J]],VOL_VOLUMEN_SUMINISTROS[[#This Row],[FIN DE SEMANA]])</f>
        <v>1052-1MNO</v>
      </c>
      <c r="D566" s="360" t="str">
        <f>CONCATENATE(VOL_VOLUMEN_SUMINISTROS[[#This Row],[Grupo]],VOL_VOLUMEN_SUMINISTROS[[#This Row],[Proyecto]],VOL_VOLUMEN_SUMINISTROS[[#This Row],[FIN DE SEMANA]])</f>
        <v>291052-1NO</v>
      </c>
      <c r="E566" s="30" t="s">
        <v>146</v>
      </c>
      <c r="F566" s="30" t="s">
        <v>147</v>
      </c>
      <c r="G566" s="360">
        <v>29</v>
      </c>
      <c r="H566" s="30">
        <v>7</v>
      </c>
      <c r="I566" s="9" t="s">
        <v>220</v>
      </c>
      <c r="J566" s="9" t="s">
        <v>483</v>
      </c>
      <c r="K566" s="30">
        <v>2</v>
      </c>
      <c r="L566" s="9" t="s">
        <v>484</v>
      </c>
      <c r="M566" s="30" t="s">
        <v>84</v>
      </c>
      <c r="N566" s="30" t="s">
        <v>151</v>
      </c>
      <c r="O566" s="24">
        <v>188</v>
      </c>
      <c r="P566" s="24">
        <v>330</v>
      </c>
      <c r="Q566" s="24">
        <v>230</v>
      </c>
      <c r="R566" s="24">
        <v>0</v>
      </c>
      <c r="S566" s="24">
        <v>0</v>
      </c>
      <c r="T566" s="24">
        <v>748</v>
      </c>
    </row>
    <row r="567" spans="1:20">
      <c r="A567" s="9" t="s">
        <v>432</v>
      </c>
      <c r="B567" s="30" t="s">
        <v>472</v>
      </c>
      <c r="C567" s="30" t="str">
        <f>CONCATENATE(VOL_VOLUMEN_SUMINISTROS[[#This Row],[Proyecto]],VOL_VOLUMEN_SUMINISTROS[[#This Row],[J]],VOL_VOLUMEN_SUMINISTROS[[#This Row],[FIN DE SEMANA]])</f>
        <v>1052-1TNO</v>
      </c>
      <c r="D567" s="360" t="str">
        <f>CONCATENATE(VOL_VOLUMEN_SUMINISTROS[[#This Row],[Grupo]],VOL_VOLUMEN_SUMINISTROS[[#This Row],[Proyecto]],VOL_VOLUMEN_SUMINISTROS[[#This Row],[FIN DE SEMANA]])</f>
        <v>291052-1NO</v>
      </c>
      <c r="E567" s="30" t="s">
        <v>146</v>
      </c>
      <c r="F567" s="30" t="s">
        <v>147</v>
      </c>
      <c r="G567" s="360">
        <v>29</v>
      </c>
      <c r="H567" s="30">
        <v>7</v>
      </c>
      <c r="I567" s="9" t="s">
        <v>220</v>
      </c>
      <c r="J567" s="9" t="s">
        <v>483</v>
      </c>
      <c r="K567" s="30">
        <v>2</v>
      </c>
      <c r="L567" s="9" t="s">
        <v>484</v>
      </c>
      <c r="M567" s="30" t="s">
        <v>84</v>
      </c>
      <c r="N567" s="30" t="s">
        <v>154</v>
      </c>
      <c r="O567" s="24">
        <v>168</v>
      </c>
      <c r="P567" s="24">
        <v>356</v>
      </c>
      <c r="Q567" s="24">
        <v>238</v>
      </c>
      <c r="R567" s="24">
        <v>0</v>
      </c>
      <c r="S567" s="24">
        <v>0</v>
      </c>
      <c r="T567" s="24">
        <v>762</v>
      </c>
    </row>
    <row r="568" spans="1:20">
      <c r="A568" s="9" t="s">
        <v>432</v>
      </c>
      <c r="B568" s="30" t="s">
        <v>472</v>
      </c>
      <c r="C568" s="30" t="str">
        <f>CONCATENATE(VOL_VOLUMEN_SUMINISTROS[[#This Row],[Proyecto]],VOL_VOLUMEN_SUMINISTROS[[#This Row],[J]],VOL_VOLUMEN_SUMINISTROS[[#This Row],[FIN DE SEMANA]])</f>
        <v>1052-1MNO</v>
      </c>
      <c r="D568" s="360" t="str">
        <f>CONCATENATE(VOL_VOLUMEN_SUMINISTROS[[#This Row],[Grupo]],VOL_VOLUMEN_SUMINISTROS[[#This Row],[Proyecto]],VOL_VOLUMEN_SUMINISTROS[[#This Row],[FIN DE SEMANA]])</f>
        <v>291052-1NO</v>
      </c>
      <c r="E568" s="30" t="s">
        <v>146</v>
      </c>
      <c r="F568" s="30" t="s">
        <v>147</v>
      </c>
      <c r="G568" s="360">
        <v>29</v>
      </c>
      <c r="H568" s="30">
        <v>7</v>
      </c>
      <c r="I568" s="9" t="s">
        <v>220</v>
      </c>
      <c r="J568" s="9" t="s">
        <v>485</v>
      </c>
      <c r="K568" s="30">
        <v>2</v>
      </c>
      <c r="L568" s="9" t="s">
        <v>323</v>
      </c>
      <c r="M568" s="30" t="s">
        <v>84</v>
      </c>
      <c r="N568" s="30" t="s">
        <v>151</v>
      </c>
      <c r="O568" s="24">
        <v>102</v>
      </c>
      <c r="P568" s="24">
        <v>152</v>
      </c>
      <c r="Q568" s="24">
        <v>196</v>
      </c>
      <c r="R568" s="24">
        <v>0</v>
      </c>
      <c r="S568" s="24">
        <v>0</v>
      </c>
      <c r="T568" s="24">
        <v>450</v>
      </c>
    </row>
    <row r="569" spans="1:20">
      <c r="A569" s="9" t="s">
        <v>432</v>
      </c>
      <c r="B569" s="30" t="s">
        <v>472</v>
      </c>
      <c r="C569" s="30" t="str">
        <f>CONCATENATE(VOL_VOLUMEN_SUMINISTROS[[#This Row],[Proyecto]],VOL_VOLUMEN_SUMINISTROS[[#This Row],[J]],VOL_VOLUMEN_SUMINISTROS[[#This Row],[FIN DE SEMANA]])</f>
        <v>1052-1TNO</v>
      </c>
      <c r="D569" s="360" t="str">
        <f>CONCATENATE(VOL_VOLUMEN_SUMINISTROS[[#This Row],[Grupo]],VOL_VOLUMEN_SUMINISTROS[[#This Row],[Proyecto]],VOL_VOLUMEN_SUMINISTROS[[#This Row],[FIN DE SEMANA]])</f>
        <v>291052-1NO</v>
      </c>
      <c r="E569" s="30" t="s">
        <v>146</v>
      </c>
      <c r="F569" s="30" t="s">
        <v>147</v>
      </c>
      <c r="G569" s="360">
        <v>29</v>
      </c>
      <c r="H569" s="30">
        <v>7</v>
      </c>
      <c r="I569" s="9" t="s">
        <v>220</v>
      </c>
      <c r="J569" s="9" t="s">
        <v>485</v>
      </c>
      <c r="K569" s="30">
        <v>2</v>
      </c>
      <c r="L569" s="9" t="s">
        <v>486</v>
      </c>
      <c r="M569" s="30" t="s">
        <v>84</v>
      </c>
      <c r="N569" s="30" t="s">
        <v>154</v>
      </c>
      <c r="O569" s="24">
        <v>112</v>
      </c>
      <c r="P569" s="24">
        <v>160</v>
      </c>
      <c r="Q569" s="24">
        <v>226</v>
      </c>
      <c r="R569" s="24">
        <v>0</v>
      </c>
      <c r="S569" s="24">
        <v>0</v>
      </c>
      <c r="T569" s="24">
        <v>498</v>
      </c>
    </row>
    <row r="570" spans="1:20">
      <c r="A570" s="9" t="s">
        <v>432</v>
      </c>
      <c r="B570" s="30" t="s">
        <v>472</v>
      </c>
      <c r="C570" s="30" t="str">
        <f>CONCATENATE(VOL_VOLUMEN_SUMINISTROS[[#This Row],[Proyecto]],VOL_VOLUMEN_SUMINISTROS[[#This Row],[J]],VOL_VOLUMEN_SUMINISTROS[[#This Row],[FIN DE SEMANA]])</f>
        <v>1052-1MNO</v>
      </c>
      <c r="D570" s="360" t="str">
        <f>CONCATENATE(VOL_VOLUMEN_SUMINISTROS[[#This Row],[Grupo]],VOL_VOLUMEN_SUMINISTROS[[#This Row],[Proyecto]],VOL_VOLUMEN_SUMINISTROS[[#This Row],[FIN DE SEMANA]])</f>
        <v>281052-1NO</v>
      </c>
      <c r="E570" s="30" t="s">
        <v>146</v>
      </c>
      <c r="F570" s="30" t="s">
        <v>147</v>
      </c>
      <c r="G570" s="360">
        <v>28</v>
      </c>
      <c r="H570" s="30">
        <v>7</v>
      </c>
      <c r="I570" s="9" t="s">
        <v>220</v>
      </c>
      <c r="J570" s="9" t="s">
        <v>487</v>
      </c>
      <c r="K570" s="30">
        <v>1</v>
      </c>
      <c r="L570" s="9" t="s">
        <v>488</v>
      </c>
      <c r="M570" s="30" t="s">
        <v>84</v>
      </c>
      <c r="N570" s="30" t="s">
        <v>151</v>
      </c>
      <c r="O570" s="24">
        <v>155</v>
      </c>
      <c r="P570" s="24">
        <v>210</v>
      </c>
      <c r="Q570" s="24">
        <v>339</v>
      </c>
      <c r="R570" s="24">
        <v>0</v>
      </c>
      <c r="S570" s="24">
        <v>0</v>
      </c>
      <c r="T570" s="24">
        <v>704</v>
      </c>
    </row>
    <row r="571" spans="1:20">
      <c r="A571" s="9" t="s">
        <v>432</v>
      </c>
      <c r="B571" s="30" t="s">
        <v>472</v>
      </c>
      <c r="C571" s="30" t="str">
        <f>CONCATENATE(VOL_VOLUMEN_SUMINISTROS[[#This Row],[Proyecto]],VOL_VOLUMEN_SUMINISTROS[[#This Row],[J]],VOL_VOLUMEN_SUMINISTROS[[#This Row],[FIN DE SEMANA]])</f>
        <v>1052-1TNO</v>
      </c>
      <c r="D571" s="360" t="str">
        <f>CONCATENATE(VOL_VOLUMEN_SUMINISTROS[[#This Row],[Grupo]],VOL_VOLUMEN_SUMINISTROS[[#This Row],[Proyecto]],VOL_VOLUMEN_SUMINISTROS[[#This Row],[FIN DE SEMANA]])</f>
        <v>281052-1NO</v>
      </c>
      <c r="E571" s="30" t="s">
        <v>146</v>
      </c>
      <c r="F571" s="30" t="s">
        <v>147</v>
      </c>
      <c r="G571" s="360">
        <v>28</v>
      </c>
      <c r="H571" s="30">
        <v>7</v>
      </c>
      <c r="I571" s="9" t="s">
        <v>220</v>
      </c>
      <c r="J571" s="9" t="s">
        <v>487</v>
      </c>
      <c r="K571" s="30">
        <v>1</v>
      </c>
      <c r="L571" s="9" t="s">
        <v>488</v>
      </c>
      <c r="M571" s="30" t="s">
        <v>84</v>
      </c>
      <c r="N571" s="30" t="s">
        <v>154</v>
      </c>
      <c r="O571" s="24">
        <v>179</v>
      </c>
      <c r="P571" s="24">
        <v>315</v>
      </c>
      <c r="Q571" s="24">
        <v>248</v>
      </c>
      <c r="R571" s="24">
        <v>0</v>
      </c>
      <c r="S571" s="24">
        <v>0</v>
      </c>
      <c r="T571" s="24">
        <v>742</v>
      </c>
    </row>
    <row r="572" spans="1:20">
      <c r="A572" s="9" t="s">
        <v>432</v>
      </c>
      <c r="B572" s="30" t="s">
        <v>472</v>
      </c>
      <c r="C572" s="30" t="str">
        <f>CONCATENATE(VOL_VOLUMEN_SUMINISTROS[[#This Row],[Proyecto]],VOL_VOLUMEN_SUMINISTROS[[#This Row],[J]],VOL_VOLUMEN_SUMINISTROS[[#This Row],[FIN DE SEMANA]])</f>
        <v>1052-1NNO</v>
      </c>
      <c r="D572" s="360" t="str">
        <f>CONCATENATE(VOL_VOLUMEN_SUMINISTROS[[#This Row],[Grupo]],VOL_VOLUMEN_SUMINISTROS[[#This Row],[Proyecto]],VOL_VOLUMEN_SUMINISTROS[[#This Row],[FIN DE SEMANA]])</f>
        <v>291052-1NO</v>
      </c>
      <c r="E572" s="30" t="s">
        <v>146</v>
      </c>
      <c r="F572" s="30" t="s">
        <v>147</v>
      </c>
      <c r="G572" s="360">
        <v>29</v>
      </c>
      <c r="H572" s="30">
        <v>7</v>
      </c>
      <c r="I572" s="9" t="s">
        <v>220</v>
      </c>
      <c r="J572" s="9" t="s">
        <v>489</v>
      </c>
      <c r="K572" s="30">
        <v>1</v>
      </c>
      <c r="L572" s="9" t="s">
        <v>490</v>
      </c>
      <c r="M572" s="30" t="s">
        <v>84</v>
      </c>
      <c r="N572" s="30" t="s">
        <v>153</v>
      </c>
      <c r="O572" s="24">
        <v>0</v>
      </c>
      <c r="P572" s="24">
        <v>0</v>
      </c>
      <c r="Q572" s="24">
        <v>0</v>
      </c>
      <c r="R572" s="24">
        <v>251</v>
      </c>
      <c r="S572" s="24">
        <v>297</v>
      </c>
      <c r="T572" s="24">
        <v>548</v>
      </c>
    </row>
    <row r="573" spans="1:20">
      <c r="A573" s="9" t="s">
        <v>432</v>
      </c>
      <c r="B573" s="30" t="s">
        <v>472</v>
      </c>
      <c r="C573" s="30" t="str">
        <f>CONCATENATE(VOL_VOLUMEN_SUMINISTROS[[#This Row],[Proyecto]],VOL_VOLUMEN_SUMINISTROS[[#This Row],[J]],VOL_VOLUMEN_SUMINISTROS[[#This Row],[FIN DE SEMANA]])</f>
        <v>1052-1MNO</v>
      </c>
      <c r="D573" s="360" t="str">
        <f>CONCATENATE(VOL_VOLUMEN_SUMINISTROS[[#This Row],[Grupo]],VOL_VOLUMEN_SUMINISTROS[[#This Row],[Proyecto]],VOL_VOLUMEN_SUMINISTROS[[#This Row],[FIN DE SEMANA]])</f>
        <v>291052-1NO</v>
      </c>
      <c r="E573" s="30" t="s">
        <v>146</v>
      </c>
      <c r="F573" s="30" t="s">
        <v>147</v>
      </c>
      <c r="G573" s="360">
        <v>29</v>
      </c>
      <c r="H573" s="30">
        <v>7</v>
      </c>
      <c r="I573" s="9" t="s">
        <v>220</v>
      </c>
      <c r="J573" s="9" t="s">
        <v>489</v>
      </c>
      <c r="K573" s="30">
        <v>2</v>
      </c>
      <c r="L573" s="9" t="s">
        <v>491</v>
      </c>
      <c r="M573" s="30" t="s">
        <v>84</v>
      </c>
      <c r="N573" s="30" t="s">
        <v>151</v>
      </c>
      <c r="O573" s="24">
        <v>174</v>
      </c>
      <c r="P573" s="24">
        <v>63</v>
      </c>
      <c r="Q573" s="24">
        <v>0</v>
      </c>
      <c r="R573" s="24">
        <v>0</v>
      </c>
      <c r="S573" s="24">
        <v>0</v>
      </c>
      <c r="T573" s="24">
        <v>237</v>
      </c>
    </row>
    <row r="574" spans="1:20">
      <c r="A574" s="9" t="s">
        <v>432</v>
      </c>
      <c r="B574" s="30" t="s">
        <v>472</v>
      </c>
      <c r="C574" s="30" t="str">
        <f>CONCATENATE(VOL_VOLUMEN_SUMINISTROS[[#This Row],[Proyecto]],VOL_VOLUMEN_SUMINISTROS[[#This Row],[J]],VOL_VOLUMEN_SUMINISTROS[[#This Row],[FIN DE SEMANA]])</f>
        <v>1052-1TNO</v>
      </c>
      <c r="D574" s="360" t="str">
        <f>CONCATENATE(VOL_VOLUMEN_SUMINISTROS[[#This Row],[Grupo]],VOL_VOLUMEN_SUMINISTROS[[#This Row],[Proyecto]],VOL_VOLUMEN_SUMINISTROS[[#This Row],[FIN DE SEMANA]])</f>
        <v>291052-1NO</v>
      </c>
      <c r="E574" s="30" t="s">
        <v>146</v>
      </c>
      <c r="F574" s="30" t="s">
        <v>147</v>
      </c>
      <c r="G574" s="360">
        <v>29</v>
      </c>
      <c r="H574" s="30">
        <v>7</v>
      </c>
      <c r="I574" s="9" t="s">
        <v>220</v>
      </c>
      <c r="J574" s="9" t="s">
        <v>489</v>
      </c>
      <c r="K574" s="30">
        <v>2</v>
      </c>
      <c r="L574" s="9" t="s">
        <v>491</v>
      </c>
      <c r="M574" s="30" t="s">
        <v>84</v>
      </c>
      <c r="N574" s="30" t="s">
        <v>154</v>
      </c>
      <c r="O574" s="24">
        <v>170</v>
      </c>
      <c r="P574" s="24">
        <v>61</v>
      </c>
      <c r="Q574" s="24">
        <v>0</v>
      </c>
      <c r="R574" s="24">
        <v>0</v>
      </c>
      <c r="S574" s="24">
        <v>0</v>
      </c>
      <c r="T574" s="24">
        <v>231</v>
      </c>
    </row>
    <row r="575" spans="1:20">
      <c r="A575" s="9" t="s">
        <v>432</v>
      </c>
      <c r="B575" s="30" t="s">
        <v>472</v>
      </c>
      <c r="C575" s="30" t="str">
        <f>CONCATENATE(VOL_VOLUMEN_SUMINISTROS[[#This Row],[Proyecto]],VOL_VOLUMEN_SUMINISTROS[[#This Row],[J]],VOL_VOLUMEN_SUMINISTROS[[#This Row],[FIN DE SEMANA]])</f>
        <v>1052-1MNO</v>
      </c>
      <c r="D575" s="360" t="str">
        <f>CONCATENATE(VOL_VOLUMEN_SUMINISTROS[[#This Row],[Grupo]],VOL_VOLUMEN_SUMINISTROS[[#This Row],[Proyecto]],VOL_VOLUMEN_SUMINISTROS[[#This Row],[FIN DE SEMANA]])</f>
        <v>291052-1NO</v>
      </c>
      <c r="E575" s="30" t="s">
        <v>146</v>
      </c>
      <c r="F575" s="30" t="s">
        <v>147</v>
      </c>
      <c r="G575" s="360">
        <v>29</v>
      </c>
      <c r="H575" s="30">
        <v>7</v>
      </c>
      <c r="I575" s="9" t="s">
        <v>220</v>
      </c>
      <c r="J575" s="9" t="s">
        <v>489</v>
      </c>
      <c r="K575" s="30">
        <v>3</v>
      </c>
      <c r="L575" s="9" t="s">
        <v>492</v>
      </c>
      <c r="M575" s="30" t="s">
        <v>84</v>
      </c>
      <c r="N575" s="30" t="s">
        <v>151</v>
      </c>
      <c r="O575" s="24">
        <v>172</v>
      </c>
      <c r="P575" s="24">
        <v>64</v>
      </c>
      <c r="Q575" s="24">
        <v>0</v>
      </c>
      <c r="R575" s="24">
        <v>0</v>
      </c>
      <c r="S575" s="24">
        <v>0</v>
      </c>
      <c r="T575" s="24">
        <v>236</v>
      </c>
    </row>
    <row r="576" spans="1:20">
      <c r="A576" s="9" t="s">
        <v>432</v>
      </c>
      <c r="B576" s="30" t="s">
        <v>472</v>
      </c>
      <c r="C576" s="30" t="str">
        <f>CONCATENATE(VOL_VOLUMEN_SUMINISTROS[[#This Row],[Proyecto]],VOL_VOLUMEN_SUMINISTROS[[#This Row],[J]],VOL_VOLUMEN_SUMINISTROS[[#This Row],[FIN DE SEMANA]])</f>
        <v>1052-1TNO</v>
      </c>
      <c r="D576" s="360" t="str">
        <f>CONCATENATE(VOL_VOLUMEN_SUMINISTROS[[#This Row],[Grupo]],VOL_VOLUMEN_SUMINISTROS[[#This Row],[Proyecto]],VOL_VOLUMEN_SUMINISTROS[[#This Row],[FIN DE SEMANA]])</f>
        <v>291052-1NO</v>
      </c>
      <c r="E576" s="30" t="s">
        <v>146</v>
      </c>
      <c r="F576" s="30" t="s">
        <v>147</v>
      </c>
      <c r="G576" s="360">
        <v>29</v>
      </c>
      <c r="H576" s="30">
        <v>7</v>
      </c>
      <c r="I576" s="9" t="s">
        <v>220</v>
      </c>
      <c r="J576" s="9" t="s">
        <v>489</v>
      </c>
      <c r="K576" s="30">
        <v>3</v>
      </c>
      <c r="L576" s="9" t="s">
        <v>492</v>
      </c>
      <c r="M576" s="30" t="s">
        <v>84</v>
      </c>
      <c r="N576" s="30" t="s">
        <v>154</v>
      </c>
      <c r="O576" s="24">
        <v>182</v>
      </c>
      <c r="P576" s="24">
        <v>66</v>
      </c>
      <c r="Q576" s="24">
        <v>0</v>
      </c>
      <c r="R576" s="24">
        <v>0</v>
      </c>
      <c r="S576" s="24">
        <v>0</v>
      </c>
      <c r="T576" s="24">
        <v>248</v>
      </c>
    </row>
    <row r="577" spans="1:20">
      <c r="A577" s="9" t="s">
        <v>432</v>
      </c>
      <c r="B577" s="30" t="s">
        <v>472</v>
      </c>
      <c r="C577" s="30" t="str">
        <f>CONCATENATE(VOL_VOLUMEN_SUMINISTROS[[#This Row],[Proyecto]],VOL_VOLUMEN_SUMINISTROS[[#This Row],[J]],VOL_VOLUMEN_SUMINISTROS[[#This Row],[FIN DE SEMANA]])</f>
        <v>1052-1MNO</v>
      </c>
      <c r="D577" s="360" t="str">
        <f>CONCATENATE(VOL_VOLUMEN_SUMINISTROS[[#This Row],[Grupo]],VOL_VOLUMEN_SUMINISTROS[[#This Row],[Proyecto]],VOL_VOLUMEN_SUMINISTROS[[#This Row],[FIN DE SEMANA]])</f>
        <v>291052-1NO</v>
      </c>
      <c r="E577" s="30" t="s">
        <v>146</v>
      </c>
      <c r="F577" s="30" t="s">
        <v>147</v>
      </c>
      <c r="G577" s="360">
        <v>29</v>
      </c>
      <c r="H577" s="30">
        <v>7</v>
      </c>
      <c r="I577" s="9" t="s">
        <v>220</v>
      </c>
      <c r="J577" s="9" t="s">
        <v>489</v>
      </c>
      <c r="K577" s="30">
        <v>4</v>
      </c>
      <c r="L577" s="9" t="s">
        <v>493</v>
      </c>
      <c r="M577" s="30" t="s">
        <v>84</v>
      </c>
      <c r="N577" s="30" t="s">
        <v>151</v>
      </c>
      <c r="O577" s="24">
        <v>122</v>
      </c>
      <c r="P577" s="24">
        <v>41</v>
      </c>
      <c r="Q577" s="24">
        <v>0</v>
      </c>
      <c r="R577" s="24">
        <v>0</v>
      </c>
      <c r="S577" s="24">
        <v>0</v>
      </c>
      <c r="T577" s="24">
        <v>163</v>
      </c>
    </row>
    <row r="578" spans="1:20">
      <c r="A578" s="9" t="s">
        <v>432</v>
      </c>
      <c r="B578" s="30" t="s">
        <v>472</v>
      </c>
      <c r="C578" s="30" t="str">
        <f>CONCATENATE(VOL_VOLUMEN_SUMINISTROS[[#This Row],[Proyecto]],VOL_VOLUMEN_SUMINISTROS[[#This Row],[J]],VOL_VOLUMEN_SUMINISTROS[[#This Row],[FIN DE SEMANA]])</f>
        <v>1052-1TNO</v>
      </c>
      <c r="D578" s="360" t="str">
        <f>CONCATENATE(VOL_VOLUMEN_SUMINISTROS[[#This Row],[Grupo]],VOL_VOLUMEN_SUMINISTROS[[#This Row],[Proyecto]],VOL_VOLUMEN_SUMINISTROS[[#This Row],[FIN DE SEMANA]])</f>
        <v>291052-1NO</v>
      </c>
      <c r="E578" s="30" t="s">
        <v>146</v>
      </c>
      <c r="F578" s="30" t="s">
        <v>147</v>
      </c>
      <c r="G578" s="360">
        <v>29</v>
      </c>
      <c r="H578" s="30">
        <v>7</v>
      </c>
      <c r="I578" s="9" t="s">
        <v>220</v>
      </c>
      <c r="J578" s="9" t="s">
        <v>489</v>
      </c>
      <c r="K578" s="30">
        <v>4</v>
      </c>
      <c r="L578" s="9" t="s">
        <v>493</v>
      </c>
      <c r="M578" s="30" t="s">
        <v>84</v>
      </c>
      <c r="N578" s="30" t="s">
        <v>154</v>
      </c>
      <c r="O578" s="24">
        <v>119</v>
      </c>
      <c r="P578" s="24">
        <v>39</v>
      </c>
      <c r="Q578" s="24">
        <v>0</v>
      </c>
      <c r="R578" s="24">
        <v>0</v>
      </c>
      <c r="S578" s="24">
        <v>0</v>
      </c>
      <c r="T578" s="24">
        <v>158</v>
      </c>
    </row>
    <row r="579" spans="1:20">
      <c r="A579" s="9" t="s">
        <v>432</v>
      </c>
      <c r="B579" s="30" t="s">
        <v>472</v>
      </c>
      <c r="C579" s="30" t="str">
        <f>CONCATENATE(VOL_VOLUMEN_SUMINISTROS[[#This Row],[Proyecto]],VOL_VOLUMEN_SUMINISTROS[[#This Row],[J]],VOL_VOLUMEN_SUMINISTROS[[#This Row],[FIN DE SEMANA]])</f>
        <v>1052-1MNO</v>
      </c>
      <c r="D579" s="360" t="str">
        <f>CONCATENATE(VOL_VOLUMEN_SUMINISTROS[[#This Row],[Grupo]],VOL_VOLUMEN_SUMINISTROS[[#This Row],[Proyecto]],VOL_VOLUMEN_SUMINISTROS[[#This Row],[FIN DE SEMANA]])</f>
        <v>291052-1NO</v>
      </c>
      <c r="E579" s="30" t="s">
        <v>146</v>
      </c>
      <c r="F579" s="30" t="s">
        <v>147</v>
      </c>
      <c r="G579" s="360">
        <v>29</v>
      </c>
      <c r="H579" s="30">
        <v>7</v>
      </c>
      <c r="I579" s="9" t="s">
        <v>220</v>
      </c>
      <c r="J579" s="9" t="s">
        <v>489</v>
      </c>
      <c r="K579" s="30">
        <v>5</v>
      </c>
      <c r="L579" s="9" t="s">
        <v>494</v>
      </c>
      <c r="M579" s="30" t="s">
        <v>84</v>
      </c>
      <c r="N579" s="30" t="s">
        <v>151</v>
      </c>
      <c r="O579" s="24">
        <v>92</v>
      </c>
      <c r="P579" s="24">
        <v>0</v>
      </c>
      <c r="Q579" s="24">
        <v>0</v>
      </c>
      <c r="R579" s="24">
        <v>0</v>
      </c>
      <c r="S579" s="24">
        <v>0</v>
      </c>
      <c r="T579" s="24">
        <v>92</v>
      </c>
    </row>
    <row r="580" spans="1:20">
      <c r="A580" s="9" t="s">
        <v>432</v>
      </c>
      <c r="B580" s="30" t="s">
        <v>472</v>
      </c>
      <c r="C580" s="30" t="str">
        <f>CONCATENATE(VOL_VOLUMEN_SUMINISTROS[[#This Row],[Proyecto]],VOL_VOLUMEN_SUMINISTROS[[#This Row],[J]],VOL_VOLUMEN_SUMINISTROS[[#This Row],[FIN DE SEMANA]])</f>
        <v>1052-1MNO</v>
      </c>
      <c r="D580" s="360" t="str">
        <f>CONCATENATE(VOL_VOLUMEN_SUMINISTROS[[#This Row],[Grupo]],VOL_VOLUMEN_SUMINISTROS[[#This Row],[Proyecto]],VOL_VOLUMEN_SUMINISTROS[[#This Row],[FIN DE SEMANA]])</f>
        <v>291052-1NO</v>
      </c>
      <c r="E580" s="30" t="s">
        <v>146</v>
      </c>
      <c r="F580" s="30" t="s">
        <v>147</v>
      </c>
      <c r="G580" s="360">
        <v>29</v>
      </c>
      <c r="H580" s="30">
        <v>7</v>
      </c>
      <c r="I580" s="9" t="s">
        <v>220</v>
      </c>
      <c r="J580" s="9" t="s">
        <v>489</v>
      </c>
      <c r="K580" s="30">
        <v>7</v>
      </c>
      <c r="L580" s="9" t="s">
        <v>495</v>
      </c>
      <c r="M580" s="30" t="s">
        <v>84</v>
      </c>
      <c r="N580" s="30" t="s">
        <v>151</v>
      </c>
      <c r="O580" s="24">
        <v>62</v>
      </c>
      <c r="P580" s="24">
        <v>0</v>
      </c>
      <c r="Q580" s="24">
        <v>0</v>
      </c>
      <c r="R580" s="24">
        <v>0</v>
      </c>
      <c r="S580" s="24">
        <v>0</v>
      </c>
      <c r="T580" s="24">
        <v>62</v>
      </c>
    </row>
    <row r="581" spans="1:20">
      <c r="A581" s="9" t="s">
        <v>432</v>
      </c>
      <c r="B581" s="30" t="s">
        <v>472</v>
      </c>
      <c r="C581" s="30" t="str">
        <f>CONCATENATE(VOL_VOLUMEN_SUMINISTROS[[#This Row],[Proyecto]],VOL_VOLUMEN_SUMINISTROS[[#This Row],[J]],VOL_VOLUMEN_SUMINISTROS[[#This Row],[FIN DE SEMANA]])</f>
        <v>1052-1TNO</v>
      </c>
      <c r="D581" s="360" t="str">
        <f>CONCATENATE(VOL_VOLUMEN_SUMINISTROS[[#This Row],[Grupo]],VOL_VOLUMEN_SUMINISTROS[[#This Row],[Proyecto]],VOL_VOLUMEN_SUMINISTROS[[#This Row],[FIN DE SEMANA]])</f>
        <v>291052-1NO</v>
      </c>
      <c r="E581" s="30" t="s">
        <v>146</v>
      </c>
      <c r="F581" s="30" t="s">
        <v>147</v>
      </c>
      <c r="G581" s="360">
        <v>29</v>
      </c>
      <c r="H581" s="30">
        <v>7</v>
      </c>
      <c r="I581" s="9" t="s">
        <v>220</v>
      </c>
      <c r="J581" s="9" t="s">
        <v>489</v>
      </c>
      <c r="K581" s="30">
        <v>7</v>
      </c>
      <c r="L581" s="9" t="s">
        <v>495</v>
      </c>
      <c r="M581" s="30" t="s">
        <v>84</v>
      </c>
      <c r="N581" s="30" t="s">
        <v>154</v>
      </c>
      <c r="O581" s="24">
        <v>66</v>
      </c>
      <c r="P581" s="24">
        <v>0</v>
      </c>
      <c r="Q581" s="24">
        <v>0</v>
      </c>
      <c r="R581" s="24">
        <v>0</v>
      </c>
      <c r="S581" s="24">
        <v>0</v>
      </c>
      <c r="T581" s="24">
        <v>66</v>
      </c>
    </row>
    <row r="582" spans="1:20">
      <c r="A582" s="9" t="s">
        <v>432</v>
      </c>
      <c r="B582" s="30" t="s">
        <v>472</v>
      </c>
      <c r="C582" s="30" t="str">
        <f>CONCATENATE(VOL_VOLUMEN_SUMINISTROS[[#This Row],[Proyecto]],VOL_VOLUMEN_SUMINISTROS[[#This Row],[J]],VOL_VOLUMEN_SUMINISTROS[[#This Row],[FIN DE SEMANA]])</f>
        <v>1052-1MNO</v>
      </c>
      <c r="D582" s="360" t="str">
        <f>CONCATENATE(VOL_VOLUMEN_SUMINISTROS[[#This Row],[Grupo]],VOL_VOLUMEN_SUMINISTROS[[#This Row],[Proyecto]],VOL_VOLUMEN_SUMINISTROS[[#This Row],[FIN DE SEMANA]])</f>
        <v>291052-1NO</v>
      </c>
      <c r="E582" s="30" t="s">
        <v>146</v>
      </c>
      <c r="F582" s="30" t="s">
        <v>147</v>
      </c>
      <c r="G582" s="360">
        <v>29</v>
      </c>
      <c r="H582" s="30">
        <v>7</v>
      </c>
      <c r="I582" s="9" t="s">
        <v>220</v>
      </c>
      <c r="J582" s="9" t="s">
        <v>496</v>
      </c>
      <c r="K582" s="30">
        <v>2</v>
      </c>
      <c r="L582" s="9" t="s">
        <v>497</v>
      </c>
      <c r="M582" s="30" t="s">
        <v>84</v>
      </c>
      <c r="N582" s="30" t="s">
        <v>151</v>
      </c>
      <c r="O582" s="24">
        <v>104</v>
      </c>
      <c r="P582" s="24">
        <v>0</v>
      </c>
      <c r="Q582" s="24">
        <v>0</v>
      </c>
      <c r="R582" s="24">
        <v>0</v>
      </c>
      <c r="S582" s="24">
        <v>0</v>
      </c>
      <c r="T582" s="24">
        <v>104</v>
      </c>
    </row>
    <row r="583" spans="1:20">
      <c r="A583" s="9" t="s">
        <v>432</v>
      </c>
      <c r="B583" s="30" t="s">
        <v>472</v>
      </c>
      <c r="C583" s="30" t="str">
        <f>CONCATENATE(VOL_VOLUMEN_SUMINISTROS[[#This Row],[Proyecto]],VOL_VOLUMEN_SUMINISTROS[[#This Row],[J]],VOL_VOLUMEN_SUMINISTROS[[#This Row],[FIN DE SEMANA]])</f>
        <v>1052-1MNO</v>
      </c>
      <c r="D583" s="360" t="str">
        <f>CONCATENATE(VOL_VOLUMEN_SUMINISTROS[[#This Row],[Grupo]],VOL_VOLUMEN_SUMINISTROS[[#This Row],[Proyecto]],VOL_VOLUMEN_SUMINISTROS[[#This Row],[FIN DE SEMANA]])</f>
        <v>291052-1NO</v>
      </c>
      <c r="E583" s="30" t="s">
        <v>146</v>
      </c>
      <c r="F583" s="30" t="s">
        <v>147</v>
      </c>
      <c r="G583" s="360">
        <v>29</v>
      </c>
      <c r="H583" s="30">
        <v>7</v>
      </c>
      <c r="I583" s="9" t="s">
        <v>220</v>
      </c>
      <c r="J583" s="9" t="s">
        <v>498</v>
      </c>
      <c r="K583" s="30">
        <v>1</v>
      </c>
      <c r="L583" s="9" t="s">
        <v>499</v>
      </c>
      <c r="M583" s="30" t="s">
        <v>84</v>
      </c>
      <c r="N583" s="30" t="s">
        <v>151</v>
      </c>
      <c r="O583" s="24">
        <v>221</v>
      </c>
      <c r="P583" s="24">
        <v>355</v>
      </c>
      <c r="Q583" s="24">
        <v>365</v>
      </c>
      <c r="R583" s="24">
        <v>0</v>
      </c>
      <c r="S583" s="24">
        <v>0</v>
      </c>
      <c r="T583" s="24">
        <v>941</v>
      </c>
    </row>
    <row r="584" spans="1:20">
      <c r="A584" s="9" t="s">
        <v>432</v>
      </c>
      <c r="B584" s="30" t="s">
        <v>472</v>
      </c>
      <c r="C584" s="30" t="str">
        <f>CONCATENATE(VOL_VOLUMEN_SUMINISTROS[[#This Row],[Proyecto]],VOL_VOLUMEN_SUMINISTROS[[#This Row],[J]],VOL_VOLUMEN_SUMINISTROS[[#This Row],[FIN DE SEMANA]])</f>
        <v>1052-1TNO</v>
      </c>
      <c r="D584" s="360" t="str">
        <f>CONCATENATE(VOL_VOLUMEN_SUMINISTROS[[#This Row],[Grupo]],VOL_VOLUMEN_SUMINISTROS[[#This Row],[Proyecto]],VOL_VOLUMEN_SUMINISTROS[[#This Row],[FIN DE SEMANA]])</f>
        <v>291052-1NO</v>
      </c>
      <c r="E584" s="30" t="s">
        <v>146</v>
      </c>
      <c r="F584" s="30" t="s">
        <v>147</v>
      </c>
      <c r="G584" s="360">
        <v>29</v>
      </c>
      <c r="H584" s="30">
        <v>7</v>
      </c>
      <c r="I584" s="9" t="s">
        <v>220</v>
      </c>
      <c r="J584" s="9" t="s">
        <v>498</v>
      </c>
      <c r="K584" s="30">
        <v>1</v>
      </c>
      <c r="L584" s="9" t="s">
        <v>499</v>
      </c>
      <c r="M584" s="30" t="s">
        <v>84</v>
      </c>
      <c r="N584" s="30" t="s">
        <v>154</v>
      </c>
      <c r="O584" s="24">
        <v>244</v>
      </c>
      <c r="P584" s="24">
        <v>439</v>
      </c>
      <c r="Q584" s="24">
        <v>391</v>
      </c>
      <c r="R584" s="24">
        <v>0</v>
      </c>
      <c r="S584" s="24">
        <v>0</v>
      </c>
      <c r="T584" s="24">
        <v>1074</v>
      </c>
    </row>
    <row r="585" spans="1:20">
      <c r="A585" s="9" t="s">
        <v>432</v>
      </c>
      <c r="B585" s="30" t="s">
        <v>472</v>
      </c>
      <c r="C585" s="30" t="str">
        <f>CONCATENATE(VOL_VOLUMEN_SUMINISTROS[[#This Row],[Proyecto]],VOL_VOLUMEN_SUMINISTROS[[#This Row],[J]],VOL_VOLUMEN_SUMINISTROS[[#This Row],[FIN DE SEMANA]])</f>
        <v>1052-1MNO</v>
      </c>
      <c r="D585" s="360" t="str">
        <f>CONCATENATE(VOL_VOLUMEN_SUMINISTROS[[#This Row],[Grupo]],VOL_VOLUMEN_SUMINISTROS[[#This Row],[Proyecto]],VOL_VOLUMEN_SUMINISTROS[[#This Row],[FIN DE SEMANA]])</f>
        <v>291052-1NO</v>
      </c>
      <c r="E585" s="30" t="s">
        <v>146</v>
      </c>
      <c r="F585" s="30" t="s">
        <v>147</v>
      </c>
      <c r="G585" s="360">
        <v>29</v>
      </c>
      <c r="H585" s="30">
        <v>7</v>
      </c>
      <c r="I585" s="9" t="s">
        <v>220</v>
      </c>
      <c r="J585" s="9" t="s">
        <v>500</v>
      </c>
      <c r="K585" s="30">
        <v>2</v>
      </c>
      <c r="L585" s="9" t="s">
        <v>501</v>
      </c>
      <c r="M585" s="30" t="s">
        <v>84</v>
      </c>
      <c r="N585" s="30" t="s">
        <v>151</v>
      </c>
      <c r="O585" s="24">
        <v>245</v>
      </c>
      <c r="P585" s="24">
        <v>327</v>
      </c>
      <c r="Q585" s="24">
        <v>398</v>
      </c>
      <c r="R585" s="24">
        <v>0</v>
      </c>
      <c r="S585" s="24">
        <v>0</v>
      </c>
      <c r="T585" s="24">
        <v>970</v>
      </c>
    </row>
    <row r="586" spans="1:20">
      <c r="A586" s="9" t="s">
        <v>432</v>
      </c>
      <c r="B586" s="30" t="s">
        <v>472</v>
      </c>
      <c r="C586" s="30" t="str">
        <f>CONCATENATE(VOL_VOLUMEN_SUMINISTROS[[#This Row],[Proyecto]],VOL_VOLUMEN_SUMINISTROS[[#This Row],[J]],VOL_VOLUMEN_SUMINISTROS[[#This Row],[FIN DE SEMANA]])</f>
        <v>1052-1TNO</v>
      </c>
      <c r="D586" s="360" t="str">
        <f>CONCATENATE(VOL_VOLUMEN_SUMINISTROS[[#This Row],[Grupo]],VOL_VOLUMEN_SUMINISTROS[[#This Row],[Proyecto]],VOL_VOLUMEN_SUMINISTROS[[#This Row],[FIN DE SEMANA]])</f>
        <v>291052-1NO</v>
      </c>
      <c r="E586" s="30" t="s">
        <v>146</v>
      </c>
      <c r="F586" s="30" t="s">
        <v>147</v>
      </c>
      <c r="G586" s="360">
        <v>29</v>
      </c>
      <c r="H586" s="30">
        <v>7</v>
      </c>
      <c r="I586" s="9" t="s">
        <v>220</v>
      </c>
      <c r="J586" s="9" t="s">
        <v>500</v>
      </c>
      <c r="K586" s="30">
        <v>2</v>
      </c>
      <c r="L586" s="9" t="s">
        <v>501</v>
      </c>
      <c r="M586" s="30" t="s">
        <v>84</v>
      </c>
      <c r="N586" s="30" t="s">
        <v>154</v>
      </c>
      <c r="O586" s="24">
        <v>245</v>
      </c>
      <c r="P586" s="24">
        <v>349</v>
      </c>
      <c r="Q586" s="24">
        <v>383</v>
      </c>
      <c r="R586" s="24">
        <v>0</v>
      </c>
      <c r="S586" s="24">
        <v>0</v>
      </c>
      <c r="T586" s="24">
        <v>977</v>
      </c>
    </row>
    <row r="587" spans="1:20">
      <c r="A587" s="9" t="s">
        <v>432</v>
      </c>
      <c r="B587" s="30" t="s">
        <v>472</v>
      </c>
      <c r="C587" s="30" t="str">
        <f>CONCATENATE(VOL_VOLUMEN_SUMINISTROS[[#This Row],[Proyecto]],VOL_VOLUMEN_SUMINISTROS[[#This Row],[J]],VOL_VOLUMEN_SUMINISTROS[[#This Row],[FIN DE SEMANA]])</f>
        <v>1052-1MNO</v>
      </c>
      <c r="D587" s="360" t="str">
        <f>CONCATENATE(VOL_VOLUMEN_SUMINISTROS[[#This Row],[Grupo]],VOL_VOLUMEN_SUMINISTROS[[#This Row],[Proyecto]],VOL_VOLUMEN_SUMINISTROS[[#This Row],[FIN DE SEMANA]])</f>
        <v>291052-1NO</v>
      </c>
      <c r="E587" s="30" t="s">
        <v>146</v>
      </c>
      <c r="F587" s="30" t="s">
        <v>147</v>
      </c>
      <c r="G587" s="360">
        <v>29</v>
      </c>
      <c r="H587" s="30">
        <v>7</v>
      </c>
      <c r="I587" s="9" t="s">
        <v>220</v>
      </c>
      <c r="J587" s="9" t="s">
        <v>502</v>
      </c>
      <c r="K587" s="30">
        <v>1</v>
      </c>
      <c r="L587" s="9" t="s">
        <v>503</v>
      </c>
      <c r="M587" s="30" t="s">
        <v>84</v>
      </c>
      <c r="N587" s="30" t="s">
        <v>151</v>
      </c>
      <c r="O587" s="24">
        <v>170</v>
      </c>
      <c r="P587" s="24">
        <v>239</v>
      </c>
      <c r="Q587" s="24">
        <v>307</v>
      </c>
      <c r="R587" s="24">
        <v>0</v>
      </c>
      <c r="S587" s="24">
        <v>0</v>
      </c>
      <c r="T587" s="24">
        <v>716</v>
      </c>
    </row>
    <row r="588" spans="1:20">
      <c r="A588" s="9" t="s">
        <v>432</v>
      </c>
      <c r="B588" s="30" t="s">
        <v>472</v>
      </c>
      <c r="C588" s="30" t="str">
        <f>CONCATENATE(VOL_VOLUMEN_SUMINISTROS[[#This Row],[Proyecto]],VOL_VOLUMEN_SUMINISTROS[[#This Row],[J]],VOL_VOLUMEN_SUMINISTROS[[#This Row],[FIN DE SEMANA]])</f>
        <v>1052-1TNO</v>
      </c>
      <c r="D588" s="360" t="str">
        <f>CONCATENATE(VOL_VOLUMEN_SUMINISTROS[[#This Row],[Grupo]],VOL_VOLUMEN_SUMINISTROS[[#This Row],[Proyecto]],VOL_VOLUMEN_SUMINISTROS[[#This Row],[FIN DE SEMANA]])</f>
        <v>291052-1NO</v>
      </c>
      <c r="E588" s="30" t="s">
        <v>146</v>
      </c>
      <c r="F588" s="30" t="s">
        <v>147</v>
      </c>
      <c r="G588" s="360">
        <v>29</v>
      </c>
      <c r="H588" s="30">
        <v>7</v>
      </c>
      <c r="I588" s="9" t="s">
        <v>220</v>
      </c>
      <c r="J588" s="9" t="s">
        <v>502</v>
      </c>
      <c r="K588" s="30">
        <v>1</v>
      </c>
      <c r="L588" s="9" t="s">
        <v>503</v>
      </c>
      <c r="M588" s="30" t="s">
        <v>84</v>
      </c>
      <c r="N588" s="30" t="s">
        <v>154</v>
      </c>
      <c r="O588" s="24">
        <v>159</v>
      </c>
      <c r="P588" s="24">
        <v>253</v>
      </c>
      <c r="Q588" s="24">
        <v>290</v>
      </c>
      <c r="R588" s="24">
        <v>0</v>
      </c>
      <c r="S588" s="24">
        <v>0</v>
      </c>
      <c r="T588" s="24">
        <v>702</v>
      </c>
    </row>
    <row r="589" spans="1:20">
      <c r="A589" s="9" t="s">
        <v>432</v>
      </c>
      <c r="B589" s="30" t="s">
        <v>472</v>
      </c>
      <c r="C589" s="30" t="str">
        <f>CONCATENATE(VOL_VOLUMEN_SUMINISTROS[[#This Row],[Proyecto]],VOL_VOLUMEN_SUMINISTROS[[#This Row],[J]],VOL_VOLUMEN_SUMINISTROS[[#This Row],[FIN DE SEMANA]])</f>
        <v>1052-1MNO</v>
      </c>
      <c r="D589" s="360" t="str">
        <f>CONCATENATE(VOL_VOLUMEN_SUMINISTROS[[#This Row],[Grupo]],VOL_VOLUMEN_SUMINISTROS[[#This Row],[Proyecto]],VOL_VOLUMEN_SUMINISTROS[[#This Row],[FIN DE SEMANA]])</f>
        <v>291052-1NO</v>
      </c>
      <c r="E589" s="30" t="s">
        <v>146</v>
      </c>
      <c r="F589" s="30" t="s">
        <v>147</v>
      </c>
      <c r="G589" s="360">
        <v>29</v>
      </c>
      <c r="H589" s="30">
        <v>7</v>
      </c>
      <c r="I589" s="9" t="s">
        <v>220</v>
      </c>
      <c r="J589" s="9" t="s">
        <v>502</v>
      </c>
      <c r="K589" s="30">
        <v>2</v>
      </c>
      <c r="L589" s="9" t="s">
        <v>504</v>
      </c>
      <c r="M589" s="30" t="s">
        <v>84</v>
      </c>
      <c r="N589" s="30" t="s">
        <v>151</v>
      </c>
      <c r="O589" s="24">
        <v>309</v>
      </c>
      <c r="P589" s="24">
        <v>206</v>
      </c>
      <c r="Q589" s="24">
        <v>40</v>
      </c>
      <c r="R589" s="24">
        <v>0</v>
      </c>
      <c r="S589" s="24">
        <v>0</v>
      </c>
      <c r="T589" s="24">
        <v>555</v>
      </c>
    </row>
    <row r="590" spans="1:20">
      <c r="A590" s="9" t="s">
        <v>432</v>
      </c>
      <c r="B590" s="30" t="s">
        <v>472</v>
      </c>
      <c r="C590" s="30" t="str">
        <f>CONCATENATE(VOL_VOLUMEN_SUMINISTROS[[#This Row],[Proyecto]],VOL_VOLUMEN_SUMINISTROS[[#This Row],[J]],VOL_VOLUMEN_SUMINISTROS[[#This Row],[FIN DE SEMANA]])</f>
        <v>1052-1TNO</v>
      </c>
      <c r="D590" s="360" t="str">
        <f>CONCATENATE(VOL_VOLUMEN_SUMINISTROS[[#This Row],[Grupo]],VOL_VOLUMEN_SUMINISTROS[[#This Row],[Proyecto]],VOL_VOLUMEN_SUMINISTROS[[#This Row],[FIN DE SEMANA]])</f>
        <v>291052-1NO</v>
      </c>
      <c r="E590" s="30" t="s">
        <v>146</v>
      </c>
      <c r="F590" s="30" t="s">
        <v>147</v>
      </c>
      <c r="G590" s="360">
        <v>29</v>
      </c>
      <c r="H590" s="30">
        <v>7</v>
      </c>
      <c r="I590" s="9" t="s">
        <v>220</v>
      </c>
      <c r="J590" s="9" t="s">
        <v>502</v>
      </c>
      <c r="K590" s="30">
        <v>2</v>
      </c>
      <c r="L590" s="9" t="s">
        <v>504</v>
      </c>
      <c r="M590" s="30" t="s">
        <v>84</v>
      </c>
      <c r="N590" s="30" t="s">
        <v>154</v>
      </c>
      <c r="O590" s="24">
        <v>322</v>
      </c>
      <c r="P590" s="24">
        <v>175</v>
      </c>
      <c r="Q590" s="24">
        <v>31</v>
      </c>
      <c r="R590" s="24">
        <v>0</v>
      </c>
      <c r="S590" s="24">
        <v>0</v>
      </c>
      <c r="T590" s="24">
        <v>528</v>
      </c>
    </row>
    <row r="591" spans="1:20">
      <c r="A591" s="9" t="s">
        <v>432</v>
      </c>
      <c r="B591" s="30" t="s">
        <v>505</v>
      </c>
      <c r="C591" s="30" t="str">
        <f>CONCATENATE(VOL_VOLUMEN_SUMINISTROS[[#This Row],[Proyecto]],VOL_VOLUMEN_SUMINISTROS[[#This Row],[J]],VOL_VOLUMEN_SUMINISTROS[[#This Row],[FIN DE SEMANA]])</f>
        <v>1052-2M1NO</v>
      </c>
      <c r="D591" s="360" t="str">
        <f>CONCATENATE(VOL_VOLUMEN_SUMINISTROS[[#This Row],[Grupo]],VOL_VOLUMEN_SUMINISTROS[[#This Row],[Proyecto]],VOL_VOLUMEN_SUMINISTROS[[#This Row],[FIN DE SEMANA]])</f>
        <v>271052-2NO</v>
      </c>
      <c r="E591" s="30" t="s">
        <v>182</v>
      </c>
      <c r="F591" s="30" t="s">
        <v>147</v>
      </c>
      <c r="G591" s="360">
        <v>27</v>
      </c>
      <c r="H591" s="30">
        <v>7</v>
      </c>
      <c r="I591" s="9" t="s">
        <v>220</v>
      </c>
      <c r="J591" s="9" t="s">
        <v>481</v>
      </c>
      <c r="K591" s="30">
        <v>1</v>
      </c>
      <c r="L591" s="9" t="s">
        <v>506</v>
      </c>
      <c r="M591" s="30" t="s">
        <v>84</v>
      </c>
      <c r="N591" s="30" t="s">
        <v>215</v>
      </c>
      <c r="O591" s="24">
        <v>28</v>
      </c>
      <c r="P591" s="24">
        <v>194</v>
      </c>
      <c r="Q591" s="24">
        <v>280</v>
      </c>
      <c r="R591" s="24">
        <v>0</v>
      </c>
      <c r="S591" s="24">
        <v>0</v>
      </c>
      <c r="T591" s="24">
        <v>502</v>
      </c>
    </row>
    <row r="592" spans="1:20">
      <c r="A592" s="9" t="s">
        <v>432</v>
      </c>
      <c r="B592" s="30" t="s">
        <v>505</v>
      </c>
      <c r="C592" s="30" t="str">
        <f>CONCATENATE(VOL_VOLUMEN_SUMINISTROS[[#This Row],[Proyecto]],VOL_VOLUMEN_SUMINISTROS[[#This Row],[J]],VOL_VOLUMEN_SUMINISTROS[[#This Row],[FIN DE SEMANA]])</f>
        <v>1052-2TNO</v>
      </c>
      <c r="D592" s="360" t="str">
        <f>CONCATENATE(VOL_VOLUMEN_SUMINISTROS[[#This Row],[Grupo]],VOL_VOLUMEN_SUMINISTROS[[#This Row],[Proyecto]],VOL_VOLUMEN_SUMINISTROS[[#This Row],[FIN DE SEMANA]])</f>
        <v>271052-2NO</v>
      </c>
      <c r="E592" s="30" t="s">
        <v>182</v>
      </c>
      <c r="F592" s="30" t="s">
        <v>147</v>
      </c>
      <c r="G592" s="360">
        <v>27</v>
      </c>
      <c r="H592" s="30">
        <v>7</v>
      </c>
      <c r="I592" s="9" t="s">
        <v>220</v>
      </c>
      <c r="J592" s="9" t="s">
        <v>481</v>
      </c>
      <c r="K592" s="30">
        <v>1</v>
      </c>
      <c r="L592" s="9" t="s">
        <v>506</v>
      </c>
      <c r="M592" s="30" t="s">
        <v>84</v>
      </c>
      <c r="N592" s="30" t="s">
        <v>154</v>
      </c>
      <c r="O592" s="24">
        <v>0</v>
      </c>
      <c r="P592" s="24">
        <v>120</v>
      </c>
      <c r="Q592" s="24">
        <v>220</v>
      </c>
      <c r="R592" s="24">
        <v>0</v>
      </c>
      <c r="S592" s="24">
        <v>0</v>
      </c>
      <c r="T592" s="24">
        <v>340</v>
      </c>
    </row>
    <row r="593" spans="1:20">
      <c r="A593" s="9" t="s">
        <v>432</v>
      </c>
      <c r="B593" s="30" t="s">
        <v>505</v>
      </c>
      <c r="C593" s="30" t="str">
        <f>CONCATENATE(VOL_VOLUMEN_SUMINISTROS[[#This Row],[Proyecto]],VOL_VOLUMEN_SUMINISTROS[[#This Row],[J]],VOL_VOLUMEN_SUMINISTROS[[#This Row],[FIN DE SEMANA]])</f>
        <v>1052-2M1NO</v>
      </c>
      <c r="D593" s="360" t="str">
        <f>CONCATENATE(VOL_VOLUMEN_SUMINISTROS[[#This Row],[Grupo]],VOL_VOLUMEN_SUMINISTROS[[#This Row],[Proyecto]],VOL_VOLUMEN_SUMINISTROS[[#This Row],[FIN DE SEMANA]])</f>
        <v>291052-2NO</v>
      </c>
      <c r="E593" s="30" t="s">
        <v>182</v>
      </c>
      <c r="F593" s="30" t="s">
        <v>147</v>
      </c>
      <c r="G593" s="360">
        <v>29</v>
      </c>
      <c r="H593" s="30">
        <v>7</v>
      </c>
      <c r="I593" s="9" t="s">
        <v>220</v>
      </c>
      <c r="J593" s="9" t="s">
        <v>485</v>
      </c>
      <c r="K593" s="30">
        <v>1</v>
      </c>
      <c r="L593" s="9" t="s">
        <v>507</v>
      </c>
      <c r="M593" s="30" t="s">
        <v>84</v>
      </c>
      <c r="N593" s="30" t="s">
        <v>215</v>
      </c>
      <c r="O593" s="24">
        <v>0</v>
      </c>
      <c r="P593" s="24">
        <v>21</v>
      </c>
      <c r="Q593" s="24">
        <v>7</v>
      </c>
      <c r="R593" s="24">
        <v>0</v>
      </c>
      <c r="S593" s="24">
        <v>0</v>
      </c>
      <c r="T593" s="24">
        <v>28</v>
      </c>
    </row>
    <row r="594" spans="1:20">
      <c r="A594" s="9" t="s">
        <v>432</v>
      </c>
      <c r="B594" s="30" t="s">
        <v>505</v>
      </c>
      <c r="C594" s="30" t="str">
        <f>CONCATENATE(VOL_VOLUMEN_SUMINISTROS[[#This Row],[Proyecto]],VOL_VOLUMEN_SUMINISTROS[[#This Row],[J]],VOL_VOLUMEN_SUMINISTROS[[#This Row],[FIN DE SEMANA]])</f>
        <v>1052-2M1NO</v>
      </c>
      <c r="D594" s="360" t="str">
        <f>CONCATENATE(VOL_VOLUMEN_SUMINISTROS[[#This Row],[Grupo]],VOL_VOLUMEN_SUMINISTROS[[#This Row],[Proyecto]],VOL_VOLUMEN_SUMINISTROS[[#This Row],[FIN DE SEMANA]])</f>
        <v>291052-2NO</v>
      </c>
      <c r="E594" s="30" t="s">
        <v>182</v>
      </c>
      <c r="F594" s="30" t="s">
        <v>147</v>
      </c>
      <c r="G594" s="360">
        <v>29</v>
      </c>
      <c r="H594" s="30">
        <v>7</v>
      </c>
      <c r="I594" s="9" t="s">
        <v>220</v>
      </c>
      <c r="J594" s="9" t="s">
        <v>485</v>
      </c>
      <c r="K594" s="30">
        <v>2</v>
      </c>
      <c r="L594" s="9" t="s">
        <v>323</v>
      </c>
      <c r="M594" s="30" t="s">
        <v>84</v>
      </c>
      <c r="N594" s="30" t="s">
        <v>215</v>
      </c>
      <c r="O594" s="24">
        <v>0</v>
      </c>
      <c r="P594" s="24">
        <v>69</v>
      </c>
      <c r="Q594" s="24">
        <v>23</v>
      </c>
      <c r="R594" s="24">
        <v>0</v>
      </c>
      <c r="S594" s="24">
        <v>0</v>
      </c>
      <c r="T594" s="24">
        <v>92</v>
      </c>
    </row>
    <row r="595" spans="1:20">
      <c r="A595" s="9" t="s">
        <v>432</v>
      </c>
      <c r="B595" s="30" t="s">
        <v>505</v>
      </c>
      <c r="C595" s="30" t="str">
        <f>CONCATENATE(VOL_VOLUMEN_SUMINISTROS[[#This Row],[Proyecto]],VOL_VOLUMEN_SUMINISTROS[[#This Row],[J]],VOL_VOLUMEN_SUMINISTROS[[#This Row],[FIN DE SEMANA]])</f>
        <v>1052-2TNO</v>
      </c>
      <c r="D595" s="360" t="str">
        <f>CONCATENATE(VOL_VOLUMEN_SUMINISTROS[[#This Row],[Grupo]],VOL_VOLUMEN_SUMINISTROS[[#This Row],[Proyecto]],VOL_VOLUMEN_SUMINISTROS[[#This Row],[FIN DE SEMANA]])</f>
        <v>291052-2NO</v>
      </c>
      <c r="E595" s="30" t="s">
        <v>182</v>
      </c>
      <c r="F595" s="30" t="s">
        <v>147</v>
      </c>
      <c r="G595" s="360">
        <v>29</v>
      </c>
      <c r="H595" s="30">
        <v>7</v>
      </c>
      <c r="I595" s="9" t="s">
        <v>220</v>
      </c>
      <c r="J595" s="9" t="s">
        <v>485</v>
      </c>
      <c r="K595" s="30">
        <v>2</v>
      </c>
      <c r="L595" s="9" t="s">
        <v>486</v>
      </c>
      <c r="M595" s="30" t="s">
        <v>84</v>
      </c>
      <c r="N595" s="30" t="s">
        <v>154</v>
      </c>
      <c r="O595" s="24">
        <v>0</v>
      </c>
      <c r="P595" s="24">
        <v>69</v>
      </c>
      <c r="Q595" s="24">
        <v>23</v>
      </c>
      <c r="R595" s="24">
        <v>0</v>
      </c>
      <c r="S595" s="24">
        <v>0</v>
      </c>
      <c r="T595" s="24">
        <v>92</v>
      </c>
    </row>
    <row r="596" spans="1:20">
      <c r="A596" s="9" t="s">
        <v>432</v>
      </c>
      <c r="B596" s="30" t="s">
        <v>505</v>
      </c>
      <c r="C596" s="30" t="str">
        <f>CONCATENATE(VOL_VOLUMEN_SUMINISTROS[[#This Row],[Proyecto]],VOL_VOLUMEN_SUMINISTROS[[#This Row],[J]],VOL_VOLUMEN_SUMINISTROS[[#This Row],[FIN DE SEMANA]])</f>
        <v>1052-2M1NO</v>
      </c>
      <c r="D596" s="360" t="str">
        <f>CONCATENATE(VOL_VOLUMEN_SUMINISTROS[[#This Row],[Grupo]],VOL_VOLUMEN_SUMINISTROS[[#This Row],[Proyecto]],VOL_VOLUMEN_SUMINISTROS[[#This Row],[FIN DE SEMANA]])</f>
        <v>291052-2NO</v>
      </c>
      <c r="E596" s="30" t="s">
        <v>182</v>
      </c>
      <c r="F596" s="30" t="s">
        <v>147</v>
      </c>
      <c r="G596" s="360">
        <v>29</v>
      </c>
      <c r="H596" s="30">
        <v>7</v>
      </c>
      <c r="I596" s="9" t="s">
        <v>220</v>
      </c>
      <c r="J596" s="9" t="s">
        <v>496</v>
      </c>
      <c r="K596" s="30">
        <v>1</v>
      </c>
      <c r="L596" s="9" t="s">
        <v>508</v>
      </c>
      <c r="M596" s="30" t="s">
        <v>84</v>
      </c>
      <c r="N596" s="30" t="s">
        <v>215</v>
      </c>
      <c r="O596" s="24">
        <v>68</v>
      </c>
      <c r="P596" s="24">
        <v>133</v>
      </c>
      <c r="Q596" s="24">
        <v>53</v>
      </c>
      <c r="R596" s="24">
        <v>0</v>
      </c>
      <c r="S596" s="24">
        <v>0</v>
      </c>
      <c r="T596" s="24">
        <v>254</v>
      </c>
    </row>
    <row r="597" spans="1:20">
      <c r="A597" s="9" t="s">
        <v>432</v>
      </c>
      <c r="B597" s="30" t="s">
        <v>505</v>
      </c>
      <c r="C597" s="30" t="str">
        <f>CONCATENATE(VOL_VOLUMEN_SUMINISTROS[[#This Row],[Proyecto]],VOL_VOLUMEN_SUMINISTROS[[#This Row],[J]],VOL_VOLUMEN_SUMINISTROS[[#This Row],[FIN DE SEMANA]])</f>
        <v>1052-2TNO</v>
      </c>
      <c r="D597" s="360" t="str">
        <f>CONCATENATE(VOL_VOLUMEN_SUMINISTROS[[#This Row],[Grupo]],VOL_VOLUMEN_SUMINISTROS[[#This Row],[Proyecto]],VOL_VOLUMEN_SUMINISTROS[[#This Row],[FIN DE SEMANA]])</f>
        <v>291052-2NO</v>
      </c>
      <c r="E597" s="30" t="s">
        <v>182</v>
      </c>
      <c r="F597" s="30" t="s">
        <v>147</v>
      </c>
      <c r="G597" s="360">
        <v>29</v>
      </c>
      <c r="H597" s="30">
        <v>7</v>
      </c>
      <c r="I597" s="9" t="s">
        <v>220</v>
      </c>
      <c r="J597" s="9" t="s">
        <v>496</v>
      </c>
      <c r="K597" s="30">
        <v>1</v>
      </c>
      <c r="L597" s="9" t="s">
        <v>509</v>
      </c>
      <c r="M597" s="30" t="s">
        <v>84</v>
      </c>
      <c r="N597" s="30" t="s">
        <v>154</v>
      </c>
      <c r="O597" s="24">
        <v>68</v>
      </c>
      <c r="P597" s="24">
        <v>139</v>
      </c>
      <c r="Q597" s="24">
        <v>75</v>
      </c>
      <c r="R597" s="24">
        <v>0</v>
      </c>
      <c r="S597" s="24">
        <v>0</v>
      </c>
      <c r="T597" s="24">
        <v>282</v>
      </c>
    </row>
    <row r="598" spans="1:20">
      <c r="A598" s="9" t="s">
        <v>432</v>
      </c>
      <c r="B598" s="30" t="s">
        <v>505</v>
      </c>
      <c r="C598" s="30" t="str">
        <f>CONCATENATE(VOL_VOLUMEN_SUMINISTROS[[#This Row],[Proyecto]],VOL_VOLUMEN_SUMINISTROS[[#This Row],[J]],VOL_VOLUMEN_SUMINISTROS[[#This Row],[FIN DE SEMANA]])</f>
        <v>1052-2M1NO</v>
      </c>
      <c r="D598" s="360" t="str">
        <f>CONCATENATE(VOL_VOLUMEN_SUMINISTROS[[#This Row],[Grupo]],VOL_VOLUMEN_SUMINISTROS[[#This Row],[Proyecto]],VOL_VOLUMEN_SUMINISTROS[[#This Row],[FIN DE SEMANA]])</f>
        <v>291052-2NO</v>
      </c>
      <c r="E598" s="30" t="s">
        <v>182</v>
      </c>
      <c r="F598" s="30" t="s">
        <v>147</v>
      </c>
      <c r="G598" s="360">
        <v>29</v>
      </c>
      <c r="H598" s="30">
        <v>7</v>
      </c>
      <c r="I598" s="9" t="s">
        <v>220</v>
      </c>
      <c r="J598" s="9" t="s">
        <v>500</v>
      </c>
      <c r="K598" s="30">
        <v>1</v>
      </c>
      <c r="L598" s="9" t="s">
        <v>510</v>
      </c>
      <c r="M598" s="30" t="s">
        <v>84</v>
      </c>
      <c r="N598" s="30" t="s">
        <v>215</v>
      </c>
      <c r="O598" s="24">
        <v>18</v>
      </c>
      <c r="P598" s="24">
        <v>105</v>
      </c>
      <c r="Q598" s="24">
        <v>32</v>
      </c>
      <c r="R598" s="24">
        <v>0</v>
      </c>
      <c r="S598" s="24">
        <v>0</v>
      </c>
      <c r="T598" s="24">
        <v>155</v>
      </c>
    </row>
    <row r="599" spans="1:20">
      <c r="A599" s="9" t="s">
        <v>432</v>
      </c>
      <c r="B599" s="30" t="s">
        <v>505</v>
      </c>
      <c r="C599" s="30" t="str">
        <f>CONCATENATE(VOL_VOLUMEN_SUMINISTROS[[#This Row],[Proyecto]],VOL_VOLUMEN_SUMINISTROS[[#This Row],[J]],VOL_VOLUMEN_SUMINISTROS[[#This Row],[FIN DE SEMANA]])</f>
        <v>1052-2MNO</v>
      </c>
      <c r="D599" s="360" t="str">
        <f>CONCATENATE(VOL_VOLUMEN_SUMINISTROS[[#This Row],[Grupo]],VOL_VOLUMEN_SUMINISTROS[[#This Row],[Proyecto]],VOL_VOLUMEN_SUMINISTROS[[#This Row],[FIN DE SEMANA]])</f>
        <v>291052-2NO</v>
      </c>
      <c r="E599" s="30" t="s">
        <v>182</v>
      </c>
      <c r="F599" s="30" t="s">
        <v>147</v>
      </c>
      <c r="G599" s="360">
        <v>29</v>
      </c>
      <c r="H599" s="30">
        <v>7</v>
      </c>
      <c r="I599" s="9" t="s">
        <v>220</v>
      </c>
      <c r="J599" s="9" t="s">
        <v>500</v>
      </c>
      <c r="K599" s="30">
        <v>2</v>
      </c>
      <c r="L599" s="9" t="s">
        <v>501</v>
      </c>
      <c r="M599" s="30" t="s">
        <v>84</v>
      </c>
      <c r="N599" s="30" t="s">
        <v>151</v>
      </c>
      <c r="O599" s="24">
        <v>0</v>
      </c>
      <c r="P599" s="24">
        <v>90</v>
      </c>
      <c r="Q599" s="24">
        <v>30</v>
      </c>
      <c r="R599" s="24">
        <v>0</v>
      </c>
      <c r="S599" s="24">
        <v>0</v>
      </c>
      <c r="T599" s="24">
        <v>120</v>
      </c>
    </row>
    <row r="600" spans="1:20">
      <c r="A600" s="9" t="s">
        <v>432</v>
      </c>
      <c r="B600" s="30" t="s">
        <v>505</v>
      </c>
      <c r="C600" s="30" t="str">
        <f>CONCATENATE(VOL_VOLUMEN_SUMINISTROS[[#This Row],[Proyecto]],VOL_VOLUMEN_SUMINISTROS[[#This Row],[J]],VOL_VOLUMEN_SUMINISTROS[[#This Row],[FIN DE SEMANA]])</f>
        <v>1052-2TNO</v>
      </c>
      <c r="D600" s="360" t="str">
        <f>CONCATENATE(VOL_VOLUMEN_SUMINISTROS[[#This Row],[Grupo]],VOL_VOLUMEN_SUMINISTROS[[#This Row],[Proyecto]],VOL_VOLUMEN_SUMINISTROS[[#This Row],[FIN DE SEMANA]])</f>
        <v>291052-2NO</v>
      </c>
      <c r="E600" s="30" t="s">
        <v>182</v>
      </c>
      <c r="F600" s="30" t="s">
        <v>147</v>
      </c>
      <c r="G600" s="360">
        <v>29</v>
      </c>
      <c r="H600" s="30">
        <v>7</v>
      </c>
      <c r="I600" s="9" t="s">
        <v>220</v>
      </c>
      <c r="J600" s="9" t="s">
        <v>500</v>
      </c>
      <c r="K600" s="30">
        <v>2</v>
      </c>
      <c r="L600" s="9" t="s">
        <v>501</v>
      </c>
      <c r="M600" s="30" t="s">
        <v>84</v>
      </c>
      <c r="N600" s="30" t="s">
        <v>154</v>
      </c>
      <c r="O600" s="24">
        <v>0</v>
      </c>
      <c r="P600" s="24">
        <v>90</v>
      </c>
      <c r="Q600" s="24">
        <v>30</v>
      </c>
      <c r="R600" s="24">
        <v>0</v>
      </c>
      <c r="S600" s="24">
        <v>0</v>
      </c>
      <c r="T600" s="24">
        <v>120</v>
      </c>
    </row>
    <row r="601" spans="1:20">
      <c r="A601" s="9" t="s">
        <v>432</v>
      </c>
      <c r="B601" s="30" t="s">
        <v>511</v>
      </c>
      <c r="C601" s="30" t="str">
        <f>CONCATENATE(VOL_VOLUMEN_SUMINISTROS[[#This Row],[Proyecto]],VOL_VOLUMEN_SUMINISTROS[[#This Row],[J]],VOL_VOLUMEN_SUMINISTROS[[#This Row],[FIN DE SEMANA]])</f>
        <v>1052-2MNO</v>
      </c>
      <c r="D601" s="360" t="str">
        <f>CONCATENATE(VOL_VOLUMEN_SUMINISTROS[[#This Row],[Grupo]],VOL_VOLUMEN_SUMINISTROS[[#This Row],[Proyecto]],VOL_VOLUMEN_SUMINISTROS[[#This Row],[FIN DE SEMANA]])</f>
        <v>291052-2NO</v>
      </c>
      <c r="E601" s="30" t="s">
        <v>182</v>
      </c>
      <c r="F601" s="30" t="s">
        <v>147</v>
      </c>
      <c r="G601" s="360">
        <v>29</v>
      </c>
      <c r="H601" s="30">
        <v>7</v>
      </c>
      <c r="I601" s="9" t="s">
        <v>220</v>
      </c>
      <c r="J601" s="9" t="s">
        <v>502</v>
      </c>
      <c r="K601" s="30">
        <v>2</v>
      </c>
      <c r="L601" s="9" t="s">
        <v>504</v>
      </c>
      <c r="M601" s="30" t="s">
        <v>84</v>
      </c>
      <c r="N601" s="30" t="s">
        <v>151</v>
      </c>
      <c r="O601" s="24">
        <v>0</v>
      </c>
      <c r="P601" s="24">
        <v>0</v>
      </c>
      <c r="Q601" s="24">
        <v>66</v>
      </c>
      <c r="R601" s="24">
        <v>0</v>
      </c>
      <c r="S601" s="24">
        <v>0</v>
      </c>
      <c r="T601" s="24">
        <v>66</v>
      </c>
    </row>
    <row r="602" spans="1:20">
      <c r="A602" s="9" t="s">
        <v>432</v>
      </c>
      <c r="B602" s="30" t="s">
        <v>511</v>
      </c>
      <c r="C602" s="30" t="str">
        <f>CONCATENATE(VOL_VOLUMEN_SUMINISTROS[[#This Row],[Proyecto]],VOL_VOLUMEN_SUMINISTROS[[#This Row],[J]],VOL_VOLUMEN_SUMINISTROS[[#This Row],[FIN DE SEMANA]])</f>
        <v>1052-2TNO</v>
      </c>
      <c r="D602" s="360" t="str">
        <f>CONCATENATE(VOL_VOLUMEN_SUMINISTROS[[#This Row],[Grupo]],VOL_VOLUMEN_SUMINISTROS[[#This Row],[Proyecto]],VOL_VOLUMEN_SUMINISTROS[[#This Row],[FIN DE SEMANA]])</f>
        <v>291052-2NO</v>
      </c>
      <c r="E602" s="30" t="s">
        <v>182</v>
      </c>
      <c r="F602" s="30" t="s">
        <v>147</v>
      </c>
      <c r="G602" s="360">
        <v>29</v>
      </c>
      <c r="H602" s="30">
        <v>7</v>
      </c>
      <c r="I602" s="9" t="s">
        <v>220</v>
      </c>
      <c r="J602" s="9" t="s">
        <v>502</v>
      </c>
      <c r="K602" s="30">
        <v>2</v>
      </c>
      <c r="L602" s="9" t="s">
        <v>504</v>
      </c>
      <c r="M602" s="30" t="s">
        <v>84</v>
      </c>
      <c r="N602" s="30" t="s">
        <v>154</v>
      </c>
      <c r="O602" s="24">
        <v>0</v>
      </c>
      <c r="P602" s="24">
        <v>0</v>
      </c>
      <c r="Q602" s="24">
        <v>70</v>
      </c>
      <c r="R602" s="24">
        <v>0</v>
      </c>
      <c r="S602" s="24">
        <v>0</v>
      </c>
      <c r="T602" s="24">
        <v>70</v>
      </c>
    </row>
    <row r="603" spans="1:20">
      <c r="A603" s="9" t="s">
        <v>432</v>
      </c>
      <c r="B603" s="30" t="s">
        <v>512</v>
      </c>
      <c r="C603" s="30" t="str">
        <f>CONCATENATE(VOL_VOLUMEN_SUMINISTROS[[#This Row],[Proyecto]],VOL_VOLUMEN_SUMINISTROS[[#This Row],[J]],VOL_VOLUMEN_SUMINISTROS[[#This Row],[FIN DE SEMANA]])</f>
        <v>1052-2MNO</v>
      </c>
      <c r="D603" s="360" t="str">
        <f>CONCATENATE(VOL_VOLUMEN_SUMINISTROS[[#This Row],[Grupo]],VOL_VOLUMEN_SUMINISTROS[[#This Row],[Proyecto]],VOL_VOLUMEN_SUMINISTROS[[#This Row],[FIN DE SEMANA]])</f>
        <v>271052-2NO</v>
      </c>
      <c r="E603" s="30" t="s">
        <v>182</v>
      </c>
      <c r="F603" s="30" t="s">
        <v>147</v>
      </c>
      <c r="G603" s="360">
        <v>27</v>
      </c>
      <c r="H603" s="30">
        <v>7</v>
      </c>
      <c r="I603" s="9" t="s">
        <v>220</v>
      </c>
      <c r="J603" s="9" t="s">
        <v>481</v>
      </c>
      <c r="K603" s="30">
        <v>1</v>
      </c>
      <c r="L603" s="9" t="s">
        <v>506</v>
      </c>
      <c r="M603" s="30" t="s">
        <v>84</v>
      </c>
      <c r="N603" s="30" t="s">
        <v>151</v>
      </c>
      <c r="O603" s="24">
        <v>235</v>
      </c>
      <c r="P603" s="24">
        <v>0</v>
      </c>
      <c r="Q603" s="24">
        <v>0</v>
      </c>
      <c r="R603" s="24">
        <v>0</v>
      </c>
      <c r="S603" s="24">
        <v>0</v>
      </c>
      <c r="T603" s="24">
        <v>235</v>
      </c>
    </row>
    <row r="604" spans="1:20">
      <c r="A604" s="9" t="s">
        <v>432</v>
      </c>
      <c r="B604" s="30" t="s">
        <v>512</v>
      </c>
      <c r="C604" s="30" t="str">
        <f>CONCATENATE(VOL_VOLUMEN_SUMINISTROS[[#This Row],[Proyecto]],VOL_VOLUMEN_SUMINISTROS[[#This Row],[J]],VOL_VOLUMEN_SUMINISTROS[[#This Row],[FIN DE SEMANA]])</f>
        <v>1052-2TNO</v>
      </c>
      <c r="D604" s="360" t="str">
        <f>CONCATENATE(VOL_VOLUMEN_SUMINISTROS[[#This Row],[Grupo]],VOL_VOLUMEN_SUMINISTROS[[#This Row],[Proyecto]],VOL_VOLUMEN_SUMINISTROS[[#This Row],[FIN DE SEMANA]])</f>
        <v>271052-2NO</v>
      </c>
      <c r="E604" s="30" t="s">
        <v>182</v>
      </c>
      <c r="F604" s="30" t="s">
        <v>147</v>
      </c>
      <c r="G604" s="360">
        <v>27</v>
      </c>
      <c r="H604" s="30">
        <v>7</v>
      </c>
      <c r="I604" s="9" t="s">
        <v>220</v>
      </c>
      <c r="J604" s="9" t="s">
        <v>481</v>
      </c>
      <c r="K604" s="30">
        <v>1</v>
      </c>
      <c r="L604" s="9" t="s">
        <v>506</v>
      </c>
      <c r="M604" s="30" t="s">
        <v>84</v>
      </c>
      <c r="N604" s="30" t="s">
        <v>154</v>
      </c>
      <c r="O604" s="24">
        <v>235</v>
      </c>
      <c r="P604" s="24">
        <v>0</v>
      </c>
      <c r="Q604" s="24">
        <v>0</v>
      </c>
      <c r="R604" s="24">
        <v>0</v>
      </c>
      <c r="S604" s="24">
        <v>0</v>
      </c>
      <c r="T604" s="24">
        <v>235</v>
      </c>
    </row>
    <row r="605" spans="1:20">
      <c r="A605" s="9" t="s">
        <v>432</v>
      </c>
      <c r="B605" s="30" t="s">
        <v>512</v>
      </c>
      <c r="C605" s="30" t="str">
        <f>CONCATENATE(VOL_VOLUMEN_SUMINISTROS[[#This Row],[Proyecto]],VOL_VOLUMEN_SUMINISTROS[[#This Row],[J]],VOL_VOLUMEN_SUMINISTROS[[#This Row],[FIN DE SEMANA]])</f>
        <v>1052-2MNO</v>
      </c>
      <c r="D605" s="360" t="str">
        <f>CONCATENATE(VOL_VOLUMEN_SUMINISTROS[[#This Row],[Grupo]],VOL_VOLUMEN_SUMINISTROS[[#This Row],[Proyecto]],VOL_VOLUMEN_SUMINISTROS[[#This Row],[FIN DE SEMANA]])</f>
        <v>291052-2NO</v>
      </c>
      <c r="E605" s="30" t="s">
        <v>182</v>
      </c>
      <c r="F605" s="30" t="s">
        <v>147</v>
      </c>
      <c r="G605" s="360">
        <v>29</v>
      </c>
      <c r="H605" s="30">
        <v>7</v>
      </c>
      <c r="I605" s="9" t="s">
        <v>220</v>
      </c>
      <c r="J605" s="9" t="s">
        <v>485</v>
      </c>
      <c r="K605" s="30">
        <v>1</v>
      </c>
      <c r="L605" s="9" t="s">
        <v>507</v>
      </c>
      <c r="M605" s="30" t="s">
        <v>84</v>
      </c>
      <c r="N605" s="30" t="s">
        <v>151</v>
      </c>
      <c r="O605" s="24">
        <v>75</v>
      </c>
      <c r="P605" s="24">
        <v>0</v>
      </c>
      <c r="Q605" s="24">
        <v>0</v>
      </c>
      <c r="R605" s="24">
        <v>0</v>
      </c>
      <c r="S605" s="24">
        <v>0</v>
      </c>
      <c r="T605" s="24">
        <v>75</v>
      </c>
    </row>
    <row r="606" spans="1:20">
      <c r="A606" s="9" t="s">
        <v>432</v>
      </c>
      <c r="B606" s="30" t="s">
        <v>512</v>
      </c>
      <c r="C606" s="30" t="str">
        <f>CONCATENATE(VOL_VOLUMEN_SUMINISTROS[[#This Row],[Proyecto]],VOL_VOLUMEN_SUMINISTROS[[#This Row],[J]],VOL_VOLUMEN_SUMINISTROS[[#This Row],[FIN DE SEMANA]])</f>
        <v>1052-2TNO</v>
      </c>
      <c r="D606" s="360" t="str">
        <f>CONCATENATE(VOL_VOLUMEN_SUMINISTROS[[#This Row],[Grupo]],VOL_VOLUMEN_SUMINISTROS[[#This Row],[Proyecto]],VOL_VOLUMEN_SUMINISTROS[[#This Row],[FIN DE SEMANA]])</f>
        <v>291052-2NO</v>
      </c>
      <c r="E606" s="30" t="s">
        <v>182</v>
      </c>
      <c r="F606" s="30" t="s">
        <v>147</v>
      </c>
      <c r="G606" s="360">
        <v>29</v>
      </c>
      <c r="H606" s="30">
        <v>7</v>
      </c>
      <c r="I606" s="9" t="s">
        <v>220</v>
      </c>
      <c r="J606" s="9" t="s">
        <v>485</v>
      </c>
      <c r="K606" s="30">
        <v>1</v>
      </c>
      <c r="L606" s="9" t="s">
        <v>507</v>
      </c>
      <c r="M606" s="30" t="s">
        <v>84</v>
      </c>
      <c r="N606" s="30" t="s">
        <v>154</v>
      </c>
      <c r="O606" s="24">
        <v>75</v>
      </c>
      <c r="P606" s="24">
        <v>0</v>
      </c>
      <c r="Q606" s="24">
        <v>0</v>
      </c>
      <c r="R606" s="24">
        <v>0</v>
      </c>
      <c r="S606" s="24">
        <v>0</v>
      </c>
      <c r="T606" s="24">
        <v>75</v>
      </c>
    </row>
    <row r="607" spans="1:20">
      <c r="A607" s="9" t="s">
        <v>432</v>
      </c>
      <c r="B607" s="30" t="s">
        <v>512</v>
      </c>
      <c r="C607" s="30" t="str">
        <f>CONCATENATE(VOL_VOLUMEN_SUMINISTROS[[#This Row],[Proyecto]],VOL_VOLUMEN_SUMINISTROS[[#This Row],[J]],VOL_VOLUMEN_SUMINISTROS[[#This Row],[FIN DE SEMANA]])</f>
        <v>1052-2MNO</v>
      </c>
      <c r="D607" s="360" t="str">
        <f>CONCATENATE(VOL_VOLUMEN_SUMINISTROS[[#This Row],[Grupo]],VOL_VOLUMEN_SUMINISTROS[[#This Row],[Proyecto]],VOL_VOLUMEN_SUMINISTROS[[#This Row],[FIN DE SEMANA]])</f>
        <v>291052-2NO</v>
      </c>
      <c r="E607" s="30" t="s">
        <v>182</v>
      </c>
      <c r="F607" s="30" t="s">
        <v>147</v>
      </c>
      <c r="G607" s="360">
        <v>29</v>
      </c>
      <c r="H607" s="30">
        <v>7</v>
      </c>
      <c r="I607" s="9" t="s">
        <v>220</v>
      </c>
      <c r="J607" s="9" t="s">
        <v>485</v>
      </c>
      <c r="K607" s="30">
        <v>2</v>
      </c>
      <c r="L607" s="9" t="s">
        <v>323</v>
      </c>
      <c r="M607" s="30" t="s">
        <v>84</v>
      </c>
      <c r="N607" s="30" t="s">
        <v>151</v>
      </c>
      <c r="O607" s="24">
        <v>50</v>
      </c>
      <c r="P607" s="24">
        <v>0</v>
      </c>
      <c r="Q607" s="24">
        <v>0</v>
      </c>
      <c r="R607" s="24">
        <v>0</v>
      </c>
      <c r="S607" s="24">
        <v>0</v>
      </c>
      <c r="T607" s="24">
        <v>50</v>
      </c>
    </row>
    <row r="608" spans="1:20">
      <c r="A608" s="9" t="s">
        <v>432</v>
      </c>
      <c r="B608" s="30" t="s">
        <v>512</v>
      </c>
      <c r="C608" s="30" t="str">
        <f>CONCATENATE(VOL_VOLUMEN_SUMINISTROS[[#This Row],[Proyecto]],VOL_VOLUMEN_SUMINISTROS[[#This Row],[J]],VOL_VOLUMEN_SUMINISTROS[[#This Row],[FIN DE SEMANA]])</f>
        <v>1052-2TNO</v>
      </c>
      <c r="D608" s="360" t="str">
        <f>CONCATENATE(VOL_VOLUMEN_SUMINISTROS[[#This Row],[Grupo]],VOL_VOLUMEN_SUMINISTROS[[#This Row],[Proyecto]],VOL_VOLUMEN_SUMINISTROS[[#This Row],[FIN DE SEMANA]])</f>
        <v>291052-2NO</v>
      </c>
      <c r="E608" s="30" t="s">
        <v>182</v>
      </c>
      <c r="F608" s="30" t="s">
        <v>147</v>
      </c>
      <c r="G608" s="360">
        <v>29</v>
      </c>
      <c r="H608" s="30">
        <v>7</v>
      </c>
      <c r="I608" s="9" t="s">
        <v>220</v>
      </c>
      <c r="J608" s="9" t="s">
        <v>485</v>
      </c>
      <c r="K608" s="30">
        <v>2</v>
      </c>
      <c r="L608" s="9" t="s">
        <v>486</v>
      </c>
      <c r="M608" s="30" t="s">
        <v>84</v>
      </c>
      <c r="N608" s="30" t="s">
        <v>154</v>
      </c>
      <c r="O608" s="24">
        <v>50</v>
      </c>
      <c r="P608" s="24">
        <v>0</v>
      </c>
      <c r="Q608" s="24">
        <v>0</v>
      </c>
      <c r="R608" s="24">
        <v>0</v>
      </c>
      <c r="S608" s="24">
        <v>0</v>
      </c>
      <c r="T608" s="24">
        <v>50</v>
      </c>
    </row>
    <row r="609" spans="1:20">
      <c r="A609" s="9" t="s">
        <v>432</v>
      </c>
      <c r="B609" s="30" t="s">
        <v>512</v>
      </c>
      <c r="C609" s="30" t="str">
        <f>CONCATENATE(VOL_VOLUMEN_SUMINISTROS[[#This Row],[Proyecto]],VOL_VOLUMEN_SUMINISTROS[[#This Row],[J]],VOL_VOLUMEN_SUMINISTROS[[#This Row],[FIN DE SEMANA]])</f>
        <v>1052-2MNO</v>
      </c>
      <c r="D609" s="360" t="str">
        <f>CONCATENATE(VOL_VOLUMEN_SUMINISTROS[[#This Row],[Grupo]],VOL_VOLUMEN_SUMINISTROS[[#This Row],[Proyecto]],VOL_VOLUMEN_SUMINISTROS[[#This Row],[FIN DE SEMANA]])</f>
        <v>291052-2NO</v>
      </c>
      <c r="E609" s="30" t="s">
        <v>182</v>
      </c>
      <c r="F609" s="30" t="s">
        <v>147</v>
      </c>
      <c r="G609" s="360">
        <v>29</v>
      </c>
      <c r="H609" s="30">
        <v>7</v>
      </c>
      <c r="I609" s="9" t="s">
        <v>220</v>
      </c>
      <c r="J609" s="9" t="s">
        <v>489</v>
      </c>
      <c r="K609" s="30">
        <v>7</v>
      </c>
      <c r="L609" s="9" t="s">
        <v>495</v>
      </c>
      <c r="M609" s="30" t="s">
        <v>84</v>
      </c>
      <c r="N609" s="30" t="s">
        <v>151</v>
      </c>
      <c r="O609" s="24">
        <v>68</v>
      </c>
      <c r="P609" s="24">
        <v>0</v>
      </c>
      <c r="Q609" s="24">
        <v>0</v>
      </c>
      <c r="R609" s="24">
        <v>0</v>
      </c>
      <c r="S609" s="24">
        <v>0</v>
      </c>
      <c r="T609" s="24">
        <v>68</v>
      </c>
    </row>
    <row r="610" spans="1:20">
      <c r="A610" s="9" t="s">
        <v>432</v>
      </c>
      <c r="B610" s="30" t="s">
        <v>512</v>
      </c>
      <c r="C610" s="30" t="str">
        <f>CONCATENATE(VOL_VOLUMEN_SUMINISTROS[[#This Row],[Proyecto]],VOL_VOLUMEN_SUMINISTROS[[#This Row],[J]],VOL_VOLUMEN_SUMINISTROS[[#This Row],[FIN DE SEMANA]])</f>
        <v>1052-2TNO</v>
      </c>
      <c r="D610" s="360" t="str">
        <f>CONCATENATE(VOL_VOLUMEN_SUMINISTROS[[#This Row],[Grupo]],VOL_VOLUMEN_SUMINISTROS[[#This Row],[Proyecto]],VOL_VOLUMEN_SUMINISTROS[[#This Row],[FIN DE SEMANA]])</f>
        <v>291052-2NO</v>
      </c>
      <c r="E610" s="30" t="s">
        <v>182</v>
      </c>
      <c r="F610" s="30" t="s">
        <v>147</v>
      </c>
      <c r="G610" s="360">
        <v>29</v>
      </c>
      <c r="H610" s="30">
        <v>7</v>
      </c>
      <c r="I610" s="9" t="s">
        <v>220</v>
      </c>
      <c r="J610" s="9" t="s">
        <v>489</v>
      </c>
      <c r="K610" s="30">
        <v>7</v>
      </c>
      <c r="L610" s="9" t="s">
        <v>495</v>
      </c>
      <c r="M610" s="30" t="s">
        <v>84</v>
      </c>
      <c r="N610" s="30" t="s">
        <v>154</v>
      </c>
      <c r="O610" s="24">
        <v>70</v>
      </c>
      <c r="P610" s="24">
        <v>0</v>
      </c>
      <c r="Q610" s="24">
        <v>0</v>
      </c>
      <c r="R610" s="24">
        <v>0</v>
      </c>
      <c r="S610" s="24">
        <v>0</v>
      </c>
      <c r="T610" s="24">
        <v>70</v>
      </c>
    </row>
    <row r="611" spans="1:20">
      <c r="A611" s="9" t="s">
        <v>432</v>
      </c>
      <c r="B611" s="30" t="s">
        <v>512</v>
      </c>
      <c r="C611" s="30" t="str">
        <f>CONCATENATE(VOL_VOLUMEN_SUMINISTROS[[#This Row],[Proyecto]],VOL_VOLUMEN_SUMINISTROS[[#This Row],[J]],VOL_VOLUMEN_SUMINISTROS[[#This Row],[FIN DE SEMANA]])</f>
        <v>1052-2MNO</v>
      </c>
      <c r="D611" s="360" t="str">
        <f>CONCATENATE(VOL_VOLUMEN_SUMINISTROS[[#This Row],[Grupo]],VOL_VOLUMEN_SUMINISTROS[[#This Row],[Proyecto]],VOL_VOLUMEN_SUMINISTROS[[#This Row],[FIN DE SEMANA]])</f>
        <v>291052-2NO</v>
      </c>
      <c r="E611" s="30" t="s">
        <v>182</v>
      </c>
      <c r="F611" s="30" t="s">
        <v>147</v>
      </c>
      <c r="G611" s="360">
        <v>29</v>
      </c>
      <c r="H611" s="30">
        <v>7</v>
      </c>
      <c r="I611" s="9" t="s">
        <v>220</v>
      </c>
      <c r="J611" s="9" t="s">
        <v>496</v>
      </c>
      <c r="K611" s="30">
        <v>1</v>
      </c>
      <c r="L611" s="9" t="s">
        <v>508</v>
      </c>
      <c r="M611" s="30" t="s">
        <v>84</v>
      </c>
      <c r="N611" s="30" t="s">
        <v>151</v>
      </c>
      <c r="O611" s="24">
        <v>80</v>
      </c>
      <c r="P611" s="24">
        <v>0</v>
      </c>
      <c r="Q611" s="24">
        <v>0</v>
      </c>
      <c r="R611" s="24">
        <v>0</v>
      </c>
      <c r="S611" s="24">
        <v>0</v>
      </c>
      <c r="T611" s="24">
        <v>80</v>
      </c>
    </row>
    <row r="612" spans="1:20">
      <c r="A612" s="9" t="s">
        <v>432</v>
      </c>
      <c r="B612" s="30" t="s">
        <v>512</v>
      </c>
      <c r="C612" s="30" t="str">
        <f>CONCATENATE(VOL_VOLUMEN_SUMINISTROS[[#This Row],[Proyecto]],VOL_VOLUMEN_SUMINISTROS[[#This Row],[J]],VOL_VOLUMEN_SUMINISTROS[[#This Row],[FIN DE SEMANA]])</f>
        <v>1052-2TNO</v>
      </c>
      <c r="D612" s="360" t="str">
        <f>CONCATENATE(VOL_VOLUMEN_SUMINISTROS[[#This Row],[Grupo]],VOL_VOLUMEN_SUMINISTROS[[#This Row],[Proyecto]],VOL_VOLUMEN_SUMINISTROS[[#This Row],[FIN DE SEMANA]])</f>
        <v>291052-2NO</v>
      </c>
      <c r="E612" s="30" t="s">
        <v>182</v>
      </c>
      <c r="F612" s="30" t="s">
        <v>147</v>
      </c>
      <c r="G612" s="360">
        <v>29</v>
      </c>
      <c r="H612" s="30">
        <v>7</v>
      </c>
      <c r="I612" s="9" t="s">
        <v>220</v>
      </c>
      <c r="J612" s="9" t="s">
        <v>496</v>
      </c>
      <c r="K612" s="30">
        <v>1</v>
      </c>
      <c r="L612" s="9" t="s">
        <v>509</v>
      </c>
      <c r="M612" s="30" t="s">
        <v>84</v>
      </c>
      <c r="N612" s="30" t="s">
        <v>154</v>
      </c>
      <c r="O612" s="24">
        <v>80</v>
      </c>
      <c r="P612" s="24">
        <v>0</v>
      </c>
      <c r="Q612" s="24">
        <v>0</v>
      </c>
      <c r="R612" s="24">
        <v>0</v>
      </c>
      <c r="S612" s="24">
        <v>0</v>
      </c>
      <c r="T612" s="24">
        <v>80</v>
      </c>
    </row>
    <row r="613" spans="1:20">
      <c r="A613" s="9" t="s">
        <v>432</v>
      </c>
      <c r="B613" s="30" t="s">
        <v>512</v>
      </c>
      <c r="C613" s="30" t="str">
        <f>CONCATENATE(VOL_VOLUMEN_SUMINISTROS[[#This Row],[Proyecto]],VOL_VOLUMEN_SUMINISTROS[[#This Row],[J]],VOL_VOLUMEN_SUMINISTROS[[#This Row],[FIN DE SEMANA]])</f>
        <v>1052-2MNO</v>
      </c>
      <c r="D613" s="360" t="str">
        <f>CONCATENATE(VOL_VOLUMEN_SUMINISTROS[[#This Row],[Grupo]],VOL_VOLUMEN_SUMINISTROS[[#This Row],[Proyecto]],VOL_VOLUMEN_SUMINISTROS[[#This Row],[FIN DE SEMANA]])</f>
        <v>291052-2NO</v>
      </c>
      <c r="E613" s="30" t="s">
        <v>182</v>
      </c>
      <c r="F613" s="30" t="s">
        <v>147</v>
      </c>
      <c r="G613" s="360">
        <v>29</v>
      </c>
      <c r="H613" s="30">
        <v>7</v>
      </c>
      <c r="I613" s="9" t="s">
        <v>220</v>
      </c>
      <c r="J613" s="9" t="s">
        <v>500</v>
      </c>
      <c r="K613" s="30">
        <v>1</v>
      </c>
      <c r="L613" s="9" t="s">
        <v>510</v>
      </c>
      <c r="M613" s="30" t="s">
        <v>84</v>
      </c>
      <c r="N613" s="30" t="s">
        <v>151</v>
      </c>
      <c r="O613" s="24">
        <v>120</v>
      </c>
      <c r="P613" s="24">
        <v>0</v>
      </c>
      <c r="Q613" s="24">
        <v>0</v>
      </c>
      <c r="R613" s="24">
        <v>0</v>
      </c>
      <c r="S613" s="24">
        <v>0</v>
      </c>
      <c r="T613" s="24">
        <v>120</v>
      </c>
    </row>
    <row r="614" spans="1:20">
      <c r="A614" s="9" t="s">
        <v>432</v>
      </c>
      <c r="B614" s="30" t="s">
        <v>512</v>
      </c>
      <c r="C614" s="30" t="str">
        <f>CONCATENATE(VOL_VOLUMEN_SUMINISTROS[[#This Row],[Proyecto]],VOL_VOLUMEN_SUMINISTROS[[#This Row],[J]],VOL_VOLUMEN_SUMINISTROS[[#This Row],[FIN DE SEMANA]])</f>
        <v>1052-2TNO</v>
      </c>
      <c r="D614" s="360" t="str">
        <f>CONCATENATE(VOL_VOLUMEN_SUMINISTROS[[#This Row],[Grupo]],VOL_VOLUMEN_SUMINISTROS[[#This Row],[Proyecto]],VOL_VOLUMEN_SUMINISTROS[[#This Row],[FIN DE SEMANA]])</f>
        <v>291052-2NO</v>
      </c>
      <c r="E614" s="30" t="s">
        <v>182</v>
      </c>
      <c r="F614" s="30" t="s">
        <v>147</v>
      </c>
      <c r="G614" s="360">
        <v>29</v>
      </c>
      <c r="H614" s="30">
        <v>7</v>
      </c>
      <c r="I614" s="9" t="s">
        <v>220</v>
      </c>
      <c r="J614" s="9" t="s">
        <v>500</v>
      </c>
      <c r="K614" s="30">
        <v>1</v>
      </c>
      <c r="L614" s="9" t="s">
        <v>510</v>
      </c>
      <c r="M614" s="30" t="s">
        <v>84</v>
      </c>
      <c r="N614" s="30" t="s">
        <v>154</v>
      </c>
      <c r="O614" s="24">
        <v>120</v>
      </c>
      <c r="P614" s="24">
        <v>0</v>
      </c>
      <c r="Q614" s="24">
        <v>0</v>
      </c>
      <c r="R614" s="24">
        <v>0</v>
      </c>
      <c r="S614" s="24">
        <v>0</v>
      </c>
      <c r="T614" s="24">
        <v>120</v>
      </c>
    </row>
    <row r="615" spans="1:20">
      <c r="A615" s="9" t="s">
        <v>432</v>
      </c>
      <c r="B615" s="30" t="s">
        <v>512</v>
      </c>
      <c r="C615" s="30" t="str">
        <f>CONCATENATE(VOL_VOLUMEN_SUMINISTROS[[#This Row],[Proyecto]],VOL_VOLUMEN_SUMINISTROS[[#This Row],[J]],VOL_VOLUMEN_SUMINISTROS[[#This Row],[FIN DE SEMANA]])</f>
        <v>1052-2MNO</v>
      </c>
      <c r="D615" s="360" t="str">
        <f>CONCATENATE(VOL_VOLUMEN_SUMINISTROS[[#This Row],[Grupo]],VOL_VOLUMEN_SUMINISTROS[[#This Row],[Proyecto]],VOL_VOLUMEN_SUMINISTROS[[#This Row],[FIN DE SEMANA]])</f>
        <v>291052-2NO</v>
      </c>
      <c r="E615" s="30" t="s">
        <v>182</v>
      </c>
      <c r="F615" s="30" t="s">
        <v>147</v>
      </c>
      <c r="G615" s="360">
        <v>29</v>
      </c>
      <c r="H615" s="30">
        <v>7</v>
      </c>
      <c r="I615" s="9" t="s">
        <v>220</v>
      </c>
      <c r="J615" s="9" t="s">
        <v>500</v>
      </c>
      <c r="K615" s="30">
        <v>2</v>
      </c>
      <c r="L615" s="9" t="s">
        <v>501</v>
      </c>
      <c r="M615" s="30" t="s">
        <v>84</v>
      </c>
      <c r="N615" s="30" t="s">
        <v>151</v>
      </c>
      <c r="O615" s="24">
        <v>90</v>
      </c>
      <c r="P615" s="24">
        <v>0</v>
      </c>
      <c r="Q615" s="24">
        <v>0</v>
      </c>
      <c r="R615" s="24">
        <v>0</v>
      </c>
      <c r="S615" s="24">
        <v>0</v>
      </c>
      <c r="T615" s="24">
        <v>90</v>
      </c>
    </row>
    <row r="616" spans="1:20">
      <c r="A616" s="9" t="s">
        <v>432</v>
      </c>
      <c r="B616" s="30" t="s">
        <v>512</v>
      </c>
      <c r="C616" s="30" t="str">
        <f>CONCATENATE(VOL_VOLUMEN_SUMINISTROS[[#This Row],[Proyecto]],VOL_VOLUMEN_SUMINISTROS[[#This Row],[J]],VOL_VOLUMEN_SUMINISTROS[[#This Row],[FIN DE SEMANA]])</f>
        <v>1052-2TNO</v>
      </c>
      <c r="D616" s="360" t="str">
        <f>CONCATENATE(VOL_VOLUMEN_SUMINISTROS[[#This Row],[Grupo]],VOL_VOLUMEN_SUMINISTROS[[#This Row],[Proyecto]],VOL_VOLUMEN_SUMINISTROS[[#This Row],[FIN DE SEMANA]])</f>
        <v>291052-2NO</v>
      </c>
      <c r="E616" s="30" t="s">
        <v>182</v>
      </c>
      <c r="F616" s="30" t="s">
        <v>147</v>
      </c>
      <c r="G616" s="360">
        <v>29</v>
      </c>
      <c r="H616" s="30">
        <v>7</v>
      </c>
      <c r="I616" s="9" t="s">
        <v>220</v>
      </c>
      <c r="J616" s="9" t="s">
        <v>500</v>
      </c>
      <c r="K616" s="30">
        <v>2</v>
      </c>
      <c r="L616" s="9" t="s">
        <v>501</v>
      </c>
      <c r="M616" s="30" t="s">
        <v>84</v>
      </c>
      <c r="N616" s="30" t="s">
        <v>154</v>
      </c>
      <c r="O616" s="24">
        <v>90</v>
      </c>
      <c r="P616" s="24">
        <v>0</v>
      </c>
      <c r="Q616" s="24">
        <v>0</v>
      </c>
      <c r="R616" s="24">
        <v>0</v>
      </c>
      <c r="S616" s="24">
        <v>0</v>
      </c>
      <c r="T616" s="24">
        <v>90</v>
      </c>
    </row>
    <row r="617" spans="1:20">
      <c r="A617" s="9" t="s">
        <v>432</v>
      </c>
      <c r="B617" s="30" t="s">
        <v>512</v>
      </c>
      <c r="C617" s="30" t="str">
        <f>CONCATENATE(VOL_VOLUMEN_SUMINISTROS[[#This Row],[Proyecto]],VOL_VOLUMEN_SUMINISTROS[[#This Row],[J]],VOL_VOLUMEN_SUMINISTROS[[#This Row],[FIN DE SEMANA]])</f>
        <v>1052-2TNO</v>
      </c>
      <c r="D617" s="360" t="str">
        <f>CONCATENATE(VOL_VOLUMEN_SUMINISTROS[[#This Row],[Grupo]],VOL_VOLUMEN_SUMINISTROS[[#This Row],[Proyecto]],VOL_VOLUMEN_SUMINISTROS[[#This Row],[FIN DE SEMANA]])</f>
        <v>291052-2NO</v>
      </c>
      <c r="E617" s="30" t="s">
        <v>182</v>
      </c>
      <c r="F617" s="30" t="s">
        <v>147</v>
      </c>
      <c r="G617" s="360">
        <v>29</v>
      </c>
      <c r="H617" s="30">
        <v>7</v>
      </c>
      <c r="I617" s="9" t="s">
        <v>220</v>
      </c>
      <c r="J617" s="9" t="s">
        <v>502</v>
      </c>
      <c r="K617" s="30">
        <v>2</v>
      </c>
      <c r="L617" s="9" t="s">
        <v>504</v>
      </c>
      <c r="M617" s="30" t="s">
        <v>84</v>
      </c>
      <c r="N617" s="30" t="s">
        <v>154</v>
      </c>
      <c r="O617" s="24">
        <v>155</v>
      </c>
      <c r="P617" s="24">
        <v>0</v>
      </c>
      <c r="Q617" s="24">
        <v>0</v>
      </c>
      <c r="R617" s="24">
        <v>0</v>
      </c>
      <c r="S617" s="24">
        <v>0</v>
      </c>
      <c r="T617" s="24">
        <v>155</v>
      </c>
    </row>
    <row r="618" spans="1:20">
      <c r="A618" s="9" t="s">
        <v>432</v>
      </c>
      <c r="B618" s="30" t="s">
        <v>513</v>
      </c>
      <c r="C618" s="30" t="str">
        <f>CONCATENATE(VOL_VOLUMEN_SUMINISTROS[[#This Row],[Proyecto]],VOL_VOLUMEN_SUMINISTROS[[#This Row],[J]],VOL_VOLUMEN_SUMINISTROS[[#This Row],[FIN DE SEMANA]])</f>
        <v>1052-1MNO</v>
      </c>
      <c r="D618" s="360" t="str">
        <f>CONCATENATE(VOL_VOLUMEN_SUMINISTROS[[#This Row],[Grupo]],VOL_VOLUMEN_SUMINISTROS[[#This Row],[Proyecto]],VOL_VOLUMEN_SUMINISTROS[[#This Row],[FIN DE SEMANA]])</f>
        <v>71052-1NO</v>
      </c>
      <c r="E618" s="30" t="s">
        <v>146</v>
      </c>
      <c r="F618" s="30" t="s">
        <v>147</v>
      </c>
      <c r="G618" s="360">
        <v>7</v>
      </c>
      <c r="H618" s="30">
        <v>16</v>
      </c>
      <c r="I618" s="9" t="s">
        <v>434</v>
      </c>
      <c r="J618" s="9" t="s">
        <v>514</v>
      </c>
      <c r="K618" s="30">
        <v>1</v>
      </c>
      <c r="L618" s="9" t="s">
        <v>515</v>
      </c>
      <c r="M618" s="30" t="s">
        <v>84</v>
      </c>
      <c r="N618" s="30" t="s">
        <v>151</v>
      </c>
      <c r="O618" s="24">
        <v>0</v>
      </c>
      <c r="P618" s="24">
        <v>0</v>
      </c>
      <c r="Q618" s="24">
        <v>461</v>
      </c>
      <c r="R618" s="24">
        <v>0</v>
      </c>
      <c r="S618" s="24">
        <v>0</v>
      </c>
      <c r="T618" s="24">
        <v>461</v>
      </c>
    </row>
    <row r="619" spans="1:20">
      <c r="A619" s="9" t="s">
        <v>432</v>
      </c>
      <c r="B619" s="30" t="s">
        <v>513</v>
      </c>
      <c r="C619" s="30" t="str">
        <f>CONCATENATE(VOL_VOLUMEN_SUMINISTROS[[#This Row],[Proyecto]],VOL_VOLUMEN_SUMINISTROS[[#This Row],[J]],VOL_VOLUMEN_SUMINISTROS[[#This Row],[FIN DE SEMANA]])</f>
        <v>1052-1MNO</v>
      </c>
      <c r="D619" s="360" t="str">
        <f>CONCATENATE(VOL_VOLUMEN_SUMINISTROS[[#This Row],[Grupo]],VOL_VOLUMEN_SUMINISTROS[[#This Row],[Proyecto]],VOL_VOLUMEN_SUMINISTROS[[#This Row],[FIN DE SEMANA]])</f>
        <v>71052-1NO</v>
      </c>
      <c r="E619" s="30" t="s">
        <v>146</v>
      </c>
      <c r="F619" s="30" t="s">
        <v>147</v>
      </c>
      <c r="G619" s="360">
        <v>7</v>
      </c>
      <c r="H619" s="30">
        <v>16</v>
      </c>
      <c r="I619" s="9" t="s">
        <v>434</v>
      </c>
      <c r="J619" s="9" t="s">
        <v>514</v>
      </c>
      <c r="K619" s="30">
        <v>2</v>
      </c>
      <c r="L619" s="9" t="s">
        <v>164</v>
      </c>
      <c r="M619" s="30" t="s">
        <v>84</v>
      </c>
      <c r="N619" s="30" t="s">
        <v>151</v>
      </c>
      <c r="O619" s="24">
        <v>224</v>
      </c>
      <c r="P619" s="24">
        <v>62</v>
      </c>
      <c r="Q619" s="24">
        <v>0</v>
      </c>
      <c r="R619" s="24">
        <v>0</v>
      </c>
      <c r="S619" s="24">
        <v>0</v>
      </c>
      <c r="T619" s="24">
        <v>286</v>
      </c>
    </row>
    <row r="620" spans="1:20">
      <c r="A620" s="9" t="s">
        <v>432</v>
      </c>
      <c r="B620" s="30" t="s">
        <v>513</v>
      </c>
      <c r="C620" s="30" t="str">
        <f>CONCATENATE(VOL_VOLUMEN_SUMINISTROS[[#This Row],[Proyecto]],VOL_VOLUMEN_SUMINISTROS[[#This Row],[J]],VOL_VOLUMEN_SUMINISTROS[[#This Row],[FIN DE SEMANA]])</f>
        <v>1052-1TNO</v>
      </c>
      <c r="D620" s="360" t="str">
        <f>CONCATENATE(VOL_VOLUMEN_SUMINISTROS[[#This Row],[Grupo]],VOL_VOLUMEN_SUMINISTROS[[#This Row],[Proyecto]],VOL_VOLUMEN_SUMINISTROS[[#This Row],[FIN DE SEMANA]])</f>
        <v>71052-1NO</v>
      </c>
      <c r="E620" s="30" t="s">
        <v>146</v>
      </c>
      <c r="F620" s="30" t="s">
        <v>147</v>
      </c>
      <c r="G620" s="360">
        <v>7</v>
      </c>
      <c r="H620" s="30">
        <v>16</v>
      </c>
      <c r="I620" s="9" t="s">
        <v>434</v>
      </c>
      <c r="J620" s="9" t="s">
        <v>514</v>
      </c>
      <c r="K620" s="30">
        <v>2</v>
      </c>
      <c r="L620" s="9" t="s">
        <v>164</v>
      </c>
      <c r="M620" s="30" t="s">
        <v>84</v>
      </c>
      <c r="N620" s="30" t="s">
        <v>154</v>
      </c>
      <c r="O620" s="24">
        <v>115</v>
      </c>
      <c r="P620" s="24">
        <v>37</v>
      </c>
      <c r="Q620" s="24">
        <v>5</v>
      </c>
      <c r="R620" s="24">
        <v>0</v>
      </c>
      <c r="S620" s="24">
        <v>0</v>
      </c>
      <c r="T620" s="24">
        <v>157</v>
      </c>
    </row>
    <row r="621" spans="1:20">
      <c r="A621" s="9" t="s">
        <v>432</v>
      </c>
      <c r="B621" s="30" t="s">
        <v>513</v>
      </c>
      <c r="C621" s="30" t="str">
        <f>CONCATENATE(VOL_VOLUMEN_SUMINISTROS[[#This Row],[Proyecto]],VOL_VOLUMEN_SUMINISTROS[[#This Row],[J]],VOL_VOLUMEN_SUMINISTROS[[#This Row],[FIN DE SEMANA]])</f>
        <v>1052-1MNO</v>
      </c>
      <c r="D621" s="360" t="str">
        <f>CONCATENATE(VOL_VOLUMEN_SUMINISTROS[[#This Row],[Grupo]],VOL_VOLUMEN_SUMINISTROS[[#This Row],[Proyecto]],VOL_VOLUMEN_SUMINISTROS[[#This Row],[FIN DE SEMANA]])</f>
        <v>71052-1NO</v>
      </c>
      <c r="E621" s="30" t="s">
        <v>146</v>
      </c>
      <c r="F621" s="30" t="s">
        <v>147</v>
      </c>
      <c r="G621" s="360">
        <v>7</v>
      </c>
      <c r="H621" s="30">
        <v>16</v>
      </c>
      <c r="I621" s="9" t="s">
        <v>434</v>
      </c>
      <c r="J621" s="9" t="s">
        <v>514</v>
      </c>
      <c r="K621" s="30">
        <v>3</v>
      </c>
      <c r="L621" s="9" t="s">
        <v>457</v>
      </c>
      <c r="M621" s="30" t="s">
        <v>84</v>
      </c>
      <c r="N621" s="30" t="s">
        <v>151</v>
      </c>
      <c r="O621" s="24">
        <v>0</v>
      </c>
      <c r="P621" s="24">
        <v>234</v>
      </c>
      <c r="Q621" s="24">
        <v>78</v>
      </c>
      <c r="R621" s="24">
        <v>0</v>
      </c>
      <c r="S621" s="24">
        <v>0</v>
      </c>
      <c r="T621" s="24">
        <v>312</v>
      </c>
    </row>
    <row r="622" spans="1:20">
      <c r="A622" s="9" t="s">
        <v>432</v>
      </c>
      <c r="B622" s="30" t="s">
        <v>513</v>
      </c>
      <c r="C622" s="30" t="str">
        <f>CONCATENATE(VOL_VOLUMEN_SUMINISTROS[[#This Row],[Proyecto]],VOL_VOLUMEN_SUMINISTROS[[#This Row],[J]],VOL_VOLUMEN_SUMINISTROS[[#This Row],[FIN DE SEMANA]])</f>
        <v>1052-1MNO</v>
      </c>
      <c r="D622" s="360" t="str">
        <f>CONCATENATE(VOL_VOLUMEN_SUMINISTROS[[#This Row],[Grupo]],VOL_VOLUMEN_SUMINISTROS[[#This Row],[Proyecto]],VOL_VOLUMEN_SUMINISTROS[[#This Row],[FIN DE SEMANA]])</f>
        <v>71052-1NO</v>
      </c>
      <c r="E622" s="30" t="s">
        <v>146</v>
      </c>
      <c r="F622" s="30" t="s">
        <v>147</v>
      </c>
      <c r="G622" s="360">
        <v>7</v>
      </c>
      <c r="H622" s="30">
        <v>16</v>
      </c>
      <c r="I622" s="9" t="s">
        <v>434</v>
      </c>
      <c r="J622" s="9" t="s">
        <v>516</v>
      </c>
      <c r="K622" s="30">
        <v>1</v>
      </c>
      <c r="L622" s="9" t="s">
        <v>517</v>
      </c>
      <c r="M622" s="30" t="s">
        <v>84</v>
      </c>
      <c r="N622" s="30" t="s">
        <v>151</v>
      </c>
      <c r="O622" s="24">
        <v>344</v>
      </c>
      <c r="P622" s="24">
        <v>640</v>
      </c>
      <c r="Q622" s="24">
        <v>743</v>
      </c>
      <c r="R622" s="24">
        <v>0</v>
      </c>
      <c r="S622" s="24">
        <v>0</v>
      </c>
      <c r="T622" s="24">
        <v>1727</v>
      </c>
    </row>
    <row r="623" spans="1:20">
      <c r="A623" s="9" t="s">
        <v>432</v>
      </c>
      <c r="B623" s="30" t="s">
        <v>513</v>
      </c>
      <c r="C623" s="30" t="str">
        <f>CONCATENATE(VOL_VOLUMEN_SUMINISTROS[[#This Row],[Proyecto]],VOL_VOLUMEN_SUMINISTROS[[#This Row],[J]],VOL_VOLUMEN_SUMINISTROS[[#This Row],[FIN DE SEMANA]])</f>
        <v>1052-1NNO</v>
      </c>
      <c r="D623" s="360" t="str">
        <f>CONCATENATE(VOL_VOLUMEN_SUMINISTROS[[#This Row],[Grupo]],VOL_VOLUMEN_SUMINISTROS[[#This Row],[Proyecto]],VOL_VOLUMEN_SUMINISTROS[[#This Row],[FIN DE SEMANA]])</f>
        <v>71052-1NO</v>
      </c>
      <c r="E623" s="30" t="s">
        <v>146</v>
      </c>
      <c r="F623" s="30" t="s">
        <v>147</v>
      </c>
      <c r="G623" s="360">
        <v>7</v>
      </c>
      <c r="H623" s="30">
        <v>16</v>
      </c>
      <c r="I623" s="9" t="s">
        <v>434</v>
      </c>
      <c r="J623" s="9" t="s">
        <v>516</v>
      </c>
      <c r="K623" s="30">
        <v>1</v>
      </c>
      <c r="L623" s="9" t="s">
        <v>517</v>
      </c>
      <c r="M623" s="30" t="s">
        <v>84</v>
      </c>
      <c r="N623" s="30" t="s">
        <v>153</v>
      </c>
      <c r="O623" s="24">
        <v>0</v>
      </c>
      <c r="P623" s="24">
        <v>0</v>
      </c>
      <c r="Q623" s="24">
        <v>0</v>
      </c>
      <c r="R623" s="24">
        <v>82</v>
      </c>
      <c r="S623" s="24">
        <v>94</v>
      </c>
      <c r="T623" s="24">
        <v>176</v>
      </c>
    </row>
    <row r="624" spans="1:20">
      <c r="A624" s="9" t="s">
        <v>432</v>
      </c>
      <c r="B624" s="30" t="s">
        <v>513</v>
      </c>
      <c r="C624" s="30" t="str">
        <f>CONCATENATE(VOL_VOLUMEN_SUMINISTROS[[#This Row],[Proyecto]],VOL_VOLUMEN_SUMINISTROS[[#This Row],[J]],VOL_VOLUMEN_SUMINISTROS[[#This Row],[FIN DE SEMANA]])</f>
        <v>1052-1TNO</v>
      </c>
      <c r="D624" s="360" t="str">
        <f>CONCATENATE(VOL_VOLUMEN_SUMINISTROS[[#This Row],[Grupo]],VOL_VOLUMEN_SUMINISTROS[[#This Row],[Proyecto]],VOL_VOLUMEN_SUMINISTROS[[#This Row],[FIN DE SEMANA]])</f>
        <v>71052-1NO</v>
      </c>
      <c r="E624" s="30" t="s">
        <v>146</v>
      </c>
      <c r="F624" s="30" t="s">
        <v>147</v>
      </c>
      <c r="G624" s="360">
        <v>7</v>
      </c>
      <c r="H624" s="30">
        <v>16</v>
      </c>
      <c r="I624" s="9" t="s">
        <v>434</v>
      </c>
      <c r="J624" s="9" t="s">
        <v>516</v>
      </c>
      <c r="K624" s="30">
        <v>1</v>
      </c>
      <c r="L624" s="9" t="s">
        <v>517</v>
      </c>
      <c r="M624" s="30" t="s">
        <v>84</v>
      </c>
      <c r="N624" s="30" t="s">
        <v>154</v>
      </c>
      <c r="O624" s="24">
        <v>398</v>
      </c>
      <c r="P624" s="24">
        <v>658</v>
      </c>
      <c r="Q624" s="24">
        <v>840</v>
      </c>
      <c r="R624" s="24">
        <v>0</v>
      </c>
      <c r="S624" s="24">
        <v>0</v>
      </c>
      <c r="T624" s="24">
        <v>1896</v>
      </c>
    </row>
    <row r="625" spans="1:20">
      <c r="A625" s="9" t="s">
        <v>432</v>
      </c>
      <c r="B625" s="30" t="s">
        <v>513</v>
      </c>
      <c r="C625" s="30" t="str">
        <f>CONCATENATE(VOL_VOLUMEN_SUMINISTROS[[#This Row],[Proyecto]],VOL_VOLUMEN_SUMINISTROS[[#This Row],[J]],VOL_VOLUMEN_SUMINISTROS[[#This Row],[FIN DE SEMANA]])</f>
        <v>1052-1MNO</v>
      </c>
      <c r="D625" s="360" t="str">
        <f>CONCATENATE(VOL_VOLUMEN_SUMINISTROS[[#This Row],[Grupo]],VOL_VOLUMEN_SUMINISTROS[[#This Row],[Proyecto]],VOL_VOLUMEN_SUMINISTROS[[#This Row],[FIN DE SEMANA]])</f>
        <v>71052-1NO</v>
      </c>
      <c r="E625" s="30" t="s">
        <v>146</v>
      </c>
      <c r="F625" s="30" t="s">
        <v>147</v>
      </c>
      <c r="G625" s="360">
        <v>7</v>
      </c>
      <c r="H625" s="30">
        <v>16</v>
      </c>
      <c r="I625" s="9" t="s">
        <v>434</v>
      </c>
      <c r="J625" s="9" t="s">
        <v>518</v>
      </c>
      <c r="K625" s="30">
        <v>1</v>
      </c>
      <c r="L625" s="9" t="s">
        <v>519</v>
      </c>
      <c r="M625" s="30" t="s">
        <v>84</v>
      </c>
      <c r="N625" s="30" t="s">
        <v>151</v>
      </c>
      <c r="O625" s="24">
        <v>0</v>
      </c>
      <c r="P625" s="24">
        <v>144</v>
      </c>
      <c r="Q625" s="24">
        <v>413</v>
      </c>
      <c r="R625" s="24">
        <v>0</v>
      </c>
      <c r="S625" s="24">
        <v>0</v>
      </c>
      <c r="T625" s="24">
        <v>557</v>
      </c>
    </row>
    <row r="626" spans="1:20">
      <c r="A626" s="9" t="s">
        <v>432</v>
      </c>
      <c r="B626" s="30" t="s">
        <v>513</v>
      </c>
      <c r="C626" s="30" t="str">
        <f>CONCATENATE(VOL_VOLUMEN_SUMINISTROS[[#This Row],[Proyecto]],VOL_VOLUMEN_SUMINISTROS[[#This Row],[J]],VOL_VOLUMEN_SUMINISTROS[[#This Row],[FIN DE SEMANA]])</f>
        <v>1052-1TNO</v>
      </c>
      <c r="D626" s="360" t="str">
        <f>CONCATENATE(VOL_VOLUMEN_SUMINISTROS[[#This Row],[Grupo]],VOL_VOLUMEN_SUMINISTROS[[#This Row],[Proyecto]],VOL_VOLUMEN_SUMINISTROS[[#This Row],[FIN DE SEMANA]])</f>
        <v>71052-1NO</v>
      </c>
      <c r="E626" s="30" t="s">
        <v>146</v>
      </c>
      <c r="F626" s="30" t="s">
        <v>147</v>
      </c>
      <c r="G626" s="360">
        <v>7</v>
      </c>
      <c r="H626" s="30">
        <v>16</v>
      </c>
      <c r="I626" s="9" t="s">
        <v>434</v>
      </c>
      <c r="J626" s="9" t="s">
        <v>518</v>
      </c>
      <c r="K626" s="30">
        <v>1</v>
      </c>
      <c r="L626" s="9" t="s">
        <v>519</v>
      </c>
      <c r="M626" s="30" t="s">
        <v>84</v>
      </c>
      <c r="N626" s="30" t="s">
        <v>154</v>
      </c>
      <c r="O626" s="24">
        <v>0</v>
      </c>
      <c r="P626" s="24">
        <v>120</v>
      </c>
      <c r="Q626" s="24">
        <v>297</v>
      </c>
      <c r="R626" s="24">
        <v>0</v>
      </c>
      <c r="S626" s="24">
        <v>0</v>
      </c>
      <c r="T626" s="24">
        <v>417</v>
      </c>
    </row>
    <row r="627" spans="1:20">
      <c r="A627" s="9" t="s">
        <v>432</v>
      </c>
      <c r="B627" s="30" t="s">
        <v>513</v>
      </c>
      <c r="C627" s="30" t="str">
        <f>CONCATENATE(VOL_VOLUMEN_SUMINISTROS[[#This Row],[Proyecto]],VOL_VOLUMEN_SUMINISTROS[[#This Row],[J]],VOL_VOLUMEN_SUMINISTROS[[#This Row],[FIN DE SEMANA]])</f>
        <v>1052-1MNO</v>
      </c>
      <c r="D627" s="360" t="str">
        <f>CONCATENATE(VOL_VOLUMEN_SUMINISTROS[[#This Row],[Grupo]],VOL_VOLUMEN_SUMINISTROS[[#This Row],[Proyecto]],VOL_VOLUMEN_SUMINISTROS[[#This Row],[FIN DE SEMANA]])</f>
        <v>71052-1NO</v>
      </c>
      <c r="E627" s="30" t="s">
        <v>146</v>
      </c>
      <c r="F627" s="30" t="s">
        <v>147</v>
      </c>
      <c r="G627" s="360">
        <v>7</v>
      </c>
      <c r="H627" s="30">
        <v>16</v>
      </c>
      <c r="I627" s="9" t="s">
        <v>434</v>
      </c>
      <c r="J627" s="9" t="s">
        <v>518</v>
      </c>
      <c r="K627" s="30">
        <v>2</v>
      </c>
      <c r="L627" s="9" t="s">
        <v>520</v>
      </c>
      <c r="M627" s="30" t="s">
        <v>84</v>
      </c>
      <c r="N627" s="30" t="s">
        <v>151</v>
      </c>
      <c r="O627" s="24">
        <v>215</v>
      </c>
      <c r="P627" s="24">
        <v>148</v>
      </c>
      <c r="Q627" s="24">
        <v>29</v>
      </c>
      <c r="R627" s="24">
        <v>0</v>
      </c>
      <c r="S627" s="24">
        <v>0</v>
      </c>
      <c r="T627" s="24">
        <v>392</v>
      </c>
    </row>
    <row r="628" spans="1:20">
      <c r="A628" s="9" t="s">
        <v>432</v>
      </c>
      <c r="B628" s="30" t="s">
        <v>513</v>
      </c>
      <c r="C628" s="30" t="str">
        <f>CONCATENATE(VOL_VOLUMEN_SUMINISTROS[[#This Row],[Proyecto]],VOL_VOLUMEN_SUMINISTROS[[#This Row],[J]],VOL_VOLUMEN_SUMINISTROS[[#This Row],[FIN DE SEMANA]])</f>
        <v>1052-1TNO</v>
      </c>
      <c r="D628" s="360" t="str">
        <f>CONCATENATE(VOL_VOLUMEN_SUMINISTROS[[#This Row],[Grupo]],VOL_VOLUMEN_SUMINISTROS[[#This Row],[Proyecto]],VOL_VOLUMEN_SUMINISTROS[[#This Row],[FIN DE SEMANA]])</f>
        <v>71052-1NO</v>
      </c>
      <c r="E628" s="30" t="s">
        <v>146</v>
      </c>
      <c r="F628" s="30" t="s">
        <v>147</v>
      </c>
      <c r="G628" s="360">
        <v>7</v>
      </c>
      <c r="H628" s="30">
        <v>16</v>
      </c>
      <c r="I628" s="9" t="s">
        <v>434</v>
      </c>
      <c r="J628" s="9" t="s">
        <v>518</v>
      </c>
      <c r="K628" s="30">
        <v>2</v>
      </c>
      <c r="L628" s="9" t="s">
        <v>520</v>
      </c>
      <c r="M628" s="30" t="s">
        <v>84</v>
      </c>
      <c r="N628" s="30" t="s">
        <v>154</v>
      </c>
      <c r="O628" s="24">
        <v>199</v>
      </c>
      <c r="P628" s="24">
        <v>148</v>
      </c>
      <c r="Q628" s="24">
        <v>31</v>
      </c>
      <c r="R628" s="24">
        <v>0</v>
      </c>
      <c r="S628" s="24">
        <v>0</v>
      </c>
      <c r="T628" s="24">
        <v>378</v>
      </c>
    </row>
    <row r="629" spans="1:20">
      <c r="A629" s="9" t="s">
        <v>432</v>
      </c>
      <c r="B629" s="30" t="s">
        <v>513</v>
      </c>
      <c r="C629" s="30" t="str">
        <f>CONCATENATE(VOL_VOLUMEN_SUMINISTROS[[#This Row],[Proyecto]],VOL_VOLUMEN_SUMINISTROS[[#This Row],[J]],VOL_VOLUMEN_SUMINISTROS[[#This Row],[FIN DE SEMANA]])</f>
        <v>1052-1MNO</v>
      </c>
      <c r="D629" s="360" t="str">
        <f>CONCATENATE(VOL_VOLUMEN_SUMINISTROS[[#This Row],[Grupo]],VOL_VOLUMEN_SUMINISTROS[[#This Row],[Proyecto]],VOL_VOLUMEN_SUMINISTROS[[#This Row],[FIN DE SEMANA]])</f>
        <v>71052-1NO</v>
      </c>
      <c r="E629" s="30" t="s">
        <v>146</v>
      </c>
      <c r="F629" s="30" t="s">
        <v>147</v>
      </c>
      <c r="G629" s="360">
        <v>7</v>
      </c>
      <c r="H629" s="30">
        <v>16</v>
      </c>
      <c r="I629" s="9" t="s">
        <v>434</v>
      </c>
      <c r="J629" s="9" t="s">
        <v>518</v>
      </c>
      <c r="K629" s="30">
        <v>3</v>
      </c>
      <c r="L629" s="9" t="s">
        <v>521</v>
      </c>
      <c r="M629" s="30" t="s">
        <v>84</v>
      </c>
      <c r="N629" s="30" t="s">
        <v>151</v>
      </c>
      <c r="O629" s="24">
        <v>123</v>
      </c>
      <c r="P629" s="24">
        <v>93</v>
      </c>
      <c r="Q629" s="24">
        <v>17</v>
      </c>
      <c r="R629" s="24">
        <v>0</v>
      </c>
      <c r="S629" s="24">
        <v>0</v>
      </c>
      <c r="T629" s="24">
        <v>233</v>
      </c>
    </row>
    <row r="630" spans="1:20">
      <c r="A630" s="9" t="s">
        <v>432</v>
      </c>
      <c r="B630" s="30" t="s">
        <v>513</v>
      </c>
      <c r="C630" s="30" t="str">
        <f>CONCATENATE(VOL_VOLUMEN_SUMINISTROS[[#This Row],[Proyecto]],VOL_VOLUMEN_SUMINISTROS[[#This Row],[J]],VOL_VOLUMEN_SUMINISTROS[[#This Row],[FIN DE SEMANA]])</f>
        <v>1052-1TNO</v>
      </c>
      <c r="D630" s="360" t="str">
        <f>CONCATENATE(VOL_VOLUMEN_SUMINISTROS[[#This Row],[Grupo]],VOL_VOLUMEN_SUMINISTROS[[#This Row],[Proyecto]],VOL_VOLUMEN_SUMINISTROS[[#This Row],[FIN DE SEMANA]])</f>
        <v>71052-1NO</v>
      </c>
      <c r="E630" s="30" t="s">
        <v>146</v>
      </c>
      <c r="F630" s="30" t="s">
        <v>147</v>
      </c>
      <c r="G630" s="360">
        <v>7</v>
      </c>
      <c r="H630" s="30">
        <v>16</v>
      </c>
      <c r="I630" s="9" t="s">
        <v>434</v>
      </c>
      <c r="J630" s="9" t="s">
        <v>518</v>
      </c>
      <c r="K630" s="30">
        <v>3</v>
      </c>
      <c r="L630" s="9" t="s">
        <v>521</v>
      </c>
      <c r="M630" s="30" t="s">
        <v>84</v>
      </c>
      <c r="N630" s="30" t="s">
        <v>154</v>
      </c>
      <c r="O630" s="24">
        <v>91</v>
      </c>
      <c r="P630" s="24">
        <v>72</v>
      </c>
      <c r="Q630" s="24">
        <v>15</v>
      </c>
      <c r="R630" s="24">
        <v>0</v>
      </c>
      <c r="S630" s="24">
        <v>0</v>
      </c>
      <c r="T630" s="24">
        <v>178</v>
      </c>
    </row>
    <row r="631" spans="1:20">
      <c r="A631" s="9" t="s">
        <v>432</v>
      </c>
      <c r="B631" s="30" t="s">
        <v>513</v>
      </c>
      <c r="C631" s="30" t="str">
        <f>CONCATENATE(VOL_VOLUMEN_SUMINISTROS[[#This Row],[Proyecto]],VOL_VOLUMEN_SUMINISTROS[[#This Row],[J]],VOL_VOLUMEN_SUMINISTROS[[#This Row],[FIN DE SEMANA]])</f>
        <v>1052-1MNO</v>
      </c>
      <c r="D631" s="360" t="str">
        <f>CONCATENATE(VOL_VOLUMEN_SUMINISTROS[[#This Row],[Grupo]],VOL_VOLUMEN_SUMINISTROS[[#This Row],[Proyecto]],VOL_VOLUMEN_SUMINISTROS[[#This Row],[FIN DE SEMANA]])</f>
        <v>71052-1NO</v>
      </c>
      <c r="E631" s="30" t="s">
        <v>146</v>
      </c>
      <c r="F631" s="30" t="s">
        <v>147</v>
      </c>
      <c r="G631" s="360">
        <v>7</v>
      </c>
      <c r="H631" s="30">
        <v>16</v>
      </c>
      <c r="I631" s="9" t="s">
        <v>434</v>
      </c>
      <c r="J631" s="9" t="s">
        <v>522</v>
      </c>
      <c r="K631" s="30">
        <v>1</v>
      </c>
      <c r="L631" s="9" t="s">
        <v>523</v>
      </c>
      <c r="M631" s="30" t="s">
        <v>84</v>
      </c>
      <c r="N631" s="30" t="s">
        <v>151</v>
      </c>
      <c r="O631" s="24">
        <v>76</v>
      </c>
      <c r="P631" s="24">
        <v>234</v>
      </c>
      <c r="Q631" s="24">
        <v>409</v>
      </c>
      <c r="R631" s="24">
        <v>0</v>
      </c>
      <c r="S631" s="24">
        <v>0</v>
      </c>
      <c r="T631" s="24">
        <v>719</v>
      </c>
    </row>
    <row r="632" spans="1:20">
      <c r="A632" s="9" t="s">
        <v>432</v>
      </c>
      <c r="B632" s="30" t="s">
        <v>513</v>
      </c>
      <c r="C632" s="30" t="str">
        <f>CONCATENATE(VOL_VOLUMEN_SUMINISTROS[[#This Row],[Proyecto]],VOL_VOLUMEN_SUMINISTROS[[#This Row],[J]],VOL_VOLUMEN_SUMINISTROS[[#This Row],[FIN DE SEMANA]])</f>
        <v>1052-1TNO</v>
      </c>
      <c r="D632" s="360" t="str">
        <f>CONCATENATE(VOL_VOLUMEN_SUMINISTROS[[#This Row],[Grupo]],VOL_VOLUMEN_SUMINISTROS[[#This Row],[Proyecto]],VOL_VOLUMEN_SUMINISTROS[[#This Row],[FIN DE SEMANA]])</f>
        <v>71052-1NO</v>
      </c>
      <c r="E632" s="30" t="s">
        <v>146</v>
      </c>
      <c r="F632" s="30" t="s">
        <v>147</v>
      </c>
      <c r="G632" s="360">
        <v>7</v>
      </c>
      <c r="H632" s="30">
        <v>16</v>
      </c>
      <c r="I632" s="9" t="s">
        <v>434</v>
      </c>
      <c r="J632" s="9" t="s">
        <v>522</v>
      </c>
      <c r="K632" s="30">
        <v>1</v>
      </c>
      <c r="L632" s="9" t="s">
        <v>523</v>
      </c>
      <c r="M632" s="30" t="s">
        <v>84</v>
      </c>
      <c r="N632" s="30" t="s">
        <v>154</v>
      </c>
      <c r="O632" s="24">
        <v>38</v>
      </c>
      <c r="P632" s="24">
        <v>151</v>
      </c>
      <c r="Q632" s="24">
        <v>305</v>
      </c>
      <c r="R632" s="24">
        <v>0</v>
      </c>
      <c r="S632" s="24">
        <v>0</v>
      </c>
      <c r="T632" s="24">
        <v>494</v>
      </c>
    </row>
    <row r="633" spans="1:20">
      <c r="A633" s="9" t="s">
        <v>432</v>
      </c>
      <c r="B633" s="30" t="s">
        <v>513</v>
      </c>
      <c r="C633" s="30" t="str">
        <f>CONCATENATE(VOL_VOLUMEN_SUMINISTROS[[#This Row],[Proyecto]],VOL_VOLUMEN_SUMINISTROS[[#This Row],[J]],VOL_VOLUMEN_SUMINISTROS[[#This Row],[FIN DE SEMANA]])</f>
        <v>1052-1MNO</v>
      </c>
      <c r="D633" s="360" t="str">
        <f>CONCATENATE(VOL_VOLUMEN_SUMINISTROS[[#This Row],[Grupo]],VOL_VOLUMEN_SUMINISTROS[[#This Row],[Proyecto]],VOL_VOLUMEN_SUMINISTROS[[#This Row],[FIN DE SEMANA]])</f>
        <v>71052-1NO</v>
      </c>
      <c r="E633" s="30" t="s">
        <v>146</v>
      </c>
      <c r="F633" s="30" t="s">
        <v>147</v>
      </c>
      <c r="G633" s="360">
        <v>7</v>
      </c>
      <c r="H633" s="30">
        <v>16</v>
      </c>
      <c r="I633" s="9" t="s">
        <v>434</v>
      </c>
      <c r="J633" s="9" t="s">
        <v>522</v>
      </c>
      <c r="K633" s="30">
        <v>2</v>
      </c>
      <c r="L633" s="9" t="s">
        <v>524</v>
      </c>
      <c r="M633" s="30" t="s">
        <v>84</v>
      </c>
      <c r="N633" s="30" t="s">
        <v>151</v>
      </c>
      <c r="O633" s="24">
        <v>158</v>
      </c>
      <c r="P633" s="24">
        <v>112</v>
      </c>
      <c r="Q633" s="24">
        <v>21</v>
      </c>
      <c r="R633" s="24">
        <v>0</v>
      </c>
      <c r="S633" s="24">
        <v>0</v>
      </c>
      <c r="T633" s="24">
        <v>291</v>
      </c>
    </row>
    <row r="634" spans="1:20">
      <c r="A634" s="9" t="s">
        <v>432</v>
      </c>
      <c r="B634" s="30" t="s">
        <v>513</v>
      </c>
      <c r="C634" s="30" t="str">
        <f>CONCATENATE(VOL_VOLUMEN_SUMINISTROS[[#This Row],[Proyecto]],VOL_VOLUMEN_SUMINISTROS[[#This Row],[J]],VOL_VOLUMEN_SUMINISTROS[[#This Row],[FIN DE SEMANA]])</f>
        <v>1052-1TNO</v>
      </c>
      <c r="D634" s="360" t="str">
        <f>CONCATENATE(VOL_VOLUMEN_SUMINISTROS[[#This Row],[Grupo]],VOL_VOLUMEN_SUMINISTROS[[#This Row],[Proyecto]],VOL_VOLUMEN_SUMINISTROS[[#This Row],[FIN DE SEMANA]])</f>
        <v>71052-1NO</v>
      </c>
      <c r="E634" s="30" t="s">
        <v>146</v>
      </c>
      <c r="F634" s="30" t="s">
        <v>147</v>
      </c>
      <c r="G634" s="360">
        <v>7</v>
      </c>
      <c r="H634" s="30">
        <v>16</v>
      </c>
      <c r="I634" s="9" t="s">
        <v>434</v>
      </c>
      <c r="J634" s="9" t="s">
        <v>522</v>
      </c>
      <c r="K634" s="30">
        <v>2</v>
      </c>
      <c r="L634" s="9" t="s">
        <v>524</v>
      </c>
      <c r="M634" s="30" t="s">
        <v>84</v>
      </c>
      <c r="N634" s="30" t="s">
        <v>154</v>
      </c>
      <c r="O634" s="24">
        <v>151</v>
      </c>
      <c r="P634" s="24">
        <v>78</v>
      </c>
      <c r="Q634" s="24">
        <v>14</v>
      </c>
      <c r="R634" s="24">
        <v>0</v>
      </c>
      <c r="S634" s="24">
        <v>0</v>
      </c>
      <c r="T634" s="24">
        <v>243</v>
      </c>
    </row>
    <row r="635" spans="1:20">
      <c r="A635" s="9" t="s">
        <v>432</v>
      </c>
      <c r="B635" s="30" t="s">
        <v>513</v>
      </c>
      <c r="C635" s="30" t="str">
        <f>CONCATENATE(VOL_VOLUMEN_SUMINISTROS[[#This Row],[Proyecto]],VOL_VOLUMEN_SUMINISTROS[[#This Row],[J]],VOL_VOLUMEN_SUMINISTROS[[#This Row],[FIN DE SEMANA]])</f>
        <v>1052-1MNO</v>
      </c>
      <c r="D635" s="360" t="str">
        <f>CONCATENATE(VOL_VOLUMEN_SUMINISTROS[[#This Row],[Grupo]],VOL_VOLUMEN_SUMINISTROS[[#This Row],[Proyecto]],VOL_VOLUMEN_SUMINISTROS[[#This Row],[FIN DE SEMANA]])</f>
        <v>71052-1NO</v>
      </c>
      <c r="E635" s="30" t="s">
        <v>146</v>
      </c>
      <c r="F635" s="30" t="s">
        <v>147</v>
      </c>
      <c r="G635" s="360">
        <v>7</v>
      </c>
      <c r="H635" s="30">
        <v>16</v>
      </c>
      <c r="I635" s="9" t="s">
        <v>434</v>
      </c>
      <c r="J635" s="9" t="s">
        <v>525</v>
      </c>
      <c r="K635" s="30">
        <v>1</v>
      </c>
      <c r="L635" s="9" t="s">
        <v>526</v>
      </c>
      <c r="M635" s="30" t="s">
        <v>84</v>
      </c>
      <c r="N635" s="30" t="s">
        <v>151</v>
      </c>
      <c r="O635" s="24">
        <v>0</v>
      </c>
      <c r="P635" s="24">
        <v>90</v>
      </c>
      <c r="Q635" s="24">
        <v>159</v>
      </c>
      <c r="R635" s="24">
        <v>0</v>
      </c>
      <c r="S635" s="24">
        <v>0</v>
      </c>
      <c r="T635" s="24">
        <v>249</v>
      </c>
    </row>
    <row r="636" spans="1:20">
      <c r="A636" s="9" t="s">
        <v>432</v>
      </c>
      <c r="B636" s="30" t="s">
        <v>513</v>
      </c>
      <c r="C636" s="30" t="str">
        <f>CONCATENATE(VOL_VOLUMEN_SUMINISTROS[[#This Row],[Proyecto]],VOL_VOLUMEN_SUMINISTROS[[#This Row],[J]],VOL_VOLUMEN_SUMINISTROS[[#This Row],[FIN DE SEMANA]])</f>
        <v>1052-1TNO</v>
      </c>
      <c r="D636" s="360" t="str">
        <f>CONCATENATE(VOL_VOLUMEN_SUMINISTROS[[#This Row],[Grupo]],VOL_VOLUMEN_SUMINISTROS[[#This Row],[Proyecto]],VOL_VOLUMEN_SUMINISTROS[[#This Row],[FIN DE SEMANA]])</f>
        <v>71052-1NO</v>
      </c>
      <c r="E636" s="30" t="s">
        <v>146</v>
      </c>
      <c r="F636" s="30" t="s">
        <v>147</v>
      </c>
      <c r="G636" s="360">
        <v>7</v>
      </c>
      <c r="H636" s="30">
        <v>16</v>
      </c>
      <c r="I636" s="9" t="s">
        <v>434</v>
      </c>
      <c r="J636" s="9" t="s">
        <v>525</v>
      </c>
      <c r="K636" s="30">
        <v>1</v>
      </c>
      <c r="L636" s="9" t="s">
        <v>526</v>
      </c>
      <c r="M636" s="30" t="s">
        <v>84</v>
      </c>
      <c r="N636" s="30" t="s">
        <v>154</v>
      </c>
      <c r="O636" s="24">
        <v>0</v>
      </c>
      <c r="P636" s="24">
        <v>111</v>
      </c>
      <c r="Q636" s="24">
        <v>37</v>
      </c>
      <c r="R636" s="24">
        <v>0</v>
      </c>
      <c r="S636" s="24">
        <v>0</v>
      </c>
      <c r="T636" s="24">
        <v>148</v>
      </c>
    </row>
    <row r="637" spans="1:20">
      <c r="A637" s="9" t="s">
        <v>432</v>
      </c>
      <c r="B637" s="30" t="s">
        <v>513</v>
      </c>
      <c r="C637" s="30" t="str">
        <f>CONCATENATE(VOL_VOLUMEN_SUMINISTROS[[#This Row],[Proyecto]],VOL_VOLUMEN_SUMINISTROS[[#This Row],[J]],VOL_VOLUMEN_SUMINISTROS[[#This Row],[FIN DE SEMANA]])</f>
        <v>1052-1MNO</v>
      </c>
      <c r="D637" s="360" t="str">
        <f>CONCATENATE(VOL_VOLUMEN_SUMINISTROS[[#This Row],[Grupo]],VOL_VOLUMEN_SUMINISTROS[[#This Row],[Proyecto]],VOL_VOLUMEN_SUMINISTROS[[#This Row],[FIN DE SEMANA]])</f>
        <v>71052-1NO</v>
      </c>
      <c r="E637" s="30" t="s">
        <v>146</v>
      </c>
      <c r="F637" s="30" t="s">
        <v>147</v>
      </c>
      <c r="G637" s="360">
        <v>7</v>
      </c>
      <c r="H637" s="30">
        <v>16</v>
      </c>
      <c r="I637" s="9" t="s">
        <v>434</v>
      </c>
      <c r="J637" s="9" t="s">
        <v>525</v>
      </c>
      <c r="K637" s="30">
        <v>2</v>
      </c>
      <c r="L637" s="9" t="s">
        <v>527</v>
      </c>
      <c r="M637" s="30" t="s">
        <v>84</v>
      </c>
      <c r="N637" s="30" t="s">
        <v>151</v>
      </c>
      <c r="O637" s="24">
        <v>102</v>
      </c>
      <c r="P637" s="24">
        <v>67</v>
      </c>
      <c r="Q637" s="24">
        <v>14</v>
      </c>
      <c r="R637" s="24">
        <v>0</v>
      </c>
      <c r="S637" s="24">
        <v>0</v>
      </c>
      <c r="T637" s="24">
        <v>183</v>
      </c>
    </row>
    <row r="638" spans="1:20">
      <c r="A638" s="9" t="s">
        <v>432</v>
      </c>
      <c r="B638" s="30" t="s">
        <v>513</v>
      </c>
      <c r="C638" s="30" t="str">
        <f>CONCATENATE(VOL_VOLUMEN_SUMINISTROS[[#This Row],[Proyecto]],VOL_VOLUMEN_SUMINISTROS[[#This Row],[J]],VOL_VOLUMEN_SUMINISTROS[[#This Row],[FIN DE SEMANA]])</f>
        <v>1052-1TNO</v>
      </c>
      <c r="D638" s="360" t="str">
        <f>CONCATENATE(VOL_VOLUMEN_SUMINISTROS[[#This Row],[Grupo]],VOL_VOLUMEN_SUMINISTROS[[#This Row],[Proyecto]],VOL_VOLUMEN_SUMINISTROS[[#This Row],[FIN DE SEMANA]])</f>
        <v>71052-1NO</v>
      </c>
      <c r="E638" s="30" t="s">
        <v>146</v>
      </c>
      <c r="F638" s="30" t="s">
        <v>147</v>
      </c>
      <c r="G638" s="360">
        <v>7</v>
      </c>
      <c r="H638" s="30">
        <v>16</v>
      </c>
      <c r="I638" s="9" t="s">
        <v>434</v>
      </c>
      <c r="J638" s="9" t="s">
        <v>525</v>
      </c>
      <c r="K638" s="30">
        <v>2</v>
      </c>
      <c r="L638" s="9" t="s">
        <v>527</v>
      </c>
      <c r="M638" s="30" t="s">
        <v>84</v>
      </c>
      <c r="N638" s="30" t="s">
        <v>154</v>
      </c>
      <c r="O638" s="24">
        <v>52</v>
      </c>
      <c r="P638" s="24">
        <v>69</v>
      </c>
      <c r="Q638" s="24">
        <v>18</v>
      </c>
      <c r="R638" s="24">
        <v>0</v>
      </c>
      <c r="S638" s="24">
        <v>0</v>
      </c>
      <c r="T638" s="24">
        <v>139</v>
      </c>
    </row>
    <row r="639" spans="1:20">
      <c r="A639" s="9" t="s">
        <v>432</v>
      </c>
      <c r="B639" s="30" t="s">
        <v>513</v>
      </c>
      <c r="C639" s="30" t="str">
        <f>CONCATENATE(VOL_VOLUMEN_SUMINISTROS[[#This Row],[Proyecto]],VOL_VOLUMEN_SUMINISTROS[[#This Row],[J]],VOL_VOLUMEN_SUMINISTROS[[#This Row],[FIN DE SEMANA]])</f>
        <v>1052-1MNO</v>
      </c>
      <c r="D639" s="360" t="str">
        <f>CONCATENATE(VOL_VOLUMEN_SUMINISTROS[[#This Row],[Grupo]],VOL_VOLUMEN_SUMINISTROS[[#This Row],[Proyecto]],VOL_VOLUMEN_SUMINISTROS[[#This Row],[FIN DE SEMANA]])</f>
        <v>71052-1NO</v>
      </c>
      <c r="E639" s="30" t="s">
        <v>146</v>
      </c>
      <c r="F639" s="30" t="s">
        <v>147</v>
      </c>
      <c r="G639" s="360">
        <v>7</v>
      </c>
      <c r="H639" s="30">
        <v>16</v>
      </c>
      <c r="I639" s="9" t="s">
        <v>434</v>
      </c>
      <c r="J639" s="9" t="s">
        <v>528</v>
      </c>
      <c r="K639" s="30">
        <v>1</v>
      </c>
      <c r="L639" s="9" t="s">
        <v>529</v>
      </c>
      <c r="M639" s="30" t="s">
        <v>84</v>
      </c>
      <c r="N639" s="30" t="s">
        <v>151</v>
      </c>
      <c r="O639" s="24">
        <v>0</v>
      </c>
      <c r="P639" s="24">
        <v>222</v>
      </c>
      <c r="Q639" s="24">
        <v>535</v>
      </c>
      <c r="R639" s="24">
        <v>0</v>
      </c>
      <c r="S639" s="24">
        <v>0</v>
      </c>
      <c r="T639" s="24">
        <v>757</v>
      </c>
    </row>
    <row r="640" spans="1:20">
      <c r="A640" s="9" t="s">
        <v>432</v>
      </c>
      <c r="B640" s="30" t="s">
        <v>513</v>
      </c>
      <c r="C640" s="30" t="str">
        <f>CONCATENATE(VOL_VOLUMEN_SUMINISTROS[[#This Row],[Proyecto]],VOL_VOLUMEN_SUMINISTROS[[#This Row],[J]],VOL_VOLUMEN_SUMINISTROS[[#This Row],[FIN DE SEMANA]])</f>
        <v>1052-1TNO</v>
      </c>
      <c r="D640" s="360" t="str">
        <f>CONCATENATE(VOL_VOLUMEN_SUMINISTROS[[#This Row],[Grupo]],VOL_VOLUMEN_SUMINISTROS[[#This Row],[Proyecto]],VOL_VOLUMEN_SUMINISTROS[[#This Row],[FIN DE SEMANA]])</f>
        <v>71052-1NO</v>
      </c>
      <c r="E640" s="30" t="s">
        <v>146</v>
      </c>
      <c r="F640" s="30" t="s">
        <v>147</v>
      </c>
      <c r="G640" s="360">
        <v>7</v>
      </c>
      <c r="H640" s="30">
        <v>16</v>
      </c>
      <c r="I640" s="9" t="s">
        <v>434</v>
      </c>
      <c r="J640" s="9" t="s">
        <v>528</v>
      </c>
      <c r="K640" s="30">
        <v>1</v>
      </c>
      <c r="L640" s="9" t="s">
        <v>529</v>
      </c>
      <c r="M640" s="30" t="s">
        <v>84</v>
      </c>
      <c r="N640" s="30" t="s">
        <v>154</v>
      </c>
      <c r="O640" s="24">
        <v>0</v>
      </c>
      <c r="P640" s="24">
        <v>171</v>
      </c>
      <c r="Q640" s="24">
        <v>414</v>
      </c>
      <c r="R640" s="24">
        <v>0</v>
      </c>
      <c r="S640" s="24">
        <v>0</v>
      </c>
      <c r="T640" s="24">
        <v>585</v>
      </c>
    </row>
    <row r="641" spans="1:20">
      <c r="A641" s="9" t="s">
        <v>432</v>
      </c>
      <c r="B641" s="30" t="s">
        <v>513</v>
      </c>
      <c r="C641" s="30" t="str">
        <f>CONCATENATE(VOL_VOLUMEN_SUMINISTROS[[#This Row],[Proyecto]],VOL_VOLUMEN_SUMINISTROS[[#This Row],[J]],VOL_VOLUMEN_SUMINISTROS[[#This Row],[FIN DE SEMANA]])</f>
        <v>1052-1MNO</v>
      </c>
      <c r="D641" s="360" t="str">
        <f>CONCATENATE(VOL_VOLUMEN_SUMINISTROS[[#This Row],[Grupo]],VOL_VOLUMEN_SUMINISTROS[[#This Row],[Proyecto]],VOL_VOLUMEN_SUMINISTROS[[#This Row],[FIN DE SEMANA]])</f>
        <v>71052-1NO</v>
      </c>
      <c r="E641" s="30" t="s">
        <v>146</v>
      </c>
      <c r="F641" s="30" t="s">
        <v>147</v>
      </c>
      <c r="G641" s="360">
        <v>7</v>
      </c>
      <c r="H641" s="30">
        <v>16</v>
      </c>
      <c r="I641" s="9" t="s">
        <v>434</v>
      </c>
      <c r="J641" s="9" t="s">
        <v>528</v>
      </c>
      <c r="K641" s="30">
        <v>3</v>
      </c>
      <c r="L641" s="9" t="s">
        <v>530</v>
      </c>
      <c r="M641" s="30" t="s">
        <v>84</v>
      </c>
      <c r="N641" s="30" t="s">
        <v>151</v>
      </c>
      <c r="O641" s="24">
        <v>98</v>
      </c>
      <c r="P641" s="24">
        <v>91</v>
      </c>
      <c r="Q641" s="24">
        <v>18</v>
      </c>
      <c r="R641" s="24">
        <v>0</v>
      </c>
      <c r="S641" s="24">
        <v>0</v>
      </c>
      <c r="T641" s="24">
        <v>207</v>
      </c>
    </row>
    <row r="642" spans="1:20">
      <c r="A642" s="9" t="s">
        <v>432</v>
      </c>
      <c r="B642" s="30" t="s">
        <v>513</v>
      </c>
      <c r="C642" s="30" t="str">
        <f>CONCATENATE(VOL_VOLUMEN_SUMINISTROS[[#This Row],[Proyecto]],VOL_VOLUMEN_SUMINISTROS[[#This Row],[J]],VOL_VOLUMEN_SUMINISTROS[[#This Row],[FIN DE SEMANA]])</f>
        <v>1052-1TNO</v>
      </c>
      <c r="D642" s="360" t="str">
        <f>CONCATENATE(VOL_VOLUMEN_SUMINISTROS[[#This Row],[Grupo]],VOL_VOLUMEN_SUMINISTROS[[#This Row],[Proyecto]],VOL_VOLUMEN_SUMINISTROS[[#This Row],[FIN DE SEMANA]])</f>
        <v>71052-1NO</v>
      </c>
      <c r="E642" s="30" t="s">
        <v>146</v>
      </c>
      <c r="F642" s="30" t="s">
        <v>147</v>
      </c>
      <c r="G642" s="360">
        <v>7</v>
      </c>
      <c r="H642" s="30">
        <v>16</v>
      </c>
      <c r="I642" s="9" t="s">
        <v>434</v>
      </c>
      <c r="J642" s="9" t="s">
        <v>528</v>
      </c>
      <c r="K642" s="30">
        <v>3</v>
      </c>
      <c r="L642" s="9" t="s">
        <v>530</v>
      </c>
      <c r="M642" s="30" t="s">
        <v>84</v>
      </c>
      <c r="N642" s="30" t="s">
        <v>154</v>
      </c>
      <c r="O642" s="24">
        <v>76</v>
      </c>
      <c r="P642" s="24">
        <v>90</v>
      </c>
      <c r="Q642" s="24">
        <v>20</v>
      </c>
      <c r="R642" s="24">
        <v>0</v>
      </c>
      <c r="S642" s="24">
        <v>0</v>
      </c>
      <c r="T642" s="24">
        <v>186</v>
      </c>
    </row>
    <row r="643" spans="1:20">
      <c r="A643" s="9" t="s">
        <v>432</v>
      </c>
      <c r="B643" s="30" t="s">
        <v>513</v>
      </c>
      <c r="C643" s="30" t="str">
        <f>CONCATENATE(VOL_VOLUMEN_SUMINISTROS[[#This Row],[Proyecto]],VOL_VOLUMEN_SUMINISTROS[[#This Row],[J]],VOL_VOLUMEN_SUMINISTROS[[#This Row],[FIN DE SEMANA]])</f>
        <v>1052-1MNO</v>
      </c>
      <c r="D643" s="360" t="str">
        <f>CONCATENATE(VOL_VOLUMEN_SUMINISTROS[[#This Row],[Grupo]],VOL_VOLUMEN_SUMINISTROS[[#This Row],[Proyecto]],VOL_VOLUMEN_SUMINISTROS[[#This Row],[FIN DE SEMANA]])</f>
        <v>71052-1NO</v>
      </c>
      <c r="E643" s="30" t="s">
        <v>146</v>
      </c>
      <c r="F643" s="30" t="s">
        <v>147</v>
      </c>
      <c r="G643" s="360">
        <v>7</v>
      </c>
      <c r="H643" s="30">
        <v>16</v>
      </c>
      <c r="I643" s="9" t="s">
        <v>434</v>
      </c>
      <c r="J643" s="9" t="s">
        <v>531</v>
      </c>
      <c r="K643" s="30">
        <v>1</v>
      </c>
      <c r="L643" s="9" t="s">
        <v>532</v>
      </c>
      <c r="M643" s="30" t="s">
        <v>84</v>
      </c>
      <c r="N643" s="30" t="s">
        <v>151</v>
      </c>
      <c r="O643" s="24">
        <v>154</v>
      </c>
      <c r="P643" s="24">
        <v>89</v>
      </c>
      <c r="Q643" s="24">
        <v>16</v>
      </c>
      <c r="R643" s="24">
        <v>0</v>
      </c>
      <c r="S643" s="24">
        <v>0</v>
      </c>
      <c r="T643" s="24">
        <v>259</v>
      </c>
    </row>
    <row r="644" spans="1:20">
      <c r="A644" s="9" t="s">
        <v>432</v>
      </c>
      <c r="B644" s="30" t="s">
        <v>513</v>
      </c>
      <c r="C644" s="30" t="str">
        <f>CONCATENATE(VOL_VOLUMEN_SUMINISTROS[[#This Row],[Proyecto]],VOL_VOLUMEN_SUMINISTROS[[#This Row],[J]],VOL_VOLUMEN_SUMINISTROS[[#This Row],[FIN DE SEMANA]])</f>
        <v>1052-1TNO</v>
      </c>
      <c r="D644" s="360" t="str">
        <f>CONCATENATE(VOL_VOLUMEN_SUMINISTROS[[#This Row],[Grupo]],VOL_VOLUMEN_SUMINISTROS[[#This Row],[Proyecto]],VOL_VOLUMEN_SUMINISTROS[[#This Row],[FIN DE SEMANA]])</f>
        <v>71052-1NO</v>
      </c>
      <c r="E644" s="30" t="s">
        <v>146</v>
      </c>
      <c r="F644" s="30" t="s">
        <v>147</v>
      </c>
      <c r="G644" s="360">
        <v>7</v>
      </c>
      <c r="H644" s="30">
        <v>16</v>
      </c>
      <c r="I644" s="9" t="s">
        <v>434</v>
      </c>
      <c r="J644" s="9" t="s">
        <v>531</v>
      </c>
      <c r="K644" s="30">
        <v>1</v>
      </c>
      <c r="L644" s="9" t="s">
        <v>532</v>
      </c>
      <c r="M644" s="30" t="s">
        <v>84</v>
      </c>
      <c r="N644" s="30" t="s">
        <v>154</v>
      </c>
      <c r="O644" s="24">
        <v>0</v>
      </c>
      <c r="P644" s="24">
        <v>60</v>
      </c>
      <c r="Q644" s="24">
        <v>167</v>
      </c>
      <c r="R644" s="24">
        <v>0</v>
      </c>
      <c r="S644" s="24">
        <v>0</v>
      </c>
      <c r="T644" s="24">
        <v>227</v>
      </c>
    </row>
    <row r="645" spans="1:20">
      <c r="A645" s="9" t="s">
        <v>432</v>
      </c>
      <c r="B645" s="30" t="s">
        <v>513</v>
      </c>
      <c r="C645" s="30" t="str">
        <f>CONCATENATE(VOL_VOLUMEN_SUMINISTROS[[#This Row],[Proyecto]],VOL_VOLUMEN_SUMINISTROS[[#This Row],[J]],VOL_VOLUMEN_SUMINISTROS[[#This Row],[FIN DE SEMANA]])</f>
        <v>1052-1MNO</v>
      </c>
      <c r="D645" s="360" t="str">
        <f>CONCATENATE(VOL_VOLUMEN_SUMINISTROS[[#This Row],[Grupo]],VOL_VOLUMEN_SUMINISTROS[[#This Row],[Proyecto]],VOL_VOLUMEN_SUMINISTROS[[#This Row],[FIN DE SEMANA]])</f>
        <v>71052-1NO</v>
      </c>
      <c r="E645" s="30" t="s">
        <v>146</v>
      </c>
      <c r="F645" s="30" t="s">
        <v>147</v>
      </c>
      <c r="G645" s="360">
        <v>7</v>
      </c>
      <c r="H645" s="30">
        <v>16</v>
      </c>
      <c r="I645" s="9" t="s">
        <v>434</v>
      </c>
      <c r="J645" s="9" t="s">
        <v>533</v>
      </c>
      <c r="K645" s="30">
        <v>1</v>
      </c>
      <c r="L645" s="9" t="s">
        <v>534</v>
      </c>
      <c r="M645" s="30" t="s">
        <v>84</v>
      </c>
      <c r="N645" s="30" t="s">
        <v>151</v>
      </c>
      <c r="O645" s="24">
        <v>0</v>
      </c>
      <c r="P645" s="24">
        <v>0</v>
      </c>
      <c r="Q645" s="24">
        <v>275</v>
      </c>
      <c r="R645" s="24">
        <v>0</v>
      </c>
      <c r="S645" s="24">
        <v>0</v>
      </c>
      <c r="T645" s="24">
        <v>275</v>
      </c>
    </row>
    <row r="646" spans="1:20">
      <c r="A646" s="9" t="s">
        <v>432</v>
      </c>
      <c r="B646" s="30" t="s">
        <v>513</v>
      </c>
      <c r="C646" s="30" t="str">
        <f>CONCATENATE(VOL_VOLUMEN_SUMINISTROS[[#This Row],[Proyecto]],VOL_VOLUMEN_SUMINISTROS[[#This Row],[J]],VOL_VOLUMEN_SUMINISTROS[[#This Row],[FIN DE SEMANA]])</f>
        <v>1052-1TNO</v>
      </c>
      <c r="D646" s="360" t="str">
        <f>CONCATENATE(VOL_VOLUMEN_SUMINISTROS[[#This Row],[Grupo]],VOL_VOLUMEN_SUMINISTROS[[#This Row],[Proyecto]],VOL_VOLUMEN_SUMINISTROS[[#This Row],[FIN DE SEMANA]])</f>
        <v>71052-1NO</v>
      </c>
      <c r="E646" s="30" t="s">
        <v>146</v>
      </c>
      <c r="F646" s="30" t="s">
        <v>147</v>
      </c>
      <c r="G646" s="360">
        <v>7</v>
      </c>
      <c r="H646" s="30">
        <v>16</v>
      </c>
      <c r="I646" s="9" t="s">
        <v>434</v>
      </c>
      <c r="J646" s="9" t="s">
        <v>533</v>
      </c>
      <c r="K646" s="30">
        <v>1</v>
      </c>
      <c r="L646" s="9" t="s">
        <v>534</v>
      </c>
      <c r="M646" s="30" t="s">
        <v>84</v>
      </c>
      <c r="N646" s="30" t="s">
        <v>154</v>
      </c>
      <c r="O646" s="24">
        <v>0</v>
      </c>
      <c r="P646" s="24">
        <v>123</v>
      </c>
      <c r="Q646" s="24">
        <v>130</v>
      </c>
      <c r="R646" s="24">
        <v>0</v>
      </c>
      <c r="S646" s="24">
        <v>0</v>
      </c>
      <c r="T646" s="24">
        <v>253</v>
      </c>
    </row>
    <row r="647" spans="1:20">
      <c r="A647" s="9" t="s">
        <v>432</v>
      </c>
      <c r="B647" s="30" t="s">
        <v>513</v>
      </c>
      <c r="C647" s="30" t="str">
        <f>CONCATENATE(VOL_VOLUMEN_SUMINISTROS[[#This Row],[Proyecto]],VOL_VOLUMEN_SUMINISTROS[[#This Row],[J]],VOL_VOLUMEN_SUMINISTROS[[#This Row],[FIN DE SEMANA]])</f>
        <v>1052-1MNO</v>
      </c>
      <c r="D647" s="360" t="str">
        <f>CONCATENATE(VOL_VOLUMEN_SUMINISTROS[[#This Row],[Grupo]],VOL_VOLUMEN_SUMINISTROS[[#This Row],[Proyecto]],VOL_VOLUMEN_SUMINISTROS[[#This Row],[FIN DE SEMANA]])</f>
        <v>71052-1NO</v>
      </c>
      <c r="E647" s="30" t="s">
        <v>146</v>
      </c>
      <c r="F647" s="30" t="s">
        <v>147</v>
      </c>
      <c r="G647" s="360">
        <v>7</v>
      </c>
      <c r="H647" s="30">
        <v>16</v>
      </c>
      <c r="I647" s="9" t="s">
        <v>434</v>
      </c>
      <c r="J647" s="9" t="s">
        <v>533</v>
      </c>
      <c r="K647" s="30">
        <v>2</v>
      </c>
      <c r="L647" s="9" t="s">
        <v>535</v>
      </c>
      <c r="M647" s="30" t="s">
        <v>84</v>
      </c>
      <c r="N647" s="30" t="s">
        <v>151</v>
      </c>
      <c r="O647" s="24">
        <v>100</v>
      </c>
      <c r="P647" s="24">
        <v>164</v>
      </c>
      <c r="Q647" s="24">
        <v>38</v>
      </c>
      <c r="R647" s="24">
        <v>0</v>
      </c>
      <c r="S647" s="24">
        <v>0</v>
      </c>
      <c r="T647" s="24">
        <v>302</v>
      </c>
    </row>
    <row r="648" spans="1:20">
      <c r="A648" s="9" t="s">
        <v>432</v>
      </c>
      <c r="B648" s="30" t="s">
        <v>513</v>
      </c>
      <c r="C648" s="30" t="str">
        <f>CONCATENATE(VOL_VOLUMEN_SUMINISTROS[[#This Row],[Proyecto]],VOL_VOLUMEN_SUMINISTROS[[#This Row],[J]],VOL_VOLUMEN_SUMINISTROS[[#This Row],[FIN DE SEMANA]])</f>
        <v>1052-1TNO</v>
      </c>
      <c r="D648" s="360" t="str">
        <f>CONCATENATE(VOL_VOLUMEN_SUMINISTROS[[#This Row],[Grupo]],VOL_VOLUMEN_SUMINISTROS[[#This Row],[Proyecto]],VOL_VOLUMEN_SUMINISTROS[[#This Row],[FIN DE SEMANA]])</f>
        <v>71052-1NO</v>
      </c>
      <c r="E648" s="30" t="s">
        <v>146</v>
      </c>
      <c r="F648" s="30" t="s">
        <v>147</v>
      </c>
      <c r="G648" s="360">
        <v>7</v>
      </c>
      <c r="H648" s="30">
        <v>16</v>
      </c>
      <c r="I648" s="9" t="s">
        <v>434</v>
      </c>
      <c r="J648" s="9" t="s">
        <v>533</v>
      </c>
      <c r="K648" s="30">
        <v>2</v>
      </c>
      <c r="L648" s="9" t="s">
        <v>535</v>
      </c>
      <c r="M648" s="30" t="s">
        <v>84</v>
      </c>
      <c r="N648" s="30" t="s">
        <v>154</v>
      </c>
      <c r="O648" s="24">
        <v>66</v>
      </c>
      <c r="P648" s="24">
        <v>105</v>
      </c>
      <c r="Q648" s="24">
        <v>24</v>
      </c>
      <c r="R648" s="24">
        <v>0</v>
      </c>
      <c r="S648" s="24">
        <v>0</v>
      </c>
      <c r="T648" s="24">
        <v>195</v>
      </c>
    </row>
    <row r="649" spans="1:20">
      <c r="A649" s="9" t="s">
        <v>432</v>
      </c>
      <c r="B649" s="30" t="s">
        <v>513</v>
      </c>
      <c r="C649" s="30" t="str">
        <f>CONCATENATE(VOL_VOLUMEN_SUMINISTROS[[#This Row],[Proyecto]],VOL_VOLUMEN_SUMINISTROS[[#This Row],[J]],VOL_VOLUMEN_SUMINISTROS[[#This Row],[FIN DE SEMANA]])</f>
        <v>1052-1MNO</v>
      </c>
      <c r="D649" s="360" t="str">
        <f>CONCATENATE(VOL_VOLUMEN_SUMINISTROS[[#This Row],[Grupo]],VOL_VOLUMEN_SUMINISTROS[[#This Row],[Proyecto]],VOL_VOLUMEN_SUMINISTROS[[#This Row],[FIN DE SEMANA]])</f>
        <v>71052-1NO</v>
      </c>
      <c r="E649" s="30" t="s">
        <v>146</v>
      </c>
      <c r="F649" s="30" t="s">
        <v>147</v>
      </c>
      <c r="G649" s="360">
        <v>7</v>
      </c>
      <c r="H649" s="30">
        <v>16</v>
      </c>
      <c r="I649" s="9" t="s">
        <v>434</v>
      </c>
      <c r="J649" s="9" t="s">
        <v>533</v>
      </c>
      <c r="K649" s="30">
        <v>3</v>
      </c>
      <c r="L649" s="9" t="s">
        <v>536</v>
      </c>
      <c r="M649" s="30" t="s">
        <v>84</v>
      </c>
      <c r="N649" s="30" t="s">
        <v>151</v>
      </c>
      <c r="O649" s="24">
        <v>128</v>
      </c>
      <c r="P649" s="24">
        <v>28</v>
      </c>
      <c r="Q649" s="24">
        <v>0</v>
      </c>
      <c r="R649" s="24">
        <v>0</v>
      </c>
      <c r="S649" s="24">
        <v>0</v>
      </c>
      <c r="T649" s="24">
        <v>156</v>
      </c>
    </row>
    <row r="650" spans="1:20">
      <c r="A650" s="9" t="s">
        <v>432</v>
      </c>
      <c r="B650" s="30" t="s">
        <v>513</v>
      </c>
      <c r="C650" s="30" t="str">
        <f>CONCATENATE(VOL_VOLUMEN_SUMINISTROS[[#This Row],[Proyecto]],VOL_VOLUMEN_SUMINISTROS[[#This Row],[J]],VOL_VOLUMEN_SUMINISTROS[[#This Row],[FIN DE SEMANA]])</f>
        <v>1052-1TNO</v>
      </c>
      <c r="D650" s="360" t="str">
        <f>CONCATENATE(VOL_VOLUMEN_SUMINISTROS[[#This Row],[Grupo]],VOL_VOLUMEN_SUMINISTROS[[#This Row],[Proyecto]],VOL_VOLUMEN_SUMINISTROS[[#This Row],[FIN DE SEMANA]])</f>
        <v>71052-1NO</v>
      </c>
      <c r="E650" s="30" t="s">
        <v>146</v>
      </c>
      <c r="F650" s="30" t="s">
        <v>147</v>
      </c>
      <c r="G650" s="360">
        <v>7</v>
      </c>
      <c r="H650" s="30">
        <v>16</v>
      </c>
      <c r="I650" s="9" t="s">
        <v>434</v>
      </c>
      <c r="J650" s="9" t="s">
        <v>533</v>
      </c>
      <c r="K650" s="30">
        <v>3</v>
      </c>
      <c r="L650" s="9" t="s">
        <v>536</v>
      </c>
      <c r="M650" s="30" t="s">
        <v>84</v>
      </c>
      <c r="N650" s="30" t="s">
        <v>154</v>
      </c>
      <c r="O650" s="24">
        <v>106</v>
      </c>
      <c r="P650" s="24">
        <v>18</v>
      </c>
      <c r="Q650" s="24">
        <v>0</v>
      </c>
      <c r="R650" s="24">
        <v>0</v>
      </c>
      <c r="S650" s="24">
        <v>0</v>
      </c>
      <c r="T650" s="24">
        <v>124</v>
      </c>
    </row>
    <row r="651" spans="1:20">
      <c r="A651" s="9" t="s">
        <v>432</v>
      </c>
      <c r="B651" s="30" t="s">
        <v>513</v>
      </c>
      <c r="C651" s="30" t="str">
        <f>CONCATENATE(VOL_VOLUMEN_SUMINISTROS[[#This Row],[Proyecto]],VOL_VOLUMEN_SUMINISTROS[[#This Row],[J]],VOL_VOLUMEN_SUMINISTROS[[#This Row],[FIN DE SEMANA]])</f>
        <v>1052-1MNO</v>
      </c>
      <c r="D651" s="360" t="str">
        <f>CONCATENATE(VOL_VOLUMEN_SUMINISTROS[[#This Row],[Grupo]],VOL_VOLUMEN_SUMINISTROS[[#This Row],[Proyecto]],VOL_VOLUMEN_SUMINISTROS[[#This Row],[FIN DE SEMANA]])</f>
        <v>71052-1NO</v>
      </c>
      <c r="E651" s="30" t="s">
        <v>146</v>
      </c>
      <c r="F651" s="30" t="s">
        <v>147</v>
      </c>
      <c r="G651" s="360">
        <v>7</v>
      </c>
      <c r="H651" s="30">
        <v>16</v>
      </c>
      <c r="I651" s="9" t="s">
        <v>434</v>
      </c>
      <c r="J651" s="9" t="s">
        <v>537</v>
      </c>
      <c r="K651" s="30">
        <v>1</v>
      </c>
      <c r="L651" s="9" t="s">
        <v>538</v>
      </c>
      <c r="M651" s="30" t="s">
        <v>84</v>
      </c>
      <c r="N651" s="30" t="s">
        <v>151</v>
      </c>
      <c r="O651" s="24">
        <v>0</v>
      </c>
      <c r="P651" s="24">
        <v>219</v>
      </c>
      <c r="Q651" s="24">
        <v>389</v>
      </c>
      <c r="R651" s="24">
        <v>0</v>
      </c>
      <c r="S651" s="24">
        <v>0</v>
      </c>
      <c r="T651" s="24">
        <v>608</v>
      </c>
    </row>
    <row r="652" spans="1:20">
      <c r="A652" s="9" t="s">
        <v>432</v>
      </c>
      <c r="B652" s="30" t="s">
        <v>513</v>
      </c>
      <c r="C652" s="30" t="str">
        <f>CONCATENATE(VOL_VOLUMEN_SUMINISTROS[[#This Row],[Proyecto]],VOL_VOLUMEN_SUMINISTROS[[#This Row],[J]],VOL_VOLUMEN_SUMINISTROS[[#This Row],[FIN DE SEMANA]])</f>
        <v>1052-1TNO</v>
      </c>
      <c r="D652" s="360" t="str">
        <f>CONCATENATE(VOL_VOLUMEN_SUMINISTROS[[#This Row],[Grupo]],VOL_VOLUMEN_SUMINISTROS[[#This Row],[Proyecto]],VOL_VOLUMEN_SUMINISTROS[[#This Row],[FIN DE SEMANA]])</f>
        <v>71052-1NO</v>
      </c>
      <c r="E652" s="30" t="s">
        <v>146</v>
      </c>
      <c r="F652" s="30" t="s">
        <v>147</v>
      </c>
      <c r="G652" s="360">
        <v>7</v>
      </c>
      <c r="H652" s="30">
        <v>16</v>
      </c>
      <c r="I652" s="9" t="s">
        <v>434</v>
      </c>
      <c r="J652" s="9" t="s">
        <v>537</v>
      </c>
      <c r="K652" s="30">
        <v>1</v>
      </c>
      <c r="L652" s="9" t="s">
        <v>538</v>
      </c>
      <c r="M652" s="30" t="s">
        <v>84</v>
      </c>
      <c r="N652" s="30" t="s">
        <v>154</v>
      </c>
      <c r="O652" s="24">
        <v>24</v>
      </c>
      <c r="P652" s="24">
        <v>63</v>
      </c>
      <c r="Q652" s="24">
        <v>17</v>
      </c>
      <c r="R652" s="24">
        <v>0</v>
      </c>
      <c r="S652" s="24">
        <v>0</v>
      </c>
      <c r="T652" s="24">
        <v>104</v>
      </c>
    </row>
    <row r="653" spans="1:20">
      <c r="A653" s="9" t="s">
        <v>432</v>
      </c>
      <c r="B653" s="30" t="s">
        <v>513</v>
      </c>
      <c r="C653" s="30" t="str">
        <f>CONCATENATE(VOL_VOLUMEN_SUMINISTROS[[#This Row],[Proyecto]],VOL_VOLUMEN_SUMINISTROS[[#This Row],[J]],VOL_VOLUMEN_SUMINISTROS[[#This Row],[FIN DE SEMANA]])</f>
        <v>1052-1MNO</v>
      </c>
      <c r="D653" s="360" t="str">
        <f>CONCATENATE(VOL_VOLUMEN_SUMINISTROS[[#This Row],[Grupo]],VOL_VOLUMEN_SUMINISTROS[[#This Row],[Proyecto]],VOL_VOLUMEN_SUMINISTROS[[#This Row],[FIN DE SEMANA]])</f>
        <v>71052-1NO</v>
      </c>
      <c r="E653" s="30" t="s">
        <v>146</v>
      </c>
      <c r="F653" s="30" t="s">
        <v>147</v>
      </c>
      <c r="G653" s="360">
        <v>7</v>
      </c>
      <c r="H653" s="30">
        <v>16</v>
      </c>
      <c r="I653" s="9" t="s">
        <v>434</v>
      </c>
      <c r="J653" s="9" t="s">
        <v>537</v>
      </c>
      <c r="K653" s="30">
        <v>2</v>
      </c>
      <c r="L653" s="9" t="s">
        <v>539</v>
      </c>
      <c r="M653" s="30" t="s">
        <v>84</v>
      </c>
      <c r="N653" s="30" t="s">
        <v>151</v>
      </c>
      <c r="O653" s="24">
        <v>137</v>
      </c>
      <c r="P653" s="24">
        <v>90</v>
      </c>
      <c r="Q653" s="24">
        <v>15</v>
      </c>
      <c r="R653" s="24">
        <v>0</v>
      </c>
      <c r="S653" s="24">
        <v>0</v>
      </c>
      <c r="T653" s="24">
        <v>242</v>
      </c>
    </row>
    <row r="654" spans="1:20">
      <c r="A654" s="9" t="s">
        <v>432</v>
      </c>
      <c r="B654" s="30" t="s">
        <v>513</v>
      </c>
      <c r="C654" s="30" t="str">
        <f>CONCATENATE(VOL_VOLUMEN_SUMINISTROS[[#This Row],[Proyecto]],VOL_VOLUMEN_SUMINISTROS[[#This Row],[J]],VOL_VOLUMEN_SUMINISTROS[[#This Row],[FIN DE SEMANA]])</f>
        <v>1052-1TNO</v>
      </c>
      <c r="D654" s="360" t="str">
        <f>CONCATENATE(VOL_VOLUMEN_SUMINISTROS[[#This Row],[Grupo]],VOL_VOLUMEN_SUMINISTROS[[#This Row],[Proyecto]],VOL_VOLUMEN_SUMINISTROS[[#This Row],[FIN DE SEMANA]])</f>
        <v>71052-1NO</v>
      </c>
      <c r="E654" s="30" t="s">
        <v>146</v>
      </c>
      <c r="F654" s="30" t="s">
        <v>147</v>
      </c>
      <c r="G654" s="360">
        <v>7</v>
      </c>
      <c r="H654" s="30">
        <v>16</v>
      </c>
      <c r="I654" s="9" t="s">
        <v>434</v>
      </c>
      <c r="J654" s="9" t="s">
        <v>537</v>
      </c>
      <c r="K654" s="30">
        <v>2</v>
      </c>
      <c r="L654" s="9" t="s">
        <v>539</v>
      </c>
      <c r="M654" s="30" t="s">
        <v>84</v>
      </c>
      <c r="N654" s="30" t="s">
        <v>154</v>
      </c>
      <c r="O654" s="24">
        <v>164</v>
      </c>
      <c r="P654" s="24">
        <v>37</v>
      </c>
      <c r="Q654" s="24">
        <v>0</v>
      </c>
      <c r="R654" s="24">
        <v>0</v>
      </c>
      <c r="S654" s="24">
        <v>0</v>
      </c>
      <c r="T654" s="24">
        <v>201</v>
      </c>
    </row>
    <row r="655" spans="1:20">
      <c r="A655" s="9" t="s">
        <v>432</v>
      </c>
      <c r="B655" s="30" t="s">
        <v>513</v>
      </c>
      <c r="C655" s="30" t="str">
        <f>CONCATENATE(VOL_VOLUMEN_SUMINISTROS[[#This Row],[Proyecto]],VOL_VOLUMEN_SUMINISTROS[[#This Row],[J]],VOL_VOLUMEN_SUMINISTROS[[#This Row],[FIN DE SEMANA]])</f>
        <v>1052-1MNO</v>
      </c>
      <c r="D655" s="360" t="str">
        <f>CONCATENATE(VOL_VOLUMEN_SUMINISTROS[[#This Row],[Grupo]],VOL_VOLUMEN_SUMINISTROS[[#This Row],[Proyecto]],VOL_VOLUMEN_SUMINISTROS[[#This Row],[FIN DE SEMANA]])</f>
        <v>71052-1NO</v>
      </c>
      <c r="E655" s="30" t="s">
        <v>146</v>
      </c>
      <c r="F655" s="30" t="s">
        <v>147</v>
      </c>
      <c r="G655" s="360">
        <v>7</v>
      </c>
      <c r="H655" s="30">
        <v>16</v>
      </c>
      <c r="I655" s="9" t="s">
        <v>434</v>
      </c>
      <c r="J655" s="9" t="s">
        <v>540</v>
      </c>
      <c r="K655" s="30">
        <v>1</v>
      </c>
      <c r="L655" s="9" t="s">
        <v>541</v>
      </c>
      <c r="M655" s="30" t="s">
        <v>84</v>
      </c>
      <c r="N655" s="30" t="s">
        <v>151</v>
      </c>
      <c r="O655" s="24">
        <v>0</v>
      </c>
      <c r="P655" s="24">
        <v>180</v>
      </c>
      <c r="Q655" s="24">
        <v>412</v>
      </c>
      <c r="R655" s="24">
        <v>0</v>
      </c>
      <c r="S655" s="24">
        <v>0</v>
      </c>
      <c r="T655" s="24">
        <v>592</v>
      </c>
    </row>
    <row r="656" spans="1:20">
      <c r="A656" s="9" t="s">
        <v>432</v>
      </c>
      <c r="B656" s="30" t="s">
        <v>513</v>
      </c>
      <c r="C656" s="30" t="str">
        <f>CONCATENATE(VOL_VOLUMEN_SUMINISTROS[[#This Row],[Proyecto]],VOL_VOLUMEN_SUMINISTROS[[#This Row],[J]],VOL_VOLUMEN_SUMINISTROS[[#This Row],[FIN DE SEMANA]])</f>
        <v>1052-1TNO</v>
      </c>
      <c r="D656" s="360" t="str">
        <f>CONCATENATE(VOL_VOLUMEN_SUMINISTROS[[#This Row],[Grupo]],VOL_VOLUMEN_SUMINISTROS[[#This Row],[Proyecto]],VOL_VOLUMEN_SUMINISTROS[[#This Row],[FIN DE SEMANA]])</f>
        <v>71052-1NO</v>
      </c>
      <c r="E656" s="30" t="s">
        <v>146</v>
      </c>
      <c r="F656" s="30" t="s">
        <v>147</v>
      </c>
      <c r="G656" s="360">
        <v>7</v>
      </c>
      <c r="H656" s="30">
        <v>16</v>
      </c>
      <c r="I656" s="9" t="s">
        <v>434</v>
      </c>
      <c r="J656" s="9" t="s">
        <v>540</v>
      </c>
      <c r="K656" s="30">
        <v>1</v>
      </c>
      <c r="L656" s="9" t="s">
        <v>541</v>
      </c>
      <c r="M656" s="30" t="s">
        <v>84</v>
      </c>
      <c r="N656" s="30" t="s">
        <v>154</v>
      </c>
      <c r="O656" s="24">
        <v>0</v>
      </c>
      <c r="P656" s="24">
        <v>168</v>
      </c>
      <c r="Q656" s="24">
        <v>385</v>
      </c>
      <c r="R656" s="24">
        <v>0</v>
      </c>
      <c r="S656" s="24">
        <v>0</v>
      </c>
      <c r="T656" s="24">
        <v>553</v>
      </c>
    </row>
    <row r="657" spans="1:20">
      <c r="A657" s="9" t="s">
        <v>432</v>
      </c>
      <c r="B657" s="30" t="s">
        <v>513</v>
      </c>
      <c r="C657" s="30" t="str">
        <f>CONCATENATE(VOL_VOLUMEN_SUMINISTROS[[#This Row],[Proyecto]],VOL_VOLUMEN_SUMINISTROS[[#This Row],[J]],VOL_VOLUMEN_SUMINISTROS[[#This Row],[FIN DE SEMANA]])</f>
        <v>1052-1MNO</v>
      </c>
      <c r="D657" s="360" t="str">
        <f>CONCATENATE(VOL_VOLUMEN_SUMINISTROS[[#This Row],[Grupo]],VOL_VOLUMEN_SUMINISTROS[[#This Row],[Proyecto]],VOL_VOLUMEN_SUMINISTROS[[#This Row],[FIN DE SEMANA]])</f>
        <v>71052-1NO</v>
      </c>
      <c r="E657" s="30" t="s">
        <v>146</v>
      </c>
      <c r="F657" s="30" t="s">
        <v>147</v>
      </c>
      <c r="G657" s="360">
        <v>7</v>
      </c>
      <c r="H657" s="30">
        <v>16</v>
      </c>
      <c r="I657" s="9" t="s">
        <v>434</v>
      </c>
      <c r="J657" s="9" t="s">
        <v>540</v>
      </c>
      <c r="K657" s="30">
        <v>2</v>
      </c>
      <c r="L657" s="9" t="s">
        <v>542</v>
      </c>
      <c r="M657" s="30" t="s">
        <v>84</v>
      </c>
      <c r="N657" s="30" t="s">
        <v>151</v>
      </c>
      <c r="O657" s="24">
        <v>277</v>
      </c>
      <c r="P657" s="24">
        <v>257</v>
      </c>
      <c r="Q657" s="24">
        <v>52</v>
      </c>
      <c r="R657" s="24">
        <v>0</v>
      </c>
      <c r="S657" s="24">
        <v>0</v>
      </c>
      <c r="T657" s="24">
        <v>586</v>
      </c>
    </row>
    <row r="658" spans="1:20">
      <c r="A658" s="9" t="s">
        <v>432</v>
      </c>
      <c r="B658" s="30" t="s">
        <v>513</v>
      </c>
      <c r="C658" s="30" t="str">
        <f>CONCATENATE(VOL_VOLUMEN_SUMINISTROS[[#This Row],[Proyecto]],VOL_VOLUMEN_SUMINISTROS[[#This Row],[J]],VOL_VOLUMEN_SUMINISTROS[[#This Row],[FIN DE SEMANA]])</f>
        <v>1052-1TNO</v>
      </c>
      <c r="D658" s="360" t="str">
        <f>CONCATENATE(VOL_VOLUMEN_SUMINISTROS[[#This Row],[Grupo]],VOL_VOLUMEN_SUMINISTROS[[#This Row],[Proyecto]],VOL_VOLUMEN_SUMINISTROS[[#This Row],[FIN DE SEMANA]])</f>
        <v>71052-1NO</v>
      </c>
      <c r="E658" s="30" t="s">
        <v>146</v>
      </c>
      <c r="F658" s="30" t="s">
        <v>147</v>
      </c>
      <c r="G658" s="360">
        <v>7</v>
      </c>
      <c r="H658" s="30">
        <v>16</v>
      </c>
      <c r="I658" s="9" t="s">
        <v>434</v>
      </c>
      <c r="J658" s="9" t="s">
        <v>540</v>
      </c>
      <c r="K658" s="30">
        <v>2</v>
      </c>
      <c r="L658" s="9" t="s">
        <v>542</v>
      </c>
      <c r="M658" s="30" t="s">
        <v>84</v>
      </c>
      <c r="N658" s="30" t="s">
        <v>154</v>
      </c>
      <c r="O658" s="24">
        <v>280</v>
      </c>
      <c r="P658" s="24">
        <v>257</v>
      </c>
      <c r="Q658" s="24">
        <v>51</v>
      </c>
      <c r="R658" s="24">
        <v>0</v>
      </c>
      <c r="S658" s="24">
        <v>0</v>
      </c>
      <c r="T658" s="24">
        <v>588</v>
      </c>
    </row>
    <row r="659" spans="1:20">
      <c r="A659" s="9" t="s">
        <v>432</v>
      </c>
      <c r="B659" s="30" t="s">
        <v>513</v>
      </c>
      <c r="C659" s="30" t="str">
        <f>CONCATENATE(VOL_VOLUMEN_SUMINISTROS[[#This Row],[Proyecto]],VOL_VOLUMEN_SUMINISTROS[[#This Row],[J]],VOL_VOLUMEN_SUMINISTROS[[#This Row],[FIN DE SEMANA]])</f>
        <v>1052-1MNO</v>
      </c>
      <c r="D659" s="360" t="str">
        <f>CONCATENATE(VOL_VOLUMEN_SUMINISTROS[[#This Row],[Grupo]],VOL_VOLUMEN_SUMINISTROS[[#This Row],[Proyecto]],VOL_VOLUMEN_SUMINISTROS[[#This Row],[FIN DE SEMANA]])</f>
        <v>71052-1NO</v>
      </c>
      <c r="E659" s="30" t="s">
        <v>146</v>
      </c>
      <c r="F659" s="30" t="s">
        <v>147</v>
      </c>
      <c r="G659" s="360">
        <v>7</v>
      </c>
      <c r="H659" s="30">
        <v>16</v>
      </c>
      <c r="I659" s="9" t="s">
        <v>434</v>
      </c>
      <c r="J659" s="9" t="s">
        <v>543</v>
      </c>
      <c r="K659" s="30">
        <v>1</v>
      </c>
      <c r="L659" s="9" t="s">
        <v>544</v>
      </c>
      <c r="M659" s="30" t="s">
        <v>84</v>
      </c>
      <c r="N659" s="30" t="s">
        <v>151</v>
      </c>
      <c r="O659" s="24">
        <v>300</v>
      </c>
      <c r="P659" s="24">
        <v>429</v>
      </c>
      <c r="Q659" s="24">
        <v>408</v>
      </c>
      <c r="R659" s="24">
        <v>0</v>
      </c>
      <c r="S659" s="24">
        <v>0</v>
      </c>
      <c r="T659" s="24">
        <v>1137</v>
      </c>
    </row>
    <row r="660" spans="1:20">
      <c r="A660" s="9" t="s">
        <v>432</v>
      </c>
      <c r="B660" s="30" t="s">
        <v>513</v>
      </c>
      <c r="C660" s="30" t="str">
        <f>CONCATENATE(VOL_VOLUMEN_SUMINISTROS[[#This Row],[Proyecto]],VOL_VOLUMEN_SUMINISTROS[[#This Row],[J]],VOL_VOLUMEN_SUMINISTROS[[#This Row],[FIN DE SEMANA]])</f>
        <v>1052-1MNO</v>
      </c>
      <c r="D660" s="360" t="str">
        <f>CONCATENATE(VOL_VOLUMEN_SUMINISTROS[[#This Row],[Grupo]],VOL_VOLUMEN_SUMINISTROS[[#This Row],[Proyecto]],VOL_VOLUMEN_SUMINISTROS[[#This Row],[FIN DE SEMANA]])</f>
        <v>71052-1NO</v>
      </c>
      <c r="E660" s="30" t="s">
        <v>146</v>
      </c>
      <c r="F660" s="30" t="s">
        <v>147</v>
      </c>
      <c r="G660" s="360">
        <v>7</v>
      </c>
      <c r="H660" s="30">
        <v>16</v>
      </c>
      <c r="I660" s="9" t="s">
        <v>434</v>
      </c>
      <c r="J660" s="9" t="s">
        <v>545</v>
      </c>
      <c r="K660" s="30">
        <v>1</v>
      </c>
      <c r="L660" s="9" t="s">
        <v>546</v>
      </c>
      <c r="M660" s="30" t="s">
        <v>84</v>
      </c>
      <c r="N660" s="30" t="s">
        <v>151</v>
      </c>
      <c r="O660" s="24">
        <v>111</v>
      </c>
      <c r="P660" s="24">
        <v>234</v>
      </c>
      <c r="Q660" s="24">
        <v>369</v>
      </c>
      <c r="R660" s="24">
        <v>0</v>
      </c>
      <c r="S660" s="24">
        <v>0</v>
      </c>
      <c r="T660" s="24">
        <v>714</v>
      </c>
    </row>
    <row r="661" spans="1:20">
      <c r="A661" s="9" t="s">
        <v>432</v>
      </c>
      <c r="B661" s="30" t="s">
        <v>513</v>
      </c>
      <c r="C661" s="30" t="str">
        <f>CONCATENATE(VOL_VOLUMEN_SUMINISTROS[[#This Row],[Proyecto]],VOL_VOLUMEN_SUMINISTROS[[#This Row],[J]],VOL_VOLUMEN_SUMINISTROS[[#This Row],[FIN DE SEMANA]])</f>
        <v>1052-1TNO</v>
      </c>
      <c r="D661" s="360" t="str">
        <f>CONCATENATE(VOL_VOLUMEN_SUMINISTROS[[#This Row],[Grupo]],VOL_VOLUMEN_SUMINISTROS[[#This Row],[Proyecto]],VOL_VOLUMEN_SUMINISTROS[[#This Row],[FIN DE SEMANA]])</f>
        <v>71052-1NO</v>
      </c>
      <c r="E661" s="30" t="s">
        <v>146</v>
      </c>
      <c r="F661" s="30" t="s">
        <v>147</v>
      </c>
      <c r="G661" s="360">
        <v>7</v>
      </c>
      <c r="H661" s="30">
        <v>16</v>
      </c>
      <c r="I661" s="9" t="s">
        <v>434</v>
      </c>
      <c r="J661" s="9" t="s">
        <v>545</v>
      </c>
      <c r="K661" s="30">
        <v>1</v>
      </c>
      <c r="L661" s="9" t="s">
        <v>546</v>
      </c>
      <c r="M661" s="30" t="s">
        <v>84</v>
      </c>
      <c r="N661" s="30" t="s">
        <v>154</v>
      </c>
      <c r="O661" s="24">
        <v>124</v>
      </c>
      <c r="P661" s="24">
        <v>220</v>
      </c>
      <c r="Q661" s="24">
        <v>293</v>
      </c>
      <c r="R661" s="24">
        <v>0</v>
      </c>
      <c r="S661" s="24">
        <v>0</v>
      </c>
      <c r="T661" s="24">
        <v>637</v>
      </c>
    </row>
    <row r="662" spans="1:20">
      <c r="A662" s="9" t="s">
        <v>432</v>
      </c>
      <c r="B662" s="30" t="s">
        <v>513</v>
      </c>
      <c r="C662" s="30" t="str">
        <f>CONCATENATE(VOL_VOLUMEN_SUMINISTROS[[#This Row],[Proyecto]],VOL_VOLUMEN_SUMINISTROS[[#This Row],[J]],VOL_VOLUMEN_SUMINISTROS[[#This Row],[FIN DE SEMANA]])</f>
        <v>1052-1MNO</v>
      </c>
      <c r="D662" s="360" t="str">
        <f>CONCATENATE(VOL_VOLUMEN_SUMINISTROS[[#This Row],[Grupo]],VOL_VOLUMEN_SUMINISTROS[[#This Row],[Proyecto]],VOL_VOLUMEN_SUMINISTROS[[#This Row],[FIN DE SEMANA]])</f>
        <v>71052-1NO</v>
      </c>
      <c r="E662" s="30" t="s">
        <v>146</v>
      </c>
      <c r="F662" s="30" t="s">
        <v>147</v>
      </c>
      <c r="G662" s="360">
        <v>7</v>
      </c>
      <c r="H662" s="30">
        <v>16</v>
      </c>
      <c r="I662" s="9" t="s">
        <v>434</v>
      </c>
      <c r="J662" s="9" t="s">
        <v>547</v>
      </c>
      <c r="K662" s="30">
        <v>1</v>
      </c>
      <c r="L662" s="9" t="s">
        <v>548</v>
      </c>
      <c r="M662" s="30" t="s">
        <v>84</v>
      </c>
      <c r="N662" s="30" t="s">
        <v>151</v>
      </c>
      <c r="O662" s="24">
        <v>260</v>
      </c>
      <c r="P662" s="24">
        <v>221</v>
      </c>
      <c r="Q662" s="24">
        <v>46</v>
      </c>
      <c r="R662" s="24">
        <v>0</v>
      </c>
      <c r="S662" s="24">
        <v>0</v>
      </c>
      <c r="T662" s="24">
        <v>527</v>
      </c>
    </row>
    <row r="663" spans="1:20">
      <c r="A663" s="9" t="s">
        <v>432</v>
      </c>
      <c r="B663" s="30" t="s">
        <v>513</v>
      </c>
      <c r="C663" s="30" t="str">
        <f>CONCATENATE(VOL_VOLUMEN_SUMINISTROS[[#This Row],[Proyecto]],VOL_VOLUMEN_SUMINISTROS[[#This Row],[J]],VOL_VOLUMEN_SUMINISTROS[[#This Row],[FIN DE SEMANA]])</f>
        <v>1052-1TNO</v>
      </c>
      <c r="D663" s="360" t="str">
        <f>CONCATENATE(VOL_VOLUMEN_SUMINISTROS[[#This Row],[Grupo]],VOL_VOLUMEN_SUMINISTROS[[#This Row],[Proyecto]],VOL_VOLUMEN_SUMINISTROS[[#This Row],[FIN DE SEMANA]])</f>
        <v>71052-1NO</v>
      </c>
      <c r="E663" s="30" t="s">
        <v>146</v>
      </c>
      <c r="F663" s="30" t="s">
        <v>147</v>
      </c>
      <c r="G663" s="360">
        <v>7</v>
      </c>
      <c r="H663" s="30">
        <v>16</v>
      </c>
      <c r="I663" s="9" t="s">
        <v>434</v>
      </c>
      <c r="J663" s="9" t="s">
        <v>547</v>
      </c>
      <c r="K663" s="30">
        <v>1</v>
      </c>
      <c r="L663" s="9" t="s">
        <v>548</v>
      </c>
      <c r="M663" s="30" t="s">
        <v>84</v>
      </c>
      <c r="N663" s="30" t="s">
        <v>154</v>
      </c>
      <c r="O663" s="24">
        <v>229</v>
      </c>
      <c r="P663" s="24">
        <v>151</v>
      </c>
      <c r="Q663" s="24">
        <v>29</v>
      </c>
      <c r="R663" s="24">
        <v>0</v>
      </c>
      <c r="S663" s="24">
        <v>0</v>
      </c>
      <c r="T663" s="24">
        <v>409</v>
      </c>
    </row>
    <row r="664" spans="1:20">
      <c r="A664" s="9" t="s">
        <v>432</v>
      </c>
      <c r="B664" s="30" t="s">
        <v>513</v>
      </c>
      <c r="C664" s="30" t="str">
        <f>CONCATENATE(VOL_VOLUMEN_SUMINISTROS[[#This Row],[Proyecto]],VOL_VOLUMEN_SUMINISTROS[[#This Row],[J]],VOL_VOLUMEN_SUMINISTROS[[#This Row],[FIN DE SEMANA]])</f>
        <v>1052-1MNO</v>
      </c>
      <c r="D664" s="360" t="str">
        <f>CONCATENATE(VOL_VOLUMEN_SUMINISTROS[[#This Row],[Grupo]],VOL_VOLUMEN_SUMINISTROS[[#This Row],[Proyecto]],VOL_VOLUMEN_SUMINISTROS[[#This Row],[FIN DE SEMANA]])</f>
        <v>71052-1NO</v>
      </c>
      <c r="E664" s="30" t="s">
        <v>146</v>
      </c>
      <c r="F664" s="30" t="s">
        <v>147</v>
      </c>
      <c r="G664" s="360">
        <v>7</v>
      </c>
      <c r="H664" s="30">
        <v>16</v>
      </c>
      <c r="I664" s="9" t="s">
        <v>434</v>
      </c>
      <c r="J664" s="9" t="s">
        <v>547</v>
      </c>
      <c r="K664" s="30">
        <v>2</v>
      </c>
      <c r="L664" s="9" t="s">
        <v>549</v>
      </c>
      <c r="M664" s="30" t="s">
        <v>84</v>
      </c>
      <c r="N664" s="30" t="s">
        <v>151</v>
      </c>
      <c r="O664" s="24">
        <v>0</v>
      </c>
      <c r="P664" s="24">
        <v>0</v>
      </c>
      <c r="Q664" s="24">
        <v>288</v>
      </c>
      <c r="R664" s="24">
        <v>0</v>
      </c>
      <c r="S664" s="24">
        <v>0</v>
      </c>
      <c r="T664" s="24">
        <v>288</v>
      </c>
    </row>
    <row r="665" spans="1:20">
      <c r="A665" s="9" t="s">
        <v>432</v>
      </c>
      <c r="B665" s="30" t="s">
        <v>513</v>
      </c>
      <c r="C665" s="30" t="str">
        <f>CONCATENATE(VOL_VOLUMEN_SUMINISTROS[[#This Row],[Proyecto]],VOL_VOLUMEN_SUMINISTROS[[#This Row],[J]],VOL_VOLUMEN_SUMINISTROS[[#This Row],[FIN DE SEMANA]])</f>
        <v>1052-1TNO</v>
      </c>
      <c r="D665" s="360" t="str">
        <f>CONCATENATE(VOL_VOLUMEN_SUMINISTROS[[#This Row],[Grupo]],VOL_VOLUMEN_SUMINISTROS[[#This Row],[Proyecto]],VOL_VOLUMEN_SUMINISTROS[[#This Row],[FIN DE SEMANA]])</f>
        <v>71052-1NO</v>
      </c>
      <c r="E665" s="30" t="s">
        <v>146</v>
      </c>
      <c r="F665" s="30" t="s">
        <v>147</v>
      </c>
      <c r="G665" s="360">
        <v>7</v>
      </c>
      <c r="H665" s="30">
        <v>16</v>
      </c>
      <c r="I665" s="9" t="s">
        <v>434</v>
      </c>
      <c r="J665" s="9" t="s">
        <v>547</v>
      </c>
      <c r="K665" s="30">
        <v>2</v>
      </c>
      <c r="L665" s="9" t="s">
        <v>549</v>
      </c>
      <c r="M665" s="30" t="s">
        <v>84</v>
      </c>
      <c r="N665" s="30" t="s">
        <v>154</v>
      </c>
      <c r="O665" s="24">
        <v>0</v>
      </c>
      <c r="P665" s="24">
        <v>81</v>
      </c>
      <c r="Q665" s="24">
        <v>190</v>
      </c>
      <c r="R665" s="24">
        <v>0</v>
      </c>
      <c r="S665" s="24">
        <v>0</v>
      </c>
      <c r="T665" s="24">
        <v>271</v>
      </c>
    </row>
    <row r="666" spans="1:20">
      <c r="A666" s="9" t="s">
        <v>432</v>
      </c>
      <c r="B666" s="30" t="s">
        <v>513</v>
      </c>
      <c r="C666" s="30" t="str">
        <f>CONCATENATE(VOL_VOLUMEN_SUMINISTROS[[#This Row],[Proyecto]],VOL_VOLUMEN_SUMINISTROS[[#This Row],[J]],VOL_VOLUMEN_SUMINISTROS[[#This Row],[FIN DE SEMANA]])</f>
        <v>1052-1MNO</v>
      </c>
      <c r="D666" s="360" t="str">
        <f>CONCATENATE(VOL_VOLUMEN_SUMINISTROS[[#This Row],[Grupo]],VOL_VOLUMEN_SUMINISTROS[[#This Row],[Proyecto]],VOL_VOLUMEN_SUMINISTROS[[#This Row],[FIN DE SEMANA]])</f>
        <v>71052-1NO</v>
      </c>
      <c r="E666" s="30" t="s">
        <v>146</v>
      </c>
      <c r="F666" s="30" t="s">
        <v>147</v>
      </c>
      <c r="G666" s="360">
        <v>7</v>
      </c>
      <c r="H666" s="30">
        <v>16</v>
      </c>
      <c r="I666" s="9" t="s">
        <v>434</v>
      </c>
      <c r="J666" s="9" t="s">
        <v>547</v>
      </c>
      <c r="K666" s="30">
        <v>3</v>
      </c>
      <c r="L666" s="9" t="s">
        <v>550</v>
      </c>
      <c r="M666" s="30" t="s">
        <v>84</v>
      </c>
      <c r="N666" s="30" t="s">
        <v>151</v>
      </c>
      <c r="O666" s="24">
        <v>0</v>
      </c>
      <c r="P666" s="24">
        <v>117</v>
      </c>
      <c r="Q666" s="24">
        <v>66</v>
      </c>
      <c r="R666" s="24">
        <v>0</v>
      </c>
      <c r="S666" s="24">
        <v>0</v>
      </c>
      <c r="T666" s="24">
        <v>183</v>
      </c>
    </row>
    <row r="667" spans="1:20">
      <c r="A667" s="9" t="s">
        <v>432</v>
      </c>
      <c r="B667" s="30" t="s">
        <v>513</v>
      </c>
      <c r="C667" s="30" t="str">
        <f>CONCATENATE(VOL_VOLUMEN_SUMINISTROS[[#This Row],[Proyecto]],VOL_VOLUMEN_SUMINISTROS[[#This Row],[J]],VOL_VOLUMEN_SUMINISTROS[[#This Row],[FIN DE SEMANA]])</f>
        <v>1052-1TNO</v>
      </c>
      <c r="D667" s="360" t="str">
        <f>CONCATENATE(VOL_VOLUMEN_SUMINISTROS[[#This Row],[Grupo]],VOL_VOLUMEN_SUMINISTROS[[#This Row],[Proyecto]],VOL_VOLUMEN_SUMINISTROS[[#This Row],[FIN DE SEMANA]])</f>
        <v>71052-1NO</v>
      </c>
      <c r="E667" s="30" t="s">
        <v>146</v>
      </c>
      <c r="F667" s="30" t="s">
        <v>147</v>
      </c>
      <c r="G667" s="360">
        <v>7</v>
      </c>
      <c r="H667" s="30">
        <v>16</v>
      </c>
      <c r="I667" s="9" t="s">
        <v>434</v>
      </c>
      <c r="J667" s="9" t="s">
        <v>547</v>
      </c>
      <c r="K667" s="30">
        <v>3</v>
      </c>
      <c r="L667" s="9" t="s">
        <v>550</v>
      </c>
      <c r="M667" s="30" t="s">
        <v>84</v>
      </c>
      <c r="N667" s="30" t="s">
        <v>154</v>
      </c>
      <c r="O667" s="24">
        <v>0</v>
      </c>
      <c r="P667" s="24">
        <v>24</v>
      </c>
      <c r="Q667" s="24">
        <v>8</v>
      </c>
      <c r="R667" s="24">
        <v>0</v>
      </c>
      <c r="S667" s="24">
        <v>0</v>
      </c>
      <c r="T667" s="24">
        <v>32</v>
      </c>
    </row>
    <row r="668" spans="1:20">
      <c r="A668" s="9" t="s">
        <v>432</v>
      </c>
      <c r="B668" s="30" t="s">
        <v>551</v>
      </c>
      <c r="C668" s="30" t="str">
        <f>CONCATENATE(VOL_VOLUMEN_SUMINISTROS[[#This Row],[Proyecto]],VOL_VOLUMEN_SUMINISTROS[[#This Row],[J]],VOL_VOLUMEN_SUMINISTROS[[#This Row],[FIN DE SEMANA]])</f>
        <v>1052-2M1NO</v>
      </c>
      <c r="D668" s="360" t="str">
        <f>CONCATENATE(VOL_VOLUMEN_SUMINISTROS[[#This Row],[Grupo]],VOL_VOLUMEN_SUMINISTROS[[#This Row],[Proyecto]],VOL_VOLUMEN_SUMINISTROS[[#This Row],[FIN DE SEMANA]])</f>
        <v>71052-2NO</v>
      </c>
      <c r="E668" s="30" t="s">
        <v>182</v>
      </c>
      <c r="F668" s="30" t="s">
        <v>147</v>
      </c>
      <c r="G668" s="360">
        <v>7</v>
      </c>
      <c r="H668" s="30">
        <v>16</v>
      </c>
      <c r="I668" s="9" t="s">
        <v>434</v>
      </c>
      <c r="J668" s="9" t="s">
        <v>514</v>
      </c>
      <c r="K668" s="30">
        <v>1</v>
      </c>
      <c r="L668" s="9" t="s">
        <v>515</v>
      </c>
      <c r="M668" s="30" t="s">
        <v>84</v>
      </c>
      <c r="N668" s="30" t="s">
        <v>215</v>
      </c>
      <c r="O668" s="24">
        <v>0</v>
      </c>
      <c r="P668" s="24">
        <v>60</v>
      </c>
      <c r="Q668" s="24">
        <v>300</v>
      </c>
      <c r="R668" s="24">
        <v>0</v>
      </c>
      <c r="S668" s="24">
        <v>0</v>
      </c>
      <c r="T668" s="24">
        <v>360</v>
      </c>
    </row>
    <row r="669" spans="1:20">
      <c r="A669" s="9" t="s">
        <v>432</v>
      </c>
      <c r="B669" s="30" t="s">
        <v>551</v>
      </c>
      <c r="C669" s="30" t="str">
        <f>CONCATENATE(VOL_VOLUMEN_SUMINISTROS[[#This Row],[Proyecto]],VOL_VOLUMEN_SUMINISTROS[[#This Row],[J]],VOL_VOLUMEN_SUMINISTROS[[#This Row],[FIN DE SEMANA]])</f>
        <v>1052-2M1NO</v>
      </c>
      <c r="D669" s="360" t="str">
        <f>CONCATENATE(VOL_VOLUMEN_SUMINISTROS[[#This Row],[Grupo]],VOL_VOLUMEN_SUMINISTROS[[#This Row],[Proyecto]],VOL_VOLUMEN_SUMINISTROS[[#This Row],[FIN DE SEMANA]])</f>
        <v>71052-2NO</v>
      </c>
      <c r="E669" s="30" t="s">
        <v>182</v>
      </c>
      <c r="F669" s="30" t="s">
        <v>147</v>
      </c>
      <c r="G669" s="360">
        <v>7</v>
      </c>
      <c r="H669" s="30">
        <v>16</v>
      </c>
      <c r="I669" s="9" t="s">
        <v>434</v>
      </c>
      <c r="J669" s="9" t="s">
        <v>514</v>
      </c>
      <c r="K669" s="30">
        <v>2</v>
      </c>
      <c r="L669" s="9" t="s">
        <v>164</v>
      </c>
      <c r="M669" s="30" t="s">
        <v>84</v>
      </c>
      <c r="N669" s="30" t="s">
        <v>215</v>
      </c>
      <c r="O669" s="24">
        <v>176</v>
      </c>
      <c r="P669" s="24">
        <v>109</v>
      </c>
      <c r="Q669" s="24">
        <v>7</v>
      </c>
      <c r="R669" s="24">
        <v>0</v>
      </c>
      <c r="S669" s="24">
        <v>0</v>
      </c>
      <c r="T669" s="24">
        <v>292</v>
      </c>
    </row>
    <row r="670" spans="1:20">
      <c r="A670" s="9" t="s">
        <v>432</v>
      </c>
      <c r="B670" s="30" t="s">
        <v>551</v>
      </c>
      <c r="C670" s="30" t="str">
        <f>CONCATENATE(VOL_VOLUMEN_SUMINISTROS[[#This Row],[Proyecto]],VOL_VOLUMEN_SUMINISTROS[[#This Row],[J]],VOL_VOLUMEN_SUMINISTROS[[#This Row],[FIN DE SEMANA]])</f>
        <v>1052-2M1NO</v>
      </c>
      <c r="D670" s="360" t="str">
        <f>CONCATENATE(VOL_VOLUMEN_SUMINISTROS[[#This Row],[Grupo]],VOL_VOLUMEN_SUMINISTROS[[#This Row],[Proyecto]],VOL_VOLUMEN_SUMINISTROS[[#This Row],[FIN DE SEMANA]])</f>
        <v>71052-2NO</v>
      </c>
      <c r="E670" s="30" t="s">
        <v>182</v>
      </c>
      <c r="F670" s="30" t="s">
        <v>147</v>
      </c>
      <c r="G670" s="360">
        <v>7</v>
      </c>
      <c r="H670" s="30">
        <v>16</v>
      </c>
      <c r="I670" s="9" t="s">
        <v>434</v>
      </c>
      <c r="J670" s="9" t="s">
        <v>514</v>
      </c>
      <c r="K670" s="30">
        <v>3</v>
      </c>
      <c r="L670" s="9" t="s">
        <v>457</v>
      </c>
      <c r="M670" s="30" t="s">
        <v>84</v>
      </c>
      <c r="N670" s="30" t="s">
        <v>215</v>
      </c>
      <c r="O670" s="24">
        <v>0</v>
      </c>
      <c r="P670" s="24">
        <v>234</v>
      </c>
      <c r="Q670" s="24">
        <v>78</v>
      </c>
      <c r="R670" s="24">
        <v>0</v>
      </c>
      <c r="S670" s="24">
        <v>0</v>
      </c>
      <c r="T670" s="24">
        <v>312</v>
      </c>
    </row>
    <row r="671" spans="1:20">
      <c r="A671" s="9" t="s">
        <v>432</v>
      </c>
      <c r="B671" s="30" t="s">
        <v>551</v>
      </c>
      <c r="C671" s="30" t="str">
        <f>CONCATENATE(VOL_VOLUMEN_SUMINISTROS[[#This Row],[Proyecto]],VOL_VOLUMEN_SUMINISTROS[[#This Row],[J]],VOL_VOLUMEN_SUMINISTROS[[#This Row],[FIN DE SEMANA]])</f>
        <v>1052-2M1NO</v>
      </c>
      <c r="D671" s="360" t="str">
        <f>CONCATENATE(VOL_VOLUMEN_SUMINISTROS[[#This Row],[Grupo]],VOL_VOLUMEN_SUMINISTROS[[#This Row],[Proyecto]],VOL_VOLUMEN_SUMINISTROS[[#This Row],[FIN DE SEMANA]])</f>
        <v>71052-2NO</v>
      </c>
      <c r="E671" s="30" t="s">
        <v>182</v>
      </c>
      <c r="F671" s="30" t="s">
        <v>147</v>
      </c>
      <c r="G671" s="360">
        <v>7</v>
      </c>
      <c r="H671" s="30">
        <v>16</v>
      </c>
      <c r="I671" s="9" t="s">
        <v>434</v>
      </c>
      <c r="J671" s="9" t="s">
        <v>525</v>
      </c>
      <c r="K671" s="30">
        <v>2</v>
      </c>
      <c r="L671" s="9" t="s">
        <v>526</v>
      </c>
      <c r="M671" s="30" t="s">
        <v>84</v>
      </c>
      <c r="N671" s="30" t="s">
        <v>215</v>
      </c>
      <c r="O671" s="24">
        <v>50</v>
      </c>
      <c r="P671" s="24">
        <v>67</v>
      </c>
      <c r="Q671" s="24">
        <v>14</v>
      </c>
      <c r="R671" s="24">
        <v>0</v>
      </c>
      <c r="S671" s="24">
        <v>0</v>
      </c>
      <c r="T671" s="24">
        <v>131</v>
      </c>
    </row>
    <row r="672" spans="1:20">
      <c r="A672" s="9" t="s">
        <v>432</v>
      </c>
      <c r="B672" s="30" t="s">
        <v>551</v>
      </c>
      <c r="C672" s="30" t="str">
        <f>CONCATENATE(VOL_VOLUMEN_SUMINISTROS[[#This Row],[Proyecto]],VOL_VOLUMEN_SUMINISTROS[[#This Row],[J]],VOL_VOLUMEN_SUMINISTROS[[#This Row],[FIN DE SEMANA]])</f>
        <v>1052-2TNO</v>
      </c>
      <c r="D672" s="360" t="str">
        <f>CONCATENATE(VOL_VOLUMEN_SUMINISTROS[[#This Row],[Grupo]],VOL_VOLUMEN_SUMINISTROS[[#This Row],[Proyecto]],VOL_VOLUMEN_SUMINISTROS[[#This Row],[FIN DE SEMANA]])</f>
        <v>71052-2NO</v>
      </c>
      <c r="E672" s="30" t="s">
        <v>182</v>
      </c>
      <c r="F672" s="30" t="s">
        <v>147</v>
      </c>
      <c r="G672" s="360">
        <v>7</v>
      </c>
      <c r="H672" s="30">
        <v>16</v>
      </c>
      <c r="I672" s="9" t="s">
        <v>434</v>
      </c>
      <c r="J672" s="9" t="s">
        <v>525</v>
      </c>
      <c r="K672" s="30">
        <v>2</v>
      </c>
      <c r="L672" s="9" t="s">
        <v>527</v>
      </c>
      <c r="M672" s="30" t="s">
        <v>84</v>
      </c>
      <c r="N672" s="30" t="s">
        <v>154</v>
      </c>
      <c r="O672" s="24">
        <v>32</v>
      </c>
      <c r="P672" s="24">
        <v>52</v>
      </c>
      <c r="Q672" s="24">
        <v>12</v>
      </c>
      <c r="R672" s="24">
        <v>0</v>
      </c>
      <c r="S672" s="24">
        <v>0</v>
      </c>
      <c r="T672" s="24">
        <v>96</v>
      </c>
    </row>
    <row r="673" spans="1:20">
      <c r="A673" s="9" t="s">
        <v>432</v>
      </c>
      <c r="B673" s="30" t="s">
        <v>551</v>
      </c>
      <c r="C673" s="30" t="str">
        <f>CONCATENATE(VOL_VOLUMEN_SUMINISTROS[[#This Row],[Proyecto]],VOL_VOLUMEN_SUMINISTROS[[#This Row],[J]],VOL_VOLUMEN_SUMINISTROS[[#This Row],[FIN DE SEMANA]])</f>
        <v>1052-2M1NO</v>
      </c>
      <c r="D673" s="360" t="str">
        <f>CONCATENATE(VOL_VOLUMEN_SUMINISTROS[[#This Row],[Grupo]],VOL_VOLUMEN_SUMINISTROS[[#This Row],[Proyecto]],VOL_VOLUMEN_SUMINISTROS[[#This Row],[FIN DE SEMANA]])</f>
        <v>71052-2NO</v>
      </c>
      <c r="E673" s="30" t="s">
        <v>182</v>
      </c>
      <c r="F673" s="30" t="s">
        <v>147</v>
      </c>
      <c r="G673" s="360">
        <v>7</v>
      </c>
      <c r="H673" s="30">
        <v>16</v>
      </c>
      <c r="I673" s="9" t="s">
        <v>434</v>
      </c>
      <c r="J673" s="9" t="s">
        <v>531</v>
      </c>
      <c r="K673" s="30">
        <v>1</v>
      </c>
      <c r="L673" s="9" t="s">
        <v>532</v>
      </c>
      <c r="M673" s="30" t="s">
        <v>84</v>
      </c>
      <c r="N673" s="30" t="s">
        <v>215</v>
      </c>
      <c r="O673" s="24">
        <v>0</v>
      </c>
      <c r="P673" s="24">
        <v>39</v>
      </c>
      <c r="Q673" s="24">
        <v>13</v>
      </c>
      <c r="R673" s="24">
        <v>0</v>
      </c>
      <c r="S673" s="24">
        <v>0</v>
      </c>
      <c r="T673" s="24">
        <v>52</v>
      </c>
    </row>
    <row r="674" spans="1:20">
      <c r="A674" s="9" t="s">
        <v>432</v>
      </c>
      <c r="B674" s="30" t="s">
        <v>551</v>
      </c>
      <c r="C674" s="30" t="str">
        <f>CONCATENATE(VOL_VOLUMEN_SUMINISTROS[[#This Row],[Proyecto]],VOL_VOLUMEN_SUMINISTROS[[#This Row],[J]],VOL_VOLUMEN_SUMINISTROS[[#This Row],[FIN DE SEMANA]])</f>
        <v>1052-2TNO</v>
      </c>
      <c r="D674" s="360" t="str">
        <f>CONCATENATE(VOL_VOLUMEN_SUMINISTROS[[#This Row],[Grupo]],VOL_VOLUMEN_SUMINISTROS[[#This Row],[Proyecto]],VOL_VOLUMEN_SUMINISTROS[[#This Row],[FIN DE SEMANA]])</f>
        <v>71052-2NO</v>
      </c>
      <c r="E674" s="30" t="s">
        <v>182</v>
      </c>
      <c r="F674" s="30" t="s">
        <v>147</v>
      </c>
      <c r="G674" s="360">
        <v>7</v>
      </c>
      <c r="H674" s="30">
        <v>16</v>
      </c>
      <c r="I674" s="9" t="s">
        <v>434</v>
      </c>
      <c r="J674" s="9" t="s">
        <v>537</v>
      </c>
      <c r="K674" s="30">
        <v>1</v>
      </c>
      <c r="L674" s="9" t="s">
        <v>538</v>
      </c>
      <c r="M674" s="30" t="s">
        <v>84</v>
      </c>
      <c r="N674" s="30" t="s">
        <v>154</v>
      </c>
      <c r="O674" s="24">
        <v>0</v>
      </c>
      <c r="P674" s="24">
        <v>21</v>
      </c>
      <c r="Q674" s="24">
        <v>34</v>
      </c>
      <c r="R674" s="24">
        <v>0</v>
      </c>
      <c r="S674" s="24">
        <v>0</v>
      </c>
      <c r="T674" s="24">
        <v>55</v>
      </c>
    </row>
    <row r="675" spans="1:20">
      <c r="A675" s="9" t="s">
        <v>432</v>
      </c>
      <c r="B675" s="30" t="s">
        <v>551</v>
      </c>
      <c r="C675" s="30" t="str">
        <f>CONCATENATE(VOL_VOLUMEN_SUMINISTROS[[#This Row],[Proyecto]],VOL_VOLUMEN_SUMINISTROS[[#This Row],[J]],VOL_VOLUMEN_SUMINISTROS[[#This Row],[FIN DE SEMANA]])</f>
        <v>1052-2M1NO</v>
      </c>
      <c r="D675" s="360" t="str">
        <f>CONCATENATE(VOL_VOLUMEN_SUMINISTROS[[#This Row],[Grupo]],VOL_VOLUMEN_SUMINISTROS[[#This Row],[Proyecto]],VOL_VOLUMEN_SUMINISTROS[[#This Row],[FIN DE SEMANA]])</f>
        <v>71052-2NO</v>
      </c>
      <c r="E675" s="30" t="s">
        <v>182</v>
      </c>
      <c r="F675" s="30" t="s">
        <v>147</v>
      </c>
      <c r="G675" s="360">
        <v>7</v>
      </c>
      <c r="H675" s="30">
        <v>16</v>
      </c>
      <c r="I675" s="9" t="s">
        <v>434</v>
      </c>
      <c r="J675" s="9" t="s">
        <v>543</v>
      </c>
      <c r="K675" s="30">
        <v>1</v>
      </c>
      <c r="L675" s="9" t="s">
        <v>544</v>
      </c>
      <c r="M675" s="30" t="s">
        <v>84</v>
      </c>
      <c r="N675" s="30" t="s">
        <v>215</v>
      </c>
      <c r="O675" s="24">
        <v>210</v>
      </c>
      <c r="P675" s="24">
        <v>429</v>
      </c>
      <c r="Q675" s="24">
        <v>408</v>
      </c>
      <c r="R675" s="24">
        <v>0</v>
      </c>
      <c r="S675" s="24">
        <v>0</v>
      </c>
      <c r="T675" s="24">
        <v>1047</v>
      </c>
    </row>
    <row r="676" spans="1:20">
      <c r="A676" s="9" t="s">
        <v>432</v>
      </c>
      <c r="B676" s="30" t="s">
        <v>552</v>
      </c>
      <c r="C676" s="30" t="str">
        <f>CONCATENATE(VOL_VOLUMEN_SUMINISTROS[[#This Row],[Proyecto]],VOL_VOLUMEN_SUMINISTROS[[#This Row],[J]],VOL_VOLUMEN_SUMINISTROS[[#This Row],[FIN DE SEMANA]])</f>
        <v>1052-2MNO</v>
      </c>
      <c r="D676" s="360" t="str">
        <f>CONCATENATE(VOL_VOLUMEN_SUMINISTROS[[#This Row],[Grupo]],VOL_VOLUMEN_SUMINISTROS[[#This Row],[Proyecto]],VOL_VOLUMEN_SUMINISTROS[[#This Row],[FIN DE SEMANA]])</f>
        <v>71052-2NO</v>
      </c>
      <c r="E676" s="30" t="s">
        <v>182</v>
      </c>
      <c r="F676" s="30" t="s">
        <v>147</v>
      </c>
      <c r="G676" s="360">
        <v>7</v>
      </c>
      <c r="H676" s="30">
        <v>16</v>
      </c>
      <c r="I676" s="9" t="s">
        <v>434</v>
      </c>
      <c r="J676" s="9" t="s">
        <v>516</v>
      </c>
      <c r="K676" s="30">
        <v>1</v>
      </c>
      <c r="L676" s="9" t="s">
        <v>517</v>
      </c>
      <c r="M676" s="30" t="s">
        <v>84</v>
      </c>
      <c r="N676" s="30" t="s">
        <v>151</v>
      </c>
      <c r="O676" s="24">
        <v>0</v>
      </c>
      <c r="P676" s="24">
        <v>0</v>
      </c>
      <c r="Q676" s="24">
        <v>30</v>
      </c>
      <c r="R676" s="24">
        <v>0</v>
      </c>
      <c r="S676" s="24">
        <v>0</v>
      </c>
      <c r="T676" s="24">
        <v>30</v>
      </c>
    </row>
    <row r="677" spans="1:20">
      <c r="A677" s="9" t="s">
        <v>432</v>
      </c>
      <c r="B677" s="30" t="s">
        <v>552</v>
      </c>
      <c r="C677" s="30" t="str">
        <f>CONCATENATE(VOL_VOLUMEN_SUMINISTROS[[#This Row],[Proyecto]],VOL_VOLUMEN_SUMINISTROS[[#This Row],[J]],VOL_VOLUMEN_SUMINISTROS[[#This Row],[FIN DE SEMANA]])</f>
        <v>1052-2MNO</v>
      </c>
      <c r="D677" s="360" t="str">
        <f>CONCATENATE(VOL_VOLUMEN_SUMINISTROS[[#This Row],[Grupo]],VOL_VOLUMEN_SUMINISTROS[[#This Row],[Proyecto]],VOL_VOLUMEN_SUMINISTROS[[#This Row],[FIN DE SEMANA]])</f>
        <v>71052-2NO</v>
      </c>
      <c r="E677" s="30" t="s">
        <v>182</v>
      </c>
      <c r="F677" s="30" t="s">
        <v>147</v>
      </c>
      <c r="G677" s="360">
        <v>7</v>
      </c>
      <c r="H677" s="30">
        <v>16</v>
      </c>
      <c r="I677" s="9" t="s">
        <v>434</v>
      </c>
      <c r="J677" s="9" t="s">
        <v>518</v>
      </c>
      <c r="K677" s="30">
        <v>1</v>
      </c>
      <c r="L677" s="9" t="s">
        <v>519</v>
      </c>
      <c r="M677" s="30" t="s">
        <v>84</v>
      </c>
      <c r="N677" s="30" t="s">
        <v>151</v>
      </c>
      <c r="O677" s="24">
        <v>0</v>
      </c>
      <c r="P677" s="24">
        <v>0</v>
      </c>
      <c r="Q677" s="24">
        <v>40</v>
      </c>
      <c r="R677" s="24">
        <v>0</v>
      </c>
      <c r="S677" s="24">
        <v>0</v>
      </c>
      <c r="T677" s="24">
        <v>40</v>
      </c>
    </row>
    <row r="678" spans="1:20">
      <c r="A678" s="9" t="s">
        <v>432</v>
      </c>
      <c r="B678" s="30" t="s">
        <v>552</v>
      </c>
      <c r="C678" s="30" t="str">
        <f>CONCATENATE(VOL_VOLUMEN_SUMINISTROS[[#This Row],[Proyecto]],VOL_VOLUMEN_SUMINISTROS[[#This Row],[J]],VOL_VOLUMEN_SUMINISTROS[[#This Row],[FIN DE SEMANA]])</f>
        <v>1052-2TNO</v>
      </c>
      <c r="D678" s="360" t="str">
        <f>CONCATENATE(VOL_VOLUMEN_SUMINISTROS[[#This Row],[Grupo]],VOL_VOLUMEN_SUMINISTROS[[#This Row],[Proyecto]],VOL_VOLUMEN_SUMINISTROS[[#This Row],[FIN DE SEMANA]])</f>
        <v>71052-2NO</v>
      </c>
      <c r="E678" s="30" t="s">
        <v>182</v>
      </c>
      <c r="F678" s="30" t="s">
        <v>147</v>
      </c>
      <c r="G678" s="360">
        <v>7</v>
      </c>
      <c r="H678" s="30">
        <v>16</v>
      </c>
      <c r="I678" s="9" t="s">
        <v>434</v>
      </c>
      <c r="J678" s="9" t="s">
        <v>518</v>
      </c>
      <c r="K678" s="30">
        <v>1</v>
      </c>
      <c r="L678" s="9" t="s">
        <v>519</v>
      </c>
      <c r="M678" s="30" t="s">
        <v>84</v>
      </c>
      <c r="N678" s="30" t="s">
        <v>154</v>
      </c>
      <c r="O678" s="24">
        <v>0</v>
      </c>
      <c r="P678" s="24">
        <v>0</v>
      </c>
      <c r="Q678" s="24">
        <v>60</v>
      </c>
      <c r="R678" s="24">
        <v>0</v>
      </c>
      <c r="S678" s="24">
        <v>0</v>
      </c>
      <c r="T678" s="24">
        <v>60</v>
      </c>
    </row>
    <row r="679" spans="1:20">
      <c r="A679" s="9" t="s">
        <v>432</v>
      </c>
      <c r="B679" s="30" t="s">
        <v>552</v>
      </c>
      <c r="C679" s="30" t="str">
        <f>CONCATENATE(VOL_VOLUMEN_SUMINISTROS[[#This Row],[Proyecto]],VOL_VOLUMEN_SUMINISTROS[[#This Row],[J]],VOL_VOLUMEN_SUMINISTROS[[#This Row],[FIN DE SEMANA]])</f>
        <v>1052-2MNO</v>
      </c>
      <c r="D679" s="360" t="str">
        <f>CONCATENATE(VOL_VOLUMEN_SUMINISTROS[[#This Row],[Grupo]],VOL_VOLUMEN_SUMINISTROS[[#This Row],[Proyecto]],VOL_VOLUMEN_SUMINISTROS[[#This Row],[FIN DE SEMANA]])</f>
        <v>71052-2NO</v>
      </c>
      <c r="E679" s="30" t="s">
        <v>182</v>
      </c>
      <c r="F679" s="30" t="s">
        <v>147</v>
      </c>
      <c r="G679" s="360">
        <v>7</v>
      </c>
      <c r="H679" s="30">
        <v>16</v>
      </c>
      <c r="I679" s="9" t="s">
        <v>434</v>
      </c>
      <c r="J679" s="9" t="s">
        <v>522</v>
      </c>
      <c r="K679" s="30">
        <v>1</v>
      </c>
      <c r="L679" s="9" t="s">
        <v>523</v>
      </c>
      <c r="M679" s="30" t="s">
        <v>84</v>
      </c>
      <c r="N679" s="30" t="s">
        <v>151</v>
      </c>
      <c r="O679" s="24">
        <v>0</v>
      </c>
      <c r="P679" s="24">
        <v>0</v>
      </c>
      <c r="Q679" s="24">
        <v>74</v>
      </c>
      <c r="R679" s="24">
        <v>0</v>
      </c>
      <c r="S679" s="24">
        <v>0</v>
      </c>
      <c r="T679" s="24">
        <v>74</v>
      </c>
    </row>
    <row r="680" spans="1:20">
      <c r="A680" s="9" t="s">
        <v>432</v>
      </c>
      <c r="B680" s="30" t="s">
        <v>552</v>
      </c>
      <c r="C680" s="30" t="str">
        <f>CONCATENATE(VOL_VOLUMEN_SUMINISTROS[[#This Row],[Proyecto]],VOL_VOLUMEN_SUMINISTROS[[#This Row],[J]],VOL_VOLUMEN_SUMINISTROS[[#This Row],[FIN DE SEMANA]])</f>
        <v>1052-2TNO</v>
      </c>
      <c r="D680" s="360" t="str">
        <f>CONCATENATE(VOL_VOLUMEN_SUMINISTROS[[#This Row],[Grupo]],VOL_VOLUMEN_SUMINISTROS[[#This Row],[Proyecto]],VOL_VOLUMEN_SUMINISTROS[[#This Row],[FIN DE SEMANA]])</f>
        <v>71052-2NO</v>
      </c>
      <c r="E680" s="30" t="s">
        <v>182</v>
      </c>
      <c r="F680" s="30" t="s">
        <v>147</v>
      </c>
      <c r="G680" s="360">
        <v>7</v>
      </c>
      <c r="H680" s="30">
        <v>16</v>
      </c>
      <c r="I680" s="9" t="s">
        <v>434</v>
      </c>
      <c r="J680" s="9" t="s">
        <v>522</v>
      </c>
      <c r="K680" s="30">
        <v>1</v>
      </c>
      <c r="L680" s="9" t="s">
        <v>523</v>
      </c>
      <c r="M680" s="30" t="s">
        <v>84</v>
      </c>
      <c r="N680" s="30" t="s">
        <v>154</v>
      </c>
      <c r="O680" s="24">
        <v>0</v>
      </c>
      <c r="P680" s="24">
        <v>0</v>
      </c>
      <c r="Q680" s="24">
        <v>90</v>
      </c>
      <c r="R680" s="24">
        <v>0</v>
      </c>
      <c r="S680" s="24">
        <v>0</v>
      </c>
      <c r="T680" s="24">
        <v>90</v>
      </c>
    </row>
    <row r="681" spans="1:20">
      <c r="A681" s="9" t="s">
        <v>432</v>
      </c>
      <c r="B681" s="30" t="s">
        <v>552</v>
      </c>
      <c r="C681" s="30" t="str">
        <f>CONCATENATE(VOL_VOLUMEN_SUMINISTROS[[#This Row],[Proyecto]],VOL_VOLUMEN_SUMINISTROS[[#This Row],[J]],VOL_VOLUMEN_SUMINISTROS[[#This Row],[FIN DE SEMANA]])</f>
        <v>1052-2TNO</v>
      </c>
      <c r="D681" s="360" t="str">
        <f>CONCATENATE(VOL_VOLUMEN_SUMINISTROS[[#This Row],[Grupo]],VOL_VOLUMEN_SUMINISTROS[[#This Row],[Proyecto]],VOL_VOLUMEN_SUMINISTROS[[#This Row],[FIN DE SEMANA]])</f>
        <v>71052-2NO</v>
      </c>
      <c r="E681" s="30" t="s">
        <v>182</v>
      </c>
      <c r="F681" s="30" t="s">
        <v>147</v>
      </c>
      <c r="G681" s="360">
        <v>7</v>
      </c>
      <c r="H681" s="30">
        <v>16</v>
      </c>
      <c r="I681" s="9" t="s">
        <v>434</v>
      </c>
      <c r="J681" s="9" t="s">
        <v>525</v>
      </c>
      <c r="K681" s="30">
        <v>1</v>
      </c>
      <c r="L681" s="9" t="s">
        <v>526</v>
      </c>
      <c r="M681" s="30" t="s">
        <v>84</v>
      </c>
      <c r="N681" s="30" t="s">
        <v>154</v>
      </c>
      <c r="O681" s="24">
        <v>0</v>
      </c>
      <c r="P681" s="24">
        <v>0</v>
      </c>
      <c r="Q681" s="24">
        <v>68</v>
      </c>
      <c r="R681" s="24">
        <v>0</v>
      </c>
      <c r="S681" s="24">
        <v>0</v>
      </c>
      <c r="T681" s="24">
        <v>68</v>
      </c>
    </row>
    <row r="682" spans="1:20">
      <c r="A682" s="9" t="s">
        <v>432</v>
      </c>
      <c r="B682" s="30" t="s">
        <v>552</v>
      </c>
      <c r="C682" s="30" t="str">
        <f>CONCATENATE(VOL_VOLUMEN_SUMINISTROS[[#This Row],[Proyecto]],VOL_VOLUMEN_SUMINISTROS[[#This Row],[J]],VOL_VOLUMEN_SUMINISTROS[[#This Row],[FIN DE SEMANA]])</f>
        <v>1052-2TNO</v>
      </c>
      <c r="D682" s="360" t="str">
        <f>CONCATENATE(VOL_VOLUMEN_SUMINISTROS[[#This Row],[Grupo]],VOL_VOLUMEN_SUMINISTROS[[#This Row],[Proyecto]],VOL_VOLUMEN_SUMINISTROS[[#This Row],[FIN DE SEMANA]])</f>
        <v>71052-2NO</v>
      </c>
      <c r="E682" s="30" t="s">
        <v>182</v>
      </c>
      <c r="F682" s="30" t="s">
        <v>147</v>
      </c>
      <c r="G682" s="360">
        <v>7</v>
      </c>
      <c r="H682" s="30">
        <v>16</v>
      </c>
      <c r="I682" s="9" t="s">
        <v>434</v>
      </c>
      <c r="J682" s="9" t="s">
        <v>533</v>
      </c>
      <c r="K682" s="30">
        <v>1</v>
      </c>
      <c r="L682" s="9" t="s">
        <v>534</v>
      </c>
      <c r="M682" s="30" t="s">
        <v>84</v>
      </c>
      <c r="N682" s="30" t="s">
        <v>154</v>
      </c>
      <c r="O682" s="24">
        <v>0</v>
      </c>
      <c r="P682" s="24">
        <v>0</v>
      </c>
      <c r="Q682" s="24">
        <v>99</v>
      </c>
      <c r="R682" s="24">
        <v>0</v>
      </c>
      <c r="S682" s="24">
        <v>0</v>
      </c>
      <c r="T682" s="24">
        <v>99</v>
      </c>
    </row>
    <row r="683" spans="1:20">
      <c r="A683" s="9" t="s">
        <v>432</v>
      </c>
      <c r="B683" s="30" t="s">
        <v>552</v>
      </c>
      <c r="C683" s="30" t="str">
        <f>CONCATENATE(VOL_VOLUMEN_SUMINISTROS[[#This Row],[Proyecto]],VOL_VOLUMEN_SUMINISTROS[[#This Row],[J]],VOL_VOLUMEN_SUMINISTROS[[#This Row],[FIN DE SEMANA]])</f>
        <v>1052-2TNO</v>
      </c>
      <c r="D683" s="360" t="str">
        <f>CONCATENATE(VOL_VOLUMEN_SUMINISTROS[[#This Row],[Grupo]],VOL_VOLUMEN_SUMINISTROS[[#This Row],[Proyecto]],VOL_VOLUMEN_SUMINISTROS[[#This Row],[FIN DE SEMANA]])</f>
        <v>71052-2NO</v>
      </c>
      <c r="E683" s="30" t="s">
        <v>182</v>
      </c>
      <c r="F683" s="30" t="s">
        <v>147</v>
      </c>
      <c r="G683" s="360">
        <v>7</v>
      </c>
      <c r="H683" s="30">
        <v>16</v>
      </c>
      <c r="I683" s="9" t="s">
        <v>434</v>
      </c>
      <c r="J683" s="9" t="s">
        <v>537</v>
      </c>
      <c r="K683" s="30">
        <v>1</v>
      </c>
      <c r="L683" s="9" t="s">
        <v>538</v>
      </c>
      <c r="M683" s="30" t="s">
        <v>84</v>
      </c>
      <c r="N683" s="30" t="s">
        <v>154</v>
      </c>
      <c r="O683" s="24">
        <v>0</v>
      </c>
      <c r="P683" s="24">
        <v>0</v>
      </c>
      <c r="Q683" s="24">
        <v>96</v>
      </c>
      <c r="R683" s="24">
        <v>0</v>
      </c>
      <c r="S683" s="24">
        <v>0</v>
      </c>
      <c r="T683" s="24">
        <v>96</v>
      </c>
    </row>
    <row r="684" spans="1:20">
      <c r="A684" s="9" t="s">
        <v>432</v>
      </c>
      <c r="B684" s="30" t="s">
        <v>552</v>
      </c>
      <c r="C684" s="30" t="str">
        <f>CONCATENATE(VOL_VOLUMEN_SUMINISTROS[[#This Row],[Proyecto]],VOL_VOLUMEN_SUMINISTROS[[#This Row],[J]],VOL_VOLUMEN_SUMINISTROS[[#This Row],[FIN DE SEMANA]])</f>
        <v>1052-2MNO</v>
      </c>
      <c r="D684" s="360" t="str">
        <f>CONCATENATE(VOL_VOLUMEN_SUMINISTROS[[#This Row],[Grupo]],VOL_VOLUMEN_SUMINISTROS[[#This Row],[Proyecto]],VOL_VOLUMEN_SUMINISTROS[[#This Row],[FIN DE SEMANA]])</f>
        <v>71052-2NO</v>
      </c>
      <c r="E684" s="30" t="s">
        <v>182</v>
      </c>
      <c r="F684" s="30" t="s">
        <v>147</v>
      </c>
      <c r="G684" s="360">
        <v>7</v>
      </c>
      <c r="H684" s="30">
        <v>16</v>
      </c>
      <c r="I684" s="9" t="s">
        <v>434</v>
      </c>
      <c r="J684" s="9" t="s">
        <v>540</v>
      </c>
      <c r="K684" s="30">
        <v>1</v>
      </c>
      <c r="L684" s="9" t="s">
        <v>541</v>
      </c>
      <c r="M684" s="30" t="s">
        <v>84</v>
      </c>
      <c r="N684" s="30" t="s">
        <v>151</v>
      </c>
      <c r="O684" s="24">
        <v>0</v>
      </c>
      <c r="P684" s="24">
        <v>0</v>
      </c>
      <c r="Q684" s="24">
        <v>75</v>
      </c>
      <c r="R684" s="24">
        <v>0</v>
      </c>
      <c r="S684" s="24">
        <v>0</v>
      </c>
      <c r="T684" s="24">
        <v>75</v>
      </c>
    </row>
    <row r="685" spans="1:20">
      <c r="A685" s="9" t="s">
        <v>432</v>
      </c>
      <c r="B685" s="30" t="s">
        <v>552</v>
      </c>
      <c r="C685" s="30" t="str">
        <f>CONCATENATE(VOL_VOLUMEN_SUMINISTROS[[#This Row],[Proyecto]],VOL_VOLUMEN_SUMINISTROS[[#This Row],[J]],VOL_VOLUMEN_SUMINISTROS[[#This Row],[FIN DE SEMANA]])</f>
        <v>1052-2TNO</v>
      </c>
      <c r="D685" s="360" t="str">
        <f>CONCATENATE(VOL_VOLUMEN_SUMINISTROS[[#This Row],[Grupo]],VOL_VOLUMEN_SUMINISTROS[[#This Row],[Proyecto]],VOL_VOLUMEN_SUMINISTROS[[#This Row],[FIN DE SEMANA]])</f>
        <v>71052-2NO</v>
      </c>
      <c r="E685" s="30" t="s">
        <v>182</v>
      </c>
      <c r="F685" s="30" t="s">
        <v>147</v>
      </c>
      <c r="G685" s="360">
        <v>7</v>
      </c>
      <c r="H685" s="30">
        <v>16</v>
      </c>
      <c r="I685" s="9" t="s">
        <v>434</v>
      </c>
      <c r="J685" s="9" t="s">
        <v>540</v>
      </c>
      <c r="K685" s="30">
        <v>1</v>
      </c>
      <c r="L685" s="9" t="s">
        <v>541</v>
      </c>
      <c r="M685" s="30" t="s">
        <v>84</v>
      </c>
      <c r="N685" s="30" t="s">
        <v>154</v>
      </c>
      <c r="O685" s="24">
        <v>0</v>
      </c>
      <c r="P685" s="24">
        <v>0</v>
      </c>
      <c r="Q685" s="24">
        <v>78</v>
      </c>
      <c r="R685" s="24">
        <v>0</v>
      </c>
      <c r="S685" s="24">
        <v>0</v>
      </c>
      <c r="T685" s="24">
        <v>78</v>
      </c>
    </row>
    <row r="686" spans="1:20">
      <c r="A686" s="9" t="s">
        <v>432</v>
      </c>
      <c r="B686" s="30" t="s">
        <v>552</v>
      </c>
      <c r="C686" s="30" t="str">
        <f>CONCATENATE(VOL_VOLUMEN_SUMINISTROS[[#This Row],[Proyecto]],VOL_VOLUMEN_SUMINISTROS[[#This Row],[J]],VOL_VOLUMEN_SUMINISTROS[[#This Row],[FIN DE SEMANA]])</f>
        <v>1052-2MNO</v>
      </c>
      <c r="D686" s="360" t="str">
        <f>CONCATENATE(VOL_VOLUMEN_SUMINISTROS[[#This Row],[Grupo]],VOL_VOLUMEN_SUMINISTROS[[#This Row],[Proyecto]],VOL_VOLUMEN_SUMINISTROS[[#This Row],[FIN DE SEMANA]])</f>
        <v>71052-2NO</v>
      </c>
      <c r="E686" s="30" t="s">
        <v>182</v>
      </c>
      <c r="F686" s="30" t="s">
        <v>147</v>
      </c>
      <c r="G686" s="360">
        <v>7</v>
      </c>
      <c r="H686" s="30">
        <v>16</v>
      </c>
      <c r="I686" s="9" t="s">
        <v>434</v>
      </c>
      <c r="J686" s="9" t="s">
        <v>547</v>
      </c>
      <c r="K686" s="30">
        <v>2</v>
      </c>
      <c r="L686" s="9" t="s">
        <v>549</v>
      </c>
      <c r="M686" s="30" t="s">
        <v>84</v>
      </c>
      <c r="N686" s="30" t="s">
        <v>151</v>
      </c>
      <c r="O686" s="24">
        <v>0</v>
      </c>
      <c r="P686" s="24">
        <v>0</v>
      </c>
      <c r="Q686" s="24">
        <v>52</v>
      </c>
      <c r="R686" s="24">
        <v>0</v>
      </c>
      <c r="S686" s="24">
        <v>0</v>
      </c>
      <c r="T686" s="24">
        <v>52</v>
      </c>
    </row>
    <row r="687" spans="1:20">
      <c r="A687" s="9" t="s">
        <v>432</v>
      </c>
      <c r="B687" s="30" t="s">
        <v>552</v>
      </c>
      <c r="C687" s="30" t="str">
        <f>CONCATENATE(VOL_VOLUMEN_SUMINISTROS[[#This Row],[Proyecto]],VOL_VOLUMEN_SUMINISTROS[[#This Row],[J]],VOL_VOLUMEN_SUMINISTROS[[#This Row],[FIN DE SEMANA]])</f>
        <v>1052-2TNO</v>
      </c>
      <c r="D687" s="360" t="str">
        <f>CONCATENATE(VOL_VOLUMEN_SUMINISTROS[[#This Row],[Grupo]],VOL_VOLUMEN_SUMINISTROS[[#This Row],[Proyecto]],VOL_VOLUMEN_SUMINISTROS[[#This Row],[FIN DE SEMANA]])</f>
        <v>71052-2NO</v>
      </c>
      <c r="E687" s="30" t="s">
        <v>182</v>
      </c>
      <c r="F687" s="30" t="s">
        <v>147</v>
      </c>
      <c r="G687" s="360">
        <v>7</v>
      </c>
      <c r="H687" s="30">
        <v>16</v>
      </c>
      <c r="I687" s="9" t="s">
        <v>434</v>
      </c>
      <c r="J687" s="9" t="s">
        <v>547</v>
      </c>
      <c r="K687" s="30">
        <v>2</v>
      </c>
      <c r="L687" s="9" t="s">
        <v>549</v>
      </c>
      <c r="M687" s="30" t="s">
        <v>84</v>
      </c>
      <c r="N687" s="30" t="s">
        <v>154</v>
      </c>
      <c r="O687" s="24">
        <v>0</v>
      </c>
      <c r="P687" s="24">
        <v>0</v>
      </c>
      <c r="Q687" s="24">
        <v>65</v>
      </c>
      <c r="R687" s="24">
        <v>0</v>
      </c>
      <c r="S687" s="24">
        <v>0</v>
      </c>
      <c r="T687" s="24">
        <v>65</v>
      </c>
    </row>
    <row r="688" spans="1:20">
      <c r="A688" s="9" t="s">
        <v>432</v>
      </c>
      <c r="B688" s="30" t="s">
        <v>553</v>
      </c>
      <c r="C688" s="30" t="str">
        <f>CONCATENATE(VOL_VOLUMEN_SUMINISTROS[[#This Row],[Proyecto]],VOL_VOLUMEN_SUMINISTROS[[#This Row],[J]],VOL_VOLUMEN_SUMINISTROS[[#This Row],[FIN DE SEMANA]])</f>
        <v>1052-2MNO</v>
      </c>
      <c r="D688" s="360" t="str">
        <f>CONCATENATE(VOL_VOLUMEN_SUMINISTROS[[#This Row],[Grupo]],VOL_VOLUMEN_SUMINISTROS[[#This Row],[Proyecto]],VOL_VOLUMEN_SUMINISTROS[[#This Row],[FIN DE SEMANA]])</f>
        <v>71052-2NO</v>
      </c>
      <c r="E688" s="30" t="s">
        <v>182</v>
      </c>
      <c r="F688" s="30" t="s">
        <v>147</v>
      </c>
      <c r="G688" s="360">
        <v>7</v>
      </c>
      <c r="H688" s="30">
        <v>16</v>
      </c>
      <c r="I688" s="9" t="s">
        <v>434</v>
      </c>
      <c r="J688" s="9" t="s">
        <v>514</v>
      </c>
      <c r="K688" s="30">
        <v>2</v>
      </c>
      <c r="L688" s="9" t="s">
        <v>164</v>
      </c>
      <c r="M688" s="30" t="s">
        <v>84</v>
      </c>
      <c r="N688" s="30" t="s">
        <v>151</v>
      </c>
      <c r="O688" s="24">
        <v>103</v>
      </c>
      <c r="P688" s="24">
        <v>0</v>
      </c>
      <c r="Q688" s="24">
        <v>0</v>
      </c>
      <c r="R688" s="24">
        <v>0</v>
      </c>
      <c r="S688" s="24">
        <v>0</v>
      </c>
      <c r="T688" s="24">
        <v>103</v>
      </c>
    </row>
    <row r="689" spans="1:20">
      <c r="A689" s="9" t="s">
        <v>432</v>
      </c>
      <c r="B689" s="30" t="s">
        <v>553</v>
      </c>
      <c r="C689" s="30" t="str">
        <f>CONCATENATE(VOL_VOLUMEN_SUMINISTROS[[#This Row],[Proyecto]],VOL_VOLUMEN_SUMINISTROS[[#This Row],[J]],VOL_VOLUMEN_SUMINISTROS[[#This Row],[FIN DE SEMANA]])</f>
        <v>1052-2TNO</v>
      </c>
      <c r="D689" s="360" t="str">
        <f>CONCATENATE(VOL_VOLUMEN_SUMINISTROS[[#This Row],[Grupo]],VOL_VOLUMEN_SUMINISTROS[[#This Row],[Proyecto]],VOL_VOLUMEN_SUMINISTROS[[#This Row],[FIN DE SEMANA]])</f>
        <v>71052-2NO</v>
      </c>
      <c r="E689" s="30" t="s">
        <v>182</v>
      </c>
      <c r="F689" s="30" t="s">
        <v>147</v>
      </c>
      <c r="G689" s="360">
        <v>7</v>
      </c>
      <c r="H689" s="30">
        <v>16</v>
      </c>
      <c r="I689" s="9" t="s">
        <v>434</v>
      </c>
      <c r="J689" s="9" t="s">
        <v>514</v>
      </c>
      <c r="K689" s="30">
        <v>2</v>
      </c>
      <c r="L689" s="9" t="s">
        <v>164</v>
      </c>
      <c r="M689" s="30" t="s">
        <v>84</v>
      </c>
      <c r="N689" s="30" t="s">
        <v>154</v>
      </c>
      <c r="O689" s="24">
        <v>61</v>
      </c>
      <c r="P689" s="24">
        <v>0</v>
      </c>
      <c r="Q689" s="24">
        <v>0</v>
      </c>
      <c r="R689" s="24">
        <v>0</v>
      </c>
      <c r="S689" s="24">
        <v>0</v>
      </c>
      <c r="T689" s="24">
        <v>61</v>
      </c>
    </row>
    <row r="690" spans="1:20">
      <c r="A690" s="9" t="s">
        <v>432</v>
      </c>
      <c r="B690" s="30" t="s">
        <v>553</v>
      </c>
      <c r="C690" s="30" t="str">
        <f>CONCATENATE(VOL_VOLUMEN_SUMINISTROS[[#This Row],[Proyecto]],VOL_VOLUMEN_SUMINISTROS[[#This Row],[J]],VOL_VOLUMEN_SUMINISTROS[[#This Row],[FIN DE SEMANA]])</f>
        <v>1052-2MNO</v>
      </c>
      <c r="D690" s="360" t="str">
        <f>CONCATENATE(VOL_VOLUMEN_SUMINISTROS[[#This Row],[Grupo]],VOL_VOLUMEN_SUMINISTROS[[#This Row],[Proyecto]],VOL_VOLUMEN_SUMINISTROS[[#This Row],[FIN DE SEMANA]])</f>
        <v>71052-2NO</v>
      </c>
      <c r="E690" s="30" t="s">
        <v>182</v>
      </c>
      <c r="F690" s="30" t="s">
        <v>147</v>
      </c>
      <c r="G690" s="360">
        <v>7</v>
      </c>
      <c r="H690" s="30">
        <v>16</v>
      </c>
      <c r="I690" s="9" t="s">
        <v>434</v>
      </c>
      <c r="J690" s="9" t="s">
        <v>525</v>
      </c>
      <c r="K690" s="30">
        <v>2</v>
      </c>
      <c r="L690" s="9" t="s">
        <v>527</v>
      </c>
      <c r="M690" s="30" t="s">
        <v>84</v>
      </c>
      <c r="N690" s="30" t="s">
        <v>151</v>
      </c>
      <c r="O690" s="24">
        <v>79</v>
      </c>
      <c r="P690" s="24">
        <v>0</v>
      </c>
      <c r="Q690" s="24">
        <v>0</v>
      </c>
      <c r="R690" s="24">
        <v>0</v>
      </c>
      <c r="S690" s="24">
        <v>0</v>
      </c>
      <c r="T690" s="24">
        <v>79</v>
      </c>
    </row>
    <row r="691" spans="1:20">
      <c r="A691" s="9" t="s">
        <v>432</v>
      </c>
      <c r="B691" s="30" t="s">
        <v>553</v>
      </c>
      <c r="C691" s="30" t="str">
        <f>CONCATENATE(VOL_VOLUMEN_SUMINISTROS[[#This Row],[Proyecto]],VOL_VOLUMEN_SUMINISTROS[[#This Row],[J]],VOL_VOLUMEN_SUMINISTROS[[#This Row],[FIN DE SEMANA]])</f>
        <v>1052-2MNO</v>
      </c>
      <c r="D691" s="360" t="str">
        <f>CONCATENATE(VOL_VOLUMEN_SUMINISTROS[[#This Row],[Grupo]],VOL_VOLUMEN_SUMINISTROS[[#This Row],[Proyecto]],VOL_VOLUMEN_SUMINISTROS[[#This Row],[FIN DE SEMANA]])</f>
        <v>71052-2NO</v>
      </c>
      <c r="E691" s="30" t="s">
        <v>182</v>
      </c>
      <c r="F691" s="30" t="s">
        <v>147</v>
      </c>
      <c r="G691" s="360">
        <v>7</v>
      </c>
      <c r="H691" s="30">
        <v>16</v>
      </c>
      <c r="I691" s="9" t="s">
        <v>434</v>
      </c>
      <c r="J691" s="9" t="s">
        <v>537</v>
      </c>
      <c r="K691" s="30">
        <v>2</v>
      </c>
      <c r="L691" s="9" t="s">
        <v>539</v>
      </c>
      <c r="M691" s="30" t="s">
        <v>84</v>
      </c>
      <c r="N691" s="30" t="s">
        <v>151</v>
      </c>
      <c r="O691" s="24">
        <v>50</v>
      </c>
      <c r="P691" s="24">
        <v>0</v>
      </c>
      <c r="Q691" s="24">
        <v>0</v>
      </c>
      <c r="R691" s="24">
        <v>0</v>
      </c>
      <c r="S691" s="24">
        <v>0</v>
      </c>
      <c r="T691" s="24">
        <v>50</v>
      </c>
    </row>
    <row r="692" spans="1:20">
      <c r="A692" s="9" t="s">
        <v>432</v>
      </c>
      <c r="B692" s="30" t="s">
        <v>553</v>
      </c>
      <c r="C692" s="30" t="str">
        <f>CONCATENATE(VOL_VOLUMEN_SUMINISTROS[[#This Row],[Proyecto]],VOL_VOLUMEN_SUMINISTROS[[#This Row],[J]],VOL_VOLUMEN_SUMINISTROS[[#This Row],[FIN DE SEMANA]])</f>
        <v>1052-2MNO</v>
      </c>
      <c r="D692" s="360" t="str">
        <f>CONCATENATE(VOL_VOLUMEN_SUMINISTROS[[#This Row],[Grupo]],VOL_VOLUMEN_SUMINISTROS[[#This Row],[Proyecto]],VOL_VOLUMEN_SUMINISTROS[[#This Row],[FIN DE SEMANA]])</f>
        <v>71052-2NO</v>
      </c>
      <c r="E692" s="30" t="s">
        <v>182</v>
      </c>
      <c r="F692" s="30" t="s">
        <v>147</v>
      </c>
      <c r="G692" s="360">
        <v>7</v>
      </c>
      <c r="H692" s="30">
        <v>16</v>
      </c>
      <c r="I692" s="9" t="s">
        <v>434</v>
      </c>
      <c r="J692" s="9" t="s">
        <v>543</v>
      </c>
      <c r="K692" s="30">
        <v>1</v>
      </c>
      <c r="L692" s="9" t="s">
        <v>544</v>
      </c>
      <c r="M692" s="30" t="s">
        <v>84</v>
      </c>
      <c r="N692" s="30" t="s">
        <v>151</v>
      </c>
      <c r="O692" s="24">
        <v>90</v>
      </c>
      <c r="P692" s="24">
        <v>0</v>
      </c>
      <c r="Q692" s="24">
        <v>0</v>
      </c>
      <c r="R692" s="24">
        <v>0</v>
      </c>
      <c r="S692" s="24">
        <v>0</v>
      </c>
      <c r="T692" s="24">
        <v>90</v>
      </c>
    </row>
    <row r="693" spans="1:20">
      <c r="A693" s="9" t="s">
        <v>554</v>
      </c>
      <c r="B693" s="30" t="s">
        <v>555</v>
      </c>
      <c r="C693" s="30" t="str">
        <f>CONCATENATE(VOL_VOLUMEN_SUMINISTROS[[#This Row],[Proyecto]],VOL_VOLUMEN_SUMINISTROS[[#This Row],[J]],VOL_VOLUMEN_SUMINISTROS[[#This Row],[FIN DE SEMANA]])</f>
        <v>1052-1MNO</v>
      </c>
      <c r="D693" s="360" t="str">
        <f>CONCATENATE(VOL_VOLUMEN_SUMINISTROS[[#This Row],[Grupo]],VOL_VOLUMEN_SUMINISTROS[[#This Row],[Proyecto]],VOL_VOLUMEN_SUMINISTROS[[#This Row],[FIN DE SEMANA]])</f>
        <v>141052-1NO</v>
      </c>
      <c r="E693" s="30" t="s">
        <v>146</v>
      </c>
      <c r="F693" s="30" t="s">
        <v>147</v>
      </c>
      <c r="G693" s="360">
        <v>14</v>
      </c>
      <c r="H693" s="30">
        <v>14</v>
      </c>
      <c r="I693" s="9" t="s">
        <v>556</v>
      </c>
      <c r="J693" s="9" t="s">
        <v>557</v>
      </c>
      <c r="K693" s="30">
        <v>1</v>
      </c>
      <c r="L693" s="9" t="s">
        <v>152</v>
      </c>
      <c r="M693" s="30" t="s">
        <v>84</v>
      </c>
      <c r="N693" s="30" t="s">
        <v>151</v>
      </c>
      <c r="O693" s="24">
        <v>142</v>
      </c>
      <c r="P693" s="24">
        <v>305</v>
      </c>
      <c r="Q693" s="24">
        <v>331</v>
      </c>
      <c r="R693" s="24">
        <v>0</v>
      </c>
      <c r="S693" s="24">
        <v>0</v>
      </c>
      <c r="T693" s="24">
        <v>778</v>
      </c>
    </row>
    <row r="694" spans="1:20">
      <c r="A694" s="9" t="s">
        <v>554</v>
      </c>
      <c r="B694" s="30" t="s">
        <v>555</v>
      </c>
      <c r="C694" s="30" t="str">
        <f>CONCATENATE(VOL_VOLUMEN_SUMINISTROS[[#This Row],[Proyecto]],VOL_VOLUMEN_SUMINISTROS[[#This Row],[J]],VOL_VOLUMEN_SUMINISTROS[[#This Row],[FIN DE SEMANA]])</f>
        <v>1052-1TNO</v>
      </c>
      <c r="D694" s="360" t="str">
        <f>CONCATENATE(VOL_VOLUMEN_SUMINISTROS[[#This Row],[Grupo]],VOL_VOLUMEN_SUMINISTROS[[#This Row],[Proyecto]],VOL_VOLUMEN_SUMINISTROS[[#This Row],[FIN DE SEMANA]])</f>
        <v>141052-1NO</v>
      </c>
      <c r="E694" s="30" t="s">
        <v>146</v>
      </c>
      <c r="F694" s="30" t="s">
        <v>147</v>
      </c>
      <c r="G694" s="360">
        <v>14</v>
      </c>
      <c r="H694" s="30">
        <v>14</v>
      </c>
      <c r="I694" s="9" t="s">
        <v>556</v>
      </c>
      <c r="J694" s="9" t="s">
        <v>557</v>
      </c>
      <c r="K694" s="30">
        <v>1</v>
      </c>
      <c r="L694" s="9" t="s">
        <v>152</v>
      </c>
      <c r="M694" s="30" t="s">
        <v>84</v>
      </c>
      <c r="N694" s="30" t="s">
        <v>154</v>
      </c>
      <c r="O694" s="24">
        <v>114</v>
      </c>
      <c r="P694" s="24">
        <v>276</v>
      </c>
      <c r="Q694" s="24">
        <v>234</v>
      </c>
      <c r="R694" s="24">
        <v>0</v>
      </c>
      <c r="S694" s="24">
        <v>0</v>
      </c>
      <c r="T694" s="24">
        <v>624</v>
      </c>
    </row>
    <row r="695" spans="1:20">
      <c r="A695" s="9" t="s">
        <v>554</v>
      </c>
      <c r="B695" s="30" t="s">
        <v>555</v>
      </c>
      <c r="C695" s="30" t="str">
        <f>CONCATENATE(VOL_VOLUMEN_SUMINISTROS[[#This Row],[Proyecto]],VOL_VOLUMEN_SUMINISTROS[[#This Row],[J]],VOL_VOLUMEN_SUMINISTROS[[#This Row],[FIN DE SEMANA]])</f>
        <v>1052-1MNO</v>
      </c>
      <c r="D695" s="360" t="str">
        <f>CONCATENATE(VOL_VOLUMEN_SUMINISTROS[[#This Row],[Grupo]],VOL_VOLUMEN_SUMINISTROS[[#This Row],[Proyecto]],VOL_VOLUMEN_SUMINISTROS[[#This Row],[FIN DE SEMANA]])</f>
        <v>141052-1NO</v>
      </c>
      <c r="E695" s="30" t="s">
        <v>146</v>
      </c>
      <c r="F695" s="30" t="s">
        <v>147</v>
      </c>
      <c r="G695" s="360">
        <v>14</v>
      </c>
      <c r="H695" s="30">
        <v>14</v>
      </c>
      <c r="I695" s="9" t="s">
        <v>556</v>
      </c>
      <c r="J695" s="9" t="s">
        <v>557</v>
      </c>
      <c r="K695" s="30">
        <v>2</v>
      </c>
      <c r="L695" s="9" t="s">
        <v>164</v>
      </c>
      <c r="M695" s="30" t="s">
        <v>84</v>
      </c>
      <c r="N695" s="30" t="s">
        <v>151</v>
      </c>
      <c r="O695" s="24">
        <v>124</v>
      </c>
      <c r="P695" s="24">
        <v>0</v>
      </c>
      <c r="Q695" s="24">
        <v>0</v>
      </c>
      <c r="R695" s="24">
        <v>0</v>
      </c>
      <c r="S695" s="24">
        <v>0</v>
      </c>
      <c r="T695" s="24">
        <v>124</v>
      </c>
    </row>
    <row r="696" spans="1:20">
      <c r="A696" s="9" t="s">
        <v>554</v>
      </c>
      <c r="B696" s="30" t="s">
        <v>555</v>
      </c>
      <c r="C696" s="30" t="str">
        <f>CONCATENATE(VOL_VOLUMEN_SUMINISTROS[[#This Row],[Proyecto]],VOL_VOLUMEN_SUMINISTROS[[#This Row],[J]],VOL_VOLUMEN_SUMINISTROS[[#This Row],[FIN DE SEMANA]])</f>
        <v>1052-1TNO</v>
      </c>
      <c r="D696" s="360" t="str">
        <f>CONCATENATE(VOL_VOLUMEN_SUMINISTROS[[#This Row],[Grupo]],VOL_VOLUMEN_SUMINISTROS[[#This Row],[Proyecto]],VOL_VOLUMEN_SUMINISTROS[[#This Row],[FIN DE SEMANA]])</f>
        <v>141052-1NO</v>
      </c>
      <c r="E696" s="30" t="s">
        <v>146</v>
      </c>
      <c r="F696" s="30" t="s">
        <v>147</v>
      </c>
      <c r="G696" s="360">
        <v>14</v>
      </c>
      <c r="H696" s="30">
        <v>14</v>
      </c>
      <c r="I696" s="9" t="s">
        <v>556</v>
      </c>
      <c r="J696" s="9" t="s">
        <v>557</v>
      </c>
      <c r="K696" s="30">
        <v>2</v>
      </c>
      <c r="L696" s="9" t="s">
        <v>164</v>
      </c>
      <c r="M696" s="30" t="s">
        <v>84</v>
      </c>
      <c r="N696" s="30" t="s">
        <v>154</v>
      </c>
      <c r="O696" s="24">
        <v>31</v>
      </c>
      <c r="P696" s="24">
        <v>0</v>
      </c>
      <c r="Q696" s="24">
        <v>0</v>
      </c>
      <c r="R696" s="24">
        <v>0</v>
      </c>
      <c r="S696" s="24">
        <v>0</v>
      </c>
      <c r="T696" s="24">
        <v>31</v>
      </c>
    </row>
    <row r="697" spans="1:20">
      <c r="A697" s="9" t="s">
        <v>554</v>
      </c>
      <c r="B697" s="30" t="s">
        <v>555</v>
      </c>
      <c r="C697" s="30" t="str">
        <f>CONCATENATE(VOL_VOLUMEN_SUMINISTROS[[#This Row],[Proyecto]],VOL_VOLUMEN_SUMINISTROS[[#This Row],[J]],VOL_VOLUMEN_SUMINISTROS[[#This Row],[FIN DE SEMANA]])</f>
        <v>1052-1MNO</v>
      </c>
      <c r="D697" s="360" t="str">
        <f>CONCATENATE(VOL_VOLUMEN_SUMINISTROS[[#This Row],[Grupo]],VOL_VOLUMEN_SUMINISTROS[[#This Row],[Proyecto]],VOL_VOLUMEN_SUMINISTROS[[#This Row],[FIN DE SEMANA]])</f>
        <v>141052-1NO</v>
      </c>
      <c r="E697" s="30" t="s">
        <v>146</v>
      </c>
      <c r="F697" s="30" t="s">
        <v>147</v>
      </c>
      <c r="G697" s="360">
        <v>14</v>
      </c>
      <c r="H697" s="30">
        <v>14</v>
      </c>
      <c r="I697" s="9" t="s">
        <v>556</v>
      </c>
      <c r="J697" s="9" t="s">
        <v>558</v>
      </c>
      <c r="K697" s="30">
        <v>1</v>
      </c>
      <c r="L697" s="9" t="s">
        <v>152</v>
      </c>
      <c r="M697" s="30" t="s">
        <v>84</v>
      </c>
      <c r="N697" s="30" t="s">
        <v>151</v>
      </c>
      <c r="O697" s="24">
        <v>0</v>
      </c>
      <c r="P697" s="24">
        <v>123</v>
      </c>
      <c r="Q697" s="24">
        <v>204</v>
      </c>
      <c r="R697" s="24">
        <v>0</v>
      </c>
      <c r="S697" s="24">
        <v>0</v>
      </c>
      <c r="T697" s="24">
        <v>327</v>
      </c>
    </row>
    <row r="698" spans="1:20">
      <c r="A698" s="9" t="s">
        <v>554</v>
      </c>
      <c r="B698" s="30" t="s">
        <v>555</v>
      </c>
      <c r="C698" s="30" t="str">
        <f>CONCATENATE(VOL_VOLUMEN_SUMINISTROS[[#This Row],[Proyecto]],VOL_VOLUMEN_SUMINISTROS[[#This Row],[J]],VOL_VOLUMEN_SUMINISTROS[[#This Row],[FIN DE SEMANA]])</f>
        <v>1052-1TNO</v>
      </c>
      <c r="D698" s="360" t="str">
        <f>CONCATENATE(VOL_VOLUMEN_SUMINISTROS[[#This Row],[Grupo]],VOL_VOLUMEN_SUMINISTROS[[#This Row],[Proyecto]],VOL_VOLUMEN_SUMINISTROS[[#This Row],[FIN DE SEMANA]])</f>
        <v>141052-1NO</v>
      </c>
      <c r="E698" s="30" t="s">
        <v>146</v>
      </c>
      <c r="F698" s="30" t="s">
        <v>147</v>
      </c>
      <c r="G698" s="360">
        <v>14</v>
      </c>
      <c r="H698" s="30">
        <v>14</v>
      </c>
      <c r="I698" s="9" t="s">
        <v>556</v>
      </c>
      <c r="J698" s="9" t="s">
        <v>558</v>
      </c>
      <c r="K698" s="30">
        <v>1</v>
      </c>
      <c r="L698" s="9" t="s">
        <v>152</v>
      </c>
      <c r="M698" s="30" t="s">
        <v>84</v>
      </c>
      <c r="N698" s="30" t="s">
        <v>154</v>
      </c>
      <c r="O698" s="24">
        <v>14</v>
      </c>
      <c r="P698" s="24">
        <v>139</v>
      </c>
      <c r="Q698" s="24">
        <v>142</v>
      </c>
      <c r="R698" s="24">
        <v>0</v>
      </c>
      <c r="S698" s="24">
        <v>0</v>
      </c>
      <c r="T698" s="24">
        <v>295</v>
      </c>
    </row>
    <row r="699" spans="1:20">
      <c r="A699" s="9" t="s">
        <v>554</v>
      </c>
      <c r="B699" s="30" t="s">
        <v>555</v>
      </c>
      <c r="C699" s="30" t="str">
        <f>CONCATENATE(VOL_VOLUMEN_SUMINISTROS[[#This Row],[Proyecto]],VOL_VOLUMEN_SUMINISTROS[[#This Row],[J]],VOL_VOLUMEN_SUMINISTROS[[#This Row],[FIN DE SEMANA]])</f>
        <v>1052-1MNO</v>
      </c>
      <c r="D699" s="360" t="str">
        <f>CONCATENATE(VOL_VOLUMEN_SUMINISTROS[[#This Row],[Grupo]],VOL_VOLUMEN_SUMINISTROS[[#This Row],[Proyecto]],VOL_VOLUMEN_SUMINISTROS[[#This Row],[FIN DE SEMANA]])</f>
        <v>141052-1NO</v>
      </c>
      <c r="E699" s="30" t="s">
        <v>146</v>
      </c>
      <c r="F699" s="30" t="s">
        <v>147</v>
      </c>
      <c r="G699" s="360">
        <v>14</v>
      </c>
      <c r="H699" s="30">
        <v>14</v>
      </c>
      <c r="I699" s="9" t="s">
        <v>556</v>
      </c>
      <c r="J699" s="9" t="s">
        <v>558</v>
      </c>
      <c r="K699" s="30">
        <v>2</v>
      </c>
      <c r="L699" s="9" t="s">
        <v>164</v>
      </c>
      <c r="M699" s="30" t="s">
        <v>84</v>
      </c>
      <c r="N699" s="30" t="s">
        <v>151</v>
      </c>
      <c r="O699" s="24">
        <v>116</v>
      </c>
      <c r="P699" s="24">
        <v>69</v>
      </c>
      <c r="Q699" s="24">
        <v>9</v>
      </c>
      <c r="R699" s="24">
        <v>0</v>
      </c>
      <c r="S699" s="24">
        <v>0</v>
      </c>
      <c r="T699" s="24">
        <v>194</v>
      </c>
    </row>
    <row r="700" spans="1:20">
      <c r="A700" s="9" t="s">
        <v>554</v>
      </c>
      <c r="B700" s="30" t="s">
        <v>555</v>
      </c>
      <c r="C700" s="30" t="str">
        <f>CONCATENATE(VOL_VOLUMEN_SUMINISTROS[[#This Row],[Proyecto]],VOL_VOLUMEN_SUMINISTROS[[#This Row],[J]],VOL_VOLUMEN_SUMINISTROS[[#This Row],[FIN DE SEMANA]])</f>
        <v>1052-1TNO</v>
      </c>
      <c r="D700" s="360" t="str">
        <f>CONCATENATE(VOL_VOLUMEN_SUMINISTROS[[#This Row],[Grupo]],VOL_VOLUMEN_SUMINISTROS[[#This Row],[Proyecto]],VOL_VOLUMEN_SUMINISTROS[[#This Row],[FIN DE SEMANA]])</f>
        <v>141052-1NO</v>
      </c>
      <c r="E700" s="30" t="s">
        <v>146</v>
      </c>
      <c r="F700" s="30" t="s">
        <v>147</v>
      </c>
      <c r="G700" s="360">
        <v>14</v>
      </c>
      <c r="H700" s="30">
        <v>14</v>
      </c>
      <c r="I700" s="9" t="s">
        <v>556</v>
      </c>
      <c r="J700" s="9" t="s">
        <v>558</v>
      </c>
      <c r="K700" s="30">
        <v>2</v>
      </c>
      <c r="L700" s="9" t="s">
        <v>164</v>
      </c>
      <c r="M700" s="30" t="s">
        <v>84</v>
      </c>
      <c r="N700" s="30" t="s">
        <v>154</v>
      </c>
      <c r="O700" s="24">
        <v>120</v>
      </c>
      <c r="P700" s="24">
        <v>56</v>
      </c>
      <c r="Q700" s="24">
        <v>4</v>
      </c>
      <c r="R700" s="24">
        <v>0</v>
      </c>
      <c r="S700" s="24">
        <v>0</v>
      </c>
      <c r="T700" s="24">
        <v>180</v>
      </c>
    </row>
    <row r="701" spans="1:20">
      <c r="A701" s="9" t="s">
        <v>554</v>
      </c>
      <c r="B701" s="30" t="s">
        <v>555</v>
      </c>
      <c r="C701" s="30" t="str">
        <f>CONCATENATE(VOL_VOLUMEN_SUMINISTROS[[#This Row],[Proyecto]],VOL_VOLUMEN_SUMINISTROS[[#This Row],[J]],VOL_VOLUMEN_SUMINISTROS[[#This Row],[FIN DE SEMANA]])</f>
        <v>1052-1MNO</v>
      </c>
      <c r="D701" s="360" t="str">
        <f>CONCATENATE(VOL_VOLUMEN_SUMINISTROS[[#This Row],[Grupo]],VOL_VOLUMEN_SUMINISTROS[[#This Row],[Proyecto]],VOL_VOLUMEN_SUMINISTROS[[#This Row],[FIN DE SEMANA]])</f>
        <v>141052-1NO</v>
      </c>
      <c r="E701" s="30" t="s">
        <v>146</v>
      </c>
      <c r="F701" s="30" t="s">
        <v>147</v>
      </c>
      <c r="G701" s="360">
        <v>14</v>
      </c>
      <c r="H701" s="30">
        <v>14</v>
      </c>
      <c r="I701" s="9" t="s">
        <v>556</v>
      </c>
      <c r="J701" s="9" t="s">
        <v>559</v>
      </c>
      <c r="K701" s="30">
        <v>1</v>
      </c>
      <c r="L701" s="9" t="s">
        <v>560</v>
      </c>
      <c r="M701" s="30" t="s">
        <v>84</v>
      </c>
      <c r="N701" s="30" t="s">
        <v>151</v>
      </c>
      <c r="O701" s="24">
        <v>0</v>
      </c>
      <c r="P701" s="24">
        <v>141</v>
      </c>
      <c r="Q701" s="24">
        <v>386</v>
      </c>
      <c r="R701" s="24">
        <v>0</v>
      </c>
      <c r="S701" s="24">
        <v>0</v>
      </c>
      <c r="T701" s="24">
        <v>527</v>
      </c>
    </row>
    <row r="702" spans="1:20">
      <c r="A702" s="9" t="s">
        <v>554</v>
      </c>
      <c r="B702" s="30" t="s">
        <v>555</v>
      </c>
      <c r="C702" s="30" t="str">
        <f>CONCATENATE(VOL_VOLUMEN_SUMINISTROS[[#This Row],[Proyecto]],VOL_VOLUMEN_SUMINISTROS[[#This Row],[J]],VOL_VOLUMEN_SUMINISTROS[[#This Row],[FIN DE SEMANA]])</f>
        <v>1052-1TNO</v>
      </c>
      <c r="D702" s="360" t="str">
        <f>CONCATENATE(VOL_VOLUMEN_SUMINISTROS[[#This Row],[Grupo]],VOL_VOLUMEN_SUMINISTROS[[#This Row],[Proyecto]],VOL_VOLUMEN_SUMINISTROS[[#This Row],[FIN DE SEMANA]])</f>
        <v>141052-1NO</v>
      </c>
      <c r="E702" s="30" t="s">
        <v>146</v>
      </c>
      <c r="F702" s="30" t="s">
        <v>147</v>
      </c>
      <c r="G702" s="360">
        <v>14</v>
      </c>
      <c r="H702" s="30">
        <v>14</v>
      </c>
      <c r="I702" s="9" t="s">
        <v>556</v>
      </c>
      <c r="J702" s="9" t="s">
        <v>559</v>
      </c>
      <c r="K702" s="30">
        <v>1</v>
      </c>
      <c r="L702" s="9" t="s">
        <v>560</v>
      </c>
      <c r="M702" s="30" t="s">
        <v>84</v>
      </c>
      <c r="N702" s="30" t="s">
        <v>154</v>
      </c>
      <c r="O702" s="24">
        <v>0</v>
      </c>
      <c r="P702" s="24">
        <v>135</v>
      </c>
      <c r="Q702" s="24">
        <v>357</v>
      </c>
      <c r="R702" s="24">
        <v>0</v>
      </c>
      <c r="S702" s="24">
        <v>0</v>
      </c>
      <c r="T702" s="24">
        <v>492</v>
      </c>
    </row>
    <row r="703" spans="1:20">
      <c r="A703" s="9" t="s">
        <v>554</v>
      </c>
      <c r="B703" s="30" t="s">
        <v>555</v>
      </c>
      <c r="C703" s="30" t="str">
        <f>CONCATENATE(VOL_VOLUMEN_SUMINISTROS[[#This Row],[Proyecto]],VOL_VOLUMEN_SUMINISTROS[[#This Row],[J]],VOL_VOLUMEN_SUMINISTROS[[#This Row],[FIN DE SEMANA]])</f>
        <v>1052-1MNO</v>
      </c>
      <c r="D703" s="360" t="str">
        <f>CONCATENATE(VOL_VOLUMEN_SUMINISTROS[[#This Row],[Grupo]],VOL_VOLUMEN_SUMINISTROS[[#This Row],[Proyecto]],VOL_VOLUMEN_SUMINISTROS[[#This Row],[FIN DE SEMANA]])</f>
        <v>141052-1NO</v>
      </c>
      <c r="E703" s="30" t="s">
        <v>146</v>
      </c>
      <c r="F703" s="30" t="s">
        <v>147</v>
      </c>
      <c r="G703" s="360">
        <v>14</v>
      </c>
      <c r="H703" s="30">
        <v>14</v>
      </c>
      <c r="I703" s="9" t="s">
        <v>556</v>
      </c>
      <c r="J703" s="9" t="s">
        <v>559</v>
      </c>
      <c r="K703" s="30">
        <v>2</v>
      </c>
      <c r="L703" s="9" t="s">
        <v>164</v>
      </c>
      <c r="M703" s="30" t="s">
        <v>84</v>
      </c>
      <c r="N703" s="30" t="s">
        <v>151</v>
      </c>
      <c r="O703" s="24">
        <v>191</v>
      </c>
      <c r="P703" s="24">
        <v>169</v>
      </c>
      <c r="Q703" s="24">
        <v>34</v>
      </c>
      <c r="R703" s="24">
        <v>0</v>
      </c>
      <c r="S703" s="24">
        <v>0</v>
      </c>
      <c r="T703" s="24">
        <v>394</v>
      </c>
    </row>
    <row r="704" spans="1:20">
      <c r="A704" s="9" t="s">
        <v>554</v>
      </c>
      <c r="B704" s="30" t="s">
        <v>555</v>
      </c>
      <c r="C704" s="30" t="str">
        <f>CONCATENATE(VOL_VOLUMEN_SUMINISTROS[[#This Row],[Proyecto]],VOL_VOLUMEN_SUMINISTROS[[#This Row],[J]],VOL_VOLUMEN_SUMINISTROS[[#This Row],[FIN DE SEMANA]])</f>
        <v>1052-1TNO</v>
      </c>
      <c r="D704" s="360" t="str">
        <f>CONCATENATE(VOL_VOLUMEN_SUMINISTROS[[#This Row],[Grupo]],VOL_VOLUMEN_SUMINISTROS[[#This Row],[Proyecto]],VOL_VOLUMEN_SUMINISTROS[[#This Row],[FIN DE SEMANA]])</f>
        <v>141052-1NO</v>
      </c>
      <c r="E704" s="30" t="s">
        <v>146</v>
      </c>
      <c r="F704" s="30" t="s">
        <v>147</v>
      </c>
      <c r="G704" s="360">
        <v>14</v>
      </c>
      <c r="H704" s="30">
        <v>14</v>
      </c>
      <c r="I704" s="9" t="s">
        <v>556</v>
      </c>
      <c r="J704" s="9" t="s">
        <v>559</v>
      </c>
      <c r="K704" s="30">
        <v>2</v>
      </c>
      <c r="L704" s="9" t="s">
        <v>164</v>
      </c>
      <c r="M704" s="30" t="s">
        <v>84</v>
      </c>
      <c r="N704" s="30" t="s">
        <v>154</v>
      </c>
      <c r="O704" s="24">
        <v>175</v>
      </c>
      <c r="P704" s="24">
        <v>190</v>
      </c>
      <c r="Q704" s="24">
        <v>41</v>
      </c>
      <c r="R704" s="24">
        <v>0</v>
      </c>
      <c r="S704" s="24">
        <v>0</v>
      </c>
      <c r="T704" s="24">
        <v>406</v>
      </c>
    </row>
    <row r="705" spans="1:20">
      <c r="A705" s="9" t="s">
        <v>554</v>
      </c>
      <c r="B705" s="30" t="s">
        <v>555</v>
      </c>
      <c r="C705" s="30" t="str">
        <f>CONCATENATE(VOL_VOLUMEN_SUMINISTROS[[#This Row],[Proyecto]],VOL_VOLUMEN_SUMINISTROS[[#This Row],[J]],VOL_VOLUMEN_SUMINISTROS[[#This Row],[FIN DE SEMANA]])</f>
        <v>1052-1MNO</v>
      </c>
      <c r="D705" s="360" t="str">
        <f>CONCATENATE(VOL_VOLUMEN_SUMINISTROS[[#This Row],[Grupo]],VOL_VOLUMEN_SUMINISTROS[[#This Row],[Proyecto]],VOL_VOLUMEN_SUMINISTROS[[#This Row],[FIN DE SEMANA]])</f>
        <v>141052-1NO</v>
      </c>
      <c r="E705" s="30" t="s">
        <v>146</v>
      </c>
      <c r="F705" s="30" t="s">
        <v>147</v>
      </c>
      <c r="G705" s="360">
        <v>14</v>
      </c>
      <c r="H705" s="30">
        <v>14</v>
      </c>
      <c r="I705" s="9" t="s">
        <v>556</v>
      </c>
      <c r="J705" s="9" t="s">
        <v>561</v>
      </c>
      <c r="K705" s="30">
        <v>1</v>
      </c>
      <c r="L705" s="9" t="s">
        <v>562</v>
      </c>
      <c r="M705" s="30" t="s">
        <v>84</v>
      </c>
      <c r="N705" s="30" t="s">
        <v>151</v>
      </c>
      <c r="O705" s="24">
        <v>104</v>
      </c>
      <c r="P705" s="24">
        <v>205</v>
      </c>
      <c r="Q705" s="24">
        <v>246</v>
      </c>
      <c r="R705" s="24">
        <v>0</v>
      </c>
      <c r="S705" s="24">
        <v>0</v>
      </c>
      <c r="T705" s="24">
        <v>555</v>
      </c>
    </row>
    <row r="706" spans="1:20">
      <c r="A706" s="9" t="s">
        <v>554</v>
      </c>
      <c r="B706" s="30" t="s">
        <v>555</v>
      </c>
      <c r="C706" s="30" t="str">
        <f>CONCATENATE(VOL_VOLUMEN_SUMINISTROS[[#This Row],[Proyecto]],VOL_VOLUMEN_SUMINISTROS[[#This Row],[J]],VOL_VOLUMEN_SUMINISTROS[[#This Row],[FIN DE SEMANA]])</f>
        <v>1052-1TNO</v>
      </c>
      <c r="D706" s="360" t="str">
        <f>CONCATENATE(VOL_VOLUMEN_SUMINISTROS[[#This Row],[Grupo]],VOL_VOLUMEN_SUMINISTROS[[#This Row],[Proyecto]],VOL_VOLUMEN_SUMINISTROS[[#This Row],[FIN DE SEMANA]])</f>
        <v>141052-1NO</v>
      </c>
      <c r="E706" s="30" t="s">
        <v>146</v>
      </c>
      <c r="F706" s="30" t="s">
        <v>147</v>
      </c>
      <c r="G706" s="360">
        <v>14</v>
      </c>
      <c r="H706" s="30">
        <v>14</v>
      </c>
      <c r="I706" s="9" t="s">
        <v>556</v>
      </c>
      <c r="J706" s="9" t="s">
        <v>561</v>
      </c>
      <c r="K706" s="30">
        <v>1</v>
      </c>
      <c r="L706" s="9" t="s">
        <v>562</v>
      </c>
      <c r="M706" s="30" t="s">
        <v>84</v>
      </c>
      <c r="N706" s="30" t="s">
        <v>154</v>
      </c>
      <c r="O706" s="24">
        <v>112</v>
      </c>
      <c r="P706" s="24">
        <v>227</v>
      </c>
      <c r="Q706" s="24">
        <v>265</v>
      </c>
      <c r="R706" s="24">
        <v>0</v>
      </c>
      <c r="S706" s="24">
        <v>0</v>
      </c>
      <c r="T706" s="24">
        <v>604</v>
      </c>
    </row>
    <row r="707" spans="1:20">
      <c r="A707" s="9" t="s">
        <v>554</v>
      </c>
      <c r="B707" s="30" t="s">
        <v>555</v>
      </c>
      <c r="C707" s="30" t="str">
        <f>CONCATENATE(VOL_VOLUMEN_SUMINISTROS[[#This Row],[Proyecto]],VOL_VOLUMEN_SUMINISTROS[[#This Row],[J]],VOL_VOLUMEN_SUMINISTROS[[#This Row],[FIN DE SEMANA]])</f>
        <v>1052-1MNO</v>
      </c>
      <c r="D707" s="360" t="str">
        <f>CONCATENATE(VOL_VOLUMEN_SUMINISTROS[[#This Row],[Grupo]],VOL_VOLUMEN_SUMINISTROS[[#This Row],[Proyecto]],VOL_VOLUMEN_SUMINISTROS[[#This Row],[FIN DE SEMANA]])</f>
        <v>141052-1NO</v>
      </c>
      <c r="E707" s="30" t="s">
        <v>146</v>
      </c>
      <c r="F707" s="30" t="s">
        <v>147</v>
      </c>
      <c r="G707" s="360">
        <v>14</v>
      </c>
      <c r="H707" s="30">
        <v>14</v>
      </c>
      <c r="I707" s="9" t="s">
        <v>556</v>
      </c>
      <c r="J707" s="9" t="s">
        <v>561</v>
      </c>
      <c r="K707" s="30">
        <v>2</v>
      </c>
      <c r="L707" s="9" t="s">
        <v>164</v>
      </c>
      <c r="M707" s="30" t="s">
        <v>84</v>
      </c>
      <c r="N707" s="30" t="s">
        <v>151</v>
      </c>
      <c r="O707" s="24">
        <v>90</v>
      </c>
      <c r="P707" s="24">
        <v>0</v>
      </c>
      <c r="Q707" s="24">
        <v>0</v>
      </c>
      <c r="R707" s="24">
        <v>0</v>
      </c>
      <c r="S707" s="24">
        <v>0</v>
      </c>
      <c r="T707" s="24">
        <v>90</v>
      </c>
    </row>
    <row r="708" spans="1:20">
      <c r="A708" s="9" t="s">
        <v>554</v>
      </c>
      <c r="B708" s="30" t="s">
        <v>555</v>
      </c>
      <c r="C708" s="30" t="str">
        <f>CONCATENATE(VOL_VOLUMEN_SUMINISTROS[[#This Row],[Proyecto]],VOL_VOLUMEN_SUMINISTROS[[#This Row],[J]],VOL_VOLUMEN_SUMINISTROS[[#This Row],[FIN DE SEMANA]])</f>
        <v>1052-1TNO</v>
      </c>
      <c r="D708" s="360" t="str">
        <f>CONCATENATE(VOL_VOLUMEN_SUMINISTROS[[#This Row],[Grupo]],VOL_VOLUMEN_SUMINISTROS[[#This Row],[Proyecto]],VOL_VOLUMEN_SUMINISTROS[[#This Row],[FIN DE SEMANA]])</f>
        <v>141052-1NO</v>
      </c>
      <c r="E708" s="30" t="s">
        <v>146</v>
      </c>
      <c r="F708" s="30" t="s">
        <v>147</v>
      </c>
      <c r="G708" s="360">
        <v>14</v>
      </c>
      <c r="H708" s="30">
        <v>14</v>
      </c>
      <c r="I708" s="9" t="s">
        <v>556</v>
      </c>
      <c r="J708" s="9" t="s">
        <v>561</v>
      </c>
      <c r="K708" s="30">
        <v>2</v>
      </c>
      <c r="L708" s="9" t="s">
        <v>164</v>
      </c>
      <c r="M708" s="30" t="s">
        <v>84</v>
      </c>
      <c r="N708" s="30" t="s">
        <v>154</v>
      </c>
      <c r="O708" s="24">
        <v>90</v>
      </c>
      <c r="P708" s="24">
        <v>0</v>
      </c>
      <c r="Q708" s="24">
        <v>0</v>
      </c>
      <c r="R708" s="24">
        <v>0</v>
      </c>
      <c r="S708" s="24">
        <v>0</v>
      </c>
      <c r="T708" s="24">
        <v>90</v>
      </c>
    </row>
    <row r="709" spans="1:20">
      <c r="A709" s="9" t="s">
        <v>554</v>
      </c>
      <c r="B709" s="30" t="s">
        <v>555</v>
      </c>
      <c r="C709" s="30" t="str">
        <f>CONCATENATE(VOL_VOLUMEN_SUMINISTROS[[#This Row],[Proyecto]],VOL_VOLUMEN_SUMINISTROS[[#This Row],[J]],VOL_VOLUMEN_SUMINISTROS[[#This Row],[FIN DE SEMANA]])</f>
        <v>1052-1MNO</v>
      </c>
      <c r="D709" s="360" t="str">
        <f>CONCATENATE(VOL_VOLUMEN_SUMINISTROS[[#This Row],[Grupo]],VOL_VOLUMEN_SUMINISTROS[[#This Row],[Proyecto]],VOL_VOLUMEN_SUMINISTROS[[#This Row],[FIN DE SEMANA]])</f>
        <v>141052-1NO</v>
      </c>
      <c r="E709" s="30" t="s">
        <v>146</v>
      </c>
      <c r="F709" s="30" t="s">
        <v>147</v>
      </c>
      <c r="G709" s="360">
        <v>14</v>
      </c>
      <c r="H709" s="30">
        <v>14</v>
      </c>
      <c r="I709" s="9" t="s">
        <v>556</v>
      </c>
      <c r="J709" s="9" t="s">
        <v>563</v>
      </c>
      <c r="K709" s="30">
        <v>1</v>
      </c>
      <c r="L709" s="9" t="s">
        <v>564</v>
      </c>
      <c r="M709" s="30" t="s">
        <v>84</v>
      </c>
      <c r="N709" s="30" t="s">
        <v>151</v>
      </c>
      <c r="O709" s="24">
        <v>101</v>
      </c>
      <c r="P709" s="24">
        <v>115</v>
      </c>
      <c r="Q709" s="24">
        <v>25</v>
      </c>
      <c r="R709" s="24">
        <v>0</v>
      </c>
      <c r="S709" s="24">
        <v>0</v>
      </c>
      <c r="T709" s="24">
        <v>241</v>
      </c>
    </row>
    <row r="710" spans="1:20">
      <c r="A710" s="9" t="s">
        <v>554</v>
      </c>
      <c r="B710" s="30" t="s">
        <v>555</v>
      </c>
      <c r="C710" s="30" t="str">
        <f>CONCATENATE(VOL_VOLUMEN_SUMINISTROS[[#This Row],[Proyecto]],VOL_VOLUMEN_SUMINISTROS[[#This Row],[J]],VOL_VOLUMEN_SUMINISTROS[[#This Row],[FIN DE SEMANA]])</f>
        <v>1052-1NNO</v>
      </c>
      <c r="D710" s="360" t="str">
        <f>CONCATENATE(VOL_VOLUMEN_SUMINISTROS[[#This Row],[Grupo]],VOL_VOLUMEN_SUMINISTROS[[#This Row],[Proyecto]],VOL_VOLUMEN_SUMINISTROS[[#This Row],[FIN DE SEMANA]])</f>
        <v>141052-1NO</v>
      </c>
      <c r="E710" s="30" t="s">
        <v>146</v>
      </c>
      <c r="F710" s="30" t="s">
        <v>147</v>
      </c>
      <c r="G710" s="360">
        <v>14</v>
      </c>
      <c r="H710" s="30">
        <v>14</v>
      </c>
      <c r="I710" s="9" t="s">
        <v>556</v>
      </c>
      <c r="J710" s="9" t="s">
        <v>563</v>
      </c>
      <c r="K710" s="30">
        <v>1</v>
      </c>
      <c r="L710" s="9" t="s">
        <v>565</v>
      </c>
      <c r="M710" s="30" t="s">
        <v>84</v>
      </c>
      <c r="N710" s="30" t="s">
        <v>153</v>
      </c>
      <c r="O710" s="24">
        <v>0</v>
      </c>
      <c r="P710" s="24">
        <v>0</v>
      </c>
      <c r="Q710" s="24">
        <v>0</v>
      </c>
      <c r="R710" s="24">
        <v>115</v>
      </c>
      <c r="S710" s="24">
        <v>85</v>
      </c>
      <c r="T710" s="24">
        <v>200</v>
      </c>
    </row>
    <row r="711" spans="1:20">
      <c r="A711" s="9" t="s">
        <v>554</v>
      </c>
      <c r="B711" s="30" t="s">
        <v>555</v>
      </c>
      <c r="C711" s="30" t="str">
        <f>CONCATENATE(VOL_VOLUMEN_SUMINISTROS[[#This Row],[Proyecto]],VOL_VOLUMEN_SUMINISTROS[[#This Row],[J]],VOL_VOLUMEN_SUMINISTROS[[#This Row],[FIN DE SEMANA]])</f>
        <v>1052-1TNO</v>
      </c>
      <c r="D711" s="360" t="str">
        <f>CONCATENATE(VOL_VOLUMEN_SUMINISTROS[[#This Row],[Grupo]],VOL_VOLUMEN_SUMINISTROS[[#This Row],[Proyecto]],VOL_VOLUMEN_SUMINISTROS[[#This Row],[FIN DE SEMANA]])</f>
        <v>141052-1NO</v>
      </c>
      <c r="E711" s="30" t="s">
        <v>146</v>
      </c>
      <c r="F711" s="30" t="s">
        <v>147</v>
      </c>
      <c r="G711" s="360">
        <v>14</v>
      </c>
      <c r="H711" s="30">
        <v>14</v>
      </c>
      <c r="I711" s="9" t="s">
        <v>556</v>
      </c>
      <c r="J711" s="9" t="s">
        <v>563</v>
      </c>
      <c r="K711" s="30">
        <v>1</v>
      </c>
      <c r="L711" s="9" t="s">
        <v>565</v>
      </c>
      <c r="M711" s="30" t="s">
        <v>84</v>
      </c>
      <c r="N711" s="30" t="s">
        <v>154</v>
      </c>
      <c r="O711" s="24">
        <v>22</v>
      </c>
      <c r="P711" s="24">
        <v>60</v>
      </c>
      <c r="Q711" s="24">
        <v>137</v>
      </c>
      <c r="R711" s="24">
        <v>0</v>
      </c>
      <c r="S711" s="24">
        <v>0</v>
      </c>
      <c r="T711" s="24">
        <v>219</v>
      </c>
    </row>
    <row r="712" spans="1:20">
      <c r="A712" s="9" t="s">
        <v>554</v>
      </c>
      <c r="B712" s="30" t="s">
        <v>555</v>
      </c>
      <c r="C712" s="30" t="str">
        <f>CONCATENATE(VOL_VOLUMEN_SUMINISTROS[[#This Row],[Proyecto]],VOL_VOLUMEN_SUMINISTROS[[#This Row],[J]],VOL_VOLUMEN_SUMINISTROS[[#This Row],[FIN DE SEMANA]])</f>
        <v>1052-1MNO</v>
      </c>
      <c r="D712" s="360" t="str">
        <f>CONCATENATE(VOL_VOLUMEN_SUMINISTROS[[#This Row],[Grupo]],VOL_VOLUMEN_SUMINISTROS[[#This Row],[Proyecto]],VOL_VOLUMEN_SUMINISTROS[[#This Row],[FIN DE SEMANA]])</f>
        <v>141052-1NO</v>
      </c>
      <c r="E712" s="30" t="s">
        <v>146</v>
      </c>
      <c r="F712" s="30" t="s">
        <v>147</v>
      </c>
      <c r="G712" s="360">
        <v>14</v>
      </c>
      <c r="H712" s="30">
        <v>14</v>
      </c>
      <c r="I712" s="9" t="s">
        <v>556</v>
      </c>
      <c r="J712" s="9" t="s">
        <v>566</v>
      </c>
      <c r="K712" s="30">
        <v>1</v>
      </c>
      <c r="L712" s="9" t="s">
        <v>152</v>
      </c>
      <c r="M712" s="30" t="s">
        <v>84</v>
      </c>
      <c r="N712" s="30" t="s">
        <v>151</v>
      </c>
      <c r="O712" s="24">
        <v>0</v>
      </c>
      <c r="P712" s="24">
        <v>192</v>
      </c>
      <c r="Q712" s="24">
        <v>318</v>
      </c>
      <c r="R712" s="24">
        <v>0</v>
      </c>
      <c r="S712" s="24">
        <v>0</v>
      </c>
      <c r="T712" s="24">
        <v>510</v>
      </c>
    </row>
    <row r="713" spans="1:20">
      <c r="A713" s="9" t="s">
        <v>554</v>
      </c>
      <c r="B713" s="30" t="s">
        <v>555</v>
      </c>
      <c r="C713" s="30" t="str">
        <f>CONCATENATE(VOL_VOLUMEN_SUMINISTROS[[#This Row],[Proyecto]],VOL_VOLUMEN_SUMINISTROS[[#This Row],[J]],VOL_VOLUMEN_SUMINISTROS[[#This Row],[FIN DE SEMANA]])</f>
        <v>1052-1TNO</v>
      </c>
      <c r="D713" s="360" t="str">
        <f>CONCATENATE(VOL_VOLUMEN_SUMINISTROS[[#This Row],[Grupo]],VOL_VOLUMEN_SUMINISTROS[[#This Row],[Proyecto]],VOL_VOLUMEN_SUMINISTROS[[#This Row],[FIN DE SEMANA]])</f>
        <v>141052-1NO</v>
      </c>
      <c r="E713" s="30" t="s">
        <v>146</v>
      </c>
      <c r="F713" s="30" t="s">
        <v>147</v>
      </c>
      <c r="G713" s="360">
        <v>14</v>
      </c>
      <c r="H713" s="30">
        <v>14</v>
      </c>
      <c r="I713" s="9" t="s">
        <v>556</v>
      </c>
      <c r="J713" s="9" t="s">
        <v>566</v>
      </c>
      <c r="K713" s="30">
        <v>1</v>
      </c>
      <c r="L713" s="9" t="s">
        <v>152</v>
      </c>
      <c r="M713" s="30" t="s">
        <v>84</v>
      </c>
      <c r="N713" s="30" t="s">
        <v>154</v>
      </c>
      <c r="O713" s="24">
        <v>0</v>
      </c>
      <c r="P713" s="24">
        <v>186</v>
      </c>
      <c r="Q713" s="24">
        <v>246</v>
      </c>
      <c r="R713" s="24">
        <v>0</v>
      </c>
      <c r="S713" s="24">
        <v>0</v>
      </c>
      <c r="T713" s="24">
        <v>432</v>
      </c>
    </row>
    <row r="714" spans="1:20">
      <c r="A714" s="9" t="s">
        <v>554</v>
      </c>
      <c r="B714" s="30" t="s">
        <v>555</v>
      </c>
      <c r="C714" s="30" t="str">
        <f>CONCATENATE(VOL_VOLUMEN_SUMINISTROS[[#This Row],[Proyecto]],VOL_VOLUMEN_SUMINISTROS[[#This Row],[J]],VOL_VOLUMEN_SUMINISTROS[[#This Row],[FIN DE SEMANA]])</f>
        <v>1052-1MNO</v>
      </c>
      <c r="D714" s="360" t="str">
        <f>CONCATENATE(VOL_VOLUMEN_SUMINISTROS[[#This Row],[Grupo]],VOL_VOLUMEN_SUMINISTROS[[#This Row],[Proyecto]],VOL_VOLUMEN_SUMINISTROS[[#This Row],[FIN DE SEMANA]])</f>
        <v>141052-1NO</v>
      </c>
      <c r="E714" s="30" t="s">
        <v>146</v>
      </c>
      <c r="F714" s="30" t="s">
        <v>147</v>
      </c>
      <c r="G714" s="360">
        <v>14</v>
      </c>
      <c r="H714" s="30">
        <v>14</v>
      </c>
      <c r="I714" s="9" t="s">
        <v>556</v>
      </c>
      <c r="J714" s="9" t="s">
        <v>566</v>
      </c>
      <c r="K714" s="30">
        <v>2</v>
      </c>
      <c r="L714" s="9" t="s">
        <v>567</v>
      </c>
      <c r="M714" s="30" t="s">
        <v>84</v>
      </c>
      <c r="N714" s="30" t="s">
        <v>151</v>
      </c>
      <c r="O714" s="24">
        <v>133</v>
      </c>
      <c r="P714" s="24">
        <v>50</v>
      </c>
      <c r="Q714" s="24">
        <v>0</v>
      </c>
      <c r="R714" s="24">
        <v>0</v>
      </c>
      <c r="S714" s="24">
        <v>0</v>
      </c>
      <c r="T714" s="24">
        <v>183</v>
      </c>
    </row>
    <row r="715" spans="1:20">
      <c r="A715" s="9" t="s">
        <v>554</v>
      </c>
      <c r="B715" s="30" t="s">
        <v>555</v>
      </c>
      <c r="C715" s="30" t="str">
        <f>CONCATENATE(VOL_VOLUMEN_SUMINISTROS[[#This Row],[Proyecto]],VOL_VOLUMEN_SUMINISTROS[[#This Row],[J]],VOL_VOLUMEN_SUMINISTROS[[#This Row],[FIN DE SEMANA]])</f>
        <v>1052-1TNO</v>
      </c>
      <c r="D715" s="360" t="str">
        <f>CONCATENATE(VOL_VOLUMEN_SUMINISTROS[[#This Row],[Grupo]],VOL_VOLUMEN_SUMINISTROS[[#This Row],[Proyecto]],VOL_VOLUMEN_SUMINISTROS[[#This Row],[FIN DE SEMANA]])</f>
        <v>141052-1NO</v>
      </c>
      <c r="E715" s="30" t="s">
        <v>146</v>
      </c>
      <c r="F715" s="30" t="s">
        <v>147</v>
      </c>
      <c r="G715" s="360">
        <v>14</v>
      </c>
      <c r="H715" s="30">
        <v>14</v>
      </c>
      <c r="I715" s="9" t="s">
        <v>556</v>
      </c>
      <c r="J715" s="9" t="s">
        <v>566</v>
      </c>
      <c r="K715" s="30">
        <v>2</v>
      </c>
      <c r="L715" s="9" t="s">
        <v>567</v>
      </c>
      <c r="M715" s="30" t="s">
        <v>84</v>
      </c>
      <c r="N715" s="30" t="s">
        <v>154</v>
      </c>
      <c r="O715" s="24">
        <v>145</v>
      </c>
      <c r="P715" s="24">
        <v>48</v>
      </c>
      <c r="Q715" s="24">
        <v>0</v>
      </c>
      <c r="R715" s="24">
        <v>0</v>
      </c>
      <c r="S715" s="24">
        <v>0</v>
      </c>
      <c r="T715" s="24">
        <v>193</v>
      </c>
    </row>
    <row r="716" spans="1:20">
      <c r="A716" s="9" t="s">
        <v>554</v>
      </c>
      <c r="B716" s="30" t="s">
        <v>555</v>
      </c>
      <c r="C716" s="30" t="str">
        <f>CONCATENATE(VOL_VOLUMEN_SUMINISTROS[[#This Row],[Proyecto]],VOL_VOLUMEN_SUMINISTROS[[#This Row],[J]],VOL_VOLUMEN_SUMINISTROS[[#This Row],[FIN DE SEMANA]])</f>
        <v>1052-1MNO</v>
      </c>
      <c r="D716" s="360" t="str">
        <f>CONCATENATE(VOL_VOLUMEN_SUMINISTROS[[#This Row],[Grupo]],VOL_VOLUMEN_SUMINISTROS[[#This Row],[Proyecto]],VOL_VOLUMEN_SUMINISTROS[[#This Row],[FIN DE SEMANA]])</f>
        <v>141052-1NO</v>
      </c>
      <c r="E716" s="30" t="s">
        <v>146</v>
      </c>
      <c r="F716" s="30" t="s">
        <v>147</v>
      </c>
      <c r="G716" s="360">
        <v>14</v>
      </c>
      <c r="H716" s="30">
        <v>14</v>
      </c>
      <c r="I716" s="9" t="s">
        <v>556</v>
      </c>
      <c r="J716" s="9" t="s">
        <v>568</v>
      </c>
      <c r="K716" s="30">
        <v>1</v>
      </c>
      <c r="L716" s="9" t="s">
        <v>569</v>
      </c>
      <c r="M716" s="30" t="s">
        <v>84</v>
      </c>
      <c r="N716" s="30" t="s">
        <v>151</v>
      </c>
      <c r="O716" s="24">
        <v>0</v>
      </c>
      <c r="P716" s="24">
        <v>111</v>
      </c>
      <c r="Q716" s="24">
        <v>322</v>
      </c>
      <c r="R716" s="24">
        <v>0</v>
      </c>
      <c r="S716" s="24">
        <v>0</v>
      </c>
      <c r="T716" s="24">
        <v>433</v>
      </c>
    </row>
    <row r="717" spans="1:20">
      <c r="A717" s="9" t="s">
        <v>554</v>
      </c>
      <c r="B717" s="30" t="s">
        <v>555</v>
      </c>
      <c r="C717" s="30" t="str">
        <f>CONCATENATE(VOL_VOLUMEN_SUMINISTROS[[#This Row],[Proyecto]],VOL_VOLUMEN_SUMINISTROS[[#This Row],[J]],VOL_VOLUMEN_SUMINISTROS[[#This Row],[FIN DE SEMANA]])</f>
        <v>1052-1TNO</v>
      </c>
      <c r="D717" s="360" t="str">
        <f>CONCATENATE(VOL_VOLUMEN_SUMINISTROS[[#This Row],[Grupo]],VOL_VOLUMEN_SUMINISTROS[[#This Row],[Proyecto]],VOL_VOLUMEN_SUMINISTROS[[#This Row],[FIN DE SEMANA]])</f>
        <v>141052-1NO</v>
      </c>
      <c r="E717" s="30" t="s">
        <v>146</v>
      </c>
      <c r="F717" s="30" t="s">
        <v>147</v>
      </c>
      <c r="G717" s="360">
        <v>14</v>
      </c>
      <c r="H717" s="30">
        <v>14</v>
      </c>
      <c r="I717" s="9" t="s">
        <v>556</v>
      </c>
      <c r="J717" s="9" t="s">
        <v>568</v>
      </c>
      <c r="K717" s="30">
        <v>1</v>
      </c>
      <c r="L717" s="9" t="s">
        <v>569</v>
      </c>
      <c r="M717" s="30" t="s">
        <v>84</v>
      </c>
      <c r="N717" s="30" t="s">
        <v>154</v>
      </c>
      <c r="O717" s="24">
        <v>0</v>
      </c>
      <c r="P717" s="24">
        <v>105</v>
      </c>
      <c r="Q717" s="24">
        <v>248</v>
      </c>
      <c r="R717" s="24">
        <v>0</v>
      </c>
      <c r="S717" s="24">
        <v>0</v>
      </c>
      <c r="T717" s="24">
        <v>353</v>
      </c>
    </row>
    <row r="718" spans="1:20">
      <c r="A718" s="9" t="s">
        <v>554</v>
      </c>
      <c r="B718" s="30" t="s">
        <v>555</v>
      </c>
      <c r="C718" s="30" t="str">
        <f>CONCATENATE(VOL_VOLUMEN_SUMINISTROS[[#This Row],[Proyecto]],VOL_VOLUMEN_SUMINISTROS[[#This Row],[J]],VOL_VOLUMEN_SUMINISTROS[[#This Row],[FIN DE SEMANA]])</f>
        <v>1052-1MNO</v>
      </c>
      <c r="D718" s="360" t="str">
        <f>CONCATENATE(VOL_VOLUMEN_SUMINISTROS[[#This Row],[Grupo]],VOL_VOLUMEN_SUMINISTROS[[#This Row],[Proyecto]],VOL_VOLUMEN_SUMINISTROS[[#This Row],[FIN DE SEMANA]])</f>
        <v>141052-1NO</v>
      </c>
      <c r="E718" s="30" t="s">
        <v>146</v>
      </c>
      <c r="F718" s="30" t="s">
        <v>147</v>
      </c>
      <c r="G718" s="360">
        <v>14</v>
      </c>
      <c r="H718" s="30">
        <v>14</v>
      </c>
      <c r="I718" s="9" t="s">
        <v>556</v>
      </c>
      <c r="J718" s="9" t="s">
        <v>568</v>
      </c>
      <c r="K718" s="30">
        <v>2</v>
      </c>
      <c r="L718" s="9" t="s">
        <v>570</v>
      </c>
      <c r="M718" s="30" t="s">
        <v>84</v>
      </c>
      <c r="N718" s="30" t="s">
        <v>151</v>
      </c>
      <c r="O718" s="24">
        <v>185</v>
      </c>
      <c r="P718" s="24">
        <v>151</v>
      </c>
      <c r="Q718" s="24">
        <v>30</v>
      </c>
      <c r="R718" s="24">
        <v>0</v>
      </c>
      <c r="S718" s="24">
        <v>0</v>
      </c>
      <c r="T718" s="24">
        <v>366</v>
      </c>
    </row>
    <row r="719" spans="1:20">
      <c r="A719" s="9" t="s">
        <v>554</v>
      </c>
      <c r="B719" s="30" t="s">
        <v>555</v>
      </c>
      <c r="C719" s="30" t="str">
        <f>CONCATENATE(VOL_VOLUMEN_SUMINISTROS[[#This Row],[Proyecto]],VOL_VOLUMEN_SUMINISTROS[[#This Row],[J]],VOL_VOLUMEN_SUMINISTROS[[#This Row],[FIN DE SEMANA]])</f>
        <v>1052-1TNO</v>
      </c>
      <c r="D719" s="360" t="str">
        <f>CONCATENATE(VOL_VOLUMEN_SUMINISTROS[[#This Row],[Grupo]],VOL_VOLUMEN_SUMINISTROS[[#This Row],[Proyecto]],VOL_VOLUMEN_SUMINISTROS[[#This Row],[FIN DE SEMANA]])</f>
        <v>141052-1NO</v>
      </c>
      <c r="E719" s="30" t="s">
        <v>146</v>
      </c>
      <c r="F719" s="30" t="s">
        <v>147</v>
      </c>
      <c r="G719" s="360">
        <v>14</v>
      </c>
      <c r="H719" s="30">
        <v>14</v>
      </c>
      <c r="I719" s="9" t="s">
        <v>556</v>
      </c>
      <c r="J719" s="9" t="s">
        <v>568</v>
      </c>
      <c r="K719" s="30">
        <v>2</v>
      </c>
      <c r="L719" s="9" t="s">
        <v>570</v>
      </c>
      <c r="M719" s="30" t="s">
        <v>84</v>
      </c>
      <c r="N719" s="30" t="s">
        <v>154</v>
      </c>
      <c r="O719" s="24">
        <v>165</v>
      </c>
      <c r="P719" s="24">
        <v>150</v>
      </c>
      <c r="Q719" s="24">
        <v>31</v>
      </c>
      <c r="R719" s="24">
        <v>0</v>
      </c>
      <c r="S719" s="24">
        <v>0</v>
      </c>
      <c r="T719" s="24">
        <v>346</v>
      </c>
    </row>
    <row r="720" spans="1:20">
      <c r="A720" s="9" t="s">
        <v>554</v>
      </c>
      <c r="B720" s="30" t="s">
        <v>555</v>
      </c>
      <c r="C720" s="30" t="str">
        <f>CONCATENATE(VOL_VOLUMEN_SUMINISTROS[[#This Row],[Proyecto]],VOL_VOLUMEN_SUMINISTROS[[#This Row],[J]],VOL_VOLUMEN_SUMINISTROS[[#This Row],[FIN DE SEMANA]])</f>
        <v>1052-1MNO</v>
      </c>
      <c r="D720" s="360" t="str">
        <f>CONCATENATE(VOL_VOLUMEN_SUMINISTROS[[#This Row],[Grupo]],VOL_VOLUMEN_SUMINISTROS[[#This Row],[Proyecto]],VOL_VOLUMEN_SUMINISTROS[[#This Row],[FIN DE SEMANA]])</f>
        <v>141052-1NO</v>
      </c>
      <c r="E720" s="30" t="s">
        <v>146</v>
      </c>
      <c r="F720" s="30" t="s">
        <v>147</v>
      </c>
      <c r="G720" s="360">
        <v>14</v>
      </c>
      <c r="H720" s="30">
        <v>17</v>
      </c>
      <c r="I720" s="9" t="s">
        <v>571</v>
      </c>
      <c r="J720" s="9" t="s">
        <v>572</v>
      </c>
      <c r="K720" s="30">
        <v>2</v>
      </c>
      <c r="L720" s="9" t="s">
        <v>573</v>
      </c>
      <c r="M720" s="30" t="s">
        <v>84</v>
      </c>
      <c r="N720" s="30" t="s">
        <v>151</v>
      </c>
      <c r="O720" s="24">
        <v>183</v>
      </c>
      <c r="P720" s="24">
        <v>285</v>
      </c>
      <c r="Q720" s="24">
        <v>380</v>
      </c>
      <c r="R720" s="24">
        <v>0</v>
      </c>
      <c r="S720" s="24">
        <v>0</v>
      </c>
      <c r="T720" s="24">
        <v>848</v>
      </c>
    </row>
    <row r="721" spans="1:20">
      <c r="A721" s="9" t="s">
        <v>554</v>
      </c>
      <c r="B721" s="30" t="s">
        <v>555</v>
      </c>
      <c r="C721" s="30" t="str">
        <f>CONCATENATE(VOL_VOLUMEN_SUMINISTROS[[#This Row],[Proyecto]],VOL_VOLUMEN_SUMINISTROS[[#This Row],[J]],VOL_VOLUMEN_SUMINISTROS[[#This Row],[FIN DE SEMANA]])</f>
        <v>1052-1TNO</v>
      </c>
      <c r="D721" s="360" t="str">
        <f>CONCATENATE(VOL_VOLUMEN_SUMINISTROS[[#This Row],[Grupo]],VOL_VOLUMEN_SUMINISTROS[[#This Row],[Proyecto]],VOL_VOLUMEN_SUMINISTROS[[#This Row],[FIN DE SEMANA]])</f>
        <v>141052-1NO</v>
      </c>
      <c r="E721" s="30" t="s">
        <v>146</v>
      </c>
      <c r="F721" s="30" t="s">
        <v>147</v>
      </c>
      <c r="G721" s="360">
        <v>14</v>
      </c>
      <c r="H721" s="30">
        <v>17</v>
      </c>
      <c r="I721" s="9" t="s">
        <v>571</v>
      </c>
      <c r="J721" s="9" t="s">
        <v>572</v>
      </c>
      <c r="K721" s="30">
        <v>2</v>
      </c>
      <c r="L721" s="9" t="s">
        <v>573</v>
      </c>
      <c r="M721" s="30" t="s">
        <v>84</v>
      </c>
      <c r="N721" s="30" t="s">
        <v>154</v>
      </c>
      <c r="O721" s="24">
        <v>195</v>
      </c>
      <c r="P721" s="24">
        <v>310</v>
      </c>
      <c r="Q721" s="24">
        <v>317</v>
      </c>
      <c r="R721" s="24">
        <v>0</v>
      </c>
      <c r="S721" s="24">
        <v>0</v>
      </c>
      <c r="T721" s="24">
        <v>822</v>
      </c>
    </row>
    <row r="722" spans="1:20">
      <c r="A722" s="9" t="s">
        <v>554</v>
      </c>
      <c r="B722" s="30" t="s">
        <v>555</v>
      </c>
      <c r="C722" s="30" t="str">
        <f>CONCATENATE(VOL_VOLUMEN_SUMINISTROS[[#This Row],[Proyecto]],VOL_VOLUMEN_SUMINISTROS[[#This Row],[J]],VOL_VOLUMEN_SUMINISTROS[[#This Row],[FIN DE SEMANA]])</f>
        <v>1052-1MNO</v>
      </c>
      <c r="D722" s="360" t="str">
        <f>CONCATENATE(VOL_VOLUMEN_SUMINISTROS[[#This Row],[Grupo]],VOL_VOLUMEN_SUMINISTROS[[#This Row],[Proyecto]],VOL_VOLUMEN_SUMINISTROS[[#This Row],[FIN DE SEMANA]])</f>
        <v>141052-1NO</v>
      </c>
      <c r="E722" s="30" t="s">
        <v>146</v>
      </c>
      <c r="F722" s="30" t="s">
        <v>147</v>
      </c>
      <c r="G722" s="360">
        <v>14</v>
      </c>
      <c r="H722" s="30">
        <v>17</v>
      </c>
      <c r="I722" s="9" t="s">
        <v>571</v>
      </c>
      <c r="J722" s="9" t="s">
        <v>574</v>
      </c>
      <c r="K722" s="30">
        <v>1</v>
      </c>
      <c r="L722" s="9" t="s">
        <v>152</v>
      </c>
      <c r="M722" s="30" t="s">
        <v>84</v>
      </c>
      <c r="N722" s="30" t="s">
        <v>151</v>
      </c>
      <c r="O722" s="24">
        <v>0</v>
      </c>
      <c r="P722" s="24">
        <v>99</v>
      </c>
      <c r="Q722" s="24">
        <v>225</v>
      </c>
      <c r="R722" s="24">
        <v>0</v>
      </c>
      <c r="S722" s="24">
        <v>0</v>
      </c>
      <c r="T722" s="24">
        <v>324</v>
      </c>
    </row>
    <row r="723" spans="1:20">
      <c r="A723" s="9" t="s">
        <v>554</v>
      </c>
      <c r="B723" s="30" t="s">
        <v>555</v>
      </c>
      <c r="C723" s="30" t="str">
        <f>CONCATENATE(VOL_VOLUMEN_SUMINISTROS[[#This Row],[Proyecto]],VOL_VOLUMEN_SUMINISTROS[[#This Row],[J]],VOL_VOLUMEN_SUMINISTROS[[#This Row],[FIN DE SEMANA]])</f>
        <v>1052-1NNO</v>
      </c>
      <c r="D723" s="360" t="str">
        <f>CONCATENATE(VOL_VOLUMEN_SUMINISTROS[[#This Row],[Grupo]],VOL_VOLUMEN_SUMINISTROS[[#This Row],[Proyecto]],VOL_VOLUMEN_SUMINISTROS[[#This Row],[FIN DE SEMANA]])</f>
        <v>141052-1NO</v>
      </c>
      <c r="E723" s="30" t="s">
        <v>146</v>
      </c>
      <c r="F723" s="30" t="s">
        <v>147</v>
      </c>
      <c r="G723" s="360">
        <v>14</v>
      </c>
      <c r="H723" s="30">
        <v>17</v>
      </c>
      <c r="I723" s="9" t="s">
        <v>571</v>
      </c>
      <c r="J723" s="9" t="s">
        <v>574</v>
      </c>
      <c r="K723" s="30">
        <v>1</v>
      </c>
      <c r="L723" s="9" t="s">
        <v>152</v>
      </c>
      <c r="M723" s="30" t="s">
        <v>84</v>
      </c>
      <c r="N723" s="30" t="s">
        <v>153</v>
      </c>
      <c r="O723" s="24">
        <v>0</v>
      </c>
      <c r="P723" s="24">
        <v>0</v>
      </c>
      <c r="Q723" s="24">
        <v>0</v>
      </c>
      <c r="R723" s="24">
        <v>58</v>
      </c>
      <c r="S723" s="24">
        <v>87</v>
      </c>
      <c r="T723" s="24">
        <v>145</v>
      </c>
    </row>
    <row r="724" spans="1:20">
      <c r="A724" s="9" t="s">
        <v>554</v>
      </c>
      <c r="B724" s="30" t="s">
        <v>555</v>
      </c>
      <c r="C724" s="30" t="str">
        <f>CONCATENATE(VOL_VOLUMEN_SUMINISTROS[[#This Row],[Proyecto]],VOL_VOLUMEN_SUMINISTROS[[#This Row],[J]],VOL_VOLUMEN_SUMINISTROS[[#This Row],[FIN DE SEMANA]])</f>
        <v>1052-1TNO</v>
      </c>
      <c r="D724" s="360" t="str">
        <f>CONCATENATE(VOL_VOLUMEN_SUMINISTROS[[#This Row],[Grupo]],VOL_VOLUMEN_SUMINISTROS[[#This Row],[Proyecto]],VOL_VOLUMEN_SUMINISTROS[[#This Row],[FIN DE SEMANA]])</f>
        <v>141052-1NO</v>
      </c>
      <c r="E724" s="30" t="s">
        <v>146</v>
      </c>
      <c r="F724" s="30" t="s">
        <v>147</v>
      </c>
      <c r="G724" s="360">
        <v>14</v>
      </c>
      <c r="H724" s="30">
        <v>17</v>
      </c>
      <c r="I724" s="9" t="s">
        <v>571</v>
      </c>
      <c r="J724" s="9" t="s">
        <v>574</v>
      </c>
      <c r="K724" s="30">
        <v>1</v>
      </c>
      <c r="L724" s="9" t="s">
        <v>152</v>
      </c>
      <c r="M724" s="30" t="s">
        <v>84</v>
      </c>
      <c r="N724" s="30" t="s">
        <v>154</v>
      </c>
      <c r="O724" s="24">
        <v>0</v>
      </c>
      <c r="P724" s="24">
        <v>66</v>
      </c>
      <c r="Q724" s="24">
        <v>187</v>
      </c>
      <c r="R724" s="24">
        <v>0</v>
      </c>
      <c r="S724" s="24">
        <v>0</v>
      </c>
      <c r="T724" s="24">
        <v>253</v>
      </c>
    </row>
    <row r="725" spans="1:20">
      <c r="A725" s="9" t="s">
        <v>554</v>
      </c>
      <c r="B725" s="30" t="s">
        <v>555</v>
      </c>
      <c r="C725" s="30" t="str">
        <f>CONCATENATE(VOL_VOLUMEN_SUMINISTROS[[#This Row],[Proyecto]],VOL_VOLUMEN_SUMINISTROS[[#This Row],[J]],VOL_VOLUMEN_SUMINISTROS[[#This Row],[FIN DE SEMANA]])</f>
        <v>1052-1MNO</v>
      </c>
      <c r="D725" s="360" t="str">
        <f>CONCATENATE(VOL_VOLUMEN_SUMINISTROS[[#This Row],[Grupo]],VOL_VOLUMEN_SUMINISTROS[[#This Row],[Proyecto]],VOL_VOLUMEN_SUMINISTROS[[#This Row],[FIN DE SEMANA]])</f>
        <v>141052-1NO</v>
      </c>
      <c r="E725" s="30" t="s">
        <v>146</v>
      </c>
      <c r="F725" s="30" t="s">
        <v>147</v>
      </c>
      <c r="G725" s="360">
        <v>14</v>
      </c>
      <c r="H725" s="30">
        <v>17</v>
      </c>
      <c r="I725" s="9" t="s">
        <v>571</v>
      </c>
      <c r="J725" s="9" t="s">
        <v>574</v>
      </c>
      <c r="K725" s="30">
        <v>2</v>
      </c>
      <c r="L725" s="9" t="s">
        <v>575</v>
      </c>
      <c r="M725" s="30" t="s">
        <v>84</v>
      </c>
      <c r="N725" s="30" t="s">
        <v>151</v>
      </c>
      <c r="O725" s="24">
        <v>0</v>
      </c>
      <c r="P725" s="24">
        <v>84</v>
      </c>
      <c r="Q725" s="24">
        <v>28</v>
      </c>
      <c r="R725" s="24">
        <v>0</v>
      </c>
      <c r="S725" s="24">
        <v>0</v>
      </c>
      <c r="T725" s="24">
        <v>112</v>
      </c>
    </row>
    <row r="726" spans="1:20">
      <c r="A726" s="9" t="s">
        <v>554</v>
      </c>
      <c r="B726" s="30" t="s">
        <v>555</v>
      </c>
      <c r="C726" s="30" t="str">
        <f>CONCATENATE(VOL_VOLUMEN_SUMINISTROS[[#This Row],[Proyecto]],VOL_VOLUMEN_SUMINISTROS[[#This Row],[J]],VOL_VOLUMEN_SUMINISTROS[[#This Row],[FIN DE SEMANA]])</f>
        <v>1052-1TNO</v>
      </c>
      <c r="D726" s="360" t="str">
        <f>CONCATENATE(VOL_VOLUMEN_SUMINISTROS[[#This Row],[Grupo]],VOL_VOLUMEN_SUMINISTROS[[#This Row],[Proyecto]],VOL_VOLUMEN_SUMINISTROS[[#This Row],[FIN DE SEMANA]])</f>
        <v>141052-1NO</v>
      </c>
      <c r="E726" s="30" t="s">
        <v>146</v>
      </c>
      <c r="F726" s="30" t="s">
        <v>147</v>
      </c>
      <c r="G726" s="360">
        <v>14</v>
      </c>
      <c r="H726" s="30">
        <v>17</v>
      </c>
      <c r="I726" s="9" t="s">
        <v>571</v>
      </c>
      <c r="J726" s="9" t="s">
        <v>574</v>
      </c>
      <c r="K726" s="30">
        <v>2</v>
      </c>
      <c r="L726" s="9" t="s">
        <v>575</v>
      </c>
      <c r="M726" s="30" t="s">
        <v>84</v>
      </c>
      <c r="N726" s="30" t="s">
        <v>154</v>
      </c>
      <c r="O726" s="24">
        <v>0</v>
      </c>
      <c r="P726" s="24">
        <v>99</v>
      </c>
      <c r="Q726" s="24">
        <v>33</v>
      </c>
      <c r="R726" s="24">
        <v>0</v>
      </c>
      <c r="S726" s="24">
        <v>0</v>
      </c>
      <c r="T726" s="24">
        <v>132</v>
      </c>
    </row>
    <row r="727" spans="1:20">
      <c r="A727" s="9" t="s">
        <v>554</v>
      </c>
      <c r="B727" s="30" t="s">
        <v>555</v>
      </c>
      <c r="C727" s="30" t="str">
        <f>CONCATENATE(VOL_VOLUMEN_SUMINISTROS[[#This Row],[Proyecto]],VOL_VOLUMEN_SUMINISTROS[[#This Row],[J]],VOL_VOLUMEN_SUMINISTROS[[#This Row],[FIN DE SEMANA]])</f>
        <v>1052-1MNO</v>
      </c>
      <c r="D727" s="360" t="str">
        <f>CONCATENATE(VOL_VOLUMEN_SUMINISTROS[[#This Row],[Grupo]],VOL_VOLUMEN_SUMINISTROS[[#This Row],[Proyecto]],VOL_VOLUMEN_SUMINISTROS[[#This Row],[FIN DE SEMANA]])</f>
        <v>141052-1NO</v>
      </c>
      <c r="E727" s="30" t="s">
        <v>146</v>
      </c>
      <c r="F727" s="30" t="s">
        <v>147</v>
      </c>
      <c r="G727" s="360">
        <v>14</v>
      </c>
      <c r="H727" s="30">
        <v>17</v>
      </c>
      <c r="I727" s="9" t="s">
        <v>571</v>
      </c>
      <c r="J727" s="9" t="s">
        <v>574</v>
      </c>
      <c r="K727" s="30">
        <v>3</v>
      </c>
      <c r="L727" s="9" t="s">
        <v>576</v>
      </c>
      <c r="M727" s="30" t="s">
        <v>84</v>
      </c>
      <c r="N727" s="30" t="s">
        <v>151</v>
      </c>
      <c r="O727" s="24">
        <v>191</v>
      </c>
      <c r="P727" s="24">
        <v>59</v>
      </c>
      <c r="Q727" s="24">
        <v>0</v>
      </c>
      <c r="R727" s="24">
        <v>0</v>
      </c>
      <c r="S727" s="24">
        <v>0</v>
      </c>
      <c r="T727" s="24">
        <v>250</v>
      </c>
    </row>
    <row r="728" spans="1:20">
      <c r="A728" s="9" t="s">
        <v>554</v>
      </c>
      <c r="B728" s="30" t="s">
        <v>555</v>
      </c>
      <c r="C728" s="30" t="str">
        <f>CONCATENATE(VOL_VOLUMEN_SUMINISTROS[[#This Row],[Proyecto]],VOL_VOLUMEN_SUMINISTROS[[#This Row],[J]],VOL_VOLUMEN_SUMINISTROS[[#This Row],[FIN DE SEMANA]])</f>
        <v>1052-1TNO</v>
      </c>
      <c r="D728" s="360" t="str">
        <f>CONCATENATE(VOL_VOLUMEN_SUMINISTROS[[#This Row],[Grupo]],VOL_VOLUMEN_SUMINISTROS[[#This Row],[Proyecto]],VOL_VOLUMEN_SUMINISTROS[[#This Row],[FIN DE SEMANA]])</f>
        <v>141052-1NO</v>
      </c>
      <c r="E728" s="30" t="s">
        <v>146</v>
      </c>
      <c r="F728" s="30" t="s">
        <v>147</v>
      </c>
      <c r="G728" s="360">
        <v>14</v>
      </c>
      <c r="H728" s="30">
        <v>17</v>
      </c>
      <c r="I728" s="9" t="s">
        <v>571</v>
      </c>
      <c r="J728" s="9" t="s">
        <v>574</v>
      </c>
      <c r="K728" s="30">
        <v>3</v>
      </c>
      <c r="L728" s="9" t="s">
        <v>576</v>
      </c>
      <c r="M728" s="30" t="s">
        <v>84</v>
      </c>
      <c r="N728" s="30" t="s">
        <v>154</v>
      </c>
      <c r="O728" s="24">
        <v>76</v>
      </c>
      <c r="P728" s="24">
        <v>59</v>
      </c>
      <c r="Q728" s="24">
        <v>11</v>
      </c>
      <c r="R728" s="24">
        <v>0</v>
      </c>
      <c r="S728" s="24">
        <v>0</v>
      </c>
      <c r="T728" s="24">
        <v>146</v>
      </c>
    </row>
    <row r="729" spans="1:20">
      <c r="A729" s="9" t="s">
        <v>554</v>
      </c>
      <c r="B729" s="30" t="s">
        <v>555</v>
      </c>
      <c r="C729" s="30" t="str">
        <f>CONCATENATE(VOL_VOLUMEN_SUMINISTROS[[#This Row],[Proyecto]],VOL_VOLUMEN_SUMINISTROS[[#This Row],[J]],VOL_VOLUMEN_SUMINISTROS[[#This Row],[FIN DE SEMANA]])</f>
        <v>1052-1MNO</v>
      </c>
      <c r="D729" s="360" t="str">
        <f>CONCATENATE(VOL_VOLUMEN_SUMINISTROS[[#This Row],[Grupo]],VOL_VOLUMEN_SUMINISTROS[[#This Row],[Proyecto]],VOL_VOLUMEN_SUMINISTROS[[#This Row],[FIN DE SEMANA]])</f>
        <v>141052-1NO</v>
      </c>
      <c r="E729" s="30" t="s">
        <v>146</v>
      </c>
      <c r="F729" s="30" t="s">
        <v>147</v>
      </c>
      <c r="G729" s="360">
        <v>14</v>
      </c>
      <c r="H729" s="30">
        <v>3</v>
      </c>
      <c r="I729" s="9" t="s">
        <v>577</v>
      </c>
      <c r="J729" s="9" t="s">
        <v>578</v>
      </c>
      <c r="K729" s="30">
        <v>1</v>
      </c>
      <c r="L729" s="9" t="s">
        <v>150</v>
      </c>
      <c r="M729" s="30" t="s">
        <v>84</v>
      </c>
      <c r="N729" s="30" t="s">
        <v>151</v>
      </c>
      <c r="O729" s="24">
        <v>18</v>
      </c>
      <c r="P729" s="24">
        <v>288</v>
      </c>
      <c r="Q729" s="24">
        <v>452</v>
      </c>
      <c r="R729" s="24">
        <v>0</v>
      </c>
      <c r="S729" s="24">
        <v>0</v>
      </c>
      <c r="T729" s="24">
        <v>758</v>
      </c>
    </row>
    <row r="730" spans="1:20">
      <c r="A730" s="9" t="s">
        <v>554</v>
      </c>
      <c r="B730" s="30" t="s">
        <v>555</v>
      </c>
      <c r="C730" s="30" t="str">
        <f>CONCATENATE(VOL_VOLUMEN_SUMINISTROS[[#This Row],[Proyecto]],VOL_VOLUMEN_SUMINISTROS[[#This Row],[J]],VOL_VOLUMEN_SUMINISTROS[[#This Row],[FIN DE SEMANA]])</f>
        <v>1052-1MNO</v>
      </c>
      <c r="D730" s="360" t="str">
        <f>CONCATENATE(VOL_VOLUMEN_SUMINISTROS[[#This Row],[Grupo]],VOL_VOLUMEN_SUMINISTROS[[#This Row],[Proyecto]],VOL_VOLUMEN_SUMINISTROS[[#This Row],[FIN DE SEMANA]])</f>
        <v>141052-1NO</v>
      </c>
      <c r="E730" s="30" t="s">
        <v>146</v>
      </c>
      <c r="F730" s="30" t="s">
        <v>147</v>
      </c>
      <c r="G730" s="360">
        <v>14</v>
      </c>
      <c r="H730" s="30">
        <v>3</v>
      </c>
      <c r="I730" s="9" t="s">
        <v>577</v>
      </c>
      <c r="J730" s="9" t="s">
        <v>578</v>
      </c>
      <c r="K730" s="30">
        <v>2</v>
      </c>
      <c r="L730" s="9" t="s">
        <v>164</v>
      </c>
      <c r="M730" s="30" t="s">
        <v>84</v>
      </c>
      <c r="N730" s="30" t="s">
        <v>151</v>
      </c>
      <c r="O730" s="24">
        <v>162</v>
      </c>
      <c r="P730" s="24">
        <v>105</v>
      </c>
      <c r="Q730" s="24">
        <v>16</v>
      </c>
      <c r="R730" s="24">
        <v>0</v>
      </c>
      <c r="S730" s="24">
        <v>0</v>
      </c>
      <c r="T730" s="24">
        <v>283</v>
      </c>
    </row>
    <row r="731" spans="1:20">
      <c r="A731" s="9" t="s">
        <v>554</v>
      </c>
      <c r="B731" s="30" t="s">
        <v>555</v>
      </c>
      <c r="C731" s="30" t="str">
        <f>CONCATENATE(VOL_VOLUMEN_SUMINISTROS[[#This Row],[Proyecto]],VOL_VOLUMEN_SUMINISTROS[[#This Row],[J]],VOL_VOLUMEN_SUMINISTROS[[#This Row],[FIN DE SEMANA]])</f>
        <v>1052-1TNO</v>
      </c>
      <c r="D731" s="360" t="str">
        <f>CONCATENATE(VOL_VOLUMEN_SUMINISTROS[[#This Row],[Grupo]],VOL_VOLUMEN_SUMINISTROS[[#This Row],[Proyecto]],VOL_VOLUMEN_SUMINISTROS[[#This Row],[FIN DE SEMANA]])</f>
        <v>141052-1NO</v>
      </c>
      <c r="E731" s="30" t="s">
        <v>146</v>
      </c>
      <c r="F731" s="30" t="s">
        <v>147</v>
      </c>
      <c r="G731" s="360">
        <v>14</v>
      </c>
      <c r="H731" s="30">
        <v>3</v>
      </c>
      <c r="I731" s="9" t="s">
        <v>577</v>
      </c>
      <c r="J731" s="9" t="s">
        <v>578</v>
      </c>
      <c r="K731" s="30">
        <v>2</v>
      </c>
      <c r="L731" s="9" t="s">
        <v>164</v>
      </c>
      <c r="M731" s="30" t="s">
        <v>84</v>
      </c>
      <c r="N731" s="30" t="s">
        <v>154</v>
      </c>
      <c r="O731" s="24">
        <v>149</v>
      </c>
      <c r="P731" s="24">
        <v>93</v>
      </c>
      <c r="Q731" s="24">
        <v>13</v>
      </c>
      <c r="R731" s="24">
        <v>0</v>
      </c>
      <c r="S731" s="24">
        <v>0</v>
      </c>
      <c r="T731" s="24">
        <v>255</v>
      </c>
    </row>
    <row r="732" spans="1:20">
      <c r="A732" s="9" t="s">
        <v>554</v>
      </c>
      <c r="B732" s="30" t="s">
        <v>555</v>
      </c>
      <c r="C732" s="30" t="str">
        <f>CONCATENATE(VOL_VOLUMEN_SUMINISTROS[[#This Row],[Proyecto]],VOL_VOLUMEN_SUMINISTROS[[#This Row],[J]],VOL_VOLUMEN_SUMINISTROS[[#This Row],[FIN DE SEMANA]])</f>
        <v>1052-1MNO</v>
      </c>
      <c r="D732" s="360" t="str">
        <f>CONCATENATE(VOL_VOLUMEN_SUMINISTROS[[#This Row],[Grupo]],VOL_VOLUMEN_SUMINISTROS[[#This Row],[Proyecto]],VOL_VOLUMEN_SUMINISTROS[[#This Row],[FIN DE SEMANA]])</f>
        <v>141052-1NO</v>
      </c>
      <c r="E732" s="30" t="s">
        <v>146</v>
      </c>
      <c r="F732" s="30" t="s">
        <v>147</v>
      </c>
      <c r="G732" s="360">
        <v>14</v>
      </c>
      <c r="H732" s="30">
        <v>3</v>
      </c>
      <c r="I732" s="9" t="s">
        <v>577</v>
      </c>
      <c r="J732" s="9" t="s">
        <v>579</v>
      </c>
      <c r="K732" s="30">
        <v>1</v>
      </c>
      <c r="L732" s="9" t="s">
        <v>580</v>
      </c>
      <c r="M732" s="30" t="s">
        <v>84</v>
      </c>
      <c r="N732" s="30" t="s">
        <v>151</v>
      </c>
      <c r="O732" s="24">
        <v>130</v>
      </c>
      <c r="P732" s="24">
        <v>180</v>
      </c>
      <c r="Q732" s="24">
        <v>269</v>
      </c>
      <c r="R732" s="24">
        <v>0</v>
      </c>
      <c r="S732" s="24">
        <v>0</v>
      </c>
      <c r="T732" s="24">
        <v>579</v>
      </c>
    </row>
    <row r="733" spans="1:20">
      <c r="A733" s="9" t="s">
        <v>554</v>
      </c>
      <c r="B733" s="30" t="s">
        <v>555</v>
      </c>
      <c r="C733" s="30" t="str">
        <f>CONCATENATE(VOL_VOLUMEN_SUMINISTROS[[#This Row],[Proyecto]],VOL_VOLUMEN_SUMINISTROS[[#This Row],[J]],VOL_VOLUMEN_SUMINISTROS[[#This Row],[FIN DE SEMANA]])</f>
        <v>1052-1NNO</v>
      </c>
      <c r="D733" s="360" t="str">
        <f>CONCATENATE(VOL_VOLUMEN_SUMINISTROS[[#This Row],[Grupo]],VOL_VOLUMEN_SUMINISTROS[[#This Row],[Proyecto]],VOL_VOLUMEN_SUMINISTROS[[#This Row],[FIN DE SEMANA]])</f>
        <v>141052-1NO</v>
      </c>
      <c r="E733" s="30" t="s">
        <v>146</v>
      </c>
      <c r="F733" s="30" t="s">
        <v>147</v>
      </c>
      <c r="G733" s="360">
        <v>14</v>
      </c>
      <c r="H733" s="30">
        <v>3</v>
      </c>
      <c r="I733" s="9" t="s">
        <v>577</v>
      </c>
      <c r="J733" s="9" t="s">
        <v>579</v>
      </c>
      <c r="K733" s="30">
        <v>1</v>
      </c>
      <c r="L733" s="9" t="s">
        <v>580</v>
      </c>
      <c r="M733" s="30" t="s">
        <v>84</v>
      </c>
      <c r="N733" s="30" t="s">
        <v>153</v>
      </c>
      <c r="O733" s="24">
        <v>0</v>
      </c>
      <c r="P733" s="24">
        <v>0</v>
      </c>
      <c r="Q733" s="24">
        <v>0</v>
      </c>
      <c r="R733" s="24">
        <v>54</v>
      </c>
      <c r="S733" s="24">
        <v>72</v>
      </c>
      <c r="T733" s="24">
        <v>126</v>
      </c>
    </row>
    <row r="734" spans="1:20">
      <c r="A734" s="9" t="s">
        <v>554</v>
      </c>
      <c r="B734" s="30" t="s">
        <v>555</v>
      </c>
      <c r="C734" s="30" t="str">
        <f>CONCATENATE(VOL_VOLUMEN_SUMINISTROS[[#This Row],[Proyecto]],VOL_VOLUMEN_SUMINISTROS[[#This Row],[J]],VOL_VOLUMEN_SUMINISTROS[[#This Row],[FIN DE SEMANA]])</f>
        <v>1052-1MNO</v>
      </c>
      <c r="D734" s="360" t="str">
        <f>CONCATENATE(VOL_VOLUMEN_SUMINISTROS[[#This Row],[Grupo]],VOL_VOLUMEN_SUMINISTROS[[#This Row],[Proyecto]],VOL_VOLUMEN_SUMINISTROS[[#This Row],[FIN DE SEMANA]])</f>
        <v>141052-1NO</v>
      </c>
      <c r="E734" s="30" t="s">
        <v>146</v>
      </c>
      <c r="F734" s="30" t="s">
        <v>147</v>
      </c>
      <c r="G734" s="360">
        <v>14</v>
      </c>
      <c r="H734" s="30">
        <v>3</v>
      </c>
      <c r="I734" s="9" t="s">
        <v>577</v>
      </c>
      <c r="J734" s="9" t="s">
        <v>581</v>
      </c>
      <c r="K734" s="30">
        <v>2</v>
      </c>
      <c r="L734" s="9" t="s">
        <v>582</v>
      </c>
      <c r="M734" s="30" t="s">
        <v>84</v>
      </c>
      <c r="N734" s="30" t="s">
        <v>151</v>
      </c>
      <c r="O734" s="24">
        <v>149</v>
      </c>
      <c r="P734" s="24">
        <v>113</v>
      </c>
      <c r="Q734" s="24">
        <v>22</v>
      </c>
      <c r="R734" s="24">
        <v>0</v>
      </c>
      <c r="S734" s="24">
        <v>0</v>
      </c>
      <c r="T734" s="24">
        <v>284</v>
      </c>
    </row>
    <row r="735" spans="1:20">
      <c r="A735" s="9" t="s">
        <v>554</v>
      </c>
      <c r="B735" s="30" t="s">
        <v>555</v>
      </c>
      <c r="C735" s="30" t="str">
        <f>CONCATENATE(VOL_VOLUMEN_SUMINISTROS[[#This Row],[Proyecto]],VOL_VOLUMEN_SUMINISTROS[[#This Row],[J]],VOL_VOLUMEN_SUMINISTROS[[#This Row],[FIN DE SEMANA]])</f>
        <v>1052-1MNO</v>
      </c>
      <c r="D735" s="360" t="str">
        <f>CONCATENATE(VOL_VOLUMEN_SUMINISTROS[[#This Row],[Grupo]],VOL_VOLUMEN_SUMINISTROS[[#This Row],[Proyecto]],VOL_VOLUMEN_SUMINISTROS[[#This Row],[FIN DE SEMANA]])</f>
        <v>141052-1NO</v>
      </c>
      <c r="E735" s="30" t="s">
        <v>146</v>
      </c>
      <c r="F735" s="30" t="s">
        <v>147</v>
      </c>
      <c r="G735" s="360">
        <v>14</v>
      </c>
      <c r="H735" s="30">
        <v>3</v>
      </c>
      <c r="I735" s="9" t="s">
        <v>577</v>
      </c>
      <c r="J735" s="9" t="s">
        <v>581</v>
      </c>
      <c r="K735" s="30">
        <v>3</v>
      </c>
      <c r="L735" s="9" t="s">
        <v>583</v>
      </c>
      <c r="M735" s="30" t="s">
        <v>84</v>
      </c>
      <c r="N735" s="30" t="s">
        <v>151</v>
      </c>
      <c r="O735" s="24">
        <v>76</v>
      </c>
      <c r="P735" s="24">
        <v>72</v>
      </c>
      <c r="Q735" s="24">
        <v>15</v>
      </c>
      <c r="R735" s="24">
        <v>0</v>
      </c>
      <c r="S735" s="24">
        <v>0</v>
      </c>
      <c r="T735" s="24">
        <v>163</v>
      </c>
    </row>
    <row r="736" spans="1:20">
      <c r="A736" s="9" t="s">
        <v>554</v>
      </c>
      <c r="B736" s="30" t="s">
        <v>555</v>
      </c>
      <c r="C736" s="30" t="str">
        <f>CONCATENATE(VOL_VOLUMEN_SUMINISTROS[[#This Row],[Proyecto]],VOL_VOLUMEN_SUMINISTROS[[#This Row],[J]],VOL_VOLUMEN_SUMINISTROS[[#This Row],[FIN DE SEMANA]])</f>
        <v>1052-1NNO</v>
      </c>
      <c r="D736" s="360" t="str">
        <f>CONCATENATE(VOL_VOLUMEN_SUMINISTROS[[#This Row],[Grupo]],VOL_VOLUMEN_SUMINISTROS[[#This Row],[Proyecto]],VOL_VOLUMEN_SUMINISTROS[[#This Row],[FIN DE SEMANA]])</f>
        <v>141052-1NO</v>
      </c>
      <c r="E736" s="30" t="s">
        <v>146</v>
      </c>
      <c r="F736" s="30" t="s">
        <v>147</v>
      </c>
      <c r="G736" s="360">
        <v>14</v>
      </c>
      <c r="H736" s="30">
        <v>3</v>
      </c>
      <c r="I736" s="9" t="s">
        <v>577</v>
      </c>
      <c r="J736" s="9" t="s">
        <v>584</v>
      </c>
      <c r="K736" s="30">
        <v>1</v>
      </c>
      <c r="L736" s="9" t="s">
        <v>585</v>
      </c>
      <c r="M736" s="30" t="s">
        <v>84</v>
      </c>
      <c r="N736" s="30" t="s">
        <v>153</v>
      </c>
      <c r="O736" s="24">
        <v>0</v>
      </c>
      <c r="P736" s="24">
        <v>0</v>
      </c>
      <c r="Q736" s="24">
        <v>0</v>
      </c>
      <c r="R736" s="24">
        <v>70</v>
      </c>
      <c r="S736" s="24">
        <v>70</v>
      </c>
      <c r="T736" s="24">
        <v>140</v>
      </c>
    </row>
    <row r="737" spans="1:20">
      <c r="A737" s="9" t="s">
        <v>554</v>
      </c>
      <c r="B737" s="30" t="s">
        <v>555</v>
      </c>
      <c r="C737" s="30" t="str">
        <f>CONCATENATE(VOL_VOLUMEN_SUMINISTROS[[#This Row],[Proyecto]],VOL_VOLUMEN_SUMINISTROS[[#This Row],[J]],VOL_VOLUMEN_SUMINISTROS[[#This Row],[FIN DE SEMANA]])</f>
        <v>1052-1MNO</v>
      </c>
      <c r="D737" s="360" t="str">
        <f>CONCATENATE(VOL_VOLUMEN_SUMINISTROS[[#This Row],[Grupo]],VOL_VOLUMEN_SUMINISTROS[[#This Row],[Proyecto]],VOL_VOLUMEN_SUMINISTROS[[#This Row],[FIN DE SEMANA]])</f>
        <v>141052-1NO</v>
      </c>
      <c r="E737" s="30" t="s">
        <v>146</v>
      </c>
      <c r="F737" s="30" t="s">
        <v>147</v>
      </c>
      <c r="G737" s="360">
        <v>14</v>
      </c>
      <c r="H737" s="30">
        <v>3</v>
      </c>
      <c r="I737" s="9" t="s">
        <v>577</v>
      </c>
      <c r="J737" s="9" t="s">
        <v>584</v>
      </c>
      <c r="K737" s="30">
        <v>2</v>
      </c>
      <c r="L737" s="9" t="s">
        <v>586</v>
      </c>
      <c r="M737" s="30" t="s">
        <v>84</v>
      </c>
      <c r="N737" s="30" t="s">
        <v>151</v>
      </c>
      <c r="O737" s="24">
        <v>150</v>
      </c>
      <c r="P737" s="24">
        <v>0</v>
      </c>
      <c r="Q737" s="24">
        <v>0</v>
      </c>
      <c r="R737" s="24">
        <v>0</v>
      </c>
      <c r="S737" s="24">
        <v>0</v>
      </c>
      <c r="T737" s="24">
        <v>150</v>
      </c>
    </row>
    <row r="738" spans="1:20">
      <c r="A738" s="9" t="s">
        <v>554</v>
      </c>
      <c r="B738" s="30" t="s">
        <v>555</v>
      </c>
      <c r="C738" s="30" t="str">
        <f>CONCATENATE(VOL_VOLUMEN_SUMINISTROS[[#This Row],[Proyecto]],VOL_VOLUMEN_SUMINISTROS[[#This Row],[J]],VOL_VOLUMEN_SUMINISTROS[[#This Row],[FIN DE SEMANA]])</f>
        <v>1052-1MNO</v>
      </c>
      <c r="D738" s="360" t="str">
        <f>CONCATENATE(VOL_VOLUMEN_SUMINISTROS[[#This Row],[Grupo]],VOL_VOLUMEN_SUMINISTROS[[#This Row],[Proyecto]],VOL_VOLUMEN_SUMINISTROS[[#This Row],[FIN DE SEMANA]])</f>
        <v>141052-1NO</v>
      </c>
      <c r="E738" s="30" t="s">
        <v>146</v>
      </c>
      <c r="F738" s="30" t="s">
        <v>147</v>
      </c>
      <c r="G738" s="360">
        <v>14</v>
      </c>
      <c r="H738" s="30">
        <v>3</v>
      </c>
      <c r="I738" s="9" t="s">
        <v>577</v>
      </c>
      <c r="J738" s="9" t="s">
        <v>587</v>
      </c>
      <c r="K738" s="30">
        <v>1</v>
      </c>
      <c r="L738" s="9" t="s">
        <v>588</v>
      </c>
      <c r="M738" s="30" t="s">
        <v>84</v>
      </c>
      <c r="N738" s="30" t="s">
        <v>151</v>
      </c>
      <c r="O738" s="24">
        <v>104</v>
      </c>
      <c r="P738" s="24">
        <v>126</v>
      </c>
      <c r="Q738" s="24">
        <v>126</v>
      </c>
      <c r="R738" s="24">
        <v>0</v>
      </c>
      <c r="S738" s="24">
        <v>0</v>
      </c>
      <c r="T738" s="24">
        <v>356</v>
      </c>
    </row>
    <row r="739" spans="1:20">
      <c r="A739" s="9" t="s">
        <v>554</v>
      </c>
      <c r="B739" s="30" t="s">
        <v>555</v>
      </c>
      <c r="C739" s="30" t="str">
        <f>CONCATENATE(VOL_VOLUMEN_SUMINISTROS[[#This Row],[Proyecto]],VOL_VOLUMEN_SUMINISTROS[[#This Row],[J]],VOL_VOLUMEN_SUMINISTROS[[#This Row],[FIN DE SEMANA]])</f>
        <v>1052-1NNO</v>
      </c>
      <c r="D739" s="360" t="str">
        <f>CONCATENATE(VOL_VOLUMEN_SUMINISTROS[[#This Row],[Grupo]],VOL_VOLUMEN_SUMINISTROS[[#This Row],[Proyecto]],VOL_VOLUMEN_SUMINISTROS[[#This Row],[FIN DE SEMANA]])</f>
        <v>141052-1NO</v>
      </c>
      <c r="E739" s="30" t="s">
        <v>146</v>
      </c>
      <c r="F739" s="30" t="s">
        <v>147</v>
      </c>
      <c r="G739" s="360">
        <v>14</v>
      </c>
      <c r="H739" s="30">
        <v>3</v>
      </c>
      <c r="I739" s="9" t="s">
        <v>577</v>
      </c>
      <c r="J739" s="9" t="s">
        <v>589</v>
      </c>
      <c r="K739" s="30">
        <v>1</v>
      </c>
      <c r="L739" s="9" t="s">
        <v>590</v>
      </c>
      <c r="M739" s="30" t="s">
        <v>84</v>
      </c>
      <c r="N739" s="30" t="s">
        <v>153</v>
      </c>
      <c r="O739" s="24">
        <v>0</v>
      </c>
      <c r="P739" s="24">
        <v>0</v>
      </c>
      <c r="Q739" s="24">
        <v>0</v>
      </c>
      <c r="R739" s="24">
        <v>168</v>
      </c>
      <c r="S739" s="24">
        <v>86</v>
      </c>
      <c r="T739" s="24">
        <v>254</v>
      </c>
    </row>
    <row r="740" spans="1:20">
      <c r="A740" s="9" t="s">
        <v>554</v>
      </c>
      <c r="B740" s="30" t="s">
        <v>555</v>
      </c>
      <c r="C740" s="30" t="str">
        <f>CONCATENATE(VOL_VOLUMEN_SUMINISTROS[[#This Row],[Proyecto]],VOL_VOLUMEN_SUMINISTROS[[#This Row],[J]],VOL_VOLUMEN_SUMINISTROS[[#This Row],[FIN DE SEMANA]])</f>
        <v>1052-1MNO</v>
      </c>
      <c r="D740" s="360" t="str">
        <f>CONCATENATE(VOL_VOLUMEN_SUMINISTROS[[#This Row],[Grupo]],VOL_VOLUMEN_SUMINISTROS[[#This Row],[Proyecto]],VOL_VOLUMEN_SUMINISTROS[[#This Row],[FIN DE SEMANA]])</f>
        <v>141052-1NO</v>
      </c>
      <c r="E740" s="30" t="s">
        <v>146</v>
      </c>
      <c r="F740" s="30" t="s">
        <v>147</v>
      </c>
      <c r="G740" s="360">
        <v>14</v>
      </c>
      <c r="H740" s="30">
        <v>3</v>
      </c>
      <c r="I740" s="9" t="s">
        <v>577</v>
      </c>
      <c r="J740" s="9" t="s">
        <v>589</v>
      </c>
      <c r="K740" s="30">
        <v>2</v>
      </c>
      <c r="L740" s="9" t="s">
        <v>591</v>
      </c>
      <c r="M740" s="30" t="s">
        <v>84</v>
      </c>
      <c r="N740" s="30" t="s">
        <v>151</v>
      </c>
      <c r="O740" s="24">
        <v>116</v>
      </c>
      <c r="P740" s="24">
        <v>32</v>
      </c>
      <c r="Q740" s="24">
        <v>0</v>
      </c>
      <c r="R740" s="24">
        <v>0</v>
      </c>
      <c r="S740" s="24">
        <v>0</v>
      </c>
      <c r="T740" s="24">
        <v>148</v>
      </c>
    </row>
    <row r="741" spans="1:20">
      <c r="A741" s="9" t="s">
        <v>554</v>
      </c>
      <c r="B741" s="30" t="s">
        <v>555</v>
      </c>
      <c r="C741" s="30" t="str">
        <f>CONCATENATE(VOL_VOLUMEN_SUMINISTROS[[#This Row],[Proyecto]],VOL_VOLUMEN_SUMINISTROS[[#This Row],[J]],VOL_VOLUMEN_SUMINISTROS[[#This Row],[FIN DE SEMANA]])</f>
        <v>1052-1TNO</v>
      </c>
      <c r="D741" s="360" t="str">
        <f>CONCATENATE(VOL_VOLUMEN_SUMINISTROS[[#This Row],[Grupo]],VOL_VOLUMEN_SUMINISTROS[[#This Row],[Proyecto]],VOL_VOLUMEN_SUMINISTROS[[#This Row],[FIN DE SEMANA]])</f>
        <v>141052-1NO</v>
      </c>
      <c r="E741" s="30" t="s">
        <v>146</v>
      </c>
      <c r="F741" s="30" t="s">
        <v>147</v>
      </c>
      <c r="G741" s="360">
        <v>14</v>
      </c>
      <c r="H741" s="30">
        <v>3</v>
      </c>
      <c r="I741" s="9" t="s">
        <v>577</v>
      </c>
      <c r="J741" s="9" t="s">
        <v>589</v>
      </c>
      <c r="K741" s="30">
        <v>2</v>
      </c>
      <c r="L741" s="9" t="s">
        <v>591</v>
      </c>
      <c r="M741" s="30" t="s">
        <v>84</v>
      </c>
      <c r="N741" s="30" t="s">
        <v>154</v>
      </c>
      <c r="O741" s="24">
        <v>114</v>
      </c>
      <c r="P741" s="24">
        <v>33</v>
      </c>
      <c r="Q741" s="24">
        <v>0</v>
      </c>
      <c r="R741" s="24">
        <v>0</v>
      </c>
      <c r="S741" s="24">
        <v>0</v>
      </c>
      <c r="T741" s="24">
        <v>147</v>
      </c>
    </row>
    <row r="742" spans="1:20">
      <c r="A742" s="9" t="s">
        <v>554</v>
      </c>
      <c r="B742" s="30" t="s">
        <v>555</v>
      </c>
      <c r="C742" s="30" t="str">
        <f>CONCATENATE(VOL_VOLUMEN_SUMINISTROS[[#This Row],[Proyecto]],VOL_VOLUMEN_SUMINISTROS[[#This Row],[J]],VOL_VOLUMEN_SUMINISTROS[[#This Row],[FIN DE SEMANA]])</f>
        <v>1052-1MNO</v>
      </c>
      <c r="D742" s="360" t="str">
        <f>CONCATENATE(VOL_VOLUMEN_SUMINISTROS[[#This Row],[Grupo]],VOL_VOLUMEN_SUMINISTROS[[#This Row],[Proyecto]],VOL_VOLUMEN_SUMINISTROS[[#This Row],[FIN DE SEMANA]])</f>
        <v>141052-1NO</v>
      </c>
      <c r="E742" s="30" t="s">
        <v>146</v>
      </c>
      <c r="F742" s="30" t="s">
        <v>147</v>
      </c>
      <c r="G742" s="360">
        <v>14</v>
      </c>
      <c r="H742" s="30">
        <v>3</v>
      </c>
      <c r="I742" s="9" t="s">
        <v>577</v>
      </c>
      <c r="J742" s="9" t="s">
        <v>592</v>
      </c>
      <c r="K742" s="30">
        <v>1</v>
      </c>
      <c r="L742" s="9" t="s">
        <v>593</v>
      </c>
      <c r="M742" s="30" t="s">
        <v>84</v>
      </c>
      <c r="N742" s="30" t="s">
        <v>151</v>
      </c>
      <c r="O742" s="24">
        <v>65</v>
      </c>
      <c r="P742" s="24">
        <v>88</v>
      </c>
      <c r="Q742" s="24">
        <v>98</v>
      </c>
      <c r="R742" s="24">
        <v>0</v>
      </c>
      <c r="S742" s="24">
        <v>0</v>
      </c>
      <c r="T742" s="24">
        <v>251</v>
      </c>
    </row>
    <row r="743" spans="1:20">
      <c r="A743" s="9" t="s">
        <v>554</v>
      </c>
      <c r="B743" s="30" t="s">
        <v>555</v>
      </c>
      <c r="C743" s="30" t="str">
        <f>CONCATENATE(VOL_VOLUMEN_SUMINISTROS[[#This Row],[Proyecto]],VOL_VOLUMEN_SUMINISTROS[[#This Row],[J]],VOL_VOLUMEN_SUMINISTROS[[#This Row],[FIN DE SEMANA]])</f>
        <v>1052-1MNO</v>
      </c>
      <c r="D743" s="360" t="str">
        <f>CONCATENATE(VOL_VOLUMEN_SUMINISTROS[[#This Row],[Grupo]],VOL_VOLUMEN_SUMINISTROS[[#This Row],[Proyecto]],VOL_VOLUMEN_SUMINISTROS[[#This Row],[FIN DE SEMANA]])</f>
        <v>141052-1NO</v>
      </c>
      <c r="E743" s="30" t="s">
        <v>146</v>
      </c>
      <c r="F743" s="30" t="s">
        <v>147</v>
      </c>
      <c r="G743" s="360">
        <v>14</v>
      </c>
      <c r="H743" s="30">
        <v>3</v>
      </c>
      <c r="I743" s="9" t="s">
        <v>577</v>
      </c>
      <c r="J743" s="9" t="s">
        <v>594</v>
      </c>
      <c r="K743" s="30">
        <v>1</v>
      </c>
      <c r="L743" s="9" t="s">
        <v>595</v>
      </c>
      <c r="M743" s="30" t="s">
        <v>84</v>
      </c>
      <c r="N743" s="30" t="s">
        <v>151</v>
      </c>
      <c r="O743" s="24">
        <v>0</v>
      </c>
      <c r="P743" s="24">
        <v>111</v>
      </c>
      <c r="Q743" s="24">
        <v>187</v>
      </c>
      <c r="R743" s="24">
        <v>0</v>
      </c>
      <c r="S743" s="24">
        <v>0</v>
      </c>
      <c r="T743" s="24">
        <v>298</v>
      </c>
    </row>
    <row r="744" spans="1:20">
      <c r="A744" s="9" t="s">
        <v>554</v>
      </c>
      <c r="B744" s="30" t="s">
        <v>555</v>
      </c>
      <c r="C744" s="30" t="str">
        <f>CONCATENATE(VOL_VOLUMEN_SUMINISTROS[[#This Row],[Proyecto]],VOL_VOLUMEN_SUMINISTROS[[#This Row],[J]],VOL_VOLUMEN_SUMINISTROS[[#This Row],[FIN DE SEMANA]])</f>
        <v>1052-1TNO</v>
      </c>
      <c r="D744" s="360" t="str">
        <f>CONCATENATE(VOL_VOLUMEN_SUMINISTROS[[#This Row],[Grupo]],VOL_VOLUMEN_SUMINISTROS[[#This Row],[Proyecto]],VOL_VOLUMEN_SUMINISTROS[[#This Row],[FIN DE SEMANA]])</f>
        <v>141052-1NO</v>
      </c>
      <c r="E744" s="30" t="s">
        <v>146</v>
      </c>
      <c r="F744" s="30" t="s">
        <v>147</v>
      </c>
      <c r="G744" s="360">
        <v>14</v>
      </c>
      <c r="H744" s="30">
        <v>3</v>
      </c>
      <c r="I744" s="9" t="s">
        <v>577</v>
      </c>
      <c r="J744" s="9" t="s">
        <v>594</v>
      </c>
      <c r="K744" s="30">
        <v>1</v>
      </c>
      <c r="L744" s="9" t="s">
        <v>595</v>
      </c>
      <c r="M744" s="30" t="s">
        <v>84</v>
      </c>
      <c r="N744" s="30" t="s">
        <v>154</v>
      </c>
      <c r="O744" s="24">
        <v>0</v>
      </c>
      <c r="P744" s="24">
        <v>51</v>
      </c>
      <c r="Q744" s="24">
        <v>108</v>
      </c>
      <c r="R744" s="24">
        <v>0</v>
      </c>
      <c r="S744" s="24">
        <v>0</v>
      </c>
      <c r="T744" s="24">
        <v>159</v>
      </c>
    </row>
    <row r="745" spans="1:20">
      <c r="A745" s="9" t="s">
        <v>554</v>
      </c>
      <c r="B745" s="30" t="s">
        <v>555</v>
      </c>
      <c r="C745" s="30" t="str">
        <f>CONCATENATE(VOL_VOLUMEN_SUMINISTROS[[#This Row],[Proyecto]],VOL_VOLUMEN_SUMINISTROS[[#This Row],[J]],VOL_VOLUMEN_SUMINISTROS[[#This Row],[FIN DE SEMANA]])</f>
        <v>1052-1MNO</v>
      </c>
      <c r="D745" s="360" t="str">
        <f>CONCATENATE(VOL_VOLUMEN_SUMINISTROS[[#This Row],[Grupo]],VOL_VOLUMEN_SUMINISTROS[[#This Row],[Proyecto]],VOL_VOLUMEN_SUMINISTROS[[#This Row],[FIN DE SEMANA]])</f>
        <v>141052-1NO</v>
      </c>
      <c r="E745" s="30" t="s">
        <v>146</v>
      </c>
      <c r="F745" s="30" t="s">
        <v>147</v>
      </c>
      <c r="G745" s="360">
        <v>14</v>
      </c>
      <c r="H745" s="30">
        <v>3</v>
      </c>
      <c r="I745" s="9" t="s">
        <v>577</v>
      </c>
      <c r="J745" s="9" t="s">
        <v>594</v>
      </c>
      <c r="K745" s="30">
        <v>2</v>
      </c>
      <c r="L745" s="9" t="s">
        <v>596</v>
      </c>
      <c r="M745" s="30" t="s">
        <v>84</v>
      </c>
      <c r="N745" s="30" t="s">
        <v>151</v>
      </c>
      <c r="O745" s="24">
        <v>171</v>
      </c>
      <c r="P745" s="24">
        <v>151</v>
      </c>
      <c r="Q745" s="24">
        <v>28</v>
      </c>
      <c r="R745" s="24">
        <v>0</v>
      </c>
      <c r="S745" s="24">
        <v>0</v>
      </c>
      <c r="T745" s="24">
        <v>350</v>
      </c>
    </row>
    <row r="746" spans="1:20">
      <c r="A746" s="9" t="s">
        <v>554</v>
      </c>
      <c r="B746" s="30" t="s">
        <v>555</v>
      </c>
      <c r="C746" s="30" t="str">
        <f>CONCATENATE(VOL_VOLUMEN_SUMINISTROS[[#This Row],[Proyecto]],VOL_VOLUMEN_SUMINISTROS[[#This Row],[J]],VOL_VOLUMEN_SUMINISTROS[[#This Row],[FIN DE SEMANA]])</f>
        <v>1052-1TNO</v>
      </c>
      <c r="D746" s="360" t="str">
        <f>CONCATENATE(VOL_VOLUMEN_SUMINISTROS[[#This Row],[Grupo]],VOL_VOLUMEN_SUMINISTROS[[#This Row],[Proyecto]],VOL_VOLUMEN_SUMINISTROS[[#This Row],[FIN DE SEMANA]])</f>
        <v>141052-1NO</v>
      </c>
      <c r="E746" s="30" t="s">
        <v>146</v>
      </c>
      <c r="F746" s="30" t="s">
        <v>147</v>
      </c>
      <c r="G746" s="360">
        <v>14</v>
      </c>
      <c r="H746" s="30">
        <v>3</v>
      </c>
      <c r="I746" s="9" t="s">
        <v>577</v>
      </c>
      <c r="J746" s="9" t="s">
        <v>594</v>
      </c>
      <c r="K746" s="30">
        <v>2</v>
      </c>
      <c r="L746" s="9" t="s">
        <v>597</v>
      </c>
      <c r="M746" s="30" t="s">
        <v>84</v>
      </c>
      <c r="N746" s="30" t="s">
        <v>154</v>
      </c>
      <c r="O746" s="24">
        <v>14</v>
      </c>
      <c r="P746" s="24">
        <v>40</v>
      </c>
      <c r="Q746" s="24">
        <v>11</v>
      </c>
      <c r="R746" s="24">
        <v>0</v>
      </c>
      <c r="S746" s="24">
        <v>0</v>
      </c>
      <c r="T746" s="24">
        <v>65</v>
      </c>
    </row>
    <row r="747" spans="1:20">
      <c r="A747" s="9" t="s">
        <v>554</v>
      </c>
      <c r="B747" s="30" t="s">
        <v>555</v>
      </c>
      <c r="C747" s="30" t="str">
        <f>CONCATENATE(VOL_VOLUMEN_SUMINISTROS[[#This Row],[Proyecto]],VOL_VOLUMEN_SUMINISTROS[[#This Row],[J]],VOL_VOLUMEN_SUMINISTROS[[#This Row],[FIN DE SEMANA]])</f>
        <v>1052-1MNO</v>
      </c>
      <c r="D747" s="360" t="str">
        <f>CONCATENATE(VOL_VOLUMEN_SUMINISTROS[[#This Row],[Grupo]],VOL_VOLUMEN_SUMINISTROS[[#This Row],[Proyecto]],VOL_VOLUMEN_SUMINISTROS[[#This Row],[FIN DE SEMANA]])</f>
        <v>141052-1NO</v>
      </c>
      <c r="E747" s="30" t="s">
        <v>146</v>
      </c>
      <c r="F747" s="30" t="s">
        <v>147</v>
      </c>
      <c r="G747" s="360">
        <v>14</v>
      </c>
      <c r="H747" s="30">
        <v>3</v>
      </c>
      <c r="I747" s="9" t="s">
        <v>577</v>
      </c>
      <c r="J747" s="9" t="s">
        <v>594</v>
      </c>
      <c r="K747" s="30">
        <v>3</v>
      </c>
      <c r="L747" s="9" t="s">
        <v>598</v>
      </c>
      <c r="M747" s="30" t="s">
        <v>84</v>
      </c>
      <c r="N747" s="30" t="s">
        <v>151</v>
      </c>
      <c r="O747" s="24">
        <v>75</v>
      </c>
      <c r="P747" s="24">
        <v>41</v>
      </c>
      <c r="Q747" s="24">
        <v>8</v>
      </c>
      <c r="R747" s="24">
        <v>0</v>
      </c>
      <c r="S747" s="24">
        <v>0</v>
      </c>
      <c r="T747" s="24">
        <v>124</v>
      </c>
    </row>
    <row r="748" spans="1:20">
      <c r="A748" s="9" t="s">
        <v>554</v>
      </c>
      <c r="B748" s="30" t="s">
        <v>599</v>
      </c>
      <c r="C748" s="30" t="str">
        <f>CONCATENATE(VOL_VOLUMEN_SUMINISTROS[[#This Row],[Proyecto]],VOL_VOLUMEN_SUMINISTROS[[#This Row],[J]],VOL_VOLUMEN_SUMINISTROS[[#This Row],[FIN DE SEMANA]])</f>
        <v>1052-2M1NO</v>
      </c>
      <c r="D748" s="360" t="str">
        <f>CONCATENATE(VOL_VOLUMEN_SUMINISTROS[[#This Row],[Grupo]],VOL_VOLUMEN_SUMINISTROS[[#This Row],[Proyecto]],VOL_VOLUMEN_SUMINISTROS[[#This Row],[FIN DE SEMANA]])</f>
        <v>141052-2NO</v>
      </c>
      <c r="E748" s="30" t="s">
        <v>182</v>
      </c>
      <c r="F748" s="30" t="s">
        <v>147</v>
      </c>
      <c r="G748" s="360">
        <v>14</v>
      </c>
      <c r="H748" s="30">
        <v>14</v>
      </c>
      <c r="I748" s="9" t="s">
        <v>556</v>
      </c>
      <c r="J748" s="9" t="s">
        <v>557</v>
      </c>
      <c r="K748" s="30">
        <v>1</v>
      </c>
      <c r="L748" s="9" t="s">
        <v>152</v>
      </c>
      <c r="M748" s="30" t="s">
        <v>84</v>
      </c>
      <c r="N748" s="30" t="s">
        <v>215</v>
      </c>
      <c r="O748" s="24">
        <v>190</v>
      </c>
      <c r="P748" s="24">
        <v>275</v>
      </c>
      <c r="Q748" s="24">
        <v>80</v>
      </c>
      <c r="R748" s="24">
        <v>0</v>
      </c>
      <c r="S748" s="24">
        <v>0</v>
      </c>
      <c r="T748" s="24">
        <v>545</v>
      </c>
    </row>
    <row r="749" spans="1:20">
      <c r="A749" s="9" t="s">
        <v>554</v>
      </c>
      <c r="B749" s="30" t="s">
        <v>599</v>
      </c>
      <c r="C749" s="30" t="str">
        <f>CONCATENATE(VOL_VOLUMEN_SUMINISTROS[[#This Row],[Proyecto]],VOL_VOLUMEN_SUMINISTROS[[#This Row],[J]],VOL_VOLUMEN_SUMINISTROS[[#This Row],[FIN DE SEMANA]])</f>
        <v>1052-2TNO</v>
      </c>
      <c r="D749" s="360" t="str">
        <f>CONCATENATE(VOL_VOLUMEN_SUMINISTROS[[#This Row],[Grupo]],VOL_VOLUMEN_SUMINISTROS[[#This Row],[Proyecto]],VOL_VOLUMEN_SUMINISTROS[[#This Row],[FIN DE SEMANA]])</f>
        <v>141052-2NO</v>
      </c>
      <c r="E749" s="30" t="s">
        <v>182</v>
      </c>
      <c r="F749" s="30" t="s">
        <v>147</v>
      </c>
      <c r="G749" s="360">
        <v>14</v>
      </c>
      <c r="H749" s="30">
        <v>14</v>
      </c>
      <c r="I749" s="9" t="s">
        <v>556</v>
      </c>
      <c r="J749" s="9" t="s">
        <v>557</v>
      </c>
      <c r="K749" s="30">
        <v>1</v>
      </c>
      <c r="L749" s="9" t="s">
        <v>152</v>
      </c>
      <c r="M749" s="30" t="s">
        <v>84</v>
      </c>
      <c r="N749" s="30" t="s">
        <v>154</v>
      </c>
      <c r="O749" s="24">
        <v>0</v>
      </c>
      <c r="P749" s="24">
        <v>108</v>
      </c>
      <c r="Q749" s="24">
        <v>96</v>
      </c>
      <c r="R749" s="24">
        <v>0</v>
      </c>
      <c r="S749" s="24">
        <v>0</v>
      </c>
      <c r="T749" s="24">
        <v>204</v>
      </c>
    </row>
    <row r="750" spans="1:20">
      <c r="A750" s="9" t="s">
        <v>554</v>
      </c>
      <c r="B750" s="30" t="s">
        <v>599</v>
      </c>
      <c r="C750" s="30" t="str">
        <f>CONCATENATE(VOL_VOLUMEN_SUMINISTROS[[#This Row],[Proyecto]],VOL_VOLUMEN_SUMINISTROS[[#This Row],[J]],VOL_VOLUMEN_SUMINISTROS[[#This Row],[FIN DE SEMANA]])</f>
        <v>1052-2MNO</v>
      </c>
      <c r="D750" s="360" t="str">
        <f>CONCATENATE(VOL_VOLUMEN_SUMINISTROS[[#This Row],[Grupo]],VOL_VOLUMEN_SUMINISTROS[[#This Row],[Proyecto]],VOL_VOLUMEN_SUMINISTROS[[#This Row],[FIN DE SEMANA]])</f>
        <v>141052-2NO</v>
      </c>
      <c r="E750" s="30" t="s">
        <v>182</v>
      </c>
      <c r="F750" s="30" t="s">
        <v>147</v>
      </c>
      <c r="G750" s="360">
        <v>14</v>
      </c>
      <c r="H750" s="30">
        <v>14</v>
      </c>
      <c r="I750" s="9" t="s">
        <v>556</v>
      </c>
      <c r="J750" s="9" t="s">
        <v>561</v>
      </c>
      <c r="K750" s="30">
        <v>1</v>
      </c>
      <c r="L750" s="9" t="s">
        <v>562</v>
      </c>
      <c r="M750" s="30" t="s">
        <v>84</v>
      </c>
      <c r="N750" s="30" t="s">
        <v>151</v>
      </c>
      <c r="O750" s="24">
        <v>40</v>
      </c>
      <c r="P750" s="24">
        <v>110</v>
      </c>
      <c r="Q750" s="24">
        <v>30</v>
      </c>
      <c r="R750" s="24">
        <v>0</v>
      </c>
      <c r="S750" s="24">
        <v>0</v>
      </c>
      <c r="T750" s="24">
        <v>180</v>
      </c>
    </row>
    <row r="751" spans="1:20">
      <c r="A751" s="9" t="s">
        <v>554</v>
      </c>
      <c r="B751" s="30" t="s">
        <v>599</v>
      </c>
      <c r="C751" s="30" t="str">
        <f>CONCATENATE(VOL_VOLUMEN_SUMINISTROS[[#This Row],[Proyecto]],VOL_VOLUMEN_SUMINISTROS[[#This Row],[J]],VOL_VOLUMEN_SUMINISTROS[[#This Row],[FIN DE SEMANA]])</f>
        <v>1052-2TNO</v>
      </c>
      <c r="D751" s="360" t="str">
        <f>CONCATENATE(VOL_VOLUMEN_SUMINISTROS[[#This Row],[Grupo]],VOL_VOLUMEN_SUMINISTROS[[#This Row],[Proyecto]],VOL_VOLUMEN_SUMINISTROS[[#This Row],[FIN DE SEMANA]])</f>
        <v>141052-2NO</v>
      </c>
      <c r="E751" s="30" t="s">
        <v>182</v>
      </c>
      <c r="F751" s="30" t="s">
        <v>147</v>
      </c>
      <c r="G751" s="360">
        <v>14</v>
      </c>
      <c r="H751" s="30">
        <v>14</v>
      </c>
      <c r="I751" s="9" t="s">
        <v>556</v>
      </c>
      <c r="J751" s="9" t="s">
        <v>561</v>
      </c>
      <c r="K751" s="30">
        <v>1</v>
      </c>
      <c r="L751" s="9" t="s">
        <v>562</v>
      </c>
      <c r="M751" s="30" t="s">
        <v>84</v>
      </c>
      <c r="N751" s="30" t="s">
        <v>154</v>
      </c>
      <c r="O751" s="24">
        <v>40</v>
      </c>
      <c r="P751" s="24">
        <v>110</v>
      </c>
      <c r="Q751" s="24">
        <v>30</v>
      </c>
      <c r="R751" s="24">
        <v>0</v>
      </c>
      <c r="S751" s="24">
        <v>0</v>
      </c>
      <c r="T751" s="24">
        <v>180</v>
      </c>
    </row>
    <row r="752" spans="1:20">
      <c r="A752" s="9" t="s">
        <v>554</v>
      </c>
      <c r="B752" s="30" t="s">
        <v>599</v>
      </c>
      <c r="C752" s="30" t="str">
        <f>CONCATENATE(VOL_VOLUMEN_SUMINISTROS[[#This Row],[Proyecto]],VOL_VOLUMEN_SUMINISTROS[[#This Row],[J]],VOL_VOLUMEN_SUMINISTROS[[#This Row],[FIN DE SEMANA]])</f>
        <v>1052-2MNO</v>
      </c>
      <c r="D752" s="360" t="str">
        <f>CONCATENATE(VOL_VOLUMEN_SUMINISTROS[[#This Row],[Grupo]],VOL_VOLUMEN_SUMINISTROS[[#This Row],[Proyecto]],VOL_VOLUMEN_SUMINISTROS[[#This Row],[FIN DE SEMANA]])</f>
        <v>141052-2NO</v>
      </c>
      <c r="E752" s="30" t="s">
        <v>182</v>
      </c>
      <c r="F752" s="30" t="s">
        <v>147</v>
      </c>
      <c r="G752" s="360">
        <v>14</v>
      </c>
      <c r="H752" s="30">
        <v>14</v>
      </c>
      <c r="I752" s="9" t="s">
        <v>556</v>
      </c>
      <c r="J752" s="9" t="s">
        <v>566</v>
      </c>
      <c r="K752" s="30">
        <v>1</v>
      </c>
      <c r="L752" s="9" t="s">
        <v>152</v>
      </c>
      <c r="M752" s="30" t="s">
        <v>84</v>
      </c>
      <c r="N752" s="30" t="s">
        <v>151</v>
      </c>
      <c r="O752" s="24">
        <v>0</v>
      </c>
      <c r="P752" s="24">
        <v>66</v>
      </c>
      <c r="Q752" s="24">
        <v>22</v>
      </c>
      <c r="R752" s="24">
        <v>0</v>
      </c>
      <c r="S752" s="24">
        <v>0</v>
      </c>
      <c r="T752" s="24">
        <v>88</v>
      </c>
    </row>
    <row r="753" spans="1:20">
      <c r="A753" s="9" t="s">
        <v>554</v>
      </c>
      <c r="B753" s="30" t="s">
        <v>599</v>
      </c>
      <c r="C753" s="30" t="str">
        <f>CONCATENATE(VOL_VOLUMEN_SUMINISTROS[[#This Row],[Proyecto]],VOL_VOLUMEN_SUMINISTROS[[#This Row],[J]],VOL_VOLUMEN_SUMINISTROS[[#This Row],[FIN DE SEMANA]])</f>
        <v>1052-2M1NO</v>
      </c>
      <c r="D753" s="360" t="str">
        <f>CONCATENATE(VOL_VOLUMEN_SUMINISTROS[[#This Row],[Grupo]],VOL_VOLUMEN_SUMINISTROS[[#This Row],[Proyecto]],VOL_VOLUMEN_SUMINISTROS[[#This Row],[FIN DE SEMANA]])</f>
        <v>141052-2NO</v>
      </c>
      <c r="E753" s="30" t="s">
        <v>182</v>
      </c>
      <c r="F753" s="30" t="s">
        <v>147</v>
      </c>
      <c r="G753" s="360">
        <v>14</v>
      </c>
      <c r="H753" s="30">
        <v>14</v>
      </c>
      <c r="I753" s="9" t="s">
        <v>556</v>
      </c>
      <c r="J753" s="9" t="s">
        <v>566</v>
      </c>
      <c r="K753" s="30">
        <v>1</v>
      </c>
      <c r="L753" s="9" t="s">
        <v>152</v>
      </c>
      <c r="M753" s="30" t="s">
        <v>84</v>
      </c>
      <c r="N753" s="30" t="s">
        <v>215</v>
      </c>
      <c r="O753" s="24">
        <v>0</v>
      </c>
      <c r="P753" s="24">
        <v>129</v>
      </c>
      <c r="Q753" s="24">
        <v>43</v>
      </c>
      <c r="R753" s="24">
        <v>0</v>
      </c>
      <c r="S753" s="24">
        <v>0</v>
      </c>
      <c r="T753" s="24">
        <v>172</v>
      </c>
    </row>
    <row r="754" spans="1:20">
      <c r="A754" s="9" t="s">
        <v>554</v>
      </c>
      <c r="B754" s="30" t="s">
        <v>599</v>
      </c>
      <c r="C754" s="30" t="str">
        <f>CONCATENATE(VOL_VOLUMEN_SUMINISTROS[[#This Row],[Proyecto]],VOL_VOLUMEN_SUMINISTROS[[#This Row],[J]],VOL_VOLUMEN_SUMINISTROS[[#This Row],[FIN DE SEMANA]])</f>
        <v>1052-2M1NO</v>
      </c>
      <c r="D754" s="360" t="str">
        <f>CONCATENATE(VOL_VOLUMEN_SUMINISTROS[[#This Row],[Grupo]],VOL_VOLUMEN_SUMINISTROS[[#This Row],[Proyecto]],VOL_VOLUMEN_SUMINISTROS[[#This Row],[FIN DE SEMANA]])</f>
        <v>141052-2NO</v>
      </c>
      <c r="E754" s="30" t="s">
        <v>182</v>
      </c>
      <c r="F754" s="30" t="s">
        <v>147</v>
      </c>
      <c r="G754" s="360">
        <v>14</v>
      </c>
      <c r="H754" s="30">
        <v>14</v>
      </c>
      <c r="I754" s="9" t="s">
        <v>556</v>
      </c>
      <c r="J754" s="9" t="s">
        <v>566</v>
      </c>
      <c r="K754" s="30">
        <v>2</v>
      </c>
      <c r="L754" s="9" t="s">
        <v>567</v>
      </c>
      <c r="M754" s="30" t="s">
        <v>84</v>
      </c>
      <c r="N754" s="30" t="s">
        <v>215</v>
      </c>
      <c r="O754" s="24">
        <v>116</v>
      </c>
      <c r="P754" s="24">
        <v>58</v>
      </c>
      <c r="Q754" s="24">
        <v>0</v>
      </c>
      <c r="R754" s="24">
        <v>0</v>
      </c>
      <c r="S754" s="24">
        <v>0</v>
      </c>
      <c r="T754" s="24">
        <v>174</v>
      </c>
    </row>
    <row r="755" spans="1:20">
      <c r="A755" s="9" t="s">
        <v>554</v>
      </c>
      <c r="B755" s="30" t="s">
        <v>599</v>
      </c>
      <c r="C755" s="30" t="str">
        <f>CONCATENATE(VOL_VOLUMEN_SUMINISTROS[[#This Row],[Proyecto]],VOL_VOLUMEN_SUMINISTROS[[#This Row],[J]],VOL_VOLUMEN_SUMINISTROS[[#This Row],[FIN DE SEMANA]])</f>
        <v>1052-2MNO</v>
      </c>
      <c r="D755" s="360" t="str">
        <f>CONCATENATE(VOL_VOLUMEN_SUMINISTROS[[#This Row],[Grupo]],VOL_VOLUMEN_SUMINISTROS[[#This Row],[Proyecto]],VOL_VOLUMEN_SUMINISTROS[[#This Row],[FIN DE SEMANA]])</f>
        <v>141052-2NO</v>
      </c>
      <c r="E755" s="30" t="s">
        <v>182</v>
      </c>
      <c r="F755" s="30" t="s">
        <v>147</v>
      </c>
      <c r="G755" s="360">
        <v>14</v>
      </c>
      <c r="H755" s="30">
        <v>17</v>
      </c>
      <c r="I755" s="9" t="s">
        <v>571</v>
      </c>
      <c r="J755" s="9" t="s">
        <v>574</v>
      </c>
      <c r="K755" s="30">
        <v>2</v>
      </c>
      <c r="L755" s="9" t="s">
        <v>575</v>
      </c>
      <c r="M755" s="30" t="s">
        <v>84</v>
      </c>
      <c r="N755" s="30" t="s">
        <v>151</v>
      </c>
      <c r="O755" s="24">
        <v>0</v>
      </c>
      <c r="P755" s="24">
        <v>21</v>
      </c>
      <c r="Q755" s="24">
        <v>32</v>
      </c>
      <c r="R755" s="24">
        <v>0</v>
      </c>
      <c r="S755" s="24">
        <v>0</v>
      </c>
      <c r="T755" s="24">
        <v>53</v>
      </c>
    </row>
    <row r="756" spans="1:20">
      <c r="A756" s="9" t="s">
        <v>554</v>
      </c>
      <c r="B756" s="30" t="s">
        <v>599</v>
      </c>
      <c r="C756" s="30" t="str">
        <f>CONCATENATE(VOL_VOLUMEN_SUMINISTROS[[#This Row],[Proyecto]],VOL_VOLUMEN_SUMINISTROS[[#This Row],[J]],VOL_VOLUMEN_SUMINISTROS[[#This Row],[FIN DE SEMANA]])</f>
        <v>1052-2M1NO</v>
      </c>
      <c r="D756" s="360" t="str">
        <f>CONCATENATE(VOL_VOLUMEN_SUMINISTROS[[#This Row],[Grupo]],VOL_VOLUMEN_SUMINISTROS[[#This Row],[Proyecto]],VOL_VOLUMEN_SUMINISTROS[[#This Row],[FIN DE SEMANA]])</f>
        <v>141052-2NO</v>
      </c>
      <c r="E756" s="30" t="s">
        <v>182</v>
      </c>
      <c r="F756" s="30" t="s">
        <v>147</v>
      </c>
      <c r="G756" s="360">
        <v>14</v>
      </c>
      <c r="H756" s="30">
        <v>3</v>
      </c>
      <c r="I756" s="9" t="s">
        <v>577</v>
      </c>
      <c r="J756" s="9" t="s">
        <v>578</v>
      </c>
      <c r="K756" s="30">
        <v>1</v>
      </c>
      <c r="L756" s="9" t="s">
        <v>150</v>
      </c>
      <c r="M756" s="30" t="s">
        <v>84</v>
      </c>
      <c r="N756" s="30" t="s">
        <v>215</v>
      </c>
      <c r="O756" s="24">
        <v>0</v>
      </c>
      <c r="P756" s="24">
        <v>294</v>
      </c>
      <c r="Q756" s="24">
        <v>332</v>
      </c>
      <c r="R756" s="24">
        <v>0</v>
      </c>
      <c r="S756" s="24">
        <v>0</v>
      </c>
      <c r="T756" s="24">
        <v>626</v>
      </c>
    </row>
    <row r="757" spans="1:20">
      <c r="A757" s="9" t="s">
        <v>554</v>
      </c>
      <c r="B757" s="30" t="s">
        <v>599</v>
      </c>
      <c r="C757" s="30" t="str">
        <f>CONCATENATE(VOL_VOLUMEN_SUMINISTROS[[#This Row],[Proyecto]],VOL_VOLUMEN_SUMINISTROS[[#This Row],[J]],VOL_VOLUMEN_SUMINISTROS[[#This Row],[FIN DE SEMANA]])</f>
        <v>1052-2MNO</v>
      </c>
      <c r="D757" s="360" t="str">
        <f>CONCATENATE(VOL_VOLUMEN_SUMINISTROS[[#This Row],[Grupo]],VOL_VOLUMEN_SUMINISTROS[[#This Row],[Proyecto]],VOL_VOLUMEN_SUMINISTROS[[#This Row],[FIN DE SEMANA]])</f>
        <v>141052-2NO</v>
      </c>
      <c r="E757" s="30" t="s">
        <v>182</v>
      </c>
      <c r="F757" s="30" t="s">
        <v>147</v>
      </c>
      <c r="G757" s="360">
        <v>14</v>
      </c>
      <c r="H757" s="30">
        <v>3</v>
      </c>
      <c r="I757" s="9" t="s">
        <v>577</v>
      </c>
      <c r="J757" s="9" t="s">
        <v>584</v>
      </c>
      <c r="K757" s="30">
        <v>1</v>
      </c>
      <c r="L757" s="9" t="s">
        <v>585</v>
      </c>
      <c r="M757" s="30" t="s">
        <v>84</v>
      </c>
      <c r="N757" s="30" t="s">
        <v>151</v>
      </c>
      <c r="O757" s="24">
        <v>0</v>
      </c>
      <c r="P757" s="24">
        <v>90</v>
      </c>
      <c r="Q757" s="24">
        <v>110</v>
      </c>
      <c r="R757" s="24">
        <v>0</v>
      </c>
      <c r="S757" s="24">
        <v>0</v>
      </c>
      <c r="T757" s="24">
        <v>200</v>
      </c>
    </row>
    <row r="758" spans="1:20">
      <c r="A758" s="9" t="s">
        <v>554</v>
      </c>
      <c r="B758" s="30" t="s">
        <v>599</v>
      </c>
      <c r="C758" s="30" t="str">
        <f>CONCATENATE(VOL_VOLUMEN_SUMINISTROS[[#This Row],[Proyecto]],VOL_VOLUMEN_SUMINISTROS[[#This Row],[J]],VOL_VOLUMEN_SUMINISTROS[[#This Row],[FIN DE SEMANA]])</f>
        <v>1052-2MNO</v>
      </c>
      <c r="D758" s="360" t="str">
        <f>CONCATENATE(VOL_VOLUMEN_SUMINISTROS[[#This Row],[Grupo]],VOL_VOLUMEN_SUMINISTROS[[#This Row],[Proyecto]],VOL_VOLUMEN_SUMINISTROS[[#This Row],[FIN DE SEMANA]])</f>
        <v>141052-2NO</v>
      </c>
      <c r="E758" s="30" t="s">
        <v>182</v>
      </c>
      <c r="F758" s="30" t="s">
        <v>147</v>
      </c>
      <c r="G758" s="360">
        <v>14</v>
      </c>
      <c r="H758" s="30">
        <v>3</v>
      </c>
      <c r="I758" s="9" t="s">
        <v>577</v>
      </c>
      <c r="J758" s="9" t="s">
        <v>589</v>
      </c>
      <c r="K758" s="30">
        <v>1</v>
      </c>
      <c r="L758" s="9" t="s">
        <v>590</v>
      </c>
      <c r="M758" s="30" t="s">
        <v>84</v>
      </c>
      <c r="N758" s="30" t="s">
        <v>151</v>
      </c>
      <c r="O758" s="24">
        <v>0</v>
      </c>
      <c r="P758" s="24">
        <v>114</v>
      </c>
      <c r="Q758" s="24">
        <v>98</v>
      </c>
      <c r="R758" s="24">
        <v>0</v>
      </c>
      <c r="S758" s="24">
        <v>0</v>
      </c>
      <c r="T758" s="24">
        <v>212</v>
      </c>
    </row>
    <row r="759" spans="1:20">
      <c r="A759" s="9" t="s">
        <v>554</v>
      </c>
      <c r="B759" s="30" t="s">
        <v>599</v>
      </c>
      <c r="C759" s="30" t="str">
        <f>CONCATENATE(VOL_VOLUMEN_SUMINISTROS[[#This Row],[Proyecto]],VOL_VOLUMEN_SUMINISTROS[[#This Row],[J]],VOL_VOLUMEN_SUMINISTROS[[#This Row],[FIN DE SEMANA]])</f>
        <v>1052-2M1NO</v>
      </c>
      <c r="D759" s="360" t="str">
        <f>CONCATENATE(VOL_VOLUMEN_SUMINISTROS[[#This Row],[Grupo]],VOL_VOLUMEN_SUMINISTROS[[#This Row],[Proyecto]],VOL_VOLUMEN_SUMINISTROS[[#This Row],[FIN DE SEMANA]])</f>
        <v>21052-2NO</v>
      </c>
      <c r="E759" s="30" t="s">
        <v>182</v>
      </c>
      <c r="F759" s="30" t="s">
        <v>147</v>
      </c>
      <c r="G759" s="360">
        <v>2</v>
      </c>
      <c r="H759" s="30">
        <v>4</v>
      </c>
      <c r="I759" s="9" t="s">
        <v>600</v>
      </c>
      <c r="J759" s="9" t="s">
        <v>601</v>
      </c>
      <c r="K759" s="30">
        <v>1</v>
      </c>
      <c r="L759" s="9" t="s">
        <v>602</v>
      </c>
      <c r="M759" s="30" t="s">
        <v>84</v>
      </c>
      <c r="N759" s="30" t="s">
        <v>215</v>
      </c>
      <c r="O759" s="24">
        <v>0</v>
      </c>
      <c r="P759" s="24">
        <v>294</v>
      </c>
      <c r="Q759" s="24">
        <v>517</v>
      </c>
      <c r="R759" s="24">
        <v>0</v>
      </c>
      <c r="S759" s="24">
        <v>0</v>
      </c>
      <c r="T759" s="24">
        <v>811</v>
      </c>
    </row>
    <row r="760" spans="1:20">
      <c r="A760" s="9" t="s">
        <v>554</v>
      </c>
      <c r="B760" s="30" t="s">
        <v>599</v>
      </c>
      <c r="C760" s="30" t="str">
        <f>CONCATENATE(VOL_VOLUMEN_SUMINISTROS[[#This Row],[Proyecto]],VOL_VOLUMEN_SUMINISTROS[[#This Row],[J]],VOL_VOLUMEN_SUMINISTROS[[#This Row],[FIN DE SEMANA]])</f>
        <v>1052-2M1NO</v>
      </c>
      <c r="D760" s="360" t="str">
        <f>CONCATENATE(VOL_VOLUMEN_SUMINISTROS[[#This Row],[Grupo]],VOL_VOLUMEN_SUMINISTROS[[#This Row],[Proyecto]],VOL_VOLUMEN_SUMINISTROS[[#This Row],[FIN DE SEMANA]])</f>
        <v>21052-2NO</v>
      </c>
      <c r="E760" s="30" t="s">
        <v>182</v>
      </c>
      <c r="F760" s="30" t="s">
        <v>147</v>
      </c>
      <c r="G760" s="360">
        <v>2</v>
      </c>
      <c r="H760" s="30">
        <v>4</v>
      </c>
      <c r="I760" s="9" t="s">
        <v>600</v>
      </c>
      <c r="J760" s="9" t="s">
        <v>601</v>
      </c>
      <c r="K760" s="30">
        <v>2</v>
      </c>
      <c r="L760" s="9" t="s">
        <v>603</v>
      </c>
      <c r="M760" s="30" t="s">
        <v>84</v>
      </c>
      <c r="N760" s="30" t="s">
        <v>215</v>
      </c>
      <c r="O760" s="24">
        <v>136</v>
      </c>
      <c r="P760" s="24">
        <v>68</v>
      </c>
      <c r="Q760" s="24">
        <v>0</v>
      </c>
      <c r="R760" s="24">
        <v>0</v>
      </c>
      <c r="S760" s="24">
        <v>0</v>
      </c>
      <c r="T760" s="24">
        <v>204</v>
      </c>
    </row>
    <row r="761" spans="1:20">
      <c r="A761" s="9" t="s">
        <v>554</v>
      </c>
      <c r="B761" s="30" t="s">
        <v>599</v>
      </c>
      <c r="C761" s="30" t="str">
        <f>CONCATENATE(VOL_VOLUMEN_SUMINISTROS[[#This Row],[Proyecto]],VOL_VOLUMEN_SUMINISTROS[[#This Row],[J]],VOL_VOLUMEN_SUMINISTROS[[#This Row],[FIN DE SEMANA]])</f>
        <v>1052-2M1NO</v>
      </c>
      <c r="D761" s="360" t="str">
        <f>CONCATENATE(VOL_VOLUMEN_SUMINISTROS[[#This Row],[Grupo]],VOL_VOLUMEN_SUMINISTROS[[#This Row],[Proyecto]],VOL_VOLUMEN_SUMINISTROS[[#This Row],[FIN DE SEMANA]])</f>
        <v>21052-2NO</v>
      </c>
      <c r="E761" s="30" t="s">
        <v>182</v>
      </c>
      <c r="F761" s="30" t="s">
        <v>147</v>
      </c>
      <c r="G761" s="360">
        <v>2</v>
      </c>
      <c r="H761" s="30">
        <v>4</v>
      </c>
      <c r="I761" s="9" t="s">
        <v>600</v>
      </c>
      <c r="J761" s="9" t="s">
        <v>601</v>
      </c>
      <c r="K761" s="30">
        <v>3</v>
      </c>
      <c r="L761" s="9" t="s">
        <v>604</v>
      </c>
      <c r="M761" s="30" t="s">
        <v>84</v>
      </c>
      <c r="N761" s="30" t="s">
        <v>215</v>
      </c>
      <c r="O761" s="24">
        <v>58</v>
      </c>
      <c r="P761" s="24">
        <v>29</v>
      </c>
      <c r="Q761" s="24">
        <v>0</v>
      </c>
      <c r="R761" s="24">
        <v>0</v>
      </c>
      <c r="S761" s="24">
        <v>0</v>
      </c>
      <c r="T761" s="24">
        <v>87</v>
      </c>
    </row>
    <row r="762" spans="1:20">
      <c r="A762" s="9" t="s">
        <v>554</v>
      </c>
      <c r="B762" s="30" t="s">
        <v>605</v>
      </c>
      <c r="C762" s="30" t="str">
        <f>CONCATENATE(VOL_VOLUMEN_SUMINISTROS[[#This Row],[Proyecto]],VOL_VOLUMEN_SUMINISTROS[[#This Row],[J]],VOL_VOLUMEN_SUMINISTROS[[#This Row],[FIN DE SEMANA]])</f>
        <v>1052-2MNO</v>
      </c>
      <c r="D762" s="360" t="str">
        <f>CONCATENATE(VOL_VOLUMEN_SUMINISTROS[[#This Row],[Grupo]],VOL_VOLUMEN_SUMINISTROS[[#This Row],[Proyecto]],VOL_VOLUMEN_SUMINISTROS[[#This Row],[FIN DE SEMANA]])</f>
        <v>141052-2NO</v>
      </c>
      <c r="E762" s="30" t="s">
        <v>182</v>
      </c>
      <c r="F762" s="30" t="s">
        <v>147</v>
      </c>
      <c r="G762" s="360">
        <v>14</v>
      </c>
      <c r="H762" s="30">
        <v>14</v>
      </c>
      <c r="I762" s="9" t="s">
        <v>556</v>
      </c>
      <c r="J762" s="9" t="s">
        <v>557</v>
      </c>
      <c r="K762" s="30">
        <v>1</v>
      </c>
      <c r="L762" s="9" t="s">
        <v>152</v>
      </c>
      <c r="M762" s="30" t="s">
        <v>84</v>
      </c>
      <c r="N762" s="30" t="s">
        <v>151</v>
      </c>
      <c r="O762" s="24">
        <v>0</v>
      </c>
      <c r="P762" s="24">
        <v>0</v>
      </c>
      <c r="Q762" s="24">
        <v>62</v>
      </c>
      <c r="R762" s="24">
        <v>0</v>
      </c>
      <c r="S762" s="24">
        <v>0</v>
      </c>
      <c r="T762" s="24">
        <v>62</v>
      </c>
    </row>
    <row r="763" spans="1:20">
      <c r="A763" s="9" t="s">
        <v>554</v>
      </c>
      <c r="B763" s="30" t="s">
        <v>605</v>
      </c>
      <c r="C763" s="30" t="str">
        <f>CONCATENATE(VOL_VOLUMEN_SUMINISTROS[[#This Row],[Proyecto]],VOL_VOLUMEN_SUMINISTROS[[#This Row],[J]],VOL_VOLUMEN_SUMINISTROS[[#This Row],[FIN DE SEMANA]])</f>
        <v>1052-2TNO</v>
      </c>
      <c r="D763" s="360" t="str">
        <f>CONCATENATE(VOL_VOLUMEN_SUMINISTROS[[#This Row],[Grupo]],VOL_VOLUMEN_SUMINISTROS[[#This Row],[Proyecto]],VOL_VOLUMEN_SUMINISTROS[[#This Row],[FIN DE SEMANA]])</f>
        <v>141052-2NO</v>
      </c>
      <c r="E763" s="30" t="s">
        <v>182</v>
      </c>
      <c r="F763" s="30" t="s">
        <v>147</v>
      </c>
      <c r="G763" s="360">
        <v>14</v>
      </c>
      <c r="H763" s="30">
        <v>14</v>
      </c>
      <c r="I763" s="9" t="s">
        <v>556</v>
      </c>
      <c r="J763" s="9" t="s">
        <v>557</v>
      </c>
      <c r="K763" s="30">
        <v>1</v>
      </c>
      <c r="L763" s="9" t="s">
        <v>152</v>
      </c>
      <c r="M763" s="30" t="s">
        <v>84</v>
      </c>
      <c r="N763" s="30" t="s">
        <v>154</v>
      </c>
      <c r="O763" s="24">
        <v>0</v>
      </c>
      <c r="P763" s="24">
        <v>0</v>
      </c>
      <c r="Q763" s="24">
        <v>78</v>
      </c>
      <c r="R763" s="24">
        <v>0</v>
      </c>
      <c r="S763" s="24">
        <v>0</v>
      </c>
      <c r="T763" s="24">
        <v>78</v>
      </c>
    </row>
    <row r="764" spans="1:20">
      <c r="A764" s="9" t="s">
        <v>554</v>
      </c>
      <c r="B764" s="30" t="s">
        <v>605</v>
      </c>
      <c r="C764" s="30" t="str">
        <f>CONCATENATE(VOL_VOLUMEN_SUMINISTROS[[#This Row],[Proyecto]],VOL_VOLUMEN_SUMINISTROS[[#This Row],[J]],VOL_VOLUMEN_SUMINISTROS[[#This Row],[FIN DE SEMANA]])</f>
        <v>1052-2MNO</v>
      </c>
      <c r="D764" s="360" t="str">
        <f>CONCATENATE(VOL_VOLUMEN_SUMINISTROS[[#This Row],[Grupo]],VOL_VOLUMEN_SUMINISTROS[[#This Row],[Proyecto]],VOL_VOLUMEN_SUMINISTROS[[#This Row],[FIN DE SEMANA]])</f>
        <v>141052-2NO</v>
      </c>
      <c r="E764" s="30" t="s">
        <v>182</v>
      </c>
      <c r="F764" s="30" t="s">
        <v>147</v>
      </c>
      <c r="G764" s="360">
        <v>14</v>
      </c>
      <c r="H764" s="30">
        <v>14</v>
      </c>
      <c r="I764" s="9" t="s">
        <v>556</v>
      </c>
      <c r="J764" s="9" t="s">
        <v>561</v>
      </c>
      <c r="K764" s="30">
        <v>1</v>
      </c>
      <c r="L764" s="9" t="s">
        <v>562</v>
      </c>
      <c r="M764" s="30" t="s">
        <v>84</v>
      </c>
      <c r="N764" s="30" t="s">
        <v>151</v>
      </c>
      <c r="O764" s="24">
        <v>0</v>
      </c>
      <c r="P764" s="24">
        <v>0</v>
      </c>
      <c r="Q764" s="24">
        <v>120</v>
      </c>
      <c r="R764" s="24">
        <v>0</v>
      </c>
      <c r="S764" s="24">
        <v>0</v>
      </c>
      <c r="T764" s="24">
        <v>120</v>
      </c>
    </row>
    <row r="765" spans="1:20">
      <c r="A765" s="9" t="s">
        <v>554</v>
      </c>
      <c r="B765" s="30" t="s">
        <v>605</v>
      </c>
      <c r="C765" s="30" t="str">
        <f>CONCATENATE(VOL_VOLUMEN_SUMINISTROS[[#This Row],[Proyecto]],VOL_VOLUMEN_SUMINISTROS[[#This Row],[J]],VOL_VOLUMEN_SUMINISTROS[[#This Row],[FIN DE SEMANA]])</f>
        <v>1052-2TNO</v>
      </c>
      <c r="D765" s="360" t="str">
        <f>CONCATENATE(VOL_VOLUMEN_SUMINISTROS[[#This Row],[Grupo]],VOL_VOLUMEN_SUMINISTROS[[#This Row],[Proyecto]],VOL_VOLUMEN_SUMINISTROS[[#This Row],[FIN DE SEMANA]])</f>
        <v>141052-2NO</v>
      </c>
      <c r="E765" s="30" t="s">
        <v>182</v>
      </c>
      <c r="F765" s="30" t="s">
        <v>147</v>
      </c>
      <c r="G765" s="360">
        <v>14</v>
      </c>
      <c r="H765" s="30">
        <v>14</v>
      </c>
      <c r="I765" s="9" t="s">
        <v>556</v>
      </c>
      <c r="J765" s="9" t="s">
        <v>561</v>
      </c>
      <c r="K765" s="30">
        <v>1</v>
      </c>
      <c r="L765" s="9" t="s">
        <v>562</v>
      </c>
      <c r="M765" s="30" t="s">
        <v>84</v>
      </c>
      <c r="N765" s="30" t="s">
        <v>154</v>
      </c>
      <c r="O765" s="24">
        <v>0</v>
      </c>
      <c r="P765" s="24">
        <v>0</v>
      </c>
      <c r="Q765" s="24">
        <v>110</v>
      </c>
      <c r="R765" s="24">
        <v>0</v>
      </c>
      <c r="S765" s="24">
        <v>0</v>
      </c>
      <c r="T765" s="24">
        <v>110</v>
      </c>
    </row>
    <row r="766" spans="1:20">
      <c r="A766" s="9" t="s">
        <v>554</v>
      </c>
      <c r="B766" s="30" t="s">
        <v>605</v>
      </c>
      <c r="C766" s="30" t="str">
        <f>CONCATENATE(VOL_VOLUMEN_SUMINISTROS[[#This Row],[Proyecto]],VOL_VOLUMEN_SUMINISTROS[[#This Row],[J]],VOL_VOLUMEN_SUMINISTROS[[#This Row],[FIN DE SEMANA]])</f>
        <v>1052-2MNO</v>
      </c>
      <c r="D766" s="360" t="str">
        <f>CONCATENATE(VOL_VOLUMEN_SUMINISTROS[[#This Row],[Grupo]],VOL_VOLUMEN_SUMINISTROS[[#This Row],[Proyecto]],VOL_VOLUMEN_SUMINISTROS[[#This Row],[FIN DE SEMANA]])</f>
        <v>141052-2NO</v>
      </c>
      <c r="E766" s="30" t="s">
        <v>182</v>
      </c>
      <c r="F766" s="30" t="s">
        <v>147</v>
      </c>
      <c r="G766" s="360">
        <v>14</v>
      </c>
      <c r="H766" s="30">
        <v>14</v>
      </c>
      <c r="I766" s="9" t="s">
        <v>556</v>
      </c>
      <c r="J766" s="9" t="s">
        <v>568</v>
      </c>
      <c r="K766" s="30">
        <v>1</v>
      </c>
      <c r="L766" s="9" t="s">
        <v>569</v>
      </c>
      <c r="M766" s="30" t="s">
        <v>84</v>
      </c>
      <c r="N766" s="30" t="s">
        <v>151</v>
      </c>
      <c r="O766" s="24">
        <v>0</v>
      </c>
      <c r="P766" s="24">
        <v>0</v>
      </c>
      <c r="Q766" s="24">
        <v>67</v>
      </c>
      <c r="R766" s="24">
        <v>0</v>
      </c>
      <c r="S766" s="24">
        <v>0</v>
      </c>
      <c r="T766" s="24">
        <v>67</v>
      </c>
    </row>
    <row r="767" spans="1:20">
      <c r="A767" s="9" t="s">
        <v>554</v>
      </c>
      <c r="B767" s="30" t="s">
        <v>605</v>
      </c>
      <c r="C767" s="30" t="str">
        <f>CONCATENATE(VOL_VOLUMEN_SUMINISTROS[[#This Row],[Proyecto]],VOL_VOLUMEN_SUMINISTROS[[#This Row],[J]],VOL_VOLUMEN_SUMINISTROS[[#This Row],[FIN DE SEMANA]])</f>
        <v>1052-2TNO</v>
      </c>
      <c r="D767" s="360" t="str">
        <f>CONCATENATE(VOL_VOLUMEN_SUMINISTROS[[#This Row],[Grupo]],VOL_VOLUMEN_SUMINISTROS[[#This Row],[Proyecto]],VOL_VOLUMEN_SUMINISTROS[[#This Row],[FIN DE SEMANA]])</f>
        <v>141052-2NO</v>
      </c>
      <c r="E767" s="30" t="s">
        <v>182</v>
      </c>
      <c r="F767" s="30" t="s">
        <v>147</v>
      </c>
      <c r="G767" s="360">
        <v>14</v>
      </c>
      <c r="H767" s="30">
        <v>14</v>
      </c>
      <c r="I767" s="9" t="s">
        <v>556</v>
      </c>
      <c r="J767" s="9" t="s">
        <v>568</v>
      </c>
      <c r="K767" s="30">
        <v>1</v>
      </c>
      <c r="L767" s="9" t="s">
        <v>569</v>
      </c>
      <c r="M767" s="30" t="s">
        <v>84</v>
      </c>
      <c r="N767" s="30" t="s">
        <v>154</v>
      </c>
      <c r="O767" s="24">
        <v>0</v>
      </c>
      <c r="P767" s="24">
        <v>0</v>
      </c>
      <c r="Q767" s="24">
        <v>54</v>
      </c>
      <c r="R767" s="24">
        <v>0</v>
      </c>
      <c r="S767" s="24">
        <v>0</v>
      </c>
      <c r="T767" s="24">
        <v>54</v>
      </c>
    </row>
    <row r="768" spans="1:20">
      <c r="A768" s="9" t="s">
        <v>554</v>
      </c>
      <c r="B768" s="30" t="s">
        <v>605</v>
      </c>
      <c r="C768" s="30" t="str">
        <f>CONCATENATE(VOL_VOLUMEN_SUMINISTROS[[#This Row],[Proyecto]],VOL_VOLUMEN_SUMINISTROS[[#This Row],[J]],VOL_VOLUMEN_SUMINISTROS[[#This Row],[FIN DE SEMANA]])</f>
        <v>1052-2MNO</v>
      </c>
      <c r="D768" s="360" t="str">
        <f>CONCATENATE(VOL_VOLUMEN_SUMINISTROS[[#This Row],[Grupo]],VOL_VOLUMEN_SUMINISTROS[[#This Row],[Proyecto]],VOL_VOLUMEN_SUMINISTROS[[#This Row],[FIN DE SEMANA]])</f>
        <v>141052-2NO</v>
      </c>
      <c r="E768" s="30" t="s">
        <v>182</v>
      </c>
      <c r="F768" s="30" t="s">
        <v>147</v>
      </c>
      <c r="G768" s="360">
        <v>14</v>
      </c>
      <c r="H768" s="30">
        <v>17</v>
      </c>
      <c r="I768" s="9" t="s">
        <v>571</v>
      </c>
      <c r="J768" s="9" t="s">
        <v>572</v>
      </c>
      <c r="K768" s="30">
        <v>2</v>
      </c>
      <c r="L768" s="9" t="s">
        <v>573</v>
      </c>
      <c r="M768" s="30" t="s">
        <v>84</v>
      </c>
      <c r="N768" s="30" t="s">
        <v>151</v>
      </c>
      <c r="O768" s="24">
        <v>0</v>
      </c>
      <c r="P768" s="24">
        <v>0</v>
      </c>
      <c r="Q768" s="24">
        <v>35</v>
      </c>
      <c r="R768" s="24">
        <v>0</v>
      </c>
      <c r="S768" s="24">
        <v>0</v>
      </c>
      <c r="T768" s="24">
        <v>35</v>
      </c>
    </row>
    <row r="769" spans="1:20">
      <c r="A769" s="9" t="s">
        <v>554</v>
      </c>
      <c r="B769" s="30" t="s">
        <v>605</v>
      </c>
      <c r="C769" s="30" t="str">
        <f>CONCATENATE(VOL_VOLUMEN_SUMINISTROS[[#This Row],[Proyecto]],VOL_VOLUMEN_SUMINISTROS[[#This Row],[J]],VOL_VOLUMEN_SUMINISTROS[[#This Row],[FIN DE SEMANA]])</f>
        <v>1052-2TNO</v>
      </c>
      <c r="D769" s="360" t="str">
        <f>CONCATENATE(VOL_VOLUMEN_SUMINISTROS[[#This Row],[Grupo]],VOL_VOLUMEN_SUMINISTROS[[#This Row],[Proyecto]],VOL_VOLUMEN_SUMINISTROS[[#This Row],[FIN DE SEMANA]])</f>
        <v>141052-2NO</v>
      </c>
      <c r="E769" s="30" t="s">
        <v>182</v>
      </c>
      <c r="F769" s="30" t="s">
        <v>147</v>
      </c>
      <c r="G769" s="360">
        <v>14</v>
      </c>
      <c r="H769" s="30">
        <v>17</v>
      </c>
      <c r="I769" s="9" t="s">
        <v>571</v>
      </c>
      <c r="J769" s="9" t="s">
        <v>572</v>
      </c>
      <c r="K769" s="30">
        <v>2</v>
      </c>
      <c r="L769" s="9" t="s">
        <v>573</v>
      </c>
      <c r="M769" s="30" t="s">
        <v>84</v>
      </c>
      <c r="N769" s="30" t="s">
        <v>154</v>
      </c>
      <c r="O769" s="24">
        <v>0</v>
      </c>
      <c r="P769" s="24">
        <v>0</v>
      </c>
      <c r="Q769" s="24">
        <v>80</v>
      </c>
      <c r="R769" s="24">
        <v>0</v>
      </c>
      <c r="S769" s="24">
        <v>0</v>
      </c>
      <c r="T769" s="24">
        <v>80</v>
      </c>
    </row>
    <row r="770" spans="1:20">
      <c r="A770" s="9" t="s">
        <v>554</v>
      </c>
      <c r="B770" s="30" t="s">
        <v>605</v>
      </c>
      <c r="C770" s="30" t="str">
        <f>CONCATENATE(VOL_VOLUMEN_SUMINISTROS[[#This Row],[Proyecto]],VOL_VOLUMEN_SUMINISTROS[[#This Row],[J]],VOL_VOLUMEN_SUMINISTROS[[#This Row],[FIN DE SEMANA]])</f>
        <v>1052-2M1NO</v>
      </c>
      <c r="D770" s="360" t="str">
        <f>CONCATENATE(VOL_VOLUMEN_SUMINISTROS[[#This Row],[Grupo]],VOL_VOLUMEN_SUMINISTROS[[#This Row],[Proyecto]],VOL_VOLUMEN_SUMINISTROS[[#This Row],[FIN DE SEMANA]])</f>
        <v>141052-2NO</v>
      </c>
      <c r="E770" s="30" t="s">
        <v>182</v>
      </c>
      <c r="F770" s="30" t="s">
        <v>147</v>
      </c>
      <c r="G770" s="360">
        <v>14</v>
      </c>
      <c r="H770" s="30">
        <v>3</v>
      </c>
      <c r="I770" s="9" t="s">
        <v>577</v>
      </c>
      <c r="J770" s="9" t="s">
        <v>578</v>
      </c>
      <c r="K770" s="30">
        <v>1</v>
      </c>
      <c r="L770" s="9" t="s">
        <v>150</v>
      </c>
      <c r="M770" s="30" t="s">
        <v>84</v>
      </c>
      <c r="N770" s="30" t="s">
        <v>215</v>
      </c>
      <c r="O770" s="24">
        <v>0</v>
      </c>
      <c r="P770" s="24">
        <v>0</v>
      </c>
      <c r="Q770" s="24">
        <v>129</v>
      </c>
      <c r="R770" s="24">
        <v>0</v>
      </c>
      <c r="S770" s="24">
        <v>0</v>
      </c>
      <c r="T770" s="24">
        <v>129</v>
      </c>
    </row>
    <row r="771" spans="1:20">
      <c r="A771" s="9" t="s">
        <v>554</v>
      </c>
      <c r="B771" s="30" t="s">
        <v>605</v>
      </c>
      <c r="C771" s="30" t="str">
        <f>CONCATENATE(VOL_VOLUMEN_SUMINISTROS[[#This Row],[Proyecto]],VOL_VOLUMEN_SUMINISTROS[[#This Row],[J]],VOL_VOLUMEN_SUMINISTROS[[#This Row],[FIN DE SEMANA]])</f>
        <v>1052-2MNO</v>
      </c>
      <c r="D771" s="360" t="str">
        <f>CONCATENATE(VOL_VOLUMEN_SUMINISTROS[[#This Row],[Grupo]],VOL_VOLUMEN_SUMINISTROS[[#This Row],[Proyecto]],VOL_VOLUMEN_SUMINISTROS[[#This Row],[FIN DE SEMANA]])</f>
        <v>141052-2NO</v>
      </c>
      <c r="E771" s="30" t="s">
        <v>182</v>
      </c>
      <c r="F771" s="30" t="s">
        <v>147</v>
      </c>
      <c r="G771" s="360">
        <v>14</v>
      </c>
      <c r="H771" s="30">
        <v>3</v>
      </c>
      <c r="I771" s="9" t="s">
        <v>577</v>
      </c>
      <c r="J771" s="9" t="s">
        <v>594</v>
      </c>
      <c r="K771" s="30">
        <v>1</v>
      </c>
      <c r="L771" s="9" t="s">
        <v>595</v>
      </c>
      <c r="M771" s="30" t="s">
        <v>84</v>
      </c>
      <c r="N771" s="30" t="s">
        <v>151</v>
      </c>
      <c r="O771" s="24">
        <v>0</v>
      </c>
      <c r="P771" s="24">
        <v>0</v>
      </c>
      <c r="Q771" s="24">
        <v>51</v>
      </c>
      <c r="R771" s="24">
        <v>0</v>
      </c>
      <c r="S771" s="24">
        <v>0</v>
      </c>
      <c r="T771" s="24">
        <v>51</v>
      </c>
    </row>
    <row r="772" spans="1:20">
      <c r="A772" s="9" t="s">
        <v>554</v>
      </c>
      <c r="B772" s="30" t="s">
        <v>605</v>
      </c>
      <c r="C772" s="30" t="str">
        <f>CONCATENATE(VOL_VOLUMEN_SUMINISTROS[[#This Row],[Proyecto]],VOL_VOLUMEN_SUMINISTROS[[#This Row],[J]],VOL_VOLUMEN_SUMINISTROS[[#This Row],[FIN DE SEMANA]])</f>
        <v>1052-2TNO</v>
      </c>
      <c r="D772" s="360" t="str">
        <f>CONCATENATE(VOL_VOLUMEN_SUMINISTROS[[#This Row],[Grupo]],VOL_VOLUMEN_SUMINISTROS[[#This Row],[Proyecto]],VOL_VOLUMEN_SUMINISTROS[[#This Row],[FIN DE SEMANA]])</f>
        <v>141052-2NO</v>
      </c>
      <c r="E772" s="30" t="s">
        <v>182</v>
      </c>
      <c r="F772" s="30" t="s">
        <v>147</v>
      </c>
      <c r="G772" s="360">
        <v>14</v>
      </c>
      <c r="H772" s="30">
        <v>3</v>
      </c>
      <c r="I772" s="9" t="s">
        <v>577</v>
      </c>
      <c r="J772" s="9" t="s">
        <v>594</v>
      </c>
      <c r="K772" s="30">
        <v>1</v>
      </c>
      <c r="L772" s="9" t="s">
        <v>595</v>
      </c>
      <c r="M772" s="30" t="s">
        <v>84</v>
      </c>
      <c r="N772" s="30" t="s">
        <v>154</v>
      </c>
      <c r="O772" s="24">
        <v>0</v>
      </c>
      <c r="P772" s="24">
        <v>0</v>
      </c>
      <c r="Q772" s="24">
        <v>52</v>
      </c>
      <c r="R772" s="24">
        <v>0</v>
      </c>
      <c r="S772" s="24">
        <v>0</v>
      </c>
      <c r="T772" s="24">
        <v>52</v>
      </c>
    </row>
    <row r="773" spans="1:20">
      <c r="A773" s="9" t="s">
        <v>554</v>
      </c>
      <c r="B773" s="30" t="s">
        <v>605</v>
      </c>
      <c r="C773" s="30" t="str">
        <f>CONCATENATE(VOL_VOLUMEN_SUMINISTROS[[#This Row],[Proyecto]],VOL_VOLUMEN_SUMINISTROS[[#This Row],[J]],VOL_VOLUMEN_SUMINISTROS[[#This Row],[FIN DE SEMANA]])</f>
        <v>1052-2MNO</v>
      </c>
      <c r="D773" s="360" t="str">
        <f>CONCATENATE(VOL_VOLUMEN_SUMINISTROS[[#This Row],[Grupo]],VOL_VOLUMEN_SUMINISTROS[[#This Row],[Proyecto]],VOL_VOLUMEN_SUMINISTROS[[#This Row],[FIN DE SEMANA]])</f>
        <v>21052-2NO</v>
      </c>
      <c r="E773" s="30" t="s">
        <v>182</v>
      </c>
      <c r="F773" s="30" t="s">
        <v>147</v>
      </c>
      <c r="G773" s="360">
        <v>2</v>
      </c>
      <c r="H773" s="30">
        <v>4</v>
      </c>
      <c r="I773" s="9" t="s">
        <v>600</v>
      </c>
      <c r="J773" s="9" t="s">
        <v>601</v>
      </c>
      <c r="K773" s="30">
        <v>1</v>
      </c>
      <c r="L773" s="9" t="s">
        <v>602</v>
      </c>
      <c r="M773" s="30" t="s">
        <v>84</v>
      </c>
      <c r="N773" s="30" t="s">
        <v>151</v>
      </c>
      <c r="O773" s="24">
        <v>0</v>
      </c>
      <c r="P773" s="24">
        <v>0</v>
      </c>
      <c r="Q773" s="24">
        <v>429</v>
      </c>
      <c r="R773" s="24">
        <v>0</v>
      </c>
      <c r="S773" s="24">
        <v>0</v>
      </c>
      <c r="T773" s="24">
        <v>429</v>
      </c>
    </row>
    <row r="774" spans="1:20">
      <c r="A774" s="9" t="s">
        <v>554</v>
      </c>
      <c r="B774" s="30" t="s">
        <v>606</v>
      </c>
      <c r="C774" s="30" t="str">
        <f>CONCATENATE(VOL_VOLUMEN_SUMINISTROS[[#This Row],[Proyecto]],VOL_VOLUMEN_SUMINISTROS[[#This Row],[J]],VOL_VOLUMEN_SUMINISTROS[[#This Row],[FIN DE SEMANA]])</f>
        <v>1052-2MNO</v>
      </c>
      <c r="D774" s="360" t="str">
        <f>CONCATENATE(VOL_VOLUMEN_SUMINISTROS[[#This Row],[Grupo]],VOL_VOLUMEN_SUMINISTROS[[#This Row],[Proyecto]],VOL_VOLUMEN_SUMINISTROS[[#This Row],[FIN DE SEMANA]])</f>
        <v>141052-2NO</v>
      </c>
      <c r="E774" s="30" t="s">
        <v>182</v>
      </c>
      <c r="F774" s="30" t="s">
        <v>147</v>
      </c>
      <c r="G774" s="360">
        <v>14</v>
      </c>
      <c r="H774" s="30">
        <v>14</v>
      </c>
      <c r="I774" s="9" t="s">
        <v>556</v>
      </c>
      <c r="J774" s="9" t="s">
        <v>557</v>
      </c>
      <c r="K774" s="30">
        <v>2</v>
      </c>
      <c r="L774" s="9" t="s">
        <v>164</v>
      </c>
      <c r="M774" s="30" t="s">
        <v>84</v>
      </c>
      <c r="N774" s="30" t="s">
        <v>151</v>
      </c>
      <c r="O774" s="24">
        <v>124</v>
      </c>
      <c r="P774" s="24">
        <v>0</v>
      </c>
      <c r="Q774" s="24">
        <v>0</v>
      </c>
      <c r="R774" s="24">
        <v>0</v>
      </c>
      <c r="S774" s="24">
        <v>0</v>
      </c>
      <c r="T774" s="24">
        <v>124</v>
      </c>
    </row>
    <row r="775" spans="1:20">
      <c r="A775" s="9" t="s">
        <v>554</v>
      </c>
      <c r="B775" s="30" t="s">
        <v>606</v>
      </c>
      <c r="C775" s="30" t="str">
        <f>CONCATENATE(VOL_VOLUMEN_SUMINISTROS[[#This Row],[Proyecto]],VOL_VOLUMEN_SUMINISTROS[[#This Row],[J]],VOL_VOLUMEN_SUMINISTROS[[#This Row],[FIN DE SEMANA]])</f>
        <v>1052-2TNO</v>
      </c>
      <c r="D775" s="360" t="str">
        <f>CONCATENATE(VOL_VOLUMEN_SUMINISTROS[[#This Row],[Grupo]],VOL_VOLUMEN_SUMINISTROS[[#This Row],[Proyecto]],VOL_VOLUMEN_SUMINISTROS[[#This Row],[FIN DE SEMANA]])</f>
        <v>141052-2NO</v>
      </c>
      <c r="E775" s="30" t="s">
        <v>182</v>
      </c>
      <c r="F775" s="30" t="s">
        <v>147</v>
      </c>
      <c r="G775" s="360">
        <v>14</v>
      </c>
      <c r="H775" s="30">
        <v>14</v>
      </c>
      <c r="I775" s="9" t="s">
        <v>556</v>
      </c>
      <c r="J775" s="9" t="s">
        <v>557</v>
      </c>
      <c r="K775" s="30">
        <v>2</v>
      </c>
      <c r="L775" s="9" t="s">
        <v>164</v>
      </c>
      <c r="M775" s="30" t="s">
        <v>84</v>
      </c>
      <c r="N775" s="30" t="s">
        <v>154</v>
      </c>
      <c r="O775" s="24">
        <v>50</v>
      </c>
      <c r="P775" s="24">
        <v>0</v>
      </c>
      <c r="Q775" s="24">
        <v>0</v>
      </c>
      <c r="R775" s="24">
        <v>0</v>
      </c>
      <c r="S775" s="24">
        <v>0</v>
      </c>
      <c r="T775" s="24">
        <v>50</v>
      </c>
    </row>
    <row r="776" spans="1:20">
      <c r="A776" s="9" t="s">
        <v>554</v>
      </c>
      <c r="B776" s="30" t="s">
        <v>606</v>
      </c>
      <c r="C776" s="30" t="str">
        <f>CONCATENATE(VOL_VOLUMEN_SUMINISTROS[[#This Row],[Proyecto]],VOL_VOLUMEN_SUMINISTROS[[#This Row],[J]],VOL_VOLUMEN_SUMINISTROS[[#This Row],[FIN DE SEMANA]])</f>
        <v>1052-2MNO</v>
      </c>
      <c r="D776" s="360" t="str">
        <f>CONCATENATE(VOL_VOLUMEN_SUMINISTROS[[#This Row],[Grupo]],VOL_VOLUMEN_SUMINISTROS[[#This Row],[Proyecto]],VOL_VOLUMEN_SUMINISTROS[[#This Row],[FIN DE SEMANA]])</f>
        <v>141052-2NO</v>
      </c>
      <c r="E776" s="30" t="s">
        <v>182</v>
      </c>
      <c r="F776" s="30" t="s">
        <v>147</v>
      </c>
      <c r="G776" s="360">
        <v>14</v>
      </c>
      <c r="H776" s="30">
        <v>14</v>
      </c>
      <c r="I776" s="9" t="s">
        <v>556</v>
      </c>
      <c r="J776" s="9" t="s">
        <v>558</v>
      </c>
      <c r="K776" s="30">
        <v>2</v>
      </c>
      <c r="L776" s="9" t="s">
        <v>164</v>
      </c>
      <c r="M776" s="30" t="s">
        <v>84</v>
      </c>
      <c r="N776" s="30" t="s">
        <v>151</v>
      </c>
      <c r="O776" s="24">
        <v>44</v>
      </c>
      <c r="P776" s="24">
        <v>0</v>
      </c>
      <c r="Q776" s="24">
        <v>0</v>
      </c>
      <c r="R776" s="24">
        <v>0</v>
      </c>
      <c r="S776" s="24">
        <v>0</v>
      </c>
      <c r="T776" s="24">
        <v>44</v>
      </c>
    </row>
    <row r="777" spans="1:20">
      <c r="A777" s="9" t="s">
        <v>554</v>
      </c>
      <c r="B777" s="30" t="s">
        <v>606</v>
      </c>
      <c r="C777" s="30" t="str">
        <f>CONCATENATE(VOL_VOLUMEN_SUMINISTROS[[#This Row],[Proyecto]],VOL_VOLUMEN_SUMINISTROS[[#This Row],[J]],VOL_VOLUMEN_SUMINISTROS[[#This Row],[FIN DE SEMANA]])</f>
        <v>1052-2TNO</v>
      </c>
      <c r="D777" s="360" t="str">
        <f>CONCATENATE(VOL_VOLUMEN_SUMINISTROS[[#This Row],[Grupo]],VOL_VOLUMEN_SUMINISTROS[[#This Row],[Proyecto]],VOL_VOLUMEN_SUMINISTROS[[#This Row],[FIN DE SEMANA]])</f>
        <v>141052-2NO</v>
      </c>
      <c r="E777" s="30" t="s">
        <v>182</v>
      </c>
      <c r="F777" s="30" t="s">
        <v>147</v>
      </c>
      <c r="G777" s="360">
        <v>14</v>
      </c>
      <c r="H777" s="30">
        <v>14</v>
      </c>
      <c r="I777" s="9" t="s">
        <v>556</v>
      </c>
      <c r="J777" s="9" t="s">
        <v>558</v>
      </c>
      <c r="K777" s="30">
        <v>2</v>
      </c>
      <c r="L777" s="9" t="s">
        <v>164</v>
      </c>
      <c r="M777" s="30" t="s">
        <v>84</v>
      </c>
      <c r="N777" s="30" t="s">
        <v>154</v>
      </c>
      <c r="O777" s="24">
        <v>37</v>
      </c>
      <c r="P777" s="24">
        <v>0</v>
      </c>
      <c r="Q777" s="24">
        <v>0</v>
      </c>
      <c r="R777" s="24">
        <v>0</v>
      </c>
      <c r="S777" s="24">
        <v>0</v>
      </c>
      <c r="T777" s="24">
        <v>37</v>
      </c>
    </row>
    <row r="778" spans="1:20">
      <c r="A778" s="9" t="s">
        <v>554</v>
      </c>
      <c r="B778" s="30" t="s">
        <v>606</v>
      </c>
      <c r="C778" s="30" t="str">
        <f>CONCATENATE(VOL_VOLUMEN_SUMINISTROS[[#This Row],[Proyecto]],VOL_VOLUMEN_SUMINISTROS[[#This Row],[J]],VOL_VOLUMEN_SUMINISTROS[[#This Row],[FIN DE SEMANA]])</f>
        <v>1052-2MNO</v>
      </c>
      <c r="D778" s="360" t="str">
        <f>CONCATENATE(VOL_VOLUMEN_SUMINISTROS[[#This Row],[Grupo]],VOL_VOLUMEN_SUMINISTROS[[#This Row],[Proyecto]],VOL_VOLUMEN_SUMINISTROS[[#This Row],[FIN DE SEMANA]])</f>
        <v>141052-2NO</v>
      </c>
      <c r="E778" s="30" t="s">
        <v>182</v>
      </c>
      <c r="F778" s="30" t="s">
        <v>147</v>
      </c>
      <c r="G778" s="360">
        <v>14</v>
      </c>
      <c r="H778" s="30">
        <v>14</v>
      </c>
      <c r="I778" s="9" t="s">
        <v>556</v>
      </c>
      <c r="J778" s="9" t="s">
        <v>561</v>
      </c>
      <c r="K778" s="30">
        <v>2</v>
      </c>
      <c r="L778" s="9" t="s">
        <v>164</v>
      </c>
      <c r="M778" s="30" t="s">
        <v>84</v>
      </c>
      <c r="N778" s="30" t="s">
        <v>151</v>
      </c>
      <c r="O778" s="24">
        <v>90</v>
      </c>
      <c r="P778" s="24">
        <v>0</v>
      </c>
      <c r="Q778" s="24">
        <v>0</v>
      </c>
      <c r="R778" s="24">
        <v>0</v>
      </c>
      <c r="S778" s="24">
        <v>0</v>
      </c>
      <c r="T778" s="24">
        <v>90</v>
      </c>
    </row>
    <row r="779" spans="1:20">
      <c r="A779" s="9" t="s">
        <v>554</v>
      </c>
      <c r="B779" s="30" t="s">
        <v>606</v>
      </c>
      <c r="C779" s="30" t="str">
        <f>CONCATENATE(VOL_VOLUMEN_SUMINISTROS[[#This Row],[Proyecto]],VOL_VOLUMEN_SUMINISTROS[[#This Row],[J]],VOL_VOLUMEN_SUMINISTROS[[#This Row],[FIN DE SEMANA]])</f>
        <v>1052-2TNO</v>
      </c>
      <c r="D779" s="360" t="str">
        <f>CONCATENATE(VOL_VOLUMEN_SUMINISTROS[[#This Row],[Grupo]],VOL_VOLUMEN_SUMINISTROS[[#This Row],[Proyecto]],VOL_VOLUMEN_SUMINISTROS[[#This Row],[FIN DE SEMANA]])</f>
        <v>141052-2NO</v>
      </c>
      <c r="E779" s="30" t="s">
        <v>182</v>
      </c>
      <c r="F779" s="30" t="s">
        <v>147</v>
      </c>
      <c r="G779" s="360">
        <v>14</v>
      </c>
      <c r="H779" s="30">
        <v>14</v>
      </c>
      <c r="I779" s="9" t="s">
        <v>556</v>
      </c>
      <c r="J779" s="9" t="s">
        <v>561</v>
      </c>
      <c r="K779" s="30">
        <v>2</v>
      </c>
      <c r="L779" s="9" t="s">
        <v>164</v>
      </c>
      <c r="M779" s="30" t="s">
        <v>84</v>
      </c>
      <c r="N779" s="30" t="s">
        <v>154</v>
      </c>
      <c r="O779" s="24">
        <v>90</v>
      </c>
      <c r="P779" s="24">
        <v>0</v>
      </c>
      <c r="Q779" s="24">
        <v>0</v>
      </c>
      <c r="R779" s="24">
        <v>0</v>
      </c>
      <c r="S779" s="24">
        <v>0</v>
      </c>
      <c r="T779" s="24">
        <v>90</v>
      </c>
    </row>
    <row r="780" spans="1:20">
      <c r="A780" s="9" t="s">
        <v>554</v>
      </c>
      <c r="B780" s="30" t="s">
        <v>606</v>
      </c>
      <c r="C780" s="30" t="str">
        <f>CONCATENATE(VOL_VOLUMEN_SUMINISTROS[[#This Row],[Proyecto]],VOL_VOLUMEN_SUMINISTROS[[#This Row],[J]],VOL_VOLUMEN_SUMINISTROS[[#This Row],[FIN DE SEMANA]])</f>
        <v>1052-2MNO</v>
      </c>
      <c r="D780" s="360" t="str">
        <f>CONCATENATE(VOL_VOLUMEN_SUMINISTROS[[#This Row],[Grupo]],VOL_VOLUMEN_SUMINISTROS[[#This Row],[Proyecto]],VOL_VOLUMEN_SUMINISTROS[[#This Row],[FIN DE SEMANA]])</f>
        <v>141052-2NO</v>
      </c>
      <c r="E780" s="30" t="s">
        <v>182</v>
      </c>
      <c r="F780" s="30" t="s">
        <v>147</v>
      </c>
      <c r="G780" s="360">
        <v>14</v>
      </c>
      <c r="H780" s="30">
        <v>3</v>
      </c>
      <c r="I780" s="9" t="s">
        <v>577</v>
      </c>
      <c r="J780" s="9" t="s">
        <v>581</v>
      </c>
      <c r="K780" s="30">
        <v>2</v>
      </c>
      <c r="L780" s="9" t="s">
        <v>582</v>
      </c>
      <c r="M780" s="30" t="s">
        <v>84</v>
      </c>
      <c r="N780" s="30" t="s">
        <v>151</v>
      </c>
      <c r="O780" s="24">
        <v>23</v>
      </c>
      <c r="P780" s="24">
        <v>0</v>
      </c>
      <c r="Q780" s="24">
        <v>0</v>
      </c>
      <c r="R780" s="24">
        <v>0</v>
      </c>
      <c r="S780" s="24">
        <v>0</v>
      </c>
      <c r="T780" s="24">
        <v>23</v>
      </c>
    </row>
    <row r="781" spans="1:20">
      <c r="A781" s="9" t="s">
        <v>554</v>
      </c>
      <c r="B781" s="30" t="s">
        <v>606</v>
      </c>
      <c r="C781" s="30" t="str">
        <f>CONCATENATE(VOL_VOLUMEN_SUMINISTROS[[#This Row],[Proyecto]],VOL_VOLUMEN_SUMINISTROS[[#This Row],[J]],VOL_VOLUMEN_SUMINISTROS[[#This Row],[FIN DE SEMANA]])</f>
        <v>1052-2MNO</v>
      </c>
      <c r="D781" s="360" t="str">
        <f>CONCATENATE(VOL_VOLUMEN_SUMINISTROS[[#This Row],[Grupo]],VOL_VOLUMEN_SUMINISTROS[[#This Row],[Proyecto]],VOL_VOLUMEN_SUMINISTROS[[#This Row],[FIN DE SEMANA]])</f>
        <v>141052-2NO</v>
      </c>
      <c r="E781" s="30" t="s">
        <v>182</v>
      </c>
      <c r="F781" s="30" t="s">
        <v>147</v>
      </c>
      <c r="G781" s="360">
        <v>14</v>
      </c>
      <c r="H781" s="30">
        <v>3</v>
      </c>
      <c r="I781" s="9" t="s">
        <v>577</v>
      </c>
      <c r="J781" s="9" t="s">
        <v>581</v>
      </c>
      <c r="K781" s="30">
        <v>3</v>
      </c>
      <c r="L781" s="9" t="s">
        <v>583</v>
      </c>
      <c r="M781" s="30" t="s">
        <v>84</v>
      </c>
      <c r="N781" s="30" t="s">
        <v>151</v>
      </c>
      <c r="O781" s="24">
        <v>20</v>
      </c>
      <c r="P781" s="24">
        <v>0</v>
      </c>
      <c r="Q781" s="24">
        <v>0</v>
      </c>
      <c r="R781" s="24">
        <v>0</v>
      </c>
      <c r="S781" s="24">
        <v>0</v>
      </c>
      <c r="T781" s="24">
        <v>20</v>
      </c>
    </row>
    <row r="782" spans="1:20">
      <c r="A782" s="9" t="s">
        <v>554</v>
      </c>
      <c r="B782" s="30" t="s">
        <v>606</v>
      </c>
      <c r="C782" s="30" t="str">
        <f>CONCATENATE(VOL_VOLUMEN_SUMINISTROS[[#This Row],[Proyecto]],VOL_VOLUMEN_SUMINISTROS[[#This Row],[J]],VOL_VOLUMEN_SUMINISTROS[[#This Row],[FIN DE SEMANA]])</f>
        <v>1052-2MNO</v>
      </c>
      <c r="D782" s="360" t="str">
        <f>CONCATENATE(VOL_VOLUMEN_SUMINISTROS[[#This Row],[Grupo]],VOL_VOLUMEN_SUMINISTROS[[#This Row],[Proyecto]],VOL_VOLUMEN_SUMINISTROS[[#This Row],[FIN DE SEMANA]])</f>
        <v>141052-2NO</v>
      </c>
      <c r="E782" s="30" t="s">
        <v>182</v>
      </c>
      <c r="F782" s="30" t="s">
        <v>147</v>
      </c>
      <c r="G782" s="360">
        <v>14</v>
      </c>
      <c r="H782" s="30">
        <v>3</v>
      </c>
      <c r="I782" s="9" t="s">
        <v>577</v>
      </c>
      <c r="J782" s="9" t="s">
        <v>589</v>
      </c>
      <c r="K782" s="30">
        <v>2</v>
      </c>
      <c r="L782" s="9" t="s">
        <v>591</v>
      </c>
      <c r="M782" s="30" t="s">
        <v>84</v>
      </c>
      <c r="N782" s="30" t="s">
        <v>151</v>
      </c>
      <c r="O782" s="24">
        <v>60</v>
      </c>
      <c r="P782" s="24">
        <v>0</v>
      </c>
      <c r="Q782" s="24">
        <v>0</v>
      </c>
      <c r="R782" s="24">
        <v>0</v>
      </c>
      <c r="S782" s="24">
        <v>0</v>
      </c>
      <c r="T782" s="24">
        <v>60</v>
      </c>
    </row>
    <row r="783" spans="1:20">
      <c r="A783" s="9" t="s">
        <v>554</v>
      </c>
      <c r="B783" s="30" t="s">
        <v>606</v>
      </c>
      <c r="C783" s="30" t="str">
        <f>CONCATENATE(VOL_VOLUMEN_SUMINISTROS[[#This Row],[Proyecto]],VOL_VOLUMEN_SUMINISTROS[[#This Row],[J]],VOL_VOLUMEN_SUMINISTROS[[#This Row],[FIN DE SEMANA]])</f>
        <v>1052-2TNO</v>
      </c>
      <c r="D783" s="360" t="str">
        <f>CONCATENATE(VOL_VOLUMEN_SUMINISTROS[[#This Row],[Grupo]],VOL_VOLUMEN_SUMINISTROS[[#This Row],[Proyecto]],VOL_VOLUMEN_SUMINISTROS[[#This Row],[FIN DE SEMANA]])</f>
        <v>141052-2NO</v>
      </c>
      <c r="E783" s="30" t="s">
        <v>182</v>
      </c>
      <c r="F783" s="30" t="s">
        <v>147</v>
      </c>
      <c r="G783" s="360">
        <v>14</v>
      </c>
      <c r="H783" s="30">
        <v>3</v>
      </c>
      <c r="I783" s="9" t="s">
        <v>577</v>
      </c>
      <c r="J783" s="9" t="s">
        <v>589</v>
      </c>
      <c r="K783" s="30">
        <v>2</v>
      </c>
      <c r="L783" s="9" t="s">
        <v>591</v>
      </c>
      <c r="M783" s="30" t="s">
        <v>84</v>
      </c>
      <c r="N783" s="30" t="s">
        <v>154</v>
      </c>
      <c r="O783" s="24">
        <v>60</v>
      </c>
      <c r="P783" s="24">
        <v>0</v>
      </c>
      <c r="Q783" s="24">
        <v>0</v>
      </c>
      <c r="R783" s="24">
        <v>0</v>
      </c>
      <c r="S783" s="24">
        <v>0</v>
      </c>
      <c r="T783" s="24">
        <v>60</v>
      </c>
    </row>
    <row r="784" spans="1:20">
      <c r="A784" s="9" t="s">
        <v>554</v>
      </c>
      <c r="B784" s="30" t="s">
        <v>607</v>
      </c>
      <c r="C784" s="30" t="str">
        <f>CONCATENATE(VOL_VOLUMEN_SUMINISTROS[[#This Row],[Proyecto]],VOL_VOLUMEN_SUMINISTROS[[#This Row],[J]],VOL_VOLUMEN_SUMINISTROS[[#This Row],[FIN DE SEMANA]])</f>
        <v>1052-1MNO</v>
      </c>
      <c r="D784" s="360" t="str">
        <f>CONCATENATE(VOL_VOLUMEN_SUMINISTROS[[#This Row],[Grupo]],VOL_VOLUMEN_SUMINISTROS[[#This Row],[Proyecto]],VOL_VOLUMEN_SUMINISTROS[[#This Row],[FIN DE SEMANA]])</f>
        <v>21052-1NO</v>
      </c>
      <c r="E784" s="30" t="s">
        <v>146</v>
      </c>
      <c r="F784" s="30" t="s">
        <v>147</v>
      </c>
      <c r="G784" s="360">
        <v>2</v>
      </c>
      <c r="H784" s="30">
        <v>4</v>
      </c>
      <c r="I784" s="9" t="s">
        <v>600</v>
      </c>
      <c r="J784" s="9" t="s">
        <v>608</v>
      </c>
      <c r="K784" s="30">
        <v>1</v>
      </c>
      <c r="L784" s="9" t="s">
        <v>609</v>
      </c>
      <c r="M784" s="30" t="s">
        <v>84</v>
      </c>
      <c r="N784" s="30" t="s">
        <v>151</v>
      </c>
      <c r="O784" s="24">
        <v>272</v>
      </c>
      <c r="P784" s="24">
        <v>146</v>
      </c>
      <c r="Q784" s="24">
        <v>21</v>
      </c>
      <c r="R784" s="24">
        <v>0</v>
      </c>
      <c r="S784" s="24">
        <v>0</v>
      </c>
      <c r="T784" s="24">
        <v>439</v>
      </c>
    </row>
    <row r="785" spans="1:20">
      <c r="A785" s="9" t="s">
        <v>554</v>
      </c>
      <c r="B785" s="30" t="s">
        <v>607</v>
      </c>
      <c r="C785" s="30" t="str">
        <f>CONCATENATE(VOL_VOLUMEN_SUMINISTROS[[#This Row],[Proyecto]],VOL_VOLUMEN_SUMINISTROS[[#This Row],[J]],VOL_VOLUMEN_SUMINISTROS[[#This Row],[FIN DE SEMANA]])</f>
        <v>1052-1TNO</v>
      </c>
      <c r="D785" s="360" t="str">
        <f>CONCATENATE(VOL_VOLUMEN_SUMINISTROS[[#This Row],[Grupo]],VOL_VOLUMEN_SUMINISTROS[[#This Row],[Proyecto]],VOL_VOLUMEN_SUMINISTROS[[#This Row],[FIN DE SEMANA]])</f>
        <v>21052-1NO</v>
      </c>
      <c r="E785" s="30" t="s">
        <v>146</v>
      </c>
      <c r="F785" s="30" t="s">
        <v>147</v>
      </c>
      <c r="G785" s="360">
        <v>2</v>
      </c>
      <c r="H785" s="30">
        <v>4</v>
      </c>
      <c r="I785" s="9" t="s">
        <v>600</v>
      </c>
      <c r="J785" s="9" t="s">
        <v>608</v>
      </c>
      <c r="K785" s="30">
        <v>1</v>
      </c>
      <c r="L785" s="9" t="s">
        <v>609</v>
      </c>
      <c r="M785" s="30" t="s">
        <v>84</v>
      </c>
      <c r="N785" s="30" t="s">
        <v>154</v>
      </c>
      <c r="O785" s="24">
        <v>0</v>
      </c>
      <c r="P785" s="24">
        <v>171</v>
      </c>
      <c r="Q785" s="24">
        <v>274</v>
      </c>
      <c r="R785" s="24">
        <v>0</v>
      </c>
      <c r="S785" s="24">
        <v>0</v>
      </c>
      <c r="T785" s="24">
        <v>445</v>
      </c>
    </row>
    <row r="786" spans="1:20">
      <c r="A786" s="9" t="s">
        <v>554</v>
      </c>
      <c r="B786" s="30" t="s">
        <v>607</v>
      </c>
      <c r="C786" s="30" t="str">
        <f>CONCATENATE(VOL_VOLUMEN_SUMINISTROS[[#This Row],[Proyecto]],VOL_VOLUMEN_SUMINISTROS[[#This Row],[J]],VOL_VOLUMEN_SUMINISTROS[[#This Row],[FIN DE SEMANA]])</f>
        <v>1052-1MNO</v>
      </c>
      <c r="D786" s="360" t="str">
        <f>CONCATENATE(VOL_VOLUMEN_SUMINISTROS[[#This Row],[Grupo]],VOL_VOLUMEN_SUMINISTROS[[#This Row],[Proyecto]],VOL_VOLUMEN_SUMINISTROS[[#This Row],[FIN DE SEMANA]])</f>
        <v>21052-1NO</v>
      </c>
      <c r="E786" s="30" t="s">
        <v>146</v>
      </c>
      <c r="F786" s="30" t="s">
        <v>147</v>
      </c>
      <c r="G786" s="360">
        <v>2</v>
      </c>
      <c r="H786" s="30">
        <v>4</v>
      </c>
      <c r="I786" s="9" t="s">
        <v>600</v>
      </c>
      <c r="J786" s="9" t="s">
        <v>610</v>
      </c>
      <c r="K786" s="30">
        <v>1</v>
      </c>
      <c r="L786" s="9" t="s">
        <v>611</v>
      </c>
      <c r="M786" s="30" t="s">
        <v>84</v>
      </c>
      <c r="N786" s="30" t="s">
        <v>151</v>
      </c>
      <c r="O786" s="24">
        <v>157</v>
      </c>
      <c r="P786" s="24">
        <v>194</v>
      </c>
      <c r="Q786" s="24">
        <v>127</v>
      </c>
      <c r="R786" s="24">
        <v>0</v>
      </c>
      <c r="S786" s="24">
        <v>0</v>
      </c>
      <c r="T786" s="24">
        <v>478</v>
      </c>
    </row>
    <row r="787" spans="1:20">
      <c r="A787" s="9" t="s">
        <v>554</v>
      </c>
      <c r="B787" s="30" t="s">
        <v>607</v>
      </c>
      <c r="C787" s="30" t="str">
        <f>CONCATENATE(VOL_VOLUMEN_SUMINISTROS[[#This Row],[Proyecto]],VOL_VOLUMEN_SUMINISTROS[[#This Row],[J]],VOL_VOLUMEN_SUMINISTROS[[#This Row],[FIN DE SEMANA]])</f>
        <v>1052-1TNO</v>
      </c>
      <c r="D787" s="360" t="str">
        <f>CONCATENATE(VOL_VOLUMEN_SUMINISTROS[[#This Row],[Grupo]],VOL_VOLUMEN_SUMINISTROS[[#This Row],[Proyecto]],VOL_VOLUMEN_SUMINISTROS[[#This Row],[FIN DE SEMANA]])</f>
        <v>21052-1NO</v>
      </c>
      <c r="E787" s="30" t="s">
        <v>146</v>
      </c>
      <c r="F787" s="30" t="s">
        <v>147</v>
      </c>
      <c r="G787" s="360">
        <v>2</v>
      </c>
      <c r="H787" s="30">
        <v>4</v>
      </c>
      <c r="I787" s="9" t="s">
        <v>600</v>
      </c>
      <c r="J787" s="9" t="s">
        <v>610</v>
      </c>
      <c r="K787" s="30">
        <v>1</v>
      </c>
      <c r="L787" s="9" t="s">
        <v>611</v>
      </c>
      <c r="M787" s="30" t="s">
        <v>84</v>
      </c>
      <c r="N787" s="30" t="s">
        <v>154</v>
      </c>
      <c r="O787" s="24">
        <v>148</v>
      </c>
      <c r="P787" s="24">
        <v>128</v>
      </c>
      <c r="Q787" s="24">
        <v>96</v>
      </c>
      <c r="R787" s="24">
        <v>0</v>
      </c>
      <c r="S787" s="24">
        <v>0</v>
      </c>
      <c r="T787" s="24">
        <v>372</v>
      </c>
    </row>
    <row r="788" spans="1:20">
      <c r="A788" s="9" t="s">
        <v>554</v>
      </c>
      <c r="B788" s="30" t="s">
        <v>607</v>
      </c>
      <c r="C788" s="30" t="str">
        <f>CONCATENATE(VOL_VOLUMEN_SUMINISTROS[[#This Row],[Proyecto]],VOL_VOLUMEN_SUMINISTROS[[#This Row],[J]],VOL_VOLUMEN_SUMINISTROS[[#This Row],[FIN DE SEMANA]])</f>
        <v>1052-1MNO</v>
      </c>
      <c r="D788" s="360" t="str">
        <f>CONCATENATE(VOL_VOLUMEN_SUMINISTROS[[#This Row],[Grupo]],VOL_VOLUMEN_SUMINISTROS[[#This Row],[Proyecto]],VOL_VOLUMEN_SUMINISTROS[[#This Row],[FIN DE SEMANA]])</f>
        <v>21052-1NO</v>
      </c>
      <c r="E788" s="30" t="s">
        <v>146</v>
      </c>
      <c r="F788" s="30" t="s">
        <v>147</v>
      </c>
      <c r="G788" s="360">
        <v>2</v>
      </c>
      <c r="H788" s="30">
        <v>4</v>
      </c>
      <c r="I788" s="9" t="s">
        <v>600</v>
      </c>
      <c r="J788" s="9" t="s">
        <v>612</v>
      </c>
      <c r="K788" s="30">
        <v>1</v>
      </c>
      <c r="L788" s="9" t="s">
        <v>613</v>
      </c>
      <c r="M788" s="30" t="s">
        <v>84</v>
      </c>
      <c r="N788" s="30" t="s">
        <v>151</v>
      </c>
      <c r="O788" s="24">
        <v>108</v>
      </c>
      <c r="P788" s="24">
        <v>208</v>
      </c>
      <c r="Q788" s="24">
        <v>288</v>
      </c>
      <c r="R788" s="24">
        <v>0</v>
      </c>
      <c r="S788" s="24">
        <v>0</v>
      </c>
      <c r="T788" s="24">
        <v>604</v>
      </c>
    </row>
    <row r="789" spans="1:20">
      <c r="A789" s="9" t="s">
        <v>554</v>
      </c>
      <c r="B789" s="30" t="s">
        <v>607</v>
      </c>
      <c r="C789" s="30" t="str">
        <f>CONCATENATE(VOL_VOLUMEN_SUMINISTROS[[#This Row],[Proyecto]],VOL_VOLUMEN_SUMINISTROS[[#This Row],[J]],VOL_VOLUMEN_SUMINISTROS[[#This Row],[FIN DE SEMANA]])</f>
        <v>1052-1TNO</v>
      </c>
      <c r="D789" s="360" t="str">
        <f>CONCATENATE(VOL_VOLUMEN_SUMINISTROS[[#This Row],[Grupo]],VOL_VOLUMEN_SUMINISTROS[[#This Row],[Proyecto]],VOL_VOLUMEN_SUMINISTROS[[#This Row],[FIN DE SEMANA]])</f>
        <v>21052-1NO</v>
      </c>
      <c r="E789" s="30" t="s">
        <v>146</v>
      </c>
      <c r="F789" s="30" t="s">
        <v>147</v>
      </c>
      <c r="G789" s="360">
        <v>2</v>
      </c>
      <c r="H789" s="30">
        <v>4</v>
      </c>
      <c r="I789" s="9" t="s">
        <v>600</v>
      </c>
      <c r="J789" s="9" t="s">
        <v>612</v>
      </c>
      <c r="K789" s="30">
        <v>1</v>
      </c>
      <c r="L789" s="9" t="s">
        <v>613</v>
      </c>
      <c r="M789" s="30" t="s">
        <v>84</v>
      </c>
      <c r="N789" s="30" t="s">
        <v>154</v>
      </c>
      <c r="O789" s="24">
        <v>99</v>
      </c>
      <c r="P789" s="24">
        <v>180</v>
      </c>
      <c r="Q789" s="24">
        <v>140</v>
      </c>
      <c r="R789" s="24">
        <v>0</v>
      </c>
      <c r="S789" s="24">
        <v>0</v>
      </c>
      <c r="T789" s="24">
        <v>419</v>
      </c>
    </row>
    <row r="790" spans="1:20">
      <c r="A790" s="9" t="s">
        <v>554</v>
      </c>
      <c r="B790" s="30" t="s">
        <v>607</v>
      </c>
      <c r="C790" s="30" t="str">
        <f>CONCATENATE(VOL_VOLUMEN_SUMINISTROS[[#This Row],[Proyecto]],VOL_VOLUMEN_SUMINISTROS[[#This Row],[J]],VOL_VOLUMEN_SUMINISTROS[[#This Row],[FIN DE SEMANA]])</f>
        <v>1052-1MNO</v>
      </c>
      <c r="D790" s="360" t="str">
        <f>CONCATENATE(VOL_VOLUMEN_SUMINISTROS[[#This Row],[Grupo]],VOL_VOLUMEN_SUMINISTROS[[#This Row],[Proyecto]],VOL_VOLUMEN_SUMINISTROS[[#This Row],[FIN DE SEMANA]])</f>
        <v>21052-1NO</v>
      </c>
      <c r="E790" s="30" t="s">
        <v>146</v>
      </c>
      <c r="F790" s="30" t="s">
        <v>147</v>
      </c>
      <c r="G790" s="360">
        <v>2</v>
      </c>
      <c r="H790" s="30">
        <v>4</v>
      </c>
      <c r="I790" s="9" t="s">
        <v>600</v>
      </c>
      <c r="J790" s="9" t="s">
        <v>612</v>
      </c>
      <c r="K790" s="30">
        <v>2</v>
      </c>
      <c r="L790" s="9" t="s">
        <v>614</v>
      </c>
      <c r="M790" s="30" t="s">
        <v>84</v>
      </c>
      <c r="N790" s="30" t="s">
        <v>151</v>
      </c>
      <c r="O790" s="24">
        <v>137</v>
      </c>
      <c r="P790" s="24">
        <v>139</v>
      </c>
      <c r="Q790" s="24">
        <v>31</v>
      </c>
      <c r="R790" s="24">
        <v>0</v>
      </c>
      <c r="S790" s="24">
        <v>0</v>
      </c>
      <c r="T790" s="24">
        <v>307</v>
      </c>
    </row>
    <row r="791" spans="1:20">
      <c r="A791" s="9" t="s">
        <v>554</v>
      </c>
      <c r="B791" s="30" t="s">
        <v>607</v>
      </c>
      <c r="C791" s="30" t="str">
        <f>CONCATENATE(VOL_VOLUMEN_SUMINISTROS[[#This Row],[Proyecto]],VOL_VOLUMEN_SUMINISTROS[[#This Row],[J]],VOL_VOLUMEN_SUMINISTROS[[#This Row],[FIN DE SEMANA]])</f>
        <v>1052-1TNO</v>
      </c>
      <c r="D791" s="360" t="str">
        <f>CONCATENATE(VOL_VOLUMEN_SUMINISTROS[[#This Row],[Grupo]],VOL_VOLUMEN_SUMINISTROS[[#This Row],[Proyecto]],VOL_VOLUMEN_SUMINISTROS[[#This Row],[FIN DE SEMANA]])</f>
        <v>21052-1NO</v>
      </c>
      <c r="E791" s="30" t="s">
        <v>146</v>
      </c>
      <c r="F791" s="30" t="s">
        <v>147</v>
      </c>
      <c r="G791" s="360">
        <v>2</v>
      </c>
      <c r="H791" s="30">
        <v>4</v>
      </c>
      <c r="I791" s="9" t="s">
        <v>600</v>
      </c>
      <c r="J791" s="9" t="s">
        <v>612</v>
      </c>
      <c r="K791" s="30">
        <v>2</v>
      </c>
      <c r="L791" s="9" t="s">
        <v>614</v>
      </c>
      <c r="M791" s="30" t="s">
        <v>84</v>
      </c>
      <c r="N791" s="30" t="s">
        <v>154</v>
      </c>
      <c r="O791" s="24">
        <v>125</v>
      </c>
      <c r="P791" s="24">
        <v>98</v>
      </c>
      <c r="Q791" s="24">
        <v>20</v>
      </c>
      <c r="R791" s="24">
        <v>0</v>
      </c>
      <c r="S791" s="24">
        <v>0</v>
      </c>
      <c r="T791" s="24">
        <v>243</v>
      </c>
    </row>
    <row r="792" spans="1:20">
      <c r="A792" s="9" t="s">
        <v>554</v>
      </c>
      <c r="B792" s="30" t="s">
        <v>607</v>
      </c>
      <c r="C792" s="30" t="str">
        <f>CONCATENATE(VOL_VOLUMEN_SUMINISTROS[[#This Row],[Proyecto]],VOL_VOLUMEN_SUMINISTROS[[#This Row],[J]],VOL_VOLUMEN_SUMINISTROS[[#This Row],[FIN DE SEMANA]])</f>
        <v>1052-1MNO</v>
      </c>
      <c r="D792" s="360" t="str">
        <f>CONCATENATE(VOL_VOLUMEN_SUMINISTROS[[#This Row],[Grupo]],VOL_VOLUMEN_SUMINISTROS[[#This Row],[Proyecto]],VOL_VOLUMEN_SUMINISTROS[[#This Row],[FIN DE SEMANA]])</f>
        <v>21052-1NO</v>
      </c>
      <c r="E792" s="30" t="s">
        <v>146</v>
      </c>
      <c r="F792" s="30" t="s">
        <v>147</v>
      </c>
      <c r="G792" s="360">
        <v>2</v>
      </c>
      <c r="H792" s="30">
        <v>4</v>
      </c>
      <c r="I792" s="9" t="s">
        <v>600</v>
      </c>
      <c r="J792" s="9" t="s">
        <v>615</v>
      </c>
      <c r="K792" s="30">
        <v>1</v>
      </c>
      <c r="L792" s="9" t="s">
        <v>616</v>
      </c>
      <c r="M792" s="30" t="s">
        <v>84</v>
      </c>
      <c r="N792" s="30" t="s">
        <v>151</v>
      </c>
      <c r="O792" s="24">
        <v>119</v>
      </c>
      <c r="P792" s="24">
        <v>224</v>
      </c>
      <c r="Q792" s="24">
        <v>289</v>
      </c>
      <c r="R792" s="24">
        <v>0</v>
      </c>
      <c r="S792" s="24">
        <v>0</v>
      </c>
      <c r="T792" s="24">
        <v>632</v>
      </c>
    </row>
    <row r="793" spans="1:20">
      <c r="A793" s="9" t="s">
        <v>554</v>
      </c>
      <c r="B793" s="30" t="s">
        <v>607</v>
      </c>
      <c r="C793" s="30" t="str">
        <f>CONCATENATE(VOL_VOLUMEN_SUMINISTROS[[#This Row],[Proyecto]],VOL_VOLUMEN_SUMINISTROS[[#This Row],[J]],VOL_VOLUMEN_SUMINISTROS[[#This Row],[FIN DE SEMANA]])</f>
        <v>1052-1TNO</v>
      </c>
      <c r="D793" s="360" t="str">
        <f>CONCATENATE(VOL_VOLUMEN_SUMINISTROS[[#This Row],[Grupo]],VOL_VOLUMEN_SUMINISTROS[[#This Row],[Proyecto]],VOL_VOLUMEN_SUMINISTROS[[#This Row],[FIN DE SEMANA]])</f>
        <v>21052-1NO</v>
      </c>
      <c r="E793" s="30" t="s">
        <v>146</v>
      </c>
      <c r="F793" s="30" t="s">
        <v>147</v>
      </c>
      <c r="G793" s="360">
        <v>2</v>
      </c>
      <c r="H793" s="30">
        <v>4</v>
      </c>
      <c r="I793" s="9" t="s">
        <v>600</v>
      </c>
      <c r="J793" s="9" t="s">
        <v>615</v>
      </c>
      <c r="K793" s="30">
        <v>1</v>
      </c>
      <c r="L793" s="9" t="s">
        <v>616</v>
      </c>
      <c r="M793" s="30" t="s">
        <v>84</v>
      </c>
      <c r="N793" s="30" t="s">
        <v>154</v>
      </c>
      <c r="O793" s="24">
        <v>118</v>
      </c>
      <c r="P793" s="24">
        <v>223</v>
      </c>
      <c r="Q793" s="24">
        <v>291</v>
      </c>
      <c r="R793" s="24">
        <v>0</v>
      </c>
      <c r="S793" s="24">
        <v>0</v>
      </c>
      <c r="T793" s="24">
        <v>632</v>
      </c>
    </row>
    <row r="794" spans="1:20">
      <c r="A794" s="9" t="s">
        <v>554</v>
      </c>
      <c r="B794" s="30" t="s">
        <v>607</v>
      </c>
      <c r="C794" s="30" t="str">
        <f>CONCATENATE(VOL_VOLUMEN_SUMINISTROS[[#This Row],[Proyecto]],VOL_VOLUMEN_SUMINISTROS[[#This Row],[J]],VOL_VOLUMEN_SUMINISTROS[[#This Row],[FIN DE SEMANA]])</f>
        <v>1052-1MNO</v>
      </c>
      <c r="D794" s="360" t="str">
        <f>CONCATENATE(VOL_VOLUMEN_SUMINISTROS[[#This Row],[Grupo]],VOL_VOLUMEN_SUMINISTROS[[#This Row],[Proyecto]],VOL_VOLUMEN_SUMINISTROS[[#This Row],[FIN DE SEMANA]])</f>
        <v>21052-1NO</v>
      </c>
      <c r="E794" s="30" t="s">
        <v>146</v>
      </c>
      <c r="F794" s="30" t="s">
        <v>147</v>
      </c>
      <c r="G794" s="360">
        <v>2</v>
      </c>
      <c r="H794" s="30">
        <v>4</v>
      </c>
      <c r="I794" s="9" t="s">
        <v>600</v>
      </c>
      <c r="J794" s="9" t="s">
        <v>615</v>
      </c>
      <c r="K794" s="30">
        <v>2</v>
      </c>
      <c r="L794" s="9" t="s">
        <v>617</v>
      </c>
      <c r="M794" s="30" t="s">
        <v>84</v>
      </c>
      <c r="N794" s="30" t="s">
        <v>151</v>
      </c>
      <c r="O794" s="24">
        <v>120</v>
      </c>
      <c r="P794" s="24">
        <v>89</v>
      </c>
      <c r="Q794" s="24">
        <v>18</v>
      </c>
      <c r="R794" s="24">
        <v>0</v>
      </c>
      <c r="S794" s="24">
        <v>0</v>
      </c>
      <c r="T794" s="24">
        <v>227</v>
      </c>
    </row>
    <row r="795" spans="1:20">
      <c r="A795" s="9" t="s">
        <v>554</v>
      </c>
      <c r="B795" s="30" t="s">
        <v>607</v>
      </c>
      <c r="C795" s="30" t="str">
        <f>CONCATENATE(VOL_VOLUMEN_SUMINISTROS[[#This Row],[Proyecto]],VOL_VOLUMEN_SUMINISTROS[[#This Row],[J]],VOL_VOLUMEN_SUMINISTROS[[#This Row],[FIN DE SEMANA]])</f>
        <v>1052-1TNO</v>
      </c>
      <c r="D795" s="360" t="str">
        <f>CONCATENATE(VOL_VOLUMEN_SUMINISTROS[[#This Row],[Grupo]],VOL_VOLUMEN_SUMINISTROS[[#This Row],[Proyecto]],VOL_VOLUMEN_SUMINISTROS[[#This Row],[FIN DE SEMANA]])</f>
        <v>21052-1NO</v>
      </c>
      <c r="E795" s="30" t="s">
        <v>146</v>
      </c>
      <c r="F795" s="30" t="s">
        <v>147</v>
      </c>
      <c r="G795" s="360">
        <v>2</v>
      </c>
      <c r="H795" s="30">
        <v>4</v>
      </c>
      <c r="I795" s="9" t="s">
        <v>600</v>
      </c>
      <c r="J795" s="9" t="s">
        <v>615</v>
      </c>
      <c r="K795" s="30">
        <v>2</v>
      </c>
      <c r="L795" s="9" t="s">
        <v>617</v>
      </c>
      <c r="M795" s="30" t="s">
        <v>84</v>
      </c>
      <c r="N795" s="30" t="s">
        <v>154</v>
      </c>
      <c r="O795" s="24">
        <v>120</v>
      </c>
      <c r="P795" s="24">
        <v>86</v>
      </c>
      <c r="Q795" s="24">
        <v>17</v>
      </c>
      <c r="R795" s="24">
        <v>0</v>
      </c>
      <c r="S795" s="24">
        <v>0</v>
      </c>
      <c r="T795" s="24">
        <v>223</v>
      </c>
    </row>
    <row r="796" spans="1:20">
      <c r="A796" s="9" t="s">
        <v>554</v>
      </c>
      <c r="B796" s="30" t="s">
        <v>607</v>
      </c>
      <c r="C796" s="30" t="str">
        <f>CONCATENATE(VOL_VOLUMEN_SUMINISTROS[[#This Row],[Proyecto]],VOL_VOLUMEN_SUMINISTROS[[#This Row],[J]],VOL_VOLUMEN_SUMINISTROS[[#This Row],[FIN DE SEMANA]])</f>
        <v>1052-1MNO</v>
      </c>
      <c r="D796" s="360" t="str">
        <f>CONCATENATE(VOL_VOLUMEN_SUMINISTROS[[#This Row],[Grupo]],VOL_VOLUMEN_SUMINISTROS[[#This Row],[Proyecto]],VOL_VOLUMEN_SUMINISTROS[[#This Row],[FIN DE SEMANA]])</f>
        <v>21052-1NO</v>
      </c>
      <c r="E796" s="30" t="s">
        <v>146</v>
      </c>
      <c r="F796" s="30" t="s">
        <v>147</v>
      </c>
      <c r="G796" s="360">
        <v>2</v>
      </c>
      <c r="H796" s="30">
        <v>4</v>
      </c>
      <c r="I796" s="9" t="s">
        <v>600</v>
      </c>
      <c r="J796" s="9" t="s">
        <v>618</v>
      </c>
      <c r="K796" s="30">
        <v>1</v>
      </c>
      <c r="L796" s="9" t="s">
        <v>619</v>
      </c>
      <c r="M796" s="30" t="s">
        <v>84</v>
      </c>
      <c r="N796" s="30" t="s">
        <v>151</v>
      </c>
      <c r="O796" s="24">
        <v>0</v>
      </c>
      <c r="P796" s="24">
        <v>141</v>
      </c>
      <c r="Q796" s="24">
        <v>372</v>
      </c>
      <c r="R796" s="24">
        <v>0</v>
      </c>
      <c r="S796" s="24">
        <v>0</v>
      </c>
      <c r="T796" s="24">
        <v>513</v>
      </c>
    </row>
    <row r="797" spans="1:20">
      <c r="A797" s="9" t="s">
        <v>554</v>
      </c>
      <c r="B797" s="30" t="s">
        <v>607</v>
      </c>
      <c r="C797" s="30" t="str">
        <f>CONCATENATE(VOL_VOLUMEN_SUMINISTROS[[#This Row],[Proyecto]],VOL_VOLUMEN_SUMINISTROS[[#This Row],[J]],VOL_VOLUMEN_SUMINISTROS[[#This Row],[FIN DE SEMANA]])</f>
        <v>1052-1TNO</v>
      </c>
      <c r="D797" s="360" t="str">
        <f>CONCATENATE(VOL_VOLUMEN_SUMINISTROS[[#This Row],[Grupo]],VOL_VOLUMEN_SUMINISTROS[[#This Row],[Proyecto]],VOL_VOLUMEN_SUMINISTROS[[#This Row],[FIN DE SEMANA]])</f>
        <v>21052-1NO</v>
      </c>
      <c r="E797" s="30" t="s">
        <v>146</v>
      </c>
      <c r="F797" s="30" t="s">
        <v>147</v>
      </c>
      <c r="G797" s="360">
        <v>2</v>
      </c>
      <c r="H797" s="30">
        <v>4</v>
      </c>
      <c r="I797" s="9" t="s">
        <v>600</v>
      </c>
      <c r="J797" s="9" t="s">
        <v>618</v>
      </c>
      <c r="K797" s="30">
        <v>1</v>
      </c>
      <c r="L797" s="9" t="s">
        <v>619</v>
      </c>
      <c r="M797" s="30" t="s">
        <v>84</v>
      </c>
      <c r="N797" s="30" t="s">
        <v>154</v>
      </c>
      <c r="O797" s="24">
        <v>0</v>
      </c>
      <c r="P797" s="24">
        <v>198</v>
      </c>
      <c r="Q797" s="24">
        <v>294</v>
      </c>
      <c r="R797" s="24">
        <v>0</v>
      </c>
      <c r="S797" s="24">
        <v>0</v>
      </c>
      <c r="T797" s="24">
        <v>492</v>
      </c>
    </row>
    <row r="798" spans="1:20">
      <c r="A798" s="9" t="s">
        <v>554</v>
      </c>
      <c r="B798" s="30" t="s">
        <v>607</v>
      </c>
      <c r="C798" s="30" t="str">
        <f>CONCATENATE(VOL_VOLUMEN_SUMINISTROS[[#This Row],[Proyecto]],VOL_VOLUMEN_SUMINISTROS[[#This Row],[J]],VOL_VOLUMEN_SUMINISTROS[[#This Row],[FIN DE SEMANA]])</f>
        <v>1052-1MNO</v>
      </c>
      <c r="D798" s="360" t="str">
        <f>CONCATENATE(VOL_VOLUMEN_SUMINISTROS[[#This Row],[Grupo]],VOL_VOLUMEN_SUMINISTROS[[#This Row],[Proyecto]],VOL_VOLUMEN_SUMINISTROS[[#This Row],[FIN DE SEMANA]])</f>
        <v>21052-1NO</v>
      </c>
      <c r="E798" s="30" t="s">
        <v>146</v>
      </c>
      <c r="F798" s="30" t="s">
        <v>147</v>
      </c>
      <c r="G798" s="360">
        <v>2</v>
      </c>
      <c r="H798" s="30">
        <v>4</v>
      </c>
      <c r="I798" s="9" t="s">
        <v>600</v>
      </c>
      <c r="J798" s="9" t="s">
        <v>618</v>
      </c>
      <c r="K798" s="30">
        <v>2</v>
      </c>
      <c r="L798" s="9" t="s">
        <v>620</v>
      </c>
      <c r="M798" s="30" t="s">
        <v>84</v>
      </c>
      <c r="N798" s="30" t="s">
        <v>151</v>
      </c>
      <c r="O798" s="24">
        <v>225</v>
      </c>
      <c r="P798" s="24">
        <v>178</v>
      </c>
      <c r="Q798" s="24">
        <v>33</v>
      </c>
      <c r="R798" s="24">
        <v>0</v>
      </c>
      <c r="S798" s="24">
        <v>0</v>
      </c>
      <c r="T798" s="24">
        <v>436</v>
      </c>
    </row>
    <row r="799" spans="1:20">
      <c r="A799" s="9" t="s">
        <v>554</v>
      </c>
      <c r="B799" s="30" t="s">
        <v>607</v>
      </c>
      <c r="C799" s="30" t="str">
        <f>CONCATENATE(VOL_VOLUMEN_SUMINISTROS[[#This Row],[Proyecto]],VOL_VOLUMEN_SUMINISTROS[[#This Row],[J]],VOL_VOLUMEN_SUMINISTROS[[#This Row],[FIN DE SEMANA]])</f>
        <v>1052-1TNO</v>
      </c>
      <c r="D799" s="360" t="str">
        <f>CONCATENATE(VOL_VOLUMEN_SUMINISTROS[[#This Row],[Grupo]],VOL_VOLUMEN_SUMINISTROS[[#This Row],[Proyecto]],VOL_VOLUMEN_SUMINISTROS[[#This Row],[FIN DE SEMANA]])</f>
        <v>21052-1NO</v>
      </c>
      <c r="E799" s="30" t="s">
        <v>146</v>
      </c>
      <c r="F799" s="30" t="s">
        <v>147</v>
      </c>
      <c r="G799" s="360">
        <v>2</v>
      </c>
      <c r="H799" s="30">
        <v>4</v>
      </c>
      <c r="I799" s="9" t="s">
        <v>600</v>
      </c>
      <c r="J799" s="9" t="s">
        <v>618</v>
      </c>
      <c r="K799" s="30">
        <v>2</v>
      </c>
      <c r="L799" s="9" t="s">
        <v>620</v>
      </c>
      <c r="M799" s="30" t="s">
        <v>84</v>
      </c>
      <c r="N799" s="30" t="s">
        <v>154</v>
      </c>
      <c r="O799" s="24">
        <v>243</v>
      </c>
      <c r="P799" s="24">
        <v>162</v>
      </c>
      <c r="Q799" s="24">
        <v>24</v>
      </c>
      <c r="R799" s="24">
        <v>0</v>
      </c>
      <c r="S799" s="24">
        <v>0</v>
      </c>
      <c r="T799" s="24">
        <v>429</v>
      </c>
    </row>
    <row r="800" spans="1:20">
      <c r="A800" s="9" t="s">
        <v>554</v>
      </c>
      <c r="B800" s="30" t="s">
        <v>607</v>
      </c>
      <c r="C800" s="30" t="str">
        <f>CONCATENATE(VOL_VOLUMEN_SUMINISTROS[[#This Row],[Proyecto]],VOL_VOLUMEN_SUMINISTROS[[#This Row],[J]],VOL_VOLUMEN_SUMINISTROS[[#This Row],[FIN DE SEMANA]])</f>
        <v>1052-1MNO</v>
      </c>
      <c r="D800" s="360" t="str">
        <f>CONCATENATE(VOL_VOLUMEN_SUMINISTROS[[#This Row],[Grupo]],VOL_VOLUMEN_SUMINISTROS[[#This Row],[Proyecto]],VOL_VOLUMEN_SUMINISTROS[[#This Row],[FIN DE SEMANA]])</f>
        <v>21052-1NO</v>
      </c>
      <c r="E800" s="30" t="s">
        <v>146</v>
      </c>
      <c r="F800" s="30" t="s">
        <v>147</v>
      </c>
      <c r="G800" s="360">
        <v>2</v>
      </c>
      <c r="H800" s="30">
        <v>4</v>
      </c>
      <c r="I800" s="9" t="s">
        <v>600</v>
      </c>
      <c r="J800" s="9" t="s">
        <v>621</v>
      </c>
      <c r="K800" s="30">
        <v>1</v>
      </c>
      <c r="L800" s="9" t="s">
        <v>622</v>
      </c>
      <c r="M800" s="30" t="s">
        <v>84</v>
      </c>
      <c r="N800" s="30" t="s">
        <v>151</v>
      </c>
      <c r="O800" s="24">
        <v>95</v>
      </c>
      <c r="P800" s="24">
        <v>224</v>
      </c>
      <c r="Q800" s="24">
        <v>319</v>
      </c>
      <c r="R800" s="24">
        <v>0</v>
      </c>
      <c r="S800" s="24">
        <v>0</v>
      </c>
      <c r="T800" s="24">
        <v>638</v>
      </c>
    </row>
    <row r="801" spans="1:20">
      <c r="A801" s="9" t="s">
        <v>554</v>
      </c>
      <c r="B801" s="30" t="s">
        <v>607</v>
      </c>
      <c r="C801" s="30" t="str">
        <f>CONCATENATE(VOL_VOLUMEN_SUMINISTROS[[#This Row],[Proyecto]],VOL_VOLUMEN_SUMINISTROS[[#This Row],[J]],VOL_VOLUMEN_SUMINISTROS[[#This Row],[FIN DE SEMANA]])</f>
        <v>1052-1TNO</v>
      </c>
      <c r="D801" s="360" t="str">
        <f>CONCATENATE(VOL_VOLUMEN_SUMINISTROS[[#This Row],[Grupo]],VOL_VOLUMEN_SUMINISTROS[[#This Row],[Proyecto]],VOL_VOLUMEN_SUMINISTROS[[#This Row],[FIN DE SEMANA]])</f>
        <v>21052-1NO</v>
      </c>
      <c r="E801" s="30" t="s">
        <v>146</v>
      </c>
      <c r="F801" s="30" t="s">
        <v>147</v>
      </c>
      <c r="G801" s="360">
        <v>2</v>
      </c>
      <c r="H801" s="30">
        <v>4</v>
      </c>
      <c r="I801" s="9" t="s">
        <v>600</v>
      </c>
      <c r="J801" s="9" t="s">
        <v>621</v>
      </c>
      <c r="K801" s="30">
        <v>1</v>
      </c>
      <c r="L801" s="9" t="s">
        <v>622</v>
      </c>
      <c r="M801" s="30" t="s">
        <v>84</v>
      </c>
      <c r="N801" s="30" t="s">
        <v>154</v>
      </c>
      <c r="O801" s="24">
        <v>89</v>
      </c>
      <c r="P801" s="24">
        <v>164</v>
      </c>
      <c r="Q801" s="24">
        <v>164</v>
      </c>
      <c r="R801" s="24">
        <v>0</v>
      </c>
      <c r="S801" s="24">
        <v>0</v>
      </c>
      <c r="T801" s="24">
        <v>417</v>
      </c>
    </row>
    <row r="802" spans="1:20">
      <c r="A802" s="9" t="s">
        <v>554</v>
      </c>
      <c r="B802" s="30" t="s">
        <v>607</v>
      </c>
      <c r="C802" s="30" t="str">
        <f>CONCATENATE(VOL_VOLUMEN_SUMINISTROS[[#This Row],[Proyecto]],VOL_VOLUMEN_SUMINISTROS[[#This Row],[J]],VOL_VOLUMEN_SUMINISTROS[[#This Row],[FIN DE SEMANA]])</f>
        <v>1052-1MNO</v>
      </c>
      <c r="D802" s="360" t="str">
        <f>CONCATENATE(VOL_VOLUMEN_SUMINISTROS[[#This Row],[Grupo]],VOL_VOLUMEN_SUMINISTROS[[#This Row],[Proyecto]],VOL_VOLUMEN_SUMINISTROS[[#This Row],[FIN DE SEMANA]])</f>
        <v>21052-1NO</v>
      </c>
      <c r="E802" s="30" t="s">
        <v>146</v>
      </c>
      <c r="F802" s="30" t="s">
        <v>147</v>
      </c>
      <c r="G802" s="360">
        <v>2</v>
      </c>
      <c r="H802" s="30">
        <v>4</v>
      </c>
      <c r="I802" s="9" t="s">
        <v>600</v>
      </c>
      <c r="J802" s="9" t="s">
        <v>621</v>
      </c>
      <c r="K802" s="30">
        <v>2</v>
      </c>
      <c r="L802" s="9" t="s">
        <v>623</v>
      </c>
      <c r="M802" s="30" t="s">
        <v>84</v>
      </c>
      <c r="N802" s="30" t="s">
        <v>151</v>
      </c>
      <c r="O802" s="24">
        <v>128</v>
      </c>
      <c r="P802" s="24">
        <v>106</v>
      </c>
      <c r="Q802" s="24">
        <v>22</v>
      </c>
      <c r="R802" s="24">
        <v>0</v>
      </c>
      <c r="S802" s="24">
        <v>0</v>
      </c>
      <c r="T802" s="24">
        <v>256</v>
      </c>
    </row>
    <row r="803" spans="1:20">
      <c r="A803" s="9" t="s">
        <v>554</v>
      </c>
      <c r="B803" s="30" t="s">
        <v>607</v>
      </c>
      <c r="C803" s="30" t="str">
        <f>CONCATENATE(VOL_VOLUMEN_SUMINISTROS[[#This Row],[Proyecto]],VOL_VOLUMEN_SUMINISTROS[[#This Row],[J]],VOL_VOLUMEN_SUMINISTROS[[#This Row],[FIN DE SEMANA]])</f>
        <v>1052-1TNO</v>
      </c>
      <c r="D803" s="360" t="str">
        <f>CONCATENATE(VOL_VOLUMEN_SUMINISTROS[[#This Row],[Grupo]],VOL_VOLUMEN_SUMINISTROS[[#This Row],[Proyecto]],VOL_VOLUMEN_SUMINISTROS[[#This Row],[FIN DE SEMANA]])</f>
        <v>21052-1NO</v>
      </c>
      <c r="E803" s="30" t="s">
        <v>146</v>
      </c>
      <c r="F803" s="30" t="s">
        <v>147</v>
      </c>
      <c r="G803" s="360">
        <v>2</v>
      </c>
      <c r="H803" s="30">
        <v>4</v>
      </c>
      <c r="I803" s="9" t="s">
        <v>600</v>
      </c>
      <c r="J803" s="9" t="s">
        <v>621</v>
      </c>
      <c r="K803" s="30">
        <v>2</v>
      </c>
      <c r="L803" s="9" t="s">
        <v>623</v>
      </c>
      <c r="M803" s="30" t="s">
        <v>84</v>
      </c>
      <c r="N803" s="30" t="s">
        <v>154</v>
      </c>
      <c r="O803" s="24">
        <v>79</v>
      </c>
      <c r="P803" s="24">
        <v>82</v>
      </c>
      <c r="Q803" s="24">
        <v>17</v>
      </c>
      <c r="R803" s="24">
        <v>0</v>
      </c>
      <c r="S803" s="24">
        <v>0</v>
      </c>
      <c r="T803" s="24">
        <v>178</v>
      </c>
    </row>
    <row r="804" spans="1:20">
      <c r="A804" s="9" t="s">
        <v>554</v>
      </c>
      <c r="B804" s="30" t="s">
        <v>607</v>
      </c>
      <c r="C804" s="30" t="str">
        <f>CONCATENATE(VOL_VOLUMEN_SUMINISTROS[[#This Row],[Proyecto]],VOL_VOLUMEN_SUMINISTROS[[#This Row],[J]],VOL_VOLUMEN_SUMINISTROS[[#This Row],[FIN DE SEMANA]])</f>
        <v>1052-1MNO</v>
      </c>
      <c r="D804" s="360" t="str">
        <f>CONCATENATE(VOL_VOLUMEN_SUMINISTROS[[#This Row],[Grupo]],VOL_VOLUMEN_SUMINISTROS[[#This Row],[Proyecto]],VOL_VOLUMEN_SUMINISTROS[[#This Row],[FIN DE SEMANA]])</f>
        <v>21052-1NO</v>
      </c>
      <c r="E804" s="30" t="s">
        <v>146</v>
      </c>
      <c r="F804" s="30" t="s">
        <v>147</v>
      </c>
      <c r="G804" s="360">
        <v>2</v>
      </c>
      <c r="H804" s="30">
        <v>4</v>
      </c>
      <c r="I804" s="9" t="s">
        <v>600</v>
      </c>
      <c r="J804" s="9" t="s">
        <v>621</v>
      </c>
      <c r="K804" s="30">
        <v>3</v>
      </c>
      <c r="L804" s="9" t="s">
        <v>624</v>
      </c>
      <c r="M804" s="30" t="s">
        <v>84</v>
      </c>
      <c r="N804" s="30" t="s">
        <v>151</v>
      </c>
      <c r="O804" s="24">
        <v>118</v>
      </c>
      <c r="P804" s="24">
        <v>87</v>
      </c>
      <c r="Q804" s="24">
        <v>16</v>
      </c>
      <c r="R804" s="24">
        <v>0</v>
      </c>
      <c r="S804" s="24">
        <v>0</v>
      </c>
      <c r="T804" s="24">
        <v>221</v>
      </c>
    </row>
    <row r="805" spans="1:20">
      <c r="A805" s="9" t="s">
        <v>554</v>
      </c>
      <c r="B805" s="30" t="s">
        <v>607</v>
      </c>
      <c r="C805" s="30" t="str">
        <f>CONCATENATE(VOL_VOLUMEN_SUMINISTROS[[#This Row],[Proyecto]],VOL_VOLUMEN_SUMINISTROS[[#This Row],[J]],VOL_VOLUMEN_SUMINISTROS[[#This Row],[FIN DE SEMANA]])</f>
        <v>1052-1TNO</v>
      </c>
      <c r="D805" s="360" t="str">
        <f>CONCATENATE(VOL_VOLUMEN_SUMINISTROS[[#This Row],[Grupo]],VOL_VOLUMEN_SUMINISTROS[[#This Row],[Proyecto]],VOL_VOLUMEN_SUMINISTROS[[#This Row],[FIN DE SEMANA]])</f>
        <v>21052-1NO</v>
      </c>
      <c r="E805" s="30" t="s">
        <v>146</v>
      </c>
      <c r="F805" s="30" t="s">
        <v>147</v>
      </c>
      <c r="G805" s="360">
        <v>2</v>
      </c>
      <c r="H805" s="30">
        <v>4</v>
      </c>
      <c r="I805" s="9" t="s">
        <v>600</v>
      </c>
      <c r="J805" s="9" t="s">
        <v>621</v>
      </c>
      <c r="K805" s="30">
        <v>3</v>
      </c>
      <c r="L805" s="9" t="s">
        <v>624</v>
      </c>
      <c r="M805" s="30" t="s">
        <v>84</v>
      </c>
      <c r="N805" s="30" t="s">
        <v>154</v>
      </c>
      <c r="O805" s="24">
        <v>88</v>
      </c>
      <c r="P805" s="24">
        <v>39</v>
      </c>
      <c r="Q805" s="24">
        <v>8</v>
      </c>
      <c r="R805" s="24">
        <v>0</v>
      </c>
      <c r="S805" s="24">
        <v>0</v>
      </c>
      <c r="T805" s="24">
        <v>135</v>
      </c>
    </row>
    <row r="806" spans="1:20">
      <c r="A806" s="9" t="s">
        <v>554</v>
      </c>
      <c r="B806" s="30" t="s">
        <v>607</v>
      </c>
      <c r="C806" s="30" t="str">
        <f>CONCATENATE(VOL_VOLUMEN_SUMINISTROS[[#This Row],[Proyecto]],VOL_VOLUMEN_SUMINISTROS[[#This Row],[J]],VOL_VOLUMEN_SUMINISTROS[[#This Row],[FIN DE SEMANA]])</f>
        <v>1052-1MNO</v>
      </c>
      <c r="D806" s="360" t="str">
        <f>CONCATENATE(VOL_VOLUMEN_SUMINISTROS[[#This Row],[Grupo]],VOL_VOLUMEN_SUMINISTROS[[#This Row],[Proyecto]],VOL_VOLUMEN_SUMINISTROS[[#This Row],[FIN DE SEMANA]])</f>
        <v>21052-1NO</v>
      </c>
      <c r="E806" s="30" t="s">
        <v>146</v>
      </c>
      <c r="F806" s="30" t="s">
        <v>147</v>
      </c>
      <c r="G806" s="360">
        <v>2</v>
      </c>
      <c r="H806" s="30">
        <v>4</v>
      </c>
      <c r="I806" s="9" t="s">
        <v>600</v>
      </c>
      <c r="J806" s="9" t="s">
        <v>625</v>
      </c>
      <c r="K806" s="30">
        <v>1</v>
      </c>
      <c r="L806" s="9" t="s">
        <v>626</v>
      </c>
      <c r="M806" s="30" t="s">
        <v>84</v>
      </c>
      <c r="N806" s="30" t="s">
        <v>151</v>
      </c>
      <c r="O806" s="24">
        <v>195</v>
      </c>
      <c r="P806" s="24">
        <v>296</v>
      </c>
      <c r="Q806" s="24">
        <v>402</v>
      </c>
      <c r="R806" s="24">
        <v>0</v>
      </c>
      <c r="S806" s="24">
        <v>0</v>
      </c>
      <c r="T806" s="24">
        <v>893</v>
      </c>
    </row>
    <row r="807" spans="1:20">
      <c r="A807" s="9" t="s">
        <v>554</v>
      </c>
      <c r="B807" s="30" t="s">
        <v>607</v>
      </c>
      <c r="C807" s="30" t="str">
        <f>CONCATENATE(VOL_VOLUMEN_SUMINISTROS[[#This Row],[Proyecto]],VOL_VOLUMEN_SUMINISTROS[[#This Row],[J]],VOL_VOLUMEN_SUMINISTROS[[#This Row],[FIN DE SEMANA]])</f>
        <v>1052-1TNO</v>
      </c>
      <c r="D807" s="360" t="str">
        <f>CONCATENATE(VOL_VOLUMEN_SUMINISTROS[[#This Row],[Grupo]],VOL_VOLUMEN_SUMINISTROS[[#This Row],[Proyecto]],VOL_VOLUMEN_SUMINISTROS[[#This Row],[FIN DE SEMANA]])</f>
        <v>21052-1NO</v>
      </c>
      <c r="E807" s="30" t="s">
        <v>146</v>
      </c>
      <c r="F807" s="30" t="s">
        <v>147</v>
      </c>
      <c r="G807" s="360">
        <v>2</v>
      </c>
      <c r="H807" s="30">
        <v>4</v>
      </c>
      <c r="I807" s="9" t="s">
        <v>600</v>
      </c>
      <c r="J807" s="9" t="s">
        <v>625</v>
      </c>
      <c r="K807" s="30">
        <v>1</v>
      </c>
      <c r="L807" s="9" t="s">
        <v>626</v>
      </c>
      <c r="M807" s="30" t="s">
        <v>84</v>
      </c>
      <c r="N807" s="30" t="s">
        <v>154</v>
      </c>
      <c r="O807" s="24">
        <v>179</v>
      </c>
      <c r="P807" s="24">
        <v>287</v>
      </c>
      <c r="Q807" s="24">
        <v>365</v>
      </c>
      <c r="R807" s="24">
        <v>0</v>
      </c>
      <c r="S807" s="24">
        <v>0</v>
      </c>
      <c r="T807" s="24">
        <v>831</v>
      </c>
    </row>
    <row r="808" spans="1:20">
      <c r="A808" s="9" t="s">
        <v>554</v>
      </c>
      <c r="B808" s="30" t="s">
        <v>607</v>
      </c>
      <c r="C808" s="30" t="str">
        <f>CONCATENATE(VOL_VOLUMEN_SUMINISTROS[[#This Row],[Proyecto]],VOL_VOLUMEN_SUMINISTROS[[#This Row],[J]],VOL_VOLUMEN_SUMINISTROS[[#This Row],[FIN DE SEMANA]])</f>
        <v>1052-1MNO</v>
      </c>
      <c r="D808" s="360" t="str">
        <f>CONCATENATE(VOL_VOLUMEN_SUMINISTROS[[#This Row],[Grupo]],VOL_VOLUMEN_SUMINISTROS[[#This Row],[Proyecto]],VOL_VOLUMEN_SUMINISTROS[[#This Row],[FIN DE SEMANA]])</f>
        <v>21052-1NO</v>
      </c>
      <c r="E808" s="30" t="s">
        <v>146</v>
      </c>
      <c r="F808" s="30" t="s">
        <v>147</v>
      </c>
      <c r="G808" s="360">
        <v>2</v>
      </c>
      <c r="H808" s="30">
        <v>4</v>
      </c>
      <c r="I808" s="9" t="s">
        <v>600</v>
      </c>
      <c r="J808" s="9" t="s">
        <v>627</v>
      </c>
      <c r="K808" s="30">
        <v>1</v>
      </c>
      <c r="L808" s="9" t="s">
        <v>628</v>
      </c>
      <c r="M808" s="30" t="s">
        <v>84</v>
      </c>
      <c r="N808" s="30" t="s">
        <v>151</v>
      </c>
      <c r="O808" s="24">
        <v>0</v>
      </c>
      <c r="P808" s="24">
        <v>114</v>
      </c>
      <c r="Q808" s="24">
        <v>261</v>
      </c>
      <c r="R808" s="24">
        <v>0</v>
      </c>
      <c r="S808" s="24">
        <v>0</v>
      </c>
      <c r="T808" s="24">
        <v>375</v>
      </c>
    </row>
    <row r="809" spans="1:20">
      <c r="A809" s="9" t="s">
        <v>554</v>
      </c>
      <c r="B809" s="30" t="s">
        <v>607</v>
      </c>
      <c r="C809" s="30" t="str">
        <f>CONCATENATE(VOL_VOLUMEN_SUMINISTROS[[#This Row],[Proyecto]],VOL_VOLUMEN_SUMINISTROS[[#This Row],[J]],VOL_VOLUMEN_SUMINISTROS[[#This Row],[FIN DE SEMANA]])</f>
        <v>1052-1TNO</v>
      </c>
      <c r="D809" s="360" t="str">
        <f>CONCATENATE(VOL_VOLUMEN_SUMINISTROS[[#This Row],[Grupo]],VOL_VOLUMEN_SUMINISTROS[[#This Row],[Proyecto]],VOL_VOLUMEN_SUMINISTROS[[#This Row],[FIN DE SEMANA]])</f>
        <v>21052-1NO</v>
      </c>
      <c r="E809" s="30" t="s">
        <v>146</v>
      </c>
      <c r="F809" s="30" t="s">
        <v>147</v>
      </c>
      <c r="G809" s="360">
        <v>2</v>
      </c>
      <c r="H809" s="30">
        <v>4</v>
      </c>
      <c r="I809" s="9" t="s">
        <v>600</v>
      </c>
      <c r="J809" s="9" t="s">
        <v>627</v>
      </c>
      <c r="K809" s="30">
        <v>1</v>
      </c>
      <c r="L809" s="9" t="s">
        <v>629</v>
      </c>
      <c r="M809" s="30" t="s">
        <v>84</v>
      </c>
      <c r="N809" s="30" t="s">
        <v>154</v>
      </c>
      <c r="O809" s="24">
        <v>0</v>
      </c>
      <c r="P809" s="24">
        <v>135</v>
      </c>
      <c r="Q809" s="24">
        <v>155</v>
      </c>
      <c r="R809" s="24">
        <v>0</v>
      </c>
      <c r="S809" s="24">
        <v>0</v>
      </c>
      <c r="T809" s="24">
        <v>290</v>
      </c>
    </row>
    <row r="810" spans="1:20">
      <c r="A810" s="9" t="s">
        <v>554</v>
      </c>
      <c r="B810" s="30" t="s">
        <v>607</v>
      </c>
      <c r="C810" s="30" t="str">
        <f>CONCATENATE(VOL_VOLUMEN_SUMINISTROS[[#This Row],[Proyecto]],VOL_VOLUMEN_SUMINISTROS[[#This Row],[J]],VOL_VOLUMEN_SUMINISTROS[[#This Row],[FIN DE SEMANA]])</f>
        <v>1052-1MNO</v>
      </c>
      <c r="D810" s="360" t="str">
        <f>CONCATENATE(VOL_VOLUMEN_SUMINISTROS[[#This Row],[Grupo]],VOL_VOLUMEN_SUMINISTROS[[#This Row],[Proyecto]],VOL_VOLUMEN_SUMINISTROS[[#This Row],[FIN DE SEMANA]])</f>
        <v>21052-1NO</v>
      </c>
      <c r="E810" s="30" t="s">
        <v>146</v>
      </c>
      <c r="F810" s="30" t="s">
        <v>147</v>
      </c>
      <c r="G810" s="360">
        <v>2</v>
      </c>
      <c r="H810" s="30">
        <v>4</v>
      </c>
      <c r="I810" s="9" t="s">
        <v>600</v>
      </c>
      <c r="J810" s="9" t="s">
        <v>627</v>
      </c>
      <c r="K810" s="30">
        <v>2</v>
      </c>
      <c r="L810" s="9" t="s">
        <v>630</v>
      </c>
      <c r="M810" s="30" t="s">
        <v>84</v>
      </c>
      <c r="N810" s="30" t="s">
        <v>151</v>
      </c>
      <c r="O810" s="24">
        <v>126</v>
      </c>
      <c r="P810" s="24">
        <v>145</v>
      </c>
      <c r="Q810" s="24">
        <v>32</v>
      </c>
      <c r="R810" s="24">
        <v>0</v>
      </c>
      <c r="S810" s="24">
        <v>0</v>
      </c>
      <c r="T810" s="24">
        <v>303</v>
      </c>
    </row>
    <row r="811" spans="1:20">
      <c r="A811" s="9" t="s">
        <v>554</v>
      </c>
      <c r="B811" s="30" t="s">
        <v>607</v>
      </c>
      <c r="C811" s="30" t="str">
        <f>CONCATENATE(VOL_VOLUMEN_SUMINISTROS[[#This Row],[Proyecto]],VOL_VOLUMEN_SUMINISTROS[[#This Row],[J]],VOL_VOLUMEN_SUMINISTROS[[#This Row],[FIN DE SEMANA]])</f>
        <v>1052-1TNO</v>
      </c>
      <c r="D811" s="360" t="str">
        <f>CONCATENATE(VOL_VOLUMEN_SUMINISTROS[[#This Row],[Grupo]],VOL_VOLUMEN_SUMINISTROS[[#This Row],[Proyecto]],VOL_VOLUMEN_SUMINISTROS[[#This Row],[FIN DE SEMANA]])</f>
        <v>21052-1NO</v>
      </c>
      <c r="E811" s="30" t="s">
        <v>146</v>
      </c>
      <c r="F811" s="30" t="s">
        <v>147</v>
      </c>
      <c r="G811" s="360">
        <v>2</v>
      </c>
      <c r="H811" s="30">
        <v>4</v>
      </c>
      <c r="I811" s="9" t="s">
        <v>600</v>
      </c>
      <c r="J811" s="9" t="s">
        <v>627</v>
      </c>
      <c r="K811" s="30">
        <v>2</v>
      </c>
      <c r="L811" s="9" t="s">
        <v>630</v>
      </c>
      <c r="M811" s="30" t="s">
        <v>84</v>
      </c>
      <c r="N811" s="30" t="s">
        <v>154</v>
      </c>
      <c r="O811" s="24">
        <v>148</v>
      </c>
      <c r="P811" s="24">
        <v>94</v>
      </c>
      <c r="Q811" s="24">
        <v>19</v>
      </c>
      <c r="R811" s="24">
        <v>0</v>
      </c>
      <c r="S811" s="24">
        <v>0</v>
      </c>
      <c r="T811" s="24">
        <v>261</v>
      </c>
    </row>
    <row r="812" spans="1:20">
      <c r="A812" s="9" t="s">
        <v>554</v>
      </c>
      <c r="B812" s="30" t="s">
        <v>607</v>
      </c>
      <c r="C812" s="30" t="str">
        <f>CONCATENATE(VOL_VOLUMEN_SUMINISTROS[[#This Row],[Proyecto]],VOL_VOLUMEN_SUMINISTROS[[#This Row],[J]],VOL_VOLUMEN_SUMINISTROS[[#This Row],[FIN DE SEMANA]])</f>
        <v>1052-1MNO</v>
      </c>
      <c r="D812" s="360" t="str">
        <f>CONCATENATE(VOL_VOLUMEN_SUMINISTROS[[#This Row],[Grupo]],VOL_VOLUMEN_SUMINISTROS[[#This Row],[Proyecto]],VOL_VOLUMEN_SUMINISTROS[[#This Row],[FIN DE SEMANA]])</f>
        <v>21052-1NO</v>
      </c>
      <c r="E812" s="30" t="s">
        <v>146</v>
      </c>
      <c r="F812" s="30" t="s">
        <v>147</v>
      </c>
      <c r="G812" s="360">
        <v>2</v>
      </c>
      <c r="H812" s="30">
        <v>4</v>
      </c>
      <c r="I812" s="9" t="s">
        <v>600</v>
      </c>
      <c r="J812" s="9" t="s">
        <v>601</v>
      </c>
      <c r="K812" s="30">
        <v>1</v>
      </c>
      <c r="L812" s="9" t="s">
        <v>602</v>
      </c>
      <c r="M812" s="30" t="s">
        <v>84</v>
      </c>
      <c r="N812" s="30" t="s">
        <v>151</v>
      </c>
      <c r="O812" s="24">
        <v>0</v>
      </c>
      <c r="P812" s="24">
        <v>294</v>
      </c>
      <c r="Q812" s="24">
        <v>946</v>
      </c>
      <c r="R812" s="24">
        <v>0</v>
      </c>
      <c r="S812" s="24">
        <v>0</v>
      </c>
      <c r="T812" s="24">
        <v>1240</v>
      </c>
    </row>
    <row r="813" spans="1:20">
      <c r="A813" s="9" t="s">
        <v>554</v>
      </c>
      <c r="B813" s="30" t="s">
        <v>607</v>
      </c>
      <c r="C813" s="30" t="str">
        <f>CONCATENATE(VOL_VOLUMEN_SUMINISTROS[[#This Row],[Proyecto]],VOL_VOLUMEN_SUMINISTROS[[#This Row],[J]],VOL_VOLUMEN_SUMINISTROS[[#This Row],[FIN DE SEMANA]])</f>
        <v>1052-1MNO</v>
      </c>
      <c r="D813" s="360" t="str">
        <f>CONCATENATE(VOL_VOLUMEN_SUMINISTROS[[#This Row],[Grupo]],VOL_VOLUMEN_SUMINISTROS[[#This Row],[Proyecto]],VOL_VOLUMEN_SUMINISTROS[[#This Row],[FIN DE SEMANA]])</f>
        <v>21052-1NO</v>
      </c>
      <c r="E813" s="30" t="s">
        <v>146</v>
      </c>
      <c r="F813" s="30" t="s">
        <v>147</v>
      </c>
      <c r="G813" s="360">
        <v>2</v>
      </c>
      <c r="H813" s="30">
        <v>4</v>
      </c>
      <c r="I813" s="9" t="s">
        <v>600</v>
      </c>
      <c r="J813" s="9" t="s">
        <v>601</v>
      </c>
      <c r="K813" s="30">
        <v>2</v>
      </c>
      <c r="L813" s="9" t="s">
        <v>603</v>
      </c>
      <c r="M813" s="30" t="s">
        <v>84</v>
      </c>
      <c r="N813" s="30" t="s">
        <v>151</v>
      </c>
      <c r="O813" s="24">
        <v>255</v>
      </c>
      <c r="P813" s="24">
        <v>68</v>
      </c>
      <c r="Q813" s="24">
        <v>0</v>
      </c>
      <c r="R813" s="24">
        <v>0</v>
      </c>
      <c r="S813" s="24">
        <v>0</v>
      </c>
      <c r="T813" s="24">
        <v>323</v>
      </c>
    </row>
    <row r="814" spans="1:20">
      <c r="A814" s="9" t="s">
        <v>554</v>
      </c>
      <c r="B814" s="30" t="s">
        <v>607</v>
      </c>
      <c r="C814" s="30" t="str">
        <f>CONCATENATE(VOL_VOLUMEN_SUMINISTROS[[#This Row],[Proyecto]],VOL_VOLUMEN_SUMINISTROS[[#This Row],[J]],VOL_VOLUMEN_SUMINISTROS[[#This Row],[FIN DE SEMANA]])</f>
        <v>1052-1MNO</v>
      </c>
      <c r="D814" s="360" t="str">
        <f>CONCATENATE(VOL_VOLUMEN_SUMINISTROS[[#This Row],[Grupo]],VOL_VOLUMEN_SUMINISTROS[[#This Row],[Proyecto]],VOL_VOLUMEN_SUMINISTROS[[#This Row],[FIN DE SEMANA]])</f>
        <v>21052-1NO</v>
      </c>
      <c r="E814" s="30" t="s">
        <v>146</v>
      </c>
      <c r="F814" s="30" t="s">
        <v>147</v>
      </c>
      <c r="G814" s="360">
        <v>2</v>
      </c>
      <c r="H814" s="30">
        <v>4</v>
      </c>
      <c r="I814" s="9" t="s">
        <v>600</v>
      </c>
      <c r="J814" s="9" t="s">
        <v>601</v>
      </c>
      <c r="K814" s="30">
        <v>3</v>
      </c>
      <c r="L814" s="9" t="s">
        <v>604</v>
      </c>
      <c r="M814" s="30" t="s">
        <v>84</v>
      </c>
      <c r="N814" s="30" t="s">
        <v>151</v>
      </c>
      <c r="O814" s="24">
        <v>126</v>
      </c>
      <c r="P814" s="24">
        <v>210</v>
      </c>
      <c r="Q814" s="24">
        <v>49</v>
      </c>
      <c r="R814" s="24">
        <v>0</v>
      </c>
      <c r="S814" s="24">
        <v>0</v>
      </c>
      <c r="T814" s="24">
        <v>385</v>
      </c>
    </row>
    <row r="815" spans="1:20">
      <c r="A815" s="9" t="s">
        <v>554</v>
      </c>
      <c r="B815" s="30" t="s">
        <v>607</v>
      </c>
      <c r="C815" s="30" t="str">
        <f>CONCATENATE(VOL_VOLUMEN_SUMINISTROS[[#This Row],[Proyecto]],VOL_VOLUMEN_SUMINISTROS[[#This Row],[J]],VOL_VOLUMEN_SUMINISTROS[[#This Row],[FIN DE SEMANA]])</f>
        <v>1052-1TNO</v>
      </c>
      <c r="D815" s="360" t="str">
        <f>CONCATENATE(VOL_VOLUMEN_SUMINISTROS[[#This Row],[Grupo]],VOL_VOLUMEN_SUMINISTROS[[#This Row],[Proyecto]],VOL_VOLUMEN_SUMINISTROS[[#This Row],[FIN DE SEMANA]])</f>
        <v>21052-1NO</v>
      </c>
      <c r="E815" s="30" t="s">
        <v>146</v>
      </c>
      <c r="F815" s="30" t="s">
        <v>147</v>
      </c>
      <c r="G815" s="360">
        <v>2</v>
      </c>
      <c r="H815" s="30">
        <v>4</v>
      </c>
      <c r="I815" s="9" t="s">
        <v>600</v>
      </c>
      <c r="J815" s="9" t="s">
        <v>601</v>
      </c>
      <c r="K815" s="30">
        <v>3</v>
      </c>
      <c r="L815" s="9" t="s">
        <v>604</v>
      </c>
      <c r="M815" s="30" t="s">
        <v>84</v>
      </c>
      <c r="N815" s="30" t="s">
        <v>154</v>
      </c>
      <c r="O815" s="24">
        <v>46</v>
      </c>
      <c r="P815" s="24">
        <v>128</v>
      </c>
      <c r="Q815" s="24">
        <v>35</v>
      </c>
      <c r="R815" s="24">
        <v>0</v>
      </c>
      <c r="S815" s="24">
        <v>0</v>
      </c>
      <c r="T815" s="24">
        <v>209</v>
      </c>
    </row>
    <row r="816" spans="1:20">
      <c r="A816" s="9" t="s">
        <v>554</v>
      </c>
      <c r="B816" s="30" t="s">
        <v>607</v>
      </c>
      <c r="C816" s="30" t="str">
        <f>CONCATENATE(VOL_VOLUMEN_SUMINISTROS[[#This Row],[Proyecto]],VOL_VOLUMEN_SUMINISTROS[[#This Row],[J]],VOL_VOLUMEN_SUMINISTROS[[#This Row],[FIN DE SEMANA]])</f>
        <v>1052-1MNO</v>
      </c>
      <c r="D816" s="360" t="str">
        <f>CONCATENATE(VOL_VOLUMEN_SUMINISTROS[[#This Row],[Grupo]],VOL_VOLUMEN_SUMINISTROS[[#This Row],[Proyecto]],VOL_VOLUMEN_SUMINISTROS[[#This Row],[FIN DE SEMANA]])</f>
        <v>21052-1NO</v>
      </c>
      <c r="E816" s="30" t="s">
        <v>146</v>
      </c>
      <c r="F816" s="30" t="s">
        <v>147</v>
      </c>
      <c r="G816" s="360">
        <v>2</v>
      </c>
      <c r="H816" s="30">
        <v>4</v>
      </c>
      <c r="I816" s="9" t="s">
        <v>600</v>
      </c>
      <c r="J816" s="9" t="s">
        <v>631</v>
      </c>
      <c r="K816" s="30">
        <v>1</v>
      </c>
      <c r="L816" s="9" t="s">
        <v>632</v>
      </c>
      <c r="M816" s="30" t="s">
        <v>84</v>
      </c>
      <c r="N816" s="30" t="s">
        <v>151</v>
      </c>
      <c r="O816" s="24">
        <v>19</v>
      </c>
      <c r="P816" s="24">
        <v>111</v>
      </c>
      <c r="Q816" s="24">
        <v>267</v>
      </c>
      <c r="R816" s="24">
        <v>0</v>
      </c>
      <c r="S816" s="24">
        <v>0</v>
      </c>
      <c r="T816" s="24">
        <v>397</v>
      </c>
    </row>
    <row r="817" spans="1:20">
      <c r="A817" s="9" t="s">
        <v>554</v>
      </c>
      <c r="B817" s="30" t="s">
        <v>607</v>
      </c>
      <c r="C817" s="30" t="str">
        <f>CONCATENATE(VOL_VOLUMEN_SUMINISTROS[[#This Row],[Proyecto]],VOL_VOLUMEN_SUMINISTROS[[#This Row],[J]],VOL_VOLUMEN_SUMINISTROS[[#This Row],[FIN DE SEMANA]])</f>
        <v>1052-1TNO</v>
      </c>
      <c r="D817" s="360" t="str">
        <f>CONCATENATE(VOL_VOLUMEN_SUMINISTROS[[#This Row],[Grupo]],VOL_VOLUMEN_SUMINISTROS[[#This Row],[Proyecto]],VOL_VOLUMEN_SUMINISTROS[[#This Row],[FIN DE SEMANA]])</f>
        <v>21052-1NO</v>
      </c>
      <c r="E817" s="30" t="s">
        <v>146</v>
      </c>
      <c r="F817" s="30" t="s">
        <v>147</v>
      </c>
      <c r="G817" s="360">
        <v>2</v>
      </c>
      <c r="H817" s="30">
        <v>4</v>
      </c>
      <c r="I817" s="9" t="s">
        <v>600</v>
      </c>
      <c r="J817" s="9" t="s">
        <v>631</v>
      </c>
      <c r="K817" s="30">
        <v>1</v>
      </c>
      <c r="L817" s="9" t="s">
        <v>633</v>
      </c>
      <c r="M817" s="30" t="s">
        <v>84</v>
      </c>
      <c r="N817" s="30" t="s">
        <v>154</v>
      </c>
      <c r="O817" s="24">
        <v>111</v>
      </c>
      <c r="P817" s="24">
        <v>166</v>
      </c>
      <c r="Q817" s="24">
        <v>40</v>
      </c>
      <c r="R817" s="24">
        <v>0</v>
      </c>
      <c r="S817" s="24">
        <v>0</v>
      </c>
      <c r="T817" s="24">
        <v>317</v>
      </c>
    </row>
    <row r="818" spans="1:20">
      <c r="A818" s="9" t="s">
        <v>554</v>
      </c>
      <c r="B818" s="30" t="s">
        <v>607</v>
      </c>
      <c r="C818" s="30" t="str">
        <f>CONCATENATE(VOL_VOLUMEN_SUMINISTROS[[#This Row],[Proyecto]],VOL_VOLUMEN_SUMINISTROS[[#This Row],[J]],VOL_VOLUMEN_SUMINISTROS[[#This Row],[FIN DE SEMANA]])</f>
        <v>1052-1MNO</v>
      </c>
      <c r="D818" s="360" t="str">
        <f>CONCATENATE(VOL_VOLUMEN_SUMINISTROS[[#This Row],[Grupo]],VOL_VOLUMEN_SUMINISTROS[[#This Row],[Proyecto]],VOL_VOLUMEN_SUMINISTROS[[#This Row],[FIN DE SEMANA]])</f>
        <v>21052-1NO</v>
      </c>
      <c r="E818" s="30" t="s">
        <v>146</v>
      </c>
      <c r="F818" s="30" t="s">
        <v>147</v>
      </c>
      <c r="G818" s="360">
        <v>2</v>
      </c>
      <c r="H818" s="30">
        <v>4</v>
      </c>
      <c r="I818" s="9" t="s">
        <v>600</v>
      </c>
      <c r="J818" s="9" t="s">
        <v>631</v>
      </c>
      <c r="K818" s="30">
        <v>2</v>
      </c>
      <c r="L818" s="9" t="s">
        <v>634</v>
      </c>
      <c r="M818" s="30" t="s">
        <v>84</v>
      </c>
      <c r="N818" s="30" t="s">
        <v>151</v>
      </c>
      <c r="O818" s="24">
        <v>85</v>
      </c>
      <c r="P818" s="24">
        <v>96</v>
      </c>
      <c r="Q818" s="24">
        <v>22</v>
      </c>
      <c r="R818" s="24">
        <v>0</v>
      </c>
      <c r="S818" s="24">
        <v>0</v>
      </c>
      <c r="T818" s="24">
        <v>203</v>
      </c>
    </row>
    <row r="819" spans="1:20">
      <c r="A819" s="9" t="s">
        <v>554</v>
      </c>
      <c r="B819" s="30" t="s">
        <v>607</v>
      </c>
      <c r="C819" s="30" t="str">
        <f>CONCATENATE(VOL_VOLUMEN_SUMINISTROS[[#This Row],[Proyecto]],VOL_VOLUMEN_SUMINISTROS[[#This Row],[J]],VOL_VOLUMEN_SUMINISTROS[[#This Row],[FIN DE SEMANA]])</f>
        <v>1052-1MNO</v>
      </c>
      <c r="D819" s="360" t="str">
        <f>CONCATENATE(VOL_VOLUMEN_SUMINISTROS[[#This Row],[Grupo]],VOL_VOLUMEN_SUMINISTROS[[#This Row],[Proyecto]],VOL_VOLUMEN_SUMINISTROS[[#This Row],[FIN DE SEMANA]])</f>
        <v>21052-1NO</v>
      </c>
      <c r="E819" s="30" t="s">
        <v>146</v>
      </c>
      <c r="F819" s="30" t="s">
        <v>147</v>
      </c>
      <c r="G819" s="360">
        <v>2</v>
      </c>
      <c r="H819" s="30">
        <v>4</v>
      </c>
      <c r="I819" s="9" t="s">
        <v>600</v>
      </c>
      <c r="J819" s="9" t="s">
        <v>635</v>
      </c>
      <c r="K819" s="30">
        <v>1</v>
      </c>
      <c r="L819" s="9" t="s">
        <v>636</v>
      </c>
      <c r="M819" s="30" t="s">
        <v>84</v>
      </c>
      <c r="N819" s="30" t="s">
        <v>151</v>
      </c>
      <c r="O819" s="24">
        <v>0</v>
      </c>
      <c r="P819" s="24">
        <v>87</v>
      </c>
      <c r="Q819" s="24">
        <v>213</v>
      </c>
      <c r="R819" s="24">
        <v>0</v>
      </c>
      <c r="S819" s="24">
        <v>0</v>
      </c>
      <c r="T819" s="24">
        <v>300</v>
      </c>
    </row>
    <row r="820" spans="1:20">
      <c r="A820" s="9" t="s">
        <v>554</v>
      </c>
      <c r="B820" s="30" t="s">
        <v>607</v>
      </c>
      <c r="C820" s="30" t="str">
        <f>CONCATENATE(VOL_VOLUMEN_SUMINISTROS[[#This Row],[Proyecto]],VOL_VOLUMEN_SUMINISTROS[[#This Row],[J]],VOL_VOLUMEN_SUMINISTROS[[#This Row],[FIN DE SEMANA]])</f>
        <v>1052-1TNO</v>
      </c>
      <c r="D820" s="360" t="str">
        <f>CONCATENATE(VOL_VOLUMEN_SUMINISTROS[[#This Row],[Grupo]],VOL_VOLUMEN_SUMINISTROS[[#This Row],[Proyecto]],VOL_VOLUMEN_SUMINISTROS[[#This Row],[FIN DE SEMANA]])</f>
        <v>21052-1NO</v>
      </c>
      <c r="E820" s="30" t="s">
        <v>146</v>
      </c>
      <c r="F820" s="30" t="s">
        <v>147</v>
      </c>
      <c r="G820" s="360">
        <v>2</v>
      </c>
      <c r="H820" s="30">
        <v>4</v>
      </c>
      <c r="I820" s="9" t="s">
        <v>600</v>
      </c>
      <c r="J820" s="9" t="s">
        <v>635</v>
      </c>
      <c r="K820" s="30">
        <v>1</v>
      </c>
      <c r="L820" s="9" t="s">
        <v>636</v>
      </c>
      <c r="M820" s="30" t="s">
        <v>84</v>
      </c>
      <c r="N820" s="30" t="s">
        <v>154</v>
      </c>
      <c r="O820" s="24">
        <v>0</v>
      </c>
      <c r="P820" s="24">
        <v>84</v>
      </c>
      <c r="Q820" s="24">
        <v>122</v>
      </c>
      <c r="R820" s="24">
        <v>0</v>
      </c>
      <c r="S820" s="24">
        <v>0</v>
      </c>
      <c r="T820" s="24">
        <v>206</v>
      </c>
    </row>
    <row r="821" spans="1:20">
      <c r="A821" s="9" t="s">
        <v>554</v>
      </c>
      <c r="B821" s="30" t="s">
        <v>607</v>
      </c>
      <c r="C821" s="30" t="str">
        <f>CONCATENATE(VOL_VOLUMEN_SUMINISTROS[[#This Row],[Proyecto]],VOL_VOLUMEN_SUMINISTROS[[#This Row],[J]],VOL_VOLUMEN_SUMINISTROS[[#This Row],[FIN DE SEMANA]])</f>
        <v>1052-1MNO</v>
      </c>
      <c r="D821" s="360" t="str">
        <f>CONCATENATE(VOL_VOLUMEN_SUMINISTROS[[#This Row],[Grupo]],VOL_VOLUMEN_SUMINISTROS[[#This Row],[Proyecto]],VOL_VOLUMEN_SUMINISTROS[[#This Row],[FIN DE SEMANA]])</f>
        <v>21052-1NO</v>
      </c>
      <c r="E821" s="30" t="s">
        <v>146</v>
      </c>
      <c r="F821" s="30" t="s">
        <v>147</v>
      </c>
      <c r="G821" s="360">
        <v>2</v>
      </c>
      <c r="H821" s="30">
        <v>4</v>
      </c>
      <c r="I821" s="9" t="s">
        <v>600</v>
      </c>
      <c r="J821" s="9" t="s">
        <v>635</v>
      </c>
      <c r="K821" s="30">
        <v>2</v>
      </c>
      <c r="L821" s="9" t="s">
        <v>637</v>
      </c>
      <c r="M821" s="30" t="s">
        <v>84</v>
      </c>
      <c r="N821" s="30" t="s">
        <v>151</v>
      </c>
      <c r="O821" s="24">
        <v>46</v>
      </c>
      <c r="P821" s="24">
        <v>89</v>
      </c>
      <c r="Q821" s="24">
        <v>22</v>
      </c>
      <c r="R821" s="24">
        <v>0</v>
      </c>
      <c r="S821" s="24">
        <v>0</v>
      </c>
      <c r="T821" s="24">
        <v>157</v>
      </c>
    </row>
    <row r="822" spans="1:20">
      <c r="A822" s="9" t="s">
        <v>554</v>
      </c>
      <c r="B822" s="30" t="s">
        <v>607</v>
      </c>
      <c r="C822" s="30" t="str">
        <f>CONCATENATE(VOL_VOLUMEN_SUMINISTROS[[#This Row],[Proyecto]],VOL_VOLUMEN_SUMINISTROS[[#This Row],[J]],VOL_VOLUMEN_SUMINISTROS[[#This Row],[FIN DE SEMANA]])</f>
        <v>1052-1MNO</v>
      </c>
      <c r="D822" s="360" t="str">
        <f>CONCATENATE(VOL_VOLUMEN_SUMINISTROS[[#This Row],[Grupo]],VOL_VOLUMEN_SUMINISTROS[[#This Row],[Proyecto]],VOL_VOLUMEN_SUMINISTROS[[#This Row],[FIN DE SEMANA]])</f>
        <v>21052-1NO</v>
      </c>
      <c r="E822" s="30" t="s">
        <v>146</v>
      </c>
      <c r="F822" s="30" t="s">
        <v>147</v>
      </c>
      <c r="G822" s="360">
        <v>2</v>
      </c>
      <c r="H822" s="30">
        <v>4</v>
      </c>
      <c r="I822" s="9" t="s">
        <v>600</v>
      </c>
      <c r="J822" s="9" t="s">
        <v>635</v>
      </c>
      <c r="K822" s="30">
        <v>3</v>
      </c>
      <c r="L822" s="9" t="s">
        <v>638</v>
      </c>
      <c r="M822" s="30" t="s">
        <v>84</v>
      </c>
      <c r="N822" s="30" t="s">
        <v>151</v>
      </c>
      <c r="O822" s="24">
        <v>125</v>
      </c>
      <c r="P822" s="24">
        <v>35</v>
      </c>
      <c r="Q822" s="24">
        <v>0</v>
      </c>
      <c r="R822" s="24">
        <v>0</v>
      </c>
      <c r="S822" s="24">
        <v>0</v>
      </c>
      <c r="T822" s="24">
        <v>160</v>
      </c>
    </row>
    <row r="823" spans="1:20">
      <c r="A823" s="9" t="s">
        <v>554</v>
      </c>
      <c r="B823" s="30" t="s">
        <v>607</v>
      </c>
      <c r="C823" s="30" t="str">
        <f>CONCATENATE(VOL_VOLUMEN_SUMINISTROS[[#This Row],[Proyecto]],VOL_VOLUMEN_SUMINISTROS[[#This Row],[J]],VOL_VOLUMEN_SUMINISTROS[[#This Row],[FIN DE SEMANA]])</f>
        <v>1052-1TNO</v>
      </c>
      <c r="D823" s="360" t="str">
        <f>CONCATENATE(VOL_VOLUMEN_SUMINISTROS[[#This Row],[Grupo]],VOL_VOLUMEN_SUMINISTROS[[#This Row],[Proyecto]],VOL_VOLUMEN_SUMINISTROS[[#This Row],[FIN DE SEMANA]])</f>
        <v>21052-1NO</v>
      </c>
      <c r="E823" s="30" t="s">
        <v>146</v>
      </c>
      <c r="F823" s="30" t="s">
        <v>147</v>
      </c>
      <c r="G823" s="360">
        <v>2</v>
      </c>
      <c r="H823" s="30">
        <v>4</v>
      </c>
      <c r="I823" s="9" t="s">
        <v>600</v>
      </c>
      <c r="J823" s="9" t="s">
        <v>635</v>
      </c>
      <c r="K823" s="30">
        <v>3</v>
      </c>
      <c r="L823" s="9" t="s">
        <v>638</v>
      </c>
      <c r="M823" s="30" t="s">
        <v>84</v>
      </c>
      <c r="N823" s="30" t="s">
        <v>154</v>
      </c>
      <c r="O823" s="24">
        <v>57</v>
      </c>
      <c r="P823" s="24">
        <v>25</v>
      </c>
      <c r="Q823" s="24">
        <v>6</v>
      </c>
      <c r="R823" s="24">
        <v>0</v>
      </c>
      <c r="S823" s="24">
        <v>0</v>
      </c>
      <c r="T823" s="24">
        <v>88</v>
      </c>
    </row>
    <row r="824" spans="1:20">
      <c r="A824" s="9" t="s">
        <v>554</v>
      </c>
      <c r="B824" s="30" t="s">
        <v>607</v>
      </c>
      <c r="C824" s="30" t="str">
        <f>CONCATENATE(VOL_VOLUMEN_SUMINISTROS[[#This Row],[Proyecto]],VOL_VOLUMEN_SUMINISTROS[[#This Row],[J]],VOL_VOLUMEN_SUMINISTROS[[#This Row],[FIN DE SEMANA]])</f>
        <v>1052-1MNO</v>
      </c>
      <c r="D824" s="360" t="str">
        <f>CONCATENATE(VOL_VOLUMEN_SUMINISTROS[[#This Row],[Grupo]],VOL_VOLUMEN_SUMINISTROS[[#This Row],[Proyecto]],VOL_VOLUMEN_SUMINISTROS[[#This Row],[FIN DE SEMANA]])</f>
        <v>21052-1NO</v>
      </c>
      <c r="E824" s="30" t="s">
        <v>146</v>
      </c>
      <c r="F824" s="30" t="s">
        <v>147</v>
      </c>
      <c r="G824" s="360">
        <v>2</v>
      </c>
      <c r="H824" s="30">
        <v>4</v>
      </c>
      <c r="I824" s="9" t="s">
        <v>600</v>
      </c>
      <c r="J824" s="9" t="s">
        <v>639</v>
      </c>
      <c r="K824" s="30">
        <v>1</v>
      </c>
      <c r="L824" s="9" t="s">
        <v>640</v>
      </c>
      <c r="M824" s="30" t="s">
        <v>84</v>
      </c>
      <c r="N824" s="30" t="s">
        <v>151</v>
      </c>
      <c r="O824" s="24">
        <v>0</v>
      </c>
      <c r="P824" s="24">
        <v>126</v>
      </c>
      <c r="Q824" s="24">
        <v>597</v>
      </c>
      <c r="R824" s="24">
        <v>0</v>
      </c>
      <c r="S824" s="24">
        <v>0</v>
      </c>
      <c r="T824" s="24">
        <v>723</v>
      </c>
    </row>
    <row r="825" spans="1:20">
      <c r="A825" s="9" t="s">
        <v>554</v>
      </c>
      <c r="B825" s="30" t="s">
        <v>607</v>
      </c>
      <c r="C825" s="30" t="str">
        <f>CONCATENATE(VOL_VOLUMEN_SUMINISTROS[[#This Row],[Proyecto]],VOL_VOLUMEN_SUMINISTROS[[#This Row],[J]],VOL_VOLUMEN_SUMINISTROS[[#This Row],[FIN DE SEMANA]])</f>
        <v>1052-1NNO</v>
      </c>
      <c r="D825" s="360" t="str">
        <f>CONCATENATE(VOL_VOLUMEN_SUMINISTROS[[#This Row],[Grupo]],VOL_VOLUMEN_SUMINISTROS[[#This Row],[Proyecto]],VOL_VOLUMEN_SUMINISTROS[[#This Row],[FIN DE SEMANA]])</f>
        <v>21052-1NO</v>
      </c>
      <c r="E825" s="30" t="s">
        <v>146</v>
      </c>
      <c r="F825" s="30" t="s">
        <v>147</v>
      </c>
      <c r="G825" s="360">
        <v>2</v>
      </c>
      <c r="H825" s="30">
        <v>4</v>
      </c>
      <c r="I825" s="9" t="s">
        <v>600</v>
      </c>
      <c r="J825" s="9" t="s">
        <v>639</v>
      </c>
      <c r="K825" s="30">
        <v>1</v>
      </c>
      <c r="L825" s="9" t="s">
        <v>640</v>
      </c>
      <c r="M825" s="30" t="s">
        <v>84</v>
      </c>
      <c r="N825" s="30" t="s">
        <v>153</v>
      </c>
      <c r="O825" s="24">
        <v>0</v>
      </c>
      <c r="P825" s="24">
        <v>0</v>
      </c>
      <c r="Q825" s="24">
        <v>0</v>
      </c>
      <c r="R825" s="24">
        <v>200</v>
      </c>
      <c r="S825" s="24">
        <v>171</v>
      </c>
      <c r="T825" s="24">
        <v>371</v>
      </c>
    </row>
    <row r="826" spans="1:20">
      <c r="A826" s="9" t="s">
        <v>554</v>
      </c>
      <c r="B826" s="30" t="s">
        <v>607</v>
      </c>
      <c r="C826" s="30" t="str">
        <f>CONCATENATE(VOL_VOLUMEN_SUMINISTROS[[#This Row],[Proyecto]],VOL_VOLUMEN_SUMINISTROS[[#This Row],[J]],VOL_VOLUMEN_SUMINISTROS[[#This Row],[FIN DE SEMANA]])</f>
        <v>1052-1TNO</v>
      </c>
      <c r="D826" s="360" t="str">
        <f>CONCATENATE(VOL_VOLUMEN_SUMINISTROS[[#This Row],[Grupo]],VOL_VOLUMEN_SUMINISTROS[[#This Row],[Proyecto]],VOL_VOLUMEN_SUMINISTROS[[#This Row],[FIN DE SEMANA]])</f>
        <v>21052-1NO</v>
      </c>
      <c r="E826" s="30" t="s">
        <v>146</v>
      </c>
      <c r="F826" s="30" t="s">
        <v>147</v>
      </c>
      <c r="G826" s="360">
        <v>2</v>
      </c>
      <c r="H826" s="30">
        <v>4</v>
      </c>
      <c r="I826" s="9" t="s">
        <v>600</v>
      </c>
      <c r="J826" s="9" t="s">
        <v>639</v>
      </c>
      <c r="K826" s="30">
        <v>1</v>
      </c>
      <c r="L826" s="9" t="s">
        <v>640</v>
      </c>
      <c r="M826" s="30" t="s">
        <v>84</v>
      </c>
      <c r="N826" s="30" t="s">
        <v>154</v>
      </c>
      <c r="O826" s="24">
        <v>0</v>
      </c>
      <c r="P826" s="24">
        <v>207</v>
      </c>
      <c r="Q826" s="24">
        <v>359</v>
      </c>
      <c r="R826" s="24">
        <v>0</v>
      </c>
      <c r="S826" s="24">
        <v>0</v>
      </c>
      <c r="T826" s="24">
        <v>566</v>
      </c>
    </row>
    <row r="827" spans="1:20">
      <c r="A827" s="9" t="s">
        <v>554</v>
      </c>
      <c r="B827" s="30" t="s">
        <v>607</v>
      </c>
      <c r="C827" s="30" t="str">
        <f>CONCATENATE(VOL_VOLUMEN_SUMINISTROS[[#This Row],[Proyecto]],VOL_VOLUMEN_SUMINISTROS[[#This Row],[J]],VOL_VOLUMEN_SUMINISTROS[[#This Row],[FIN DE SEMANA]])</f>
        <v>1052-1MNO</v>
      </c>
      <c r="D827" s="360" t="str">
        <f>CONCATENATE(VOL_VOLUMEN_SUMINISTROS[[#This Row],[Grupo]],VOL_VOLUMEN_SUMINISTROS[[#This Row],[Proyecto]],VOL_VOLUMEN_SUMINISTROS[[#This Row],[FIN DE SEMANA]])</f>
        <v>21052-1NO</v>
      </c>
      <c r="E827" s="30" t="s">
        <v>146</v>
      </c>
      <c r="F827" s="30" t="s">
        <v>147</v>
      </c>
      <c r="G827" s="360">
        <v>2</v>
      </c>
      <c r="H827" s="30">
        <v>4</v>
      </c>
      <c r="I827" s="9" t="s">
        <v>600</v>
      </c>
      <c r="J827" s="9" t="s">
        <v>639</v>
      </c>
      <c r="K827" s="30">
        <v>2</v>
      </c>
      <c r="L827" s="9" t="s">
        <v>641</v>
      </c>
      <c r="M827" s="30" t="s">
        <v>84</v>
      </c>
      <c r="N827" s="30" t="s">
        <v>151</v>
      </c>
      <c r="O827" s="24">
        <v>278</v>
      </c>
      <c r="P827" s="24">
        <v>70</v>
      </c>
      <c r="Q827" s="24">
        <v>0</v>
      </c>
      <c r="R827" s="24">
        <v>0</v>
      </c>
      <c r="S827" s="24">
        <v>0</v>
      </c>
      <c r="T827" s="24">
        <v>348</v>
      </c>
    </row>
    <row r="828" spans="1:20">
      <c r="A828" s="9" t="s">
        <v>554</v>
      </c>
      <c r="B828" s="30" t="s">
        <v>607</v>
      </c>
      <c r="C828" s="30" t="str">
        <f>CONCATENATE(VOL_VOLUMEN_SUMINISTROS[[#This Row],[Proyecto]],VOL_VOLUMEN_SUMINISTROS[[#This Row],[J]],VOL_VOLUMEN_SUMINISTROS[[#This Row],[FIN DE SEMANA]])</f>
        <v>1052-1TNO</v>
      </c>
      <c r="D828" s="360" t="str">
        <f>CONCATENATE(VOL_VOLUMEN_SUMINISTROS[[#This Row],[Grupo]],VOL_VOLUMEN_SUMINISTROS[[#This Row],[Proyecto]],VOL_VOLUMEN_SUMINISTROS[[#This Row],[FIN DE SEMANA]])</f>
        <v>21052-1NO</v>
      </c>
      <c r="E828" s="30" t="s">
        <v>146</v>
      </c>
      <c r="F828" s="30" t="s">
        <v>147</v>
      </c>
      <c r="G828" s="360">
        <v>2</v>
      </c>
      <c r="H828" s="30">
        <v>4</v>
      </c>
      <c r="I828" s="9" t="s">
        <v>600</v>
      </c>
      <c r="J828" s="9" t="s">
        <v>639</v>
      </c>
      <c r="K828" s="30">
        <v>2</v>
      </c>
      <c r="L828" s="9" t="s">
        <v>641</v>
      </c>
      <c r="M828" s="30" t="s">
        <v>84</v>
      </c>
      <c r="N828" s="30" t="s">
        <v>154</v>
      </c>
      <c r="O828" s="24">
        <v>222</v>
      </c>
      <c r="P828" s="24">
        <v>61</v>
      </c>
      <c r="Q828" s="24">
        <v>0</v>
      </c>
      <c r="R828" s="24">
        <v>0</v>
      </c>
      <c r="S828" s="24">
        <v>0</v>
      </c>
      <c r="T828" s="24">
        <v>283</v>
      </c>
    </row>
    <row r="829" spans="1:20">
      <c r="A829" s="9" t="s">
        <v>554</v>
      </c>
      <c r="B829" s="30" t="s">
        <v>607</v>
      </c>
      <c r="C829" s="30" t="str">
        <f>CONCATENATE(VOL_VOLUMEN_SUMINISTROS[[#This Row],[Proyecto]],VOL_VOLUMEN_SUMINISTROS[[#This Row],[J]],VOL_VOLUMEN_SUMINISTROS[[#This Row],[FIN DE SEMANA]])</f>
        <v>1052-1MNO</v>
      </c>
      <c r="D829" s="360" t="str">
        <f>CONCATENATE(VOL_VOLUMEN_SUMINISTROS[[#This Row],[Grupo]],VOL_VOLUMEN_SUMINISTROS[[#This Row],[Proyecto]],VOL_VOLUMEN_SUMINISTROS[[#This Row],[FIN DE SEMANA]])</f>
        <v>21052-1NO</v>
      </c>
      <c r="E829" s="30" t="s">
        <v>146</v>
      </c>
      <c r="F829" s="30" t="s">
        <v>147</v>
      </c>
      <c r="G829" s="360">
        <v>2</v>
      </c>
      <c r="H829" s="30">
        <v>4</v>
      </c>
      <c r="I829" s="9" t="s">
        <v>600</v>
      </c>
      <c r="J829" s="9" t="s">
        <v>639</v>
      </c>
      <c r="K829" s="30">
        <v>3</v>
      </c>
      <c r="L829" s="9" t="s">
        <v>642</v>
      </c>
      <c r="M829" s="30" t="s">
        <v>84</v>
      </c>
      <c r="N829" s="30" t="s">
        <v>151</v>
      </c>
      <c r="O829" s="24">
        <v>82</v>
      </c>
      <c r="P829" s="24">
        <v>122</v>
      </c>
      <c r="Q829" s="24">
        <v>27</v>
      </c>
      <c r="R829" s="24">
        <v>0</v>
      </c>
      <c r="S829" s="24">
        <v>0</v>
      </c>
      <c r="T829" s="24">
        <v>231</v>
      </c>
    </row>
    <row r="830" spans="1:20">
      <c r="A830" s="9" t="s">
        <v>554</v>
      </c>
      <c r="B830" s="30" t="s">
        <v>607</v>
      </c>
      <c r="C830" s="30" t="str">
        <f>CONCATENATE(VOL_VOLUMEN_SUMINISTROS[[#This Row],[Proyecto]],VOL_VOLUMEN_SUMINISTROS[[#This Row],[J]],VOL_VOLUMEN_SUMINISTROS[[#This Row],[FIN DE SEMANA]])</f>
        <v>1052-1TNO</v>
      </c>
      <c r="D830" s="360" t="str">
        <f>CONCATENATE(VOL_VOLUMEN_SUMINISTROS[[#This Row],[Grupo]],VOL_VOLUMEN_SUMINISTROS[[#This Row],[Proyecto]],VOL_VOLUMEN_SUMINISTROS[[#This Row],[FIN DE SEMANA]])</f>
        <v>21052-1NO</v>
      </c>
      <c r="E830" s="30" t="s">
        <v>146</v>
      </c>
      <c r="F830" s="30" t="s">
        <v>147</v>
      </c>
      <c r="G830" s="360">
        <v>2</v>
      </c>
      <c r="H830" s="30">
        <v>4</v>
      </c>
      <c r="I830" s="9" t="s">
        <v>600</v>
      </c>
      <c r="J830" s="9" t="s">
        <v>639</v>
      </c>
      <c r="K830" s="30">
        <v>3</v>
      </c>
      <c r="L830" s="9" t="s">
        <v>642</v>
      </c>
      <c r="M830" s="30" t="s">
        <v>84</v>
      </c>
      <c r="N830" s="30" t="s">
        <v>154</v>
      </c>
      <c r="O830" s="24">
        <v>52</v>
      </c>
      <c r="P830" s="24">
        <v>122</v>
      </c>
      <c r="Q830" s="24">
        <v>32</v>
      </c>
      <c r="R830" s="24">
        <v>0</v>
      </c>
      <c r="S830" s="24">
        <v>0</v>
      </c>
      <c r="T830" s="24">
        <v>206</v>
      </c>
    </row>
    <row r="831" spans="1:20">
      <c r="A831" s="9" t="s">
        <v>554</v>
      </c>
      <c r="B831" s="30" t="s">
        <v>607</v>
      </c>
      <c r="C831" s="30" t="str">
        <f>CONCATENATE(VOL_VOLUMEN_SUMINISTROS[[#This Row],[Proyecto]],VOL_VOLUMEN_SUMINISTROS[[#This Row],[J]],VOL_VOLUMEN_SUMINISTROS[[#This Row],[FIN DE SEMANA]])</f>
        <v>1052-1MNO</v>
      </c>
      <c r="D831" s="360" t="str">
        <f>CONCATENATE(VOL_VOLUMEN_SUMINISTROS[[#This Row],[Grupo]],VOL_VOLUMEN_SUMINISTROS[[#This Row],[Proyecto]],VOL_VOLUMEN_SUMINISTROS[[#This Row],[FIN DE SEMANA]])</f>
        <v>21052-1NO</v>
      </c>
      <c r="E831" s="30" t="s">
        <v>146</v>
      </c>
      <c r="F831" s="30" t="s">
        <v>147</v>
      </c>
      <c r="G831" s="360">
        <v>2</v>
      </c>
      <c r="H831" s="30">
        <v>4</v>
      </c>
      <c r="I831" s="9" t="s">
        <v>600</v>
      </c>
      <c r="J831" s="9" t="s">
        <v>639</v>
      </c>
      <c r="K831" s="30">
        <v>4</v>
      </c>
      <c r="L831" s="9" t="s">
        <v>643</v>
      </c>
      <c r="M831" s="30" t="s">
        <v>84</v>
      </c>
      <c r="N831" s="30" t="s">
        <v>151</v>
      </c>
      <c r="O831" s="24">
        <v>0</v>
      </c>
      <c r="P831" s="24">
        <v>201</v>
      </c>
      <c r="Q831" s="24">
        <v>67</v>
      </c>
      <c r="R831" s="24">
        <v>0</v>
      </c>
      <c r="S831" s="24">
        <v>0</v>
      </c>
      <c r="T831" s="24">
        <v>268</v>
      </c>
    </row>
    <row r="832" spans="1:20">
      <c r="A832" s="9" t="s">
        <v>554</v>
      </c>
      <c r="B832" s="30" t="s">
        <v>607</v>
      </c>
      <c r="C832" s="30" t="str">
        <f>CONCATENATE(VOL_VOLUMEN_SUMINISTROS[[#This Row],[Proyecto]],VOL_VOLUMEN_SUMINISTROS[[#This Row],[J]],VOL_VOLUMEN_SUMINISTROS[[#This Row],[FIN DE SEMANA]])</f>
        <v>1052-1MNO</v>
      </c>
      <c r="D832" s="360" t="str">
        <f>CONCATENATE(VOL_VOLUMEN_SUMINISTROS[[#This Row],[Grupo]],VOL_VOLUMEN_SUMINISTROS[[#This Row],[Proyecto]],VOL_VOLUMEN_SUMINISTROS[[#This Row],[FIN DE SEMANA]])</f>
        <v>21052-1NO</v>
      </c>
      <c r="E832" s="30" t="s">
        <v>146</v>
      </c>
      <c r="F832" s="30" t="s">
        <v>147</v>
      </c>
      <c r="G832" s="360">
        <v>2</v>
      </c>
      <c r="H832" s="30">
        <v>4</v>
      </c>
      <c r="I832" s="9" t="s">
        <v>600</v>
      </c>
      <c r="J832" s="9" t="s">
        <v>644</v>
      </c>
      <c r="K832" s="30">
        <v>1</v>
      </c>
      <c r="L832" s="9" t="s">
        <v>645</v>
      </c>
      <c r="M832" s="30" t="s">
        <v>84</v>
      </c>
      <c r="N832" s="30" t="s">
        <v>151</v>
      </c>
      <c r="O832" s="24">
        <v>302</v>
      </c>
      <c r="P832" s="24">
        <v>429</v>
      </c>
      <c r="Q832" s="24">
        <v>425</v>
      </c>
      <c r="R832" s="24">
        <v>0</v>
      </c>
      <c r="S832" s="24">
        <v>0</v>
      </c>
      <c r="T832" s="24">
        <v>1156</v>
      </c>
    </row>
    <row r="833" spans="1:20">
      <c r="A833" s="9" t="s">
        <v>554</v>
      </c>
      <c r="B833" s="30" t="s">
        <v>607</v>
      </c>
      <c r="C833" s="30" t="str">
        <f>CONCATENATE(VOL_VOLUMEN_SUMINISTROS[[#This Row],[Proyecto]],VOL_VOLUMEN_SUMINISTROS[[#This Row],[J]],VOL_VOLUMEN_SUMINISTROS[[#This Row],[FIN DE SEMANA]])</f>
        <v>1052-1NNO</v>
      </c>
      <c r="D833" s="360" t="str">
        <f>CONCATENATE(VOL_VOLUMEN_SUMINISTROS[[#This Row],[Grupo]],VOL_VOLUMEN_SUMINISTROS[[#This Row],[Proyecto]],VOL_VOLUMEN_SUMINISTROS[[#This Row],[FIN DE SEMANA]])</f>
        <v>21052-1NO</v>
      </c>
      <c r="E833" s="30" t="s">
        <v>146</v>
      </c>
      <c r="F833" s="30" t="s">
        <v>147</v>
      </c>
      <c r="G833" s="360">
        <v>2</v>
      </c>
      <c r="H833" s="30">
        <v>4</v>
      </c>
      <c r="I833" s="9" t="s">
        <v>600</v>
      </c>
      <c r="J833" s="9" t="s">
        <v>644</v>
      </c>
      <c r="K833" s="30">
        <v>1</v>
      </c>
      <c r="L833" s="9" t="s">
        <v>645</v>
      </c>
      <c r="M833" s="30" t="s">
        <v>84</v>
      </c>
      <c r="N833" s="30" t="s">
        <v>153</v>
      </c>
      <c r="O833" s="24">
        <v>0</v>
      </c>
      <c r="P833" s="24">
        <v>0</v>
      </c>
      <c r="Q833" s="24">
        <v>0</v>
      </c>
      <c r="R833" s="24">
        <v>150</v>
      </c>
      <c r="S833" s="24">
        <v>120</v>
      </c>
      <c r="T833" s="24">
        <v>270</v>
      </c>
    </row>
    <row r="834" spans="1:20">
      <c r="A834" s="9" t="s">
        <v>554</v>
      </c>
      <c r="B834" s="30" t="s">
        <v>607</v>
      </c>
      <c r="C834" s="30" t="str">
        <f>CONCATENATE(VOL_VOLUMEN_SUMINISTROS[[#This Row],[Proyecto]],VOL_VOLUMEN_SUMINISTROS[[#This Row],[J]],VOL_VOLUMEN_SUMINISTROS[[#This Row],[FIN DE SEMANA]])</f>
        <v>1052-1TNO</v>
      </c>
      <c r="D834" s="360" t="str">
        <f>CONCATENATE(VOL_VOLUMEN_SUMINISTROS[[#This Row],[Grupo]],VOL_VOLUMEN_SUMINISTROS[[#This Row],[Proyecto]],VOL_VOLUMEN_SUMINISTROS[[#This Row],[FIN DE SEMANA]])</f>
        <v>21052-1NO</v>
      </c>
      <c r="E834" s="30" t="s">
        <v>146</v>
      </c>
      <c r="F834" s="30" t="s">
        <v>147</v>
      </c>
      <c r="G834" s="360">
        <v>2</v>
      </c>
      <c r="H834" s="30">
        <v>4</v>
      </c>
      <c r="I834" s="9" t="s">
        <v>600</v>
      </c>
      <c r="J834" s="9" t="s">
        <v>644</v>
      </c>
      <c r="K834" s="30">
        <v>1</v>
      </c>
      <c r="L834" s="9" t="s">
        <v>645</v>
      </c>
      <c r="M834" s="30" t="s">
        <v>84</v>
      </c>
      <c r="N834" s="30" t="s">
        <v>154</v>
      </c>
      <c r="O834" s="24">
        <v>248</v>
      </c>
      <c r="P834" s="24">
        <v>352</v>
      </c>
      <c r="Q834" s="24">
        <v>295</v>
      </c>
      <c r="R834" s="24">
        <v>0</v>
      </c>
      <c r="S834" s="24">
        <v>0</v>
      </c>
      <c r="T834" s="24">
        <v>895</v>
      </c>
    </row>
    <row r="835" spans="1:20">
      <c r="A835" s="9" t="s">
        <v>554</v>
      </c>
      <c r="B835" s="30" t="s">
        <v>607</v>
      </c>
      <c r="C835" s="30" t="str">
        <f>CONCATENATE(VOL_VOLUMEN_SUMINISTROS[[#This Row],[Proyecto]],VOL_VOLUMEN_SUMINISTROS[[#This Row],[J]],VOL_VOLUMEN_SUMINISTROS[[#This Row],[FIN DE SEMANA]])</f>
        <v>1052-1MNO</v>
      </c>
      <c r="D835" s="360" t="str">
        <f>CONCATENATE(VOL_VOLUMEN_SUMINISTROS[[#This Row],[Grupo]],VOL_VOLUMEN_SUMINISTROS[[#This Row],[Proyecto]],VOL_VOLUMEN_SUMINISTROS[[#This Row],[FIN DE SEMANA]])</f>
        <v>21052-1NO</v>
      </c>
      <c r="E835" s="30" t="s">
        <v>146</v>
      </c>
      <c r="F835" s="30" t="s">
        <v>147</v>
      </c>
      <c r="G835" s="360">
        <v>2</v>
      </c>
      <c r="H835" s="30">
        <v>4</v>
      </c>
      <c r="I835" s="9" t="s">
        <v>600</v>
      </c>
      <c r="J835" s="9" t="s">
        <v>646</v>
      </c>
      <c r="K835" s="30">
        <v>1</v>
      </c>
      <c r="L835" s="9" t="s">
        <v>647</v>
      </c>
      <c r="M835" s="30" t="s">
        <v>84</v>
      </c>
      <c r="N835" s="30" t="s">
        <v>151</v>
      </c>
      <c r="O835" s="24">
        <v>0</v>
      </c>
      <c r="P835" s="24">
        <v>123</v>
      </c>
      <c r="Q835" s="24">
        <v>337</v>
      </c>
      <c r="R835" s="24">
        <v>0</v>
      </c>
      <c r="S835" s="24">
        <v>0</v>
      </c>
      <c r="T835" s="24">
        <v>460</v>
      </c>
    </row>
    <row r="836" spans="1:20">
      <c r="A836" s="9" t="s">
        <v>554</v>
      </c>
      <c r="B836" s="30" t="s">
        <v>607</v>
      </c>
      <c r="C836" s="30" t="str">
        <f>CONCATENATE(VOL_VOLUMEN_SUMINISTROS[[#This Row],[Proyecto]],VOL_VOLUMEN_SUMINISTROS[[#This Row],[J]],VOL_VOLUMEN_SUMINISTROS[[#This Row],[FIN DE SEMANA]])</f>
        <v>1052-1TNO</v>
      </c>
      <c r="D836" s="360" t="str">
        <f>CONCATENATE(VOL_VOLUMEN_SUMINISTROS[[#This Row],[Grupo]],VOL_VOLUMEN_SUMINISTROS[[#This Row],[Proyecto]],VOL_VOLUMEN_SUMINISTROS[[#This Row],[FIN DE SEMANA]])</f>
        <v>21052-1NO</v>
      </c>
      <c r="E836" s="30" t="s">
        <v>146</v>
      </c>
      <c r="F836" s="30" t="s">
        <v>147</v>
      </c>
      <c r="G836" s="360">
        <v>2</v>
      </c>
      <c r="H836" s="30">
        <v>4</v>
      </c>
      <c r="I836" s="9" t="s">
        <v>600</v>
      </c>
      <c r="J836" s="9" t="s">
        <v>646</v>
      </c>
      <c r="K836" s="30">
        <v>1</v>
      </c>
      <c r="L836" s="9" t="s">
        <v>647</v>
      </c>
      <c r="M836" s="30" t="s">
        <v>84</v>
      </c>
      <c r="N836" s="30" t="s">
        <v>154</v>
      </c>
      <c r="O836" s="24">
        <v>0</v>
      </c>
      <c r="P836" s="24">
        <v>66</v>
      </c>
      <c r="Q836" s="24">
        <v>52</v>
      </c>
      <c r="R836" s="24">
        <v>0</v>
      </c>
      <c r="S836" s="24">
        <v>0</v>
      </c>
      <c r="T836" s="24">
        <v>118</v>
      </c>
    </row>
    <row r="837" spans="1:20">
      <c r="A837" s="9" t="s">
        <v>554</v>
      </c>
      <c r="B837" s="30" t="s">
        <v>607</v>
      </c>
      <c r="C837" s="30" t="str">
        <f>CONCATENATE(VOL_VOLUMEN_SUMINISTROS[[#This Row],[Proyecto]],VOL_VOLUMEN_SUMINISTROS[[#This Row],[J]],VOL_VOLUMEN_SUMINISTROS[[#This Row],[FIN DE SEMANA]])</f>
        <v>1052-1MNO</v>
      </c>
      <c r="D837" s="360" t="str">
        <f>CONCATENATE(VOL_VOLUMEN_SUMINISTROS[[#This Row],[Grupo]],VOL_VOLUMEN_SUMINISTROS[[#This Row],[Proyecto]],VOL_VOLUMEN_SUMINISTROS[[#This Row],[FIN DE SEMANA]])</f>
        <v>21052-1NO</v>
      </c>
      <c r="E837" s="30" t="s">
        <v>146</v>
      </c>
      <c r="F837" s="30" t="s">
        <v>147</v>
      </c>
      <c r="G837" s="360">
        <v>2</v>
      </c>
      <c r="H837" s="30">
        <v>4</v>
      </c>
      <c r="I837" s="9" t="s">
        <v>600</v>
      </c>
      <c r="J837" s="9" t="s">
        <v>646</v>
      </c>
      <c r="K837" s="30">
        <v>2</v>
      </c>
      <c r="L837" s="9" t="s">
        <v>648</v>
      </c>
      <c r="M837" s="30" t="s">
        <v>84</v>
      </c>
      <c r="N837" s="30" t="s">
        <v>151</v>
      </c>
      <c r="O837" s="24">
        <v>248</v>
      </c>
      <c r="P837" s="24">
        <v>62</v>
      </c>
      <c r="Q837" s="24">
        <v>0</v>
      </c>
      <c r="R837" s="24">
        <v>0</v>
      </c>
      <c r="S837" s="24">
        <v>0</v>
      </c>
      <c r="T837" s="24">
        <v>310</v>
      </c>
    </row>
    <row r="838" spans="1:20">
      <c r="A838" s="9" t="s">
        <v>554</v>
      </c>
      <c r="B838" s="30" t="s">
        <v>607</v>
      </c>
      <c r="C838" s="30" t="str">
        <f>CONCATENATE(VOL_VOLUMEN_SUMINISTROS[[#This Row],[Proyecto]],VOL_VOLUMEN_SUMINISTROS[[#This Row],[J]],VOL_VOLUMEN_SUMINISTROS[[#This Row],[FIN DE SEMANA]])</f>
        <v>1052-1TNO</v>
      </c>
      <c r="D838" s="360" t="str">
        <f>CONCATENATE(VOL_VOLUMEN_SUMINISTROS[[#This Row],[Grupo]],VOL_VOLUMEN_SUMINISTROS[[#This Row],[Proyecto]],VOL_VOLUMEN_SUMINISTROS[[#This Row],[FIN DE SEMANA]])</f>
        <v>21052-1NO</v>
      </c>
      <c r="E838" s="30" t="s">
        <v>146</v>
      </c>
      <c r="F838" s="30" t="s">
        <v>147</v>
      </c>
      <c r="G838" s="360">
        <v>2</v>
      </c>
      <c r="H838" s="30">
        <v>4</v>
      </c>
      <c r="I838" s="9" t="s">
        <v>600</v>
      </c>
      <c r="J838" s="9" t="s">
        <v>646</v>
      </c>
      <c r="K838" s="30">
        <v>2</v>
      </c>
      <c r="L838" s="9" t="s">
        <v>648</v>
      </c>
      <c r="M838" s="30" t="s">
        <v>84</v>
      </c>
      <c r="N838" s="30" t="s">
        <v>154</v>
      </c>
      <c r="O838" s="24">
        <v>144</v>
      </c>
      <c r="P838" s="24">
        <v>57</v>
      </c>
      <c r="Q838" s="24">
        <v>7</v>
      </c>
      <c r="R838" s="24">
        <v>0</v>
      </c>
      <c r="S838" s="24">
        <v>0</v>
      </c>
      <c r="T838" s="24">
        <v>208</v>
      </c>
    </row>
    <row r="839" spans="1:20">
      <c r="A839" s="9" t="s">
        <v>554</v>
      </c>
      <c r="B839" s="30" t="s">
        <v>607</v>
      </c>
      <c r="C839" s="30" t="str">
        <f>CONCATENATE(VOL_VOLUMEN_SUMINISTROS[[#This Row],[Proyecto]],VOL_VOLUMEN_SUMINISTROS[[#This Row],[J]],VOL_VOLUMEN_SUMINISTROS[[#This Row],[FIN DE SEMANA]])</f>
        <v>1052-1MNO</v>
      </c>
      <c r="D839" s="360" t="str">
        <f>CONCATENATE(VOL_VOLUMEN_SUMINISTROS[[#This Row],[Grupo]],VOL_VOLUMEN_SUMINISTROS[[#This Row],[Proyecto]],VOL_VOLUMEN_SUMINISTROS[[#This Row],[FIN DE SEMANA]])</f>
        <v>21052-1NO</v>
      </c>
      <c r="E839" s="30" t="s">
        <v>146</v>
      </c>
      <c r="F839" s="30" t="s">
        <v>147</v>
      </c>
      <c r="G839" s="360">
        <v>2</v>
      </c>
      <c r="H839" s="30">
        <v>4</v>
      </c>
      <c r="I839" s="9" t="s">
        <v>600</v>
      </c>
      <c r="J839" s="9" t="s">
        <v>646</v>
      </c>
      <c r="K839" s="30">
        <v>3</v>
      </c>
      <c r="L839" s="9" t="s">
        <v>649</v>
      </c>
      <c r="M839" s="30" t="s">
        <v>84</v>
      </c>
      <c r="N839" s="30" t="s">
        <v>151</v>
      </c>
      <c r="O839" s="24">
        <v>93</v>
      </c>
      <c r="P839" s="24">
        <v>157</v>
      </c>
      <c r="Q839" s="24">
        <v>41</v>
      </c>
      <c r="R839" s="24">
        <v>0</v>
      </c>
      <c r="S839" s="24">
        <v>0</v>
      </c>
      <c r="T839" s="24">
        <v>291</v>
      </c>
    </row>
    <row r="840" spans="1:20">
      <c r="A840" s="9" t="s">
        <v>554</v>
      </c>
      <c r="B840" s="30" t="s">
        <v>607</v>
      </c>
      <c r="C840" s="30" t="str">
        <f>CONCATENATE(VOL_VOLUMEN_SUMINISTROS[[#This Row],[Proyecto]],VOL_VOLUMEN_SUMINISTROS[[#This Row],[J]],VOL_VOLUMEN_SUMINISTROS[[#This Row],[FIN DE SEMANA]])</f>
        <v>1052-1TNO</v>
      </c>
      <c r="D840" s="360" t="str">
        <f>CONCATENATE(VOL_VOLUMEN_SUMINISTROS[[#This Row],[Grupo]],VOL_VOLUMEN_SUMINISTROS[[#This Row],[Proyecto]],VOL_VOLUMEN_SUMINISTROS[[#This Row],[FIN DE SEMANA]])</f>
        <v>21052-1NO</v>
      </c>
      <c r="E840" s="30" t="s">
        <v>146</v>
      </c>
      <c r="F840" s="30" t="s">
        <v>147</v>
      </c>
      <c r="G840" s="360">
        <v>2</v>
      </c>
      <c r="H840" s="30">
        <v>4</v>
      </c>
      <c r="I840" s="9" t="s">
        <v>600</v>
      </c>
      <c r="J840" s="9" t="s">
        <v>646</v>
      </c>
      <c r="K840" s="30">
        <v>3</v>
      </c>
      <c r="L840" s="9" t="s">
        <v>649</v>
      </c>
      <c r="M840" s="30" t="s">
        <v>84</v>
      </c>
      <c r="N840" s="30" t="s">
        <v>154</v>
      </c>
      <c r="O840" s="24">
        <v>105</v>
      </c>
      <c r="P840" s="24">
        <v>105</v>
      </c>
      <c r="Q840" s="24">
        <v>24</v>
      </c>
      <c r="R840" s="24">
        <v>0</v>
      </c>
      <c r="S840" s="24">
        <v>0</v>
      </c>
      <c r="T840" s="24">
        <v>234</v>
      </c>
    </row>
    <row r="841" spans="1:20">
      <c r="A841" s="9" t="s">
        <v>554</v>
      </c>
      <c r="B841" s="30" t="s">
        <v>650</v>
      </c>
      <c r="C841" s="30" t="str">
        <f>CONCATENATE(VOL_VOLUMEN_SUMINISTROS[[#This Row],[Proyecto]],VOL_VOLUMEN_SUMINISTROS[[#This Row],[J]],VOL_VOLUMEN_SUMINISTROS[[#This Row],[FIN DE SEMANA]])</f>
        <v>1052-2M1NO</v>
      </c>
      <c r="D841" s="360" t="str">
        <f>CONCATENATE(VOL_VOLUMEN_SUMINISTROS[[#This Row],[Grupo]],VOL_VOLUMEN_SUMINISTROS[[#This Row],[Proyecto]],VOL_VOLUMEN_SUMINISTROS[[#This Row],[FIN DE SEMANA]])</f>
        <v>21052-2NO</v>
      </c>
      <c r="E841" s="30" t="s">
        <v>182</v>
      </c>
      <c r="F841" s="30" t="s">
        <v>147</v>
      </c>
      <c r="G841" s="360">
        <v>2</v>
      </c>
      <c r="H841" s="30">
        <v>4</v>
      </c>
      <c r="I841" s="9" t="s">
        <v>600</v>
      </c>
      <c r="J841" s="9" t="s">
        <v>608</v>
      </c>
      <c r="K841" s="30">
        <v>1</v>
      </c>
      <c r="L841" s="9" t="s">
        <v>609</v>
      </c>
      <c r="M841" s="30" t="s">
        <v>84</v>
      </c>
      <c r="N841" s="30" t="s">
        <v>215</v>
      </c>
      <c r="O841" s="24">
        <v>114</v>
      </c>
      <c r="P841" s="24">
        <v>231</v>
      </c>
      <c r="Q841" s="24">
        <v>111</v>
      </c>
      <c r="R841" s="24">
        <v>0</v>
      </c>
      <c r="S841" s="24">
        <v>0</v>
      </c>
      <c r="T841" s="24">
        <v>456</v>
      </c>
    </row>
    <row r="842" spans="1:20">
      <c r="A842" s="9" t="s">
        <v>554</v>
      </c>
      <c r="B842" s="30" t="s">
        <v>651</v>
      </c>
      <c r="C842" s="30" t="str">
        <f>CONCATENATE(VOL_VOLUMEN_SUMINISTROS[[#This Row],[Proyecto]],VOL_VOLUMEN_SUMINISTROS[[#This Row],[J]],VOL_VOLUMEN_SUMINISTROS[[#This Row],[FIN DE SEMANA]])</f>
        <v>1052-2MNO</v>
      </c>
      <c r="D842" s="360" t="str">
        <f>CONCATENATE(VOL_VOLUMEN_SUMINISTROS[[#This Row],[Grupo]],VOL_VOLUMEN_SUMINISTROS[[#This Row],[Proyecto]],VOL_VOLUMEN_SUMINISTROS[[#This Row],[FIN DE SEMANA]])</f>
        <v>21052-2NO</v>
      </c>
      <c r="E842" s="30" t="s">
        <v>182</v>
      </c>
      <c r="F842" s="30" t="s">
        <v>147</v>
      </c>
      <c r="G842" s="360">
        <v>2</v>
      </c>
      <c r="H842" s="30">
        <v>4</v>
      </c>
      <c r="I842" s="9" t="s">
        <v>600</v>
      </c>
      <c r="J842" s="9" t="s">
        <v>608</v>
      </c>
      <c r="K842" s="30">
        <v>1</v>
      </c>
      <c r="L842" s="9" t="s">
        <v>609</v>
      </c>
      <c r="M842" s="30" t="s">
        <v>84</v>
      </c>
      <c r="N842" s="30" t="s">
        <v>151</v>
      </c>
      <c r="O842" s="24">
        <v>0</v>
      </c>
      <c r="P842" s="24">
        <v>0</v>
      </c>
      <c r="Q842" s="24">
        <v>58</v>
      </c>
      <c r="R842" s="24">
        <v>0</v>
      </c>
      <c r="S842" s="24">
        <v>0</v>
      </c>
      <c r="T842" s="24">
        <v>58</v>
      </c>
    </row>
    <row r="843" spans="1:20">
      <c r="A843" s="9" t="s">
        <v>554</v>
      </c>
      <c r="B843" s="30" t="s">
        <v>651</v>
      </c>
      <c r="C843" s="30" t="str">
        <f>CONCATENATE(VOL_VOLUMEN_SUMINISTROS[[#This Row],[Proyecto]],VOL_VOLUMEN_SUMINISTROS[[#This Row],[J]],VOL_VOLUMEN_SUMINISTROS[[#This Row],[FIN DE SEMANA]])</f>
        <v>1052-2MNO</v>
      </c>
      <c r="D843" s="360" t="str">
        <f>CONCATENATE(VOL_VOLUMEN_SUMINISTROS[[#This Row],[Grupo]],VOL_VOLUMEN_SUMINISTROS[[#This Row],[Proyecto]],VOL_VOLUMEN_SUMINISTROS[[#This Row],[FIN DE SEMANA]])</f>
        <v>21052-2NO</v>
      </c>
      <c r="E843" s="30" t="s">
        <v>182</v>
      </c>
      <c r="F843" s="30" t="s">
        <v>147</v>
      </c>
      <c r="G843" s="360">
        <v>2</v>
      </c>
      <c r="H843" s="30">
        <v>4</v>
      </c>
      <c r="I843" s="9" t="s">
        <v>600</v>
      </c>
      <c r="J843" s="9" t="s">
        <v>618</v>
      </c>
      <c r="K843" s="30">
        <v>1</v>
      </c>
      <c r="L843" s="9" t="s">
        <v>619</v>
      </c>
      <c r="M843" s="30" t="s">
        <v>84</v>
      </c>
      <c r="N843" s="30" t="s">
        <v>151</v>
      </c>
      <c r="O843" s="24">
        <v>0</v>
      </c>
      <c r="P843" s="24">
        <v>0</v>
      </c>
      <c r="Q843" s="24">
        <v>53</v>
      </c>
      <c r="R843" s="24">
        <v>0</v>
      </c>
      <c r="S843" s="24">
        <v>0</v>
      </c>
      <c r="T843" s="24">
        <v>53</v>
      </c>
    </row>
    <row r="844" spans="1:20">
      <c r="A844" s="9" t="s">
        <v>554</v>
      </c>
      <c r="B844" s="30" t="s">
        <v>651</v>
      </c>
      <c r="C844" s="30" t="str">
        <f>CONCATENATE(VOL_VOLUMEN_SUMINISTROS[[#This Row],[Proyecto]],VOL_VOLUMEN_SUMINISTROS[[#This Row],[J]],VOL_VOLUMEN_SUMINISTROS[[#This Row],[FIN DE SEMANA]])</f>
        <v>1052-2TNO</v>
      </c>
      <c r="D844" s="360" t="str">
        <f>CONCATENATE(VOL_VOLUMEN_SUMINISTROS[[#This Row],[Grupo]],VOL_VOLUMEN_SUMINISTROS[[#This Row],[Proyecto]],VOL_VOLUMEN_SUMINISTROS[[#This Row],[FIN DE SEMANA]])</f>
        <v>21052-2NO</v>
      </c>
      <c r="E844" s="30" t="s">
        <v>182</v>
      </c>
      <c r="F844" s="30" t="s">
        <v>147</v>
      </c>
      <c r="G844" s="360">
        <v>2</v>
      </c>
      <c r="H844" s="30">
        <v>4</v>
      </c>
      <c r="I844" s="9" t="s">
        <v>600</v>
      </c>
      <c r="J844" s="9" t="s">
        <v>618</v>
      </c>
      <c r="K844" s="30">
        <v>1</v>
      </c>
      <c r="L844" s="9" t="s">
        <v>619</v>
      </c>
      <c r="M844" s="30" t="s">
        <v>84</v>
      </c>
      <c r="N844" s="30" t="s">
        <v>154</v>
      </c>
      <c r="O844" s="24">
        <v>0</v>
      </c>
      <c r="P844" s="24">
        <v>0</v>
      </c>
      <c r="Q844" s="24">
        <v>71</v>
      </c>
      <c r="R844" s="24">
        <v>0</v>
      </c>
      <c r="S844" s="24">
        <v>0</v>
      </c>
      <c r="T844" s="24">
        <v>71</v>
      </c>
    </row>
    <row r="845" spans="1:20">
      <c r="A845" s="9" t="s">
        <v>554</v>
      </c>
      <c r="B845" s="30" t="s">
        <v>651</v>
      </c>
      <c r="C845" s="30" t="str">
        <f>CONCATENATE(VOL_VOLUMEN_SUMINISTROS[[#This Row],[Proyecto]],VOL_VOLUMEN_SUMINISTROS[[#This Row],[J]],VOL_VOLUMEN_SUMINISTROS[[#This Row],[FIN DE SEMANA]])</f>
        <v>1052-2M1NO</v>
      </c>
      <c r="D845" s="360" t="str">
        <f>CONCATENATE(VOL_VOLUMEN_SUMINISTROS[[#This Row],[Grupo]],VOL_VOLUMEN_SUMINISTROS[[#This Row],[Proyecto]],VOL_VOLUMEN_SUMINISTROS[[#This Row],[FIN DE SEMANA]])</f>
        <v>21052-2NO</v>
      </c>
      <c r="E845" s="30" t="s">
        <v>182</v>
      </c>
      <c r="F845" s="30" t="s">
        <v>147</v>
      </c>
      <c r="G845" s="360">
        <v>2</v>
      </c>
      <c r="H845" s="30">
        <v>4</v>
      </c>
      <c r="I845" s="9" t="s">
        <v>600</v>
      </c>
      <c r="J845" s="9" t="s">
        <v>635</v>
      </c>
      <c r="K845" s="30">
        <v>1</v>
      </c>
      <c r="L845" s="9" t="s">
        <v>636</v>
      </c>
      <c r="M845" s="30" t="s">
        <v>84</v>
      </c>
      <c r="N845" s="30" t="s">
        <v>215</v>
      </c>
      <c r="O845" s="24">
        <v>0</v>
      </c>
      <c r="P845" s="24">
        <v>0</v>
      </c>
      <c r="Q845" s="24">
        <v>112</v>
      </c>
      <c r="R845" s="24">
        <v>0</v>
      </c>
      <c r="S845" s="24">
        <v>0</v>
      </c>
      <c r="T845" s="24">
        <v>112</v>
      </c>
    </row>
    <row r="846" spans="1:20">
      <c r="A846" s="9" t="s">
        <v>554</v>
      </c>
      <c r="B846" s="30" t="s">
        <v>651</v>
      </c>
      <c r="C846" s="30" t="str">
        <f>CONCATENATE(VOL_VOLUMEN_SUMINISTROS[[#This Row],[Proyecto]],VOL_VOLUMEN_SUMINISTROS[[#This Row],[J]],VOL_VOLUMEN_SUMINISTROS[[#This Row],[FIN DE SEMANA]])</f>
        <v>1052-2MNO</v>
      </c>
      <c r="D846" s="360" t="str">
        <f>CONCATENATE(VOL_VOLUMEN_SUMINISTROS[[#This Row],[Grupo]],VOL_VOLUMEN_SUMINISTROS[[#This Row],[Proyecto]],VOL_VOLUMEN_SUMINISTROS[[#This Row],[FIN DE SEMANA]])</f>
        <v>21052-2NO</v>
      </c>
      <c r="E846" s="30" t="s">
        <v>182</v>
      </c>
      <c r="F846" s="30" t="s">
        <v>147</v>
      </c>
      <c r="G846" s="360">
        <v>2</v>
      </c>
      <c r="H846" s="30">
        <v>4</v>
      </c>
      <c r="I846" s="9" t="s">
        <v>600</v>
      </c>
      <c r="J846" s="9" t="s">
        <v>644</v>
      </c>
      <c r="K846" s="30">
        <v>1</v>
      </c>
      <c r="L846" s="9" t="s">
        <v>645</v>
      </c>
      <c r="M846" s="30" t="s">
        <v>84</v>
      </c>
      <c r="N846" s="30" t="s">
        <v>151</v>
      </c>
      <c r="O846" s="24">
        <v>0</v>
      </c>
      <c r="P846" s="24">
        <v>0</v>
      </c>
      <c r="Q846" s="24">
        <v>65</v>
      </c>
      <c r="R846" s="24">
        <v>0</v>
      </c>
      <c r="S846" s="24">
        <v>0</v>
      </c>
      <c r="T846" s="24">
        <v>65</v>
      </c>
    </row>
    <row r="847" spans="1:20">
      <c r="A847" s="9" t="s">
        <v>554</v>
      </c>
      <c r="B847" s="30" t="s">
        <v>651</v>
      </c>
      <c r="C847" s="30" t="str">
        <f>CONCATENATE(VOL_VOLUMEN_SUMINISTROS[[#This Row],[Proyecto]],VOL_VOLUMEN_SUMINISTROS[[#This Row],[J]],VOL_VOLUMEN_SUMINISTROS[[#This Row],[FIN DE SEMANA]])</f>
        <v>1052-2TNO</v>
      </c>
      <c r="D847" s="360" t="str">
        <f>CONCATENATE(VOL_VOLUMEN_SUMINISTROS[[#This Row],[Grupo]],VOL_VOLUMEN_SUMINISTROS[[#This Row],[Proyecto]],VOL_VOLUMEN_SUMINISTROS[[#This Row],[FIN DE SEMANA]])</f>
        <v>21052-2NO</v>
      </c>
      <c r="E847" s="30" t="s">
        <v>182</v>
      </c>
      <c r="F847" s="30" t="s">
        <v>147</v>
      </c>
      <c r="G847" s="360">
        <v>2</v>
      </c>
      <c r="H847" s="30">
        <v>4</v>
      </c>
      <c r="I847" s="9" t="s">
        <v>600</v>
      </c>
      <c r="J847" s="9" t="s">
        <v>644</v>
      </c>
      <c r="K847" s="30">
        <v>1</v>
      </c>
      <c r="L847" s="9" t="s">
        <v>645</v>
      </c>
      <c r="M847" s="30" t="s">
        <v>84</v>
      </c>
      <c r="N847" s="30" t="s">
        <v>154</v>
      </c>
      <c r="O847" s="24">
        <v>0</v>
      </c>
      <c r="P847" s="24">
        <v>0</v>
      </c>
      <c r="Q847" s="24">
        <v>120</v>
      </c>
      <c r="R847" s="24">
        <v>0</v>
      </c>
      <c r="S847" s="24">
        <v>0</v>
      </c>
      <c r="T847" s="24">
        <v>120</v>
      </c>
    </row>
    <row r="848" spans="1:20">
      <c r="A848" s="9" t="s">
        <v>554</v>
      </c>
      <c r="B848" s="30" t="s">
        <v>652</v>
      </c>
      <c r="C848" s="30" t="str">
        <f>CONCATENATE(VOL_VOLUMEN_SUMINISTROS[[#This Row],[Proyecto]],VOL_VOLUMEN_SUMINISTROS[[#This Row],[J]],VOL_VOLUMEN_SUMINISTROS[[#This Row],[FIN DE SEMANA]])</f>
        <v>1052-2MNO</v>
      </c>
      <c r="D848" s="360" t="str">
        <f>CONCATENATE(VOL_VOLUMEN_SUMINISTROS[[#This Row],[Grupo]],VOL_VOLUMEN_SUMINISTROS[[#This Row],[Proyecto]],VOL_VOLUMEN_SUMINISTROS[[#This Row],[FIN DE SEMANA]])</f>
        <v>21052-2NO</v>
      </c>
      <c r="E848" s="30" t="s">
        <v>182</v>
      </c>
      <c r="F848" s="30" t="s">
        <v>147</v>
      </c>
      <c r="G848" s="360">
        <v>2</v>
      </c>
      <c r="H848" s="30">
        <v>4</v>
      </c>
      <c r="I848" s="9" t="s">
        <v>600</v>
      </c>
      <c r="J848" s="9" t="s">
        <v>627</v>
      </c>
      <c r="K848" s="30">
        <v>2</v>
      </c>
      <c r="L848" s="9" t="s">
        <v>630</v>
      </c>
      <c r="M848" s="30" t="s">
        <v>84</v>
      </c>
      <c r="N848" s="30" t="s">
        <v>151</v>
      </c>
      <c r="O848" s="24">
        <v>28</v>
      </c>
      <c r="P848" s="24">
        <v>0</v>
      </c>
      <c r="Q848" s="24">
        <v>0</v>
      </c>
      <c r="R848" s="24">
        <v>0</v>
      </c>
      <c r="S848" s="24">
        <v>0</v>
      </c>
      <c r="T848" s="24">
        <v>28</v>
      </c>
    </row>
    <row r="849" spans="1:20">
      <c r="A849" s="9" t="s">
        <v>554</v>
      </c>
      <c r="B849" s="30" t="s">
        <v>652</v>
      </c>
      <c r="C849" s="30" t="str">
        <f>CONCATENATE(VOL_VOLUMEN_SUMINISTROS[[#This Row],[Proyecto]],VOL_VOLUMEN_SUMINISTROS[[#This Row],[J]],VOL_VOLUMEN_SUMINISTROS[[#This Row],[FIN DE SEMANA]])</f>
        <v>1052-2TNO</v>
      </c>
      <c r="D849" s="360" t="str">
        <f>CONCATENATE(VOL_VOLUMEN_SUMINISTROS[[#This Row],[Grupo]],VOL_VOLUMEN_SUMINISTROS[[#This Row],[Proyecto]],VOL_VOLUMEN_SUMINISTROS[[#This Row],[FIN DE SEMANA]])</f>
        <v>21052-2NO</v>
      </c>
      <c r="E849" s="30" t="s">
        <v>182</v>
      </c>
      <c r="F849" s="30" t="s">
        <v>147</v>
      </c>
      <c r="G849" s="360">
        <v>2</v>
      </c>
      <c r="H849" s="30">
        <v>4</v>
      </c>
      <c r="I849" s="9" t="s">
        <v>600</v>
      </c>
      <c r="J849" s="9" t="s">
        <v>627</v>
      </c>
      <c r="K849" s="30">
        <v>2</v>
      </c>
      <c r="L849" s="9" t="s">
        <v>630</v>
      </c>
      <c r="M849" s="30" t="s">
        <v>84</v>
      </c>
      <c r="N849" s="30" t="s">
        <v>154</v>
      </c>
      <c r="O849" s="24">
        <v>74</v>
      </c>
      <c r="P849" s="24">
        <v>0</v>
      </c>
      <c r="Q849" s="24">
        <v>0</v>
      </c>
      <c r="R849" s="24">
        <v>0</v>
      </c>
      <c r="S849" s="24">
        <v>0</v>
      </c>
      <c r="T849" s="24">
        <v>74</v>
      </c>
    </row>
    <row r="850" spans="1:20">
      <c r="A850" s="9" t="s">
        <v>554</v>
      </c>
      <c r="B850" s="30" t="s">
        <v>652</v>
      </c>
      <c r="C850" s="30" t="str">
        <f>CONCATENATE(VOL_VOLUMEN_SUMINISTROS[[#This Row],[Proyecto]],VOL_VOLUMEN_SUMINISTROS[[#This Row],[J]],VOL_VOLUMEN_SUMINISTROS[[#This Row],[FIN DE SEMANA]])</f>
        <v>1052-2MNO</v>
      </c>
      <c r="D850" s="360" t="str">
        <f>CONCATENATE(VOL_VOLUMEN_SUMINISTROS[[#This Row],[Grupo]],VOL_VOLUMEN_SUMINISTROS[[#This Row],[Proyecto]],VOL_VOLUMEN_SUMINISTROS[[#This Row],[FIN DE SEMANA]])</f>
        <v>21052-2NO</v>
      </c>
      <c r="E850" s="30" t="s">
        <v>182</v>
      </c>
      <c r="F850" s="30" t="s">
        <v>147</v>
      </c>
      <c r="G850" s="360">
        <v>2</v>
      </c>
      <c r="H850" s="30">
        <v>4</v>
      </c>
      <c r="I850" s="9" t="s">
        <v>600</v>
      </c>
      <c r="J850" s="9" t="s">
        <v>639</v>
      </c>
      <c r="K850" s="30">
        <v>2</v>
      </c>
      <c r="L850" s="9" t="s">
        <v>641</v>
      </c>
      <c r="M850" s="30" t="s">
        <v>84</v>
      </c>
      <c r="N850" s="30" t="s">
        <v>151</v>
      </c>
      <c r="O850" s="24">
        <v>90</v>
      </c>
      <c r="P850" s="24">
        <v>0</v>
      </c>
      <c r="Q850" s="24">
        <v>0</v>
      </c>
      <c r="R850" s="24">
        <v>0</v>
      </c>
      <c r="S850" s="24">
        <v>0</v>
      </c>
      <c r="T850" s="24">
        <v>90</v>
      </c>
    </row>
    <row r="851" spans="1:20">
      <c r="A851" s="9" t="s">
        <v>554</v>
      </c>
      <c r="B851" s="30" t="s">
        <v>652</v>
      </c>
      <c r="C851" s="30" t="str">
        <f>CONCATENATE(VOL_VOLUMEN_SUMINISTROS[[#This Row],[Proyecto]],VOL_VOLUMEN_SUMINISTROS[[#This Row],[J]],VOL_VOLUMEN_SUMINISTROS[[#This Row],[FIN DE SEMANA]])</f>
        <v>1052-2TNO</v>
      </c>
      <c r="D851" s="360" t="str">
        <f>CONCATENATE(VOL_VOLUMEN_SUMINISTROS[[#This Row],[Grupo]],VOL_VOLUMEN_SUMINISTROS[[#This Row],[Proyecto]],VOL_VOLUMEN_SUMINISTROS[[#This Row],[FIN DE SEMANA]])</f>
        <v>21052-2NO</v>
      </c>
      <c r="E851" s="30" t="s">
        <v>182</v>
      </c>
      <c r="F851" s="30" t="s">
        <v>147</v>
      </c>
      <c r="G851" s="360">
        <v>2</v>
      </c>
      <c r="H851" s="30">
        <v>4</v>
      </c>
      <c r="I851" s="9" t="s">
        <v>600</v>
      </c>
      <c r="J851" s="9" t="s">
        <v>639</v>
      </c>
      <c r="K851" s="30">
        <v>2</v>
      </c>
      <c r="L851" s="9" t="s">
        <v>641</v>
      </c>
      <c r="M851" s="30" t="s">
        <v>84</v>
      </c>
      <c r="N851" s="30" t="s">
        <v>154</v>
      </c>
      <c r="O851" s="24">
        <v>53</v>
      </c>
      <c r="P851" s="24">
        <v>0</v>
      </c>
      <c r="Q851" s="24">
        <v>0</v>
      </c>
      <c r="R851" s="24">
        <v>0</v>
      </c>
      <c r="S851" s="24">
        <v>0</v>
      </c>
      <c r="T851" s="24">
        <v>53</v>
      </c>
    </row>
    <row r="852" spans="1:20">
      <c r="A852" s="9" t="s">
        <v>554</v>
      </c>
      <c r="B852" s="30" t="s">
        <v>652</v>
      </c>
      <c r="C852" s="30" t="str">
        <f>CONCATENATE(VOL_VOLUMEN_SUMINISTROS[[#This Row],[Proyecto]],VOL_VOLUMEN_SUMINISTROS[[#This Row],[J]],VOL_VOLUMEN_SUMINISTROS[[#This Row],[FIN DE SEMANA]])</f>
        <v>1052-2TNO</v>
      </c>
      <c r="D852" s="360" t="str">
        <f>CONCATENATE(VOL_VOLUMEN_SUMINISTROS[[#This Row],[Grupo]],VOL_VOLUMEN_SUMINISTROS[[#This Row],[Proyecto]],VOL_VOLUMEN_SUMINISTROS[[#This Row],[FIN DE SEMANA]])</f>
        <v>21052-2NO</v>
      </c>
      <c r="E852" s="30" t="s">
        <v>182</v>
      </c>
      <c r="F852" s="30" t="s">
        <v>147</v>
      </c>
      <c r="G852" s="360">
        <v>2</v>
      </c>
      <c r="H852" s="30">
        <v>4</v>
      </c>
      <c r="I852" s="9" t="s">
        <v>600</v>
      </c>
      <c r="J852" s="9" t="s">
        <v>644</v>
      </c>
      <c r="K852" s="30">
        <v>1</v>
      </c>
      <c r="L852" s="9" t="s">
        <v>645</v>
      </c>
      <c r="M852" s="30" t="s">
        <v>84</v>
      </c>
      <c r="N852" s="30" t="s">
        <v>154</v>
      </c>
      <c r="O852" s="24">
        <v>50</v>
      </c>
      <c r="P852" s="24">
        <v>0</v>
      </c>
      <c r="Q852" s="24">
        <v>0</v>
      </c>
      <c r="R852" s="24">
        <v>0</v>
      </c>
      <c r="S852" s="24">
        <v>0</v>
      </c>
      <c r="T852" s="24">
        <v>50</v>
      </c>
    </row>
    <row r="853" spans="1:20">
      <c r="A853" s="9" t="s">
        <v>554</v>
      </c>
      <c r="B853" s="30" t="s">
        <v>653</v>
      </c>
      <c r="C853" s="30" t="str">
        <f>CONCATENATE(VOL_VOLUMEN_SUMINISTROS[[#This Row],[Proyecto]],VOL_VOLUMEN_SUMINISTROS[[#This Row],[J]],VOL_VOLUMEN_SUMINISTROS[[#This Row],[FIN DE SEMANA]])</f>
        <v>1052-1MNO</v>
      </c>
      <c r="D853" s="360" t="str">
        <f>CONCATENATE(VOL_VOLUMEN_SUMINISTROS[[#This Row],[Grupo]],VOL_VOLUMEN_SUMINISTROS[[#This Row],[Proyecto]],VOL_VOLUMEN_SUMINISTROS[[#This Row],[FIN DE SEMANA]])</f>
        <v>31052-1NO</v>
      </c>
      <c r="E853" s="30" t="s">
        <v>146</v>
      </c>
      <c r="F853" s="30" t="s">
        <v>147</v>
      </c>
      <c r="G853" s="360">
        <v>3</v>
      </c>
      <c r="H853" s="30">
        <v>4</v>
      </c>
      <c r="I853" s="9" t="s">
        <v>600</v>
      </c>
      <c r="J853" s="9" t="s">
        <v>654</v>
      </c>
      <c r="K853" s="30">
        <v>1</v>
      </c>
      <c r="L853" s="9" t="s">
        <v>655</v>
      </c>
      <c r="M853" s="30" t="s">
        <v>84</v>
      </c>
      <c r="N853" s="30" t="s">
        <v>151</v>
      </c>
      <c r="O853" s="24">
        <v>92</v>
      </c>
      <c r="P853" s="24">
        <v>58</v>
      </c>
      <c r="Q853" s="24">
        <v>11</v>
      </c>
      <c r="R853" s="24">
        <v>0</v>
      </c>
      <c r="S853" s="24">
        <v>0</v>
      </c>
      <c r="T853" s="24">
        <v>161</v>
      </c>
    </row>
    <row r="854" spans="1:20">
      <c r="A854" s="9" t="s">
        <v>554</v>
      </c>
      <c r="B854" s="30" t="s">
        <v>653</v>
      </c>
      <c r="C854" s="30" t="str">
        <f>CONCATENATE(VOL_VOLUMEN_SUMINISTROS[[#This Row],[Proyecto]],VOL_VOLUMEN_SUMINISTROS[[#This Row],[J]],VOL_VOLUMEN_SUMINISTROS[[#This Row],[FIN DE SEMANA]])</f>
        <v>1052-1MNO</v>
      </c>
      <c r="D854" s="360" t="str">
        <f>CONCATENATE(VOL_VOLUMEN_SUMINISTROS[[#This Row],[Grupo]],VOL_VOLUMEN_SUMINISTROS[[#This Row],[Proyecto]],VOL_VOLUMEN_SUMINISTROS[[#This Row],[FIN DE SEMANA]])</f>
        <v>31052-1NO</v>
      </c>
      <c r="E854" s="30" t="s">
        <v>146</v>
      </c>
      <c r="F854" s="30" t="s">
        <v>147</v>
      </c>
      <c r="G854" s="360">
        <v>3</v>
      </c>
      <c r="H854" s="30">
        <v>4</v>
      </c>
      <c r="I854" s="9" t="s">
        <v>600</v>
      </c>
      <c r="J854" s="9" t="s">
        <v>656</v>
      </c>
      <c r="K854" s="30">
        <v>1</v>
      </c>
      <c r="L854" s="9" t="s">
        <v>657</v>
      </c>
      <c r="M854" s="30" t="s">
        <v>84</v>
      </c>
      <c r="N854" s="30" t="s">
        <v>151</v>
      </c>
      <c r="O854" s="24">
        <v>135</v>
      </c>
      <c r="P854" s="24">
        <v>235</v>
      </c>
      <c r="Q854" s="24">
        <v>357</v>
      </c>
      <c r="R854" s="24">
        <v>0</v>
      </c>
      <c r="S854" s="24">
        <v>0</v>
      </c>
      <c r="T854" s="24">
        <v>727</v>
      </c>
    </row>
    <row r="855" spans="1:20">
      <c r="A855" s="9" t="s">
        <v>554</v>
      </c>
      <c r="B855" s="30" t="s">
        <v>653</v>
      </c>
      <c r="C855" s="30" t="str">
        <f>CONCATENATE(VOL_VOLUMEN_SUMINISTROS[[#This Row],[Proyecto]],VOL_VOLUMEN_SUMINISTROS[[#This Row],[J]],VOL_VOLUMEN_SUMINISTROS[[#This Row],[FIN DE SEMANA]])</f>
        <v>1052-1TNO</v>
      </c>
      <c r="D855" s="360" t="str">
        <f>CONCATENATE(VOL_VOLUMEN_SUMINISTROS[[#This Row],[Grupo]],VOL_VOLUMEN_SUMINISTROS[[#This Row],[Proyecto]],VOL_VOLUMEN_SUMINISTROS[[#This Row],[FIN DE SEMANA]])</f>
        <v>31052-1NO</v>
      </c>
      <c r="E855" s="30" t="s">
        <v>146</v>
      </c>
      <c r="F855" s="30" t="s">
        <v>147</v>
      </c>
      <c r="G855" s="360">
        <v>3</v>
      </c>
      <c r="H855" s="30">
        <v>4</v>
      </c>
      <c r="I855" s="9" t="s">
        <v>600</v>
      </c>
      <c r="J855" s="9" t="s">
        <v>656</v>
      </c>
      <c r="K855" s="30">
        <v>1</v>
      </c>
      <c r="L855" s="9" t="s">
        <v>657</v>
      </c>
      <c r="M855" s="30" t="s">
        <v>84</v>
      </c>
      <c r="N855" s="30" t="s">
        <v>154</v>
      </c>
      <c r="O855" s="24">
        <v>76</v>
      </c>
      <c r="P855" s="24">
        <v>185</v>
      </c>
      <c r="Q855" s="24">
        <v>209</v>
      </c>
      <c r="R855" s="24">
        <v>0</v>
      </c>
      <c r="S855" s="24">
        <v>0</v>
      </c>
      <c r="T855" s="24">
        <v>470</v>
      </c>
    </row>
    <row r="856" spans="1:20">
      <c r="A856" s="9" t="s">
        <v>554</v>
      </c>
      <c r="B856" s="30" t="s">
        <v>653</v>
      </c>
      <c r="C856" s="30" t="str">
        <f>CONCATENATE(VOL_VOLUMEN_SUMINISTROS[[#This Row],[Proyecto]],VOL_VOLUMEN_SUMINISTROS[[#This Row],[J]],VOL_VOLUMEN_SUMINISTROS[[#This Row],[FIN DE SEMANA]])</f>
        <v>1052-1MNO</v>
      </c>
      <c r="D856" s="360" t="str">
        <f>CONCATENATE(VOL_VOLUMEN_SUMINISTROS[[#This Row],[Grupo]],VOL_VOLUMEN_SUMINISTROS[[#This Row],[Proyecto]],VOL_VOLUMEN_SUMINISTROS[[#This Row],[FIN DE SEMANA]])</f>
        <v>31052-1NO</v>
      </c>
      <c r="E856" s="30" t="s">
        <v>146</v>
      </c>
      <c r="F856" s="30" t="s">
        <v>147</v>
      </c>
      <c r="G856" s="360">
        <v>3</v>
      </c>
      <c r="H856" s="30">
        <v>4</v>
      </c>
      <c r="I856" s="9" t="s">
        <v>600</v>
      </c>
      <c r="J856" s="9" t="s">
        <v>656</v>
      </c>
      <c r="K856" s="30">
        <v>2</v>
      </c>
      <c r="L856" s="9" t="s">
        <v>657</v>
      </c>
      <c r="M856" s="30" t="s">
        <v>84</v>
      </c>
      <c r="N856" s="30" t="s">
        <v>151</v>
      </c>
      <c r="O856" s="24">
        <v>95</v>
      </c>
      <c r="P856" s="24">
        <v>0</v>
      </c>
      <c r="Q856" s="24">
        <v>0</v>
      </c>
      <c r="R856" s="24">
        <v>0</v>
      </c>
      <c r="S856" s="24">
        <v>0</v>
      </c>
      <c r="T856" s="24">
        <v>95</v>
      </c>
    </row>
    <row r="857" spans="1:20">
      <c r="A857" s="9" t="s">
        <v>554</v>
      </c>
      <c r="B857" s="30" t="s">
        <v>653</v>
      </c>
      <c r="C857" s="30" t="str">
        <f>CONCATENATE(VOL_VOLUMEN_SUMINISTROS[[#This Row],[Proyecto]],VOL_VOLUMEN_SUMINISTROS[[#This Row],[J]],VOL_VOLUMEN_SUMINISTROS[[#This Row],[FIN DE SEMANA]])</f>
        <v>1052-1TNO</v>
      </c>
      <c r="D857" s="360" t="str">
        <f>CONCATENATE(VOL_VOLUMEN_SUMINISTROS[[#This Row],[Grupo]],VOL_VOLUMEN_SUMINISTROS[[#This Row],[Proyecto]],VOL_VOLUMEN_SUMINISTROS[[#This Row],[FIN DE SEMANA]])</f>
        <v>31052-1NO</v>
      </c>
      <c r="E857" s="30" t="s">
        <v>146</v>
      </c>
      <c r="F857" s="30" t="s">
        <v>147</v>
      </c>
      <c r="G857" s="360">
        <v>3</v>
      </c>
      <c r="H857" s="30">
        <v>4</v>
      </c>
      <c r="I857" s="9" t="s">
        <v>600</v>
      </c>
      <c r="J857" s="9" t="s">
        <v>656</v>
      </c>
      <c r="K857" s="30">
        <v>2</v>
      </c>
      <c r="L857" s="9" t="s">
        <v>657</v>
      </c>
      <c r="M857" s="30" t="s">
        <v>84</v>
      </c>
      <c r="N857" s="30" t="s">
        <v>154</v>
      </c>
      <c r="O857" s="24">
        <v>31</v>
      </c>
      <c r="P857" s="24">
        <v>0</v>
      </c>
      <c r="Q857" s="24">
        <v>0</v>
      </c>
      <c r="R857" s="24">
        <v>0</v>
      </c>
      <c r="S857" s="24">
        <v>0</v>
      </c>
      <c r="T857" s="24">
        <v>31</v>
      </c>
    </row>
    <row r="858" spans="1:20">
      <c r="A858" s="9" t="s">
        <v>554</v>
      </c>
      <c r="B858" s="30" t="s">
        <v>653</v>
      </c>
      <c r="C858" s="30" t="str">
        <f>CONCATENATE(VOL_VOLUMEN_SUMINISTROS[[#This Row],[Proyecto]],VOL_VOLUMEN_SUMINISTROS[[#This Row],[J]],VOL_VOLUMEN_SUMINISTROS[[#This Row],[FIN DE SEMANA]])</f>
        <v>1052-1MNO</v>
      </c>
      <c r="D858" s="360" t="str">
        <f>CONCATENATE(VOL_VOLUMEN_SUMINISTROS[[#This Row],[Grupo]],VOL_VOLUMEN_SUMINISTROS[[#This Row],[Proyecto]],VOL_VOLUMEN_SUMINISTROS[[#This Row],[FIN DE SEMANA]])</f>
        <v>31052-1NO</v>
      </c>
      <c r="E858" s="30" t="s">
        <v>146</v>
      </c>
      <c r="F858" s="30" t="s">
        <v>147</v>
      </c>
      <c r="G858" s="360">
        <v>3</v>
      </c>
      <c r="H858" s="30">
        <v>4</v>
      </c>
      <c r="I858" s="9" t="s">
        <v>600</v>
      </c>
      <c r="J858" s="9" t="s">
        <v>658</v>
      </c>
      <c r="K858" s="30">
        <v>1</v>
      </c>
      <c r="L858" s="9" t="s">
        <v>659</v>
      </c>
      <c r="M858" s="30" t="s">
        <v>84</v>
      </c>
      <c r="N858" s="30" t="s">
        <v>151</v>
      </c>
      <c r="O858" s="24">
        <v>160</v>
      </c>
      <c r="P858" s="24">
        <v>94</v>
      </c>
      <c r="Q858" s="24">
        <v>18</v>
      </c>
      <c r="R858" s="24">
        <v>0</v>
      </c>
      <c r="S858" s="24">
        <v>0</v>
      </c>
      <c r="T858" s="24">
        <v>272</v>
      </c>
    </row>
    <row r="859" spans="1:20">
      <c r="A859" s="9" t="s">
        <v>554</v>
      </c>
      <c r="B859" s="30" t="s">
        <v>653</v>
      </c>
      <c r="C859" s="30" t="str">
        <f>CONCATENATE(VOL_VOLUMEN_SUMINISTROS[[#This Row],[Proyecto]],VOL_VOLUMEN_SUMINISTROS[[#This Row],[J]],VOL_VOLUMEN_SUMINISTROS[[#This Row],[FIN DE SEMANA]])</f>
        <v>1052-1MNO</v>
      </c>
      <c r="D859" s="360" t="str">
        <f>CONCATENATE(VOL_VOLUMEN_SUMINISTROS[[#This Row],[Grupo]],VOL_VOLUMEN_SUMINISTROS[[#This Row],[Proyecto]],VOL_VOLUMEN_SUMINISTROS[[#This Row],[FIN DE SEMANA]])</f>
        <v>31052-1NO</v>
      </c>
      <c r="E859" s="30" t="s">
        <v>146</v>
      </c>
      <c r="F859" s="30" t="s">
        <v>147</v>
      </c>
      <c r="G859" s="360">
        <v>3</v>
      </c>
      <c r="H859" s="30">
        <v>4</v>
      </c>
      <c r="I859" s="9" t="s">
        <v>600</v>
      </c>
      <c r="J859" s="9" t="s">
        <v>660</v>
      </c>
      <c r="K859" s="30">
        <v>2</v>
      </c>
      <c r="L859" s="9" t="s">
        <v>661</v>
      </c>
      <c r="M859" s="30" t="s">
        <v>84</v>
      </c>
      <c r="N859" s="30" t="s">
        <v>151</v>
      </c>
      <c r="O859" s="24">
        <v>275</v>
      </c>
      <c r="P859" s="24">
        <v>80</v>
      </c>
      <c r="Q859" s="24">
        <v>0</v>
      </c>
      <c r="R859" s="24">
        <v>0</v>
      </c>
      <c r="S859" s="24">
        <v>0</v>
      </c>
      <c r="T859" s="24">
        <v>355</v>
      </c>
    </row>
    <row r="860" spans="1:20">
      <c r="A860" s="9" t="s">
        <v>554</v>
      </c>
      <c r="B860" s="30" t="s">
        <v>653</v>
      </c>
      <c r="C860" s="30" t="str">
        <f>CONCATENATE(VOL_VOLUMEN_SUMINISTROS[[#This Row],[Proyecto]],VOL_VOLUMEN_SUMINISTROS[[#This Row],[J]],VOL_VOLUMEN_SUMINISTROS[[#This Row],[FIN DE SEMANA]])</f>
        <v>1052-1TNO</v>
      </c>
      <c r="D860" s="360" t="str">
        <f>CONCATENATE(VOL_VOLUMEN_SUMINISTROS[[#This Row],[Grupo]],VOL_VOLUMEN_SUMINISTROS[[#This Row],[Proyecto]],VOL_VOLUMEN_SUMINISTROS[[#This Row],[FIN DE SEMANA]])</f>
        <v>31052-1NO</v>
      </c>
      <c r="E860" s="30" t="s">
        <v>146</v>
      </c>
      <c r="F860" s="30" t="s">
        <v>147</v>
      </c>
      <c r="G860" s="360">
        <v>3</v>
      </c>
      <c r="H860" s="30">
        <v>4</v>
      </c>
      <c r="I860" s="9" t="s">
        <v>600</v>
      </c>
      <c r="J860" s="9" t="s">
        <v>660</v>
      </c>
      <c r="K860" s="30">
        <v>2</v>
      </c>
      <c r="L860" s="9" t="s">
        <v>661</v>
      </c>
      <c r="M860" s="30" t="s">
        <v>84</v>
      </c>
      <c r="N860" s="30" t="s">
        <v>154</v>
      </c>
      <c r="O860" s="24">
        <v>217</v>
      </c>
      <c r="P860" s="24">
        <v>58</v>
      </c>
      <c r="Q860" s="24">
        <v>0</v>
      </c>
      <c r="R860" s="24">
        <v>0</v>
      </c>
      <c r="S860" s="24">
        <v>0</v>
      </c>
      <c r="T860" s="24">
        <v>275</v>
      </c>
    </row>
    <row r="861" spans="1:20">
      <c r="A861" s="9" t="s">
        <v>554</v>
      </c>
      <c r="B861" s="30" t="s">
        <v>653</v>
      </c>
      <c r="C861" s="30" t="str">
        <f>CONCATENATE(VOL_VOLUMEN_SUMINISTROS[[#This Row],[Proyecto]],VOL_VOLUMEN_SUMINISTROS[[#This Row],[J]],VOL_VOLUMEN_SUMINISTROS[[#This Row],[FIN DE SEMANA]])</f>
        <v>1052-1MNO</v>
      </c>
      <c r="D861" s="360" t="str">
        <f>CONCATENATE(VOL_VOLUMEN_SUMINISTROS[[#This Row],[Grupo]],VOL_VOLUMEN_SUMINISTROS[[#This Row],[Proyecto]],VOL_VOLUMEN_SUMINISTROS[[#This Row],[FIN DE SEMANA]])</f>
        <v>31052-1NO</v>
      </c>
      <c r="E861" s="30" t="s">
        <v>146</v>
      </c>
      <c r="F861" s="30" t="s">
        <v>147</v>
      </c>
      <c r="G861" s="360">
        <v>3</v>
      </c>
      <c r="H861" s="30">
        <v>4</v>
      </c>
      <c r="I861" s="9" t="s">
        <v>600</v>
      </c>
      <c r="J861" s="9" t="s">
        <v>660</v>
      </c>
      <c r="K861" s="30">
        <v>3</v>
      </c>
      <c r="L861" s="9" t="s">
        <v>662</v>
      </c>
      <c r="M861" s="30" t="s">
        <v>84</v>
      </c>
      <c r="N861" s="30" t="s">
        <v>151</v>
      </c>
      <c r="O861" s="24">
        <v>88</v>
      </c>
      <c r="P861" s="24">
        <v>137</v>
      </c>
      <c r="Q861" s="24">
        <v>31</v>
      </c>
      <c r="R861" s="24">
        <v>0</v>
      </c>
      <c r="S861" s="24">
        <v>0</v>
      </c>
      <c r="T861" s="24">
        <v>256</v>
      </c>
    </row>
    <row r="862" spans="1:20">
      <c r="A862" s="9" t="s">
        <v>554</v>
      </c>
      <c r="B862" s="30" t="s">
        <v>653</v>
      </c>
      <c r="C862" s="30" t="str">
        <f>CONCATENATE(VOL_VOLUMEN_SUMINISTROS[[#This Row],[Proyecto]],VOL_VOLUMEN_SUMINISTROS[[#This Row],[J]],VOL_VOLUMEN_SUMINISTROS[[#This Row],[FIN DE SEMANA]])</f>
        <v>1052-1TNO</v>
      </c>
      <c r="D862" s="360" t="str">
        <f>CONCATENATE(VOL_VOLUMEN_SUMINISTROS[[#This Row],[Grupo]],VOL_VOLUMEN_SUMINISTROS[[#This Row],[Proyecto]],VOL_VOLUMEN_SUMINISTROS[[#This Row],[FIN DE SEMANA]])</f>
        <v>31052-1NO</v>
      </c>
      <c r="E862" s="30" t="s">
        <v>146</v>
      </c>
      <c r="F862" s="30" t="s">
        <v>147</v>
      </c>
      <c r="G862" s="360">
        <v>3</v>
      </c>
      <c r="H862" s="30">
        <v>4</v>
      </c>
      <c r="I862" s="9" t="s">
        <v>600</v>
      </c>
      <c r="J862" s="9" t="s">
        <v>660</v>
      </c>
      <c r="K862" s="30">
        <v>3</v>
      </c>
      <c r="L862" s="9" t="s">
        <v>662</v>
      </c>
      <c r="M862" s="30" t="s">
        <v>84</v>
      </c>
      <c r="N862" s="30" t="s">
        <v>154</v>
      </c>
      <c r="O862" s="24">
        <v>58</v>
      </c>
      <c r="P862" s="24">
        <v>107</v>
      </c>
      <c r="Q862" s="24">
        <v>26</v>
      </c>
      <c r="R862" s="24">
        <v>0</v>
      </c>
      <c r="S862" s="24">
        <v>0</v>
      </c>
      <c r="T862" s="24">
        <v>191</v>
      </c>
    </row>
    <row r="863" spans="1:20">
      <c r="A863" s="9" t="s">
        <v>554</v>
      </c>
      <c r="B863" s="30" t="s">
        <v>653</v>
      </c>
      <c r="C863" s="30" t="str">
        <f>CONCATENATE(VOL_VOLUMEN_SUMINISTROS[[#This Row],[Proyecto]],VOL_VOLUMEN_SUMINISTROS[[#This Row],[J]],VOL_VOLUMEN_SUMINISTROS[[#This Row],[FIN DE SEMANA]])</f>
        <v>1052-1MNO</v>
      </c>
      <c r="D863" s="360" t="str">
        <f>CONCATENATE(VOL_VOLUMEN_SUMINISTROS[[#This Row],[Grupo]],VOL_VOLUMEN_SUMINISTROS[[#This Row],[Proyecto]],VOL_VOLUMEN_SUMINISTROS[[#This Row],[FIN DE SEMANA]])</f>
        <v>31052-1NO</v>
      </c>
      <c r="E863" s="30" t="s">
        <v>146</v>
      </c>
      <c r="F863" s="30" t="s">
        <v>147</v>
      </c>
      <c r="G863" s="360">
        <v>3</v>
      </c>
      <c r="H863" s="30">
        <v>4</v>
      </c>
      <c r="I863" s="9" t="s">
        <v>600</v>
      </c>
      <c r="J863" s="9" t="s">
        <v>663</v>
      </c>
      <c r="K863" s="30">
        <v>1</v>
      </c>
      <c r="L863" s="9" t="s">
        <v>349</v>
      </c>
      <c r="M863" s="30" t="s">
        <v>84</v>
      </c>
      <c r="N863" s="30" t="s">
        <v>151</v>
      </c>
      <c r="O863" s="24">
        <v>90</v>
      </c>
      <c r="P863" s="24">
        <v>66</v>
      </c>
      <c r="Q863" s="24">
        <v>13</v>
      </c>
      <c r="R863" s="24">
        <v>0</v>
      </c>
      <c r="S863" s="24">
        <v>0</v>
      </c>
      <c r="T863" s="24">
        <v>169</v>
      </c>
    </row>
    <row r="864" spans="1:20">
      <c r="A864" s="9" t="s">
        <v>554</v>
      </c>
      <c r="B864" s="30" t="s">
        <v>653</v>
      </c>
      <c r="C864" s="30" t="str">
        <f>CONCATENATE(VOL_VOLUMEN_SUMINISTROS[[#This Row],[Proyecto]],VOL_VOLUMEN_SUMINISTROS[[#This Row],[J]],VOL_VOLUMEN_SUMINISTROS[[#This Row],[FIN DE SEMANA]])</f>
        <v>1052-1MNO</v>
      </c>
      <c r="D864" s="360" t="str">
        <f>CONCATENATE(VOL_VOLUMEN_SUMINISTROS[[#This Row],[Grupo]],VOL_VOLUMEN_SUMINISTROS[[#This Row],[Proyecto]],VOL_VOLUMEN_SUMINISTROS[[#This Row],[FIN DE SEMANA]])</f>
        <v>31052-1NO</v>
      </c>
      <c r="E864" s="30" t="s">
        <v>146</v>
      </c>
      <c r="F864" s="30" t="s">
        <v>147</v>
      </c>
      <c r="G864" s="360">
        <v>3</v>
      </c>
      <c r="H864" s="30">
        <v>4</v>
      </c>
      <c r="I864" s="9" t="s">
        <v>600</v>
      </c>
      <c r="J864" s="9" t="s">
        <v>664</v>
      </c>
      <c r="K864" s="30">
        <v>1</v>
      </c>
      <c r="L864" s="9" t="s">
        <v>665</v>
      </c>
      <c r="M864" s="30" t="s">
        <v>84</v>
      </c>
      <c r="N864" s="30" t="s">
        <v>151</v>
      </c>
      <c r="O864" s="24">
        <v>0</v>
      </c>
      <c r="P864" s="24">
        <v>198</v>
      </c>
      <c r="Q864" s="24">
        <v>513</v>
      </c>
      <c r="R864" s="24">
        <v>0</v>
      </c>
      <c r="S864" s="24">
        <v>0</v>
      </c>
      <c r="T864" s="24">
        <v>711</v>
      </c>
    </row>
    <row r="865" spans="1:20">
      <c r="A865" s="9" t="s">
        <v>554</v>
      </c>
      <c r="B865" s="30" t="s">
        <v>653</v>
      </c>
      <c r="C865" s="30" t="str">
        <f>CONCATENATE(VOL_VOLUMEN_SUMINISTROS[[#This Row],[Proyecto]],VOL_VOLUMEN_SUMINISTROS[[#This Row],[J]],VOL_VOLUMEN_SUMINISTROS[[#This Row],[FIN DE SEMANA]])</f>
        <v>1052-1TNO</v>
      </c>
      <c r="D865" s="360" t="str">
        <f>CONCATENATE(VOL_VOLUMEN_SUMINISTROS[[#This Row],[Grupo]],VOL_VOLUMEN_SUMINISTROS[[#This Row],[Proyecto]],VOL_VOLUMEN_SUMINISTROS[[#This Row],[FIN DE SEMANA]])</f>
        <v>31052-1NO</v>
      </c>
      <c r="E865" s="30" t="s">
        <v>146</v>
      </c>
      <c r="F865" s="30" t="s">
        <v>147</v>
      </c>
      <c r="G865" s="360">
        <v>3</v>
      </c>
      <c r="H865" s="30">
        <v>4</v>
      </c>
      <c r="I865" s="9" t="s">
        <v>600</v>
      </c>
      <c r="J865" s="9" t="s">
        <v>664</v>
      </c>
      <c r="K865" s="30">
        <v>1</v>
      </c>
      <c r="L865" s="9" t="s">
        <v>665</v>
      </c>
      <c r="M865" s="30" t="s">
        <v>84</v>
      </c>
      <c r="N865" s="30" t="s">
        <v>154</v>
      </c>
      <c r="O865" s="24">
        <v>0</v>
      </c>
      <c r="P865" s="24">
        <v>132</v>
      </c>
      <c r="Q865" s="24">
        <v>201</v>
      </c>
      <c r="R865" s="24">
        <v>0</v>
      </c>
      <c r="S865" s="24">
        <v>0</v>
      </c>
      <c r="T865" s="24">
        <v>333</v>
      </c>
    </row>
    <row r="866" spans="1:20">
      <c r="A866" s="9" t="s">
        <v>554</v>
      </c>
      <c r="B866" s="30" t="s">
        <v>653</v>
      </c>
      <c r="C866" s="30" t="str">
        <f>CONCATENATE(VOL_VOLUMEN_SUMINISTROS[[#This Row],[Proyecto]],VOL_VOLUMEN_SUMINISTROS[[#This Row],[J]],VOL_VOLUMEN_SUMINISTROS[[#This Row],[FIN DE SEMANA]])</f>
        <v>1052-1MNO</v>
      </c>
      <c r="D866" s="360" t="str">
        <f>CONCATENATE(VOL_VOLUMEN_SUMINISTROS[[#This Row],[Grupo]],VOL_VOLUMEN_SUMINISTROS[[#This Row],[Proyecto]],VOL_VOLUMEN_SUMINISTROS[[#This Row],[FIN DE SEMANA]])</f>
        <v>31052-1NO</v>
      </c>
      <c r="E866" s="30" t="s">
        <v>146</v>
      </c>
      <c r="F866" s="30" t="s">
        <v>147</v>
      </c>
      <c r="G866" s="360">
        <v>3</v>
      </c>
      <c r="H866" s="30">
        <v>4</v>
      </c>
      <c r="I866" s="9" t="s">
        <v>600</v>
      </c>
      <c r="J866" s="9" t="s">
        <v>664</v>
      </c>
      <c r="K866" s="30">
        <v>2</v>
      </c>
      <c r="L866" s="9" t="s">
        <v>666</v>
      </c>
      <c r="M866" s="30" t="s">
        <v>84</v>
      </c>
      <c r="N866" s="30" t="s">
        <v>151</v>
      </c>
      <c r="O866" s="24">
        <v>178</v>
      </c>
      <c r="P866" s="24">
        <v>159</v>
      </c>
      <c r="Q866" s="24">
        <v>35</v>
      </c>
      <c r="R866" s="24">
        <v>0</v>
      </c>
      <c r="S866" s="24">
        <v>0</v>
      </c>
      <c r="T866" s="24">
        <v>372</v>
      </c>
    </row>
    <row r="867" spans="1:20">
      <c r="A867" s="9" t="s">
        <v>554</v>
      </c>
      <c r="B867" s="30" t="s">
        <v>653</v>
      </c>
      <c r="C867" s="30" t="str">
        <f>CONCATENATE(VOL_VOLUMEN_SUMINISTROS[[#This Row],[Proyecto]],VOL_VOLUMEN_SUMINISTROS[[#This Row],[J]],VOL_VOLUMEN_SUMINISTROS[[#This Row],[FIN DE SEMANA]])</f>
        <v>1052-1TNO</v>
      </c>
      <c r="D867" s="360" t="str">
        <f>CONCATENATE(VOL_VOLUMEN_SUMINISTROS[[#This Row],[Grupo]],VOL_VOLUMEN_SUMINISTROS[[#This Row],[Proyecto]],VOL_VOLUMEN_SUMINISTROS[[#This Row],[FIN DE SEMANA]])</f>
        <v>31052-1NO</v>
      </c>
      <c r="E867" s="30" t="s">
        <v>146</v>
      </c>
      <c r="F867" s="30" t="s">
        <v>147</v>
      </c>
      <c r="G867" s="360">
        <v>3</v>
      </c>
      <c r="H867" s="30">
        <v>4</v>
      </c>
      <c r="I867" s="9" t="s">
        <v>600</v>
      </c>
      <c r="J867" s="9" t="s">
        <v>664</v>
      </c>
      <c r="K867" s="30">
        <v>2</v>
      </c>
      <c r="L867" s="9" t="s">
        <v>666</v>
      </c>
      <c r="M867" s="30" t="s">
        <v>84</v>
      </c>
      <c r="N867" s="30" t="s">
        <v>154</v>
      </c>
      <c r="O867" s="24">
        <v>203</v>
      </c>
      <c r="P867" s="24">
        <v>112</v>
      </c>
      <c r="Q867" s="24">
        <v>17</v>
      </c>
      <c r="R867" s="24">
        <v>0</v>
      </c>
      <c r="S867" s="24">
        <v>0</v>
      </c>
      <c r="T867" s="24">
        <v>332</v>
      </c>
    </row>
    <row r="868" spans="1:20">
      <c r="A868" s="9" t="s">
        <v>554</v>
      </c>
      <c r="B868" s="30" t="s">
        <v>653</v>
      </c>
      <c r="C868" s="30" t="str">
        <f>CONCATENATE(VOL_VOLUMEN_SUMINISTROS[[#This Row],[Proyecto]],VOL_VOLUMEN_SUMINISTROS[[#This Row],[J]],VOL_VOLUMEN_SUMINISTROS[[#This Row],[FIN DE SEMANA]])</f>
        <v>1052-1MNO</v>
      </c>
      <c r="D868" s="360" t="str">
        <f>CONCATENATE(VOL_VOLUMEN_SUMINISTROS[[#This Row],[Grupo]],VOL_VOLUMEN_SUMINISTROS[[#This Row],[Proyecto]],VOL_VOLUMEN_SUMINISTROS[[#This Row],[FIN DE SEMANA]])</f>
        <v>31052-1NO</v>
      </c>
      <c r="E868" s="30" t="s">
        <v>146</v>
      </c>
      <c r="F868" s="30" t="s">
        <v>147</v>
      </c>
      <c r="G868" s="360">
        <v>3</v>
      </c>
      <c r="H868" s="30">
        <v>4</v>
      </c>
      <c r="I868" s="9" t="s">
        <v>600</v>
      </c>
      <c r="J868" s="9" t="s">
        <v>664</v>
      </c>
      <c r="K868" s="30">
        <v>3</v>
      </c>
      <c r="L868" s="9" t="s">
        <v>667</v>
      </c>
      <c r="M868" s="30" t="s">
        <v>84</v>
      </c>
      <c r="N868" s="30" t="s">
        <v>151</v>
      </c>
      <c r="O868" s="24">
        <v>114</v>
      </c>
      <c r="P868" s="24">
        <v>77</v>
      </c>
      <c r="Q868" s="24">
        <v>11</v>
      </c>
      <c r="R868" s="24">
        <v>0</v>
      </c>
      <c r="S868" s="24">
        <v>0</v>
      </c>
      <c r="T868" s="24">
        <v>202</v>
      </c>
    </row>
    <row r="869" spans="1:20">
      <c r="A869" s="9" t="s">
        <v>554</v>
      </c>
      <c r="B869" s="30" t="s">
        <v>653</v>
      </c>
      <c r="C869" s="30" t="str">
        <f>CONCATENATE(VOL_VOLUMEN_SUMINISTROS[[#This Row],[Proyecto]],VOL_VOLUMEN_SUMINISTROS[[#This Row],[J]],VOL_VOLUMEN_SUMINISTROS[[#This Row],[FIN DE SEMANA]])</f>
        <v>1052-1TNO</v>
      </c>
      <c r="D869" s="360" t="str">
        <f>CONCATENATE(VOL_VOLUMEN_SUMINISTROS[[#This Row],[Grupo]],VOL_VOLUMEN_SUMINISTROS[[#This Row],[Proyecto]],VOL_VOLUMEN_SUMINISTROS[[#This Row],[FIN DE SEMANA]])</f>
        <v>31052-1NO</v>
      </c>
      <c r="E869" s="30" t="s">
        <v>146</v>
      </c>
      <c r="F869" s="30" t="s">
        <v>147</v>
      </c>
      <c r="G869" s="360">
        <v>3</v>
      </c>
      <c r="H869" s="30">
        <v>4</v>
      </c>
      <c r="I869" s="9" t="s">
        <v>600</v>
      </c>
      <c r="J869" s="9" t="s">
        <v>664</v>
      </c>
      <c r="K869" s="30">
        <v>3</v>
      </c>
      <c r="L869" s="9" t="s">
        <v>667</v>
      </c>
      <c r="M869" s="30" t="s">
        <v>84</v>
      </c>
      <c r="N869" s="30" t="s">
        <v>154</v>
      </c>
      <c r="O869" s="24">
        <v>103</v>
      </c>
      <c r="P869" s="24">
        <v>68</v>
      </c>
      <c r="Q869" s="24">
        <v>10</v>
      </c>
      <c r="R869" s="24">
        <v>0</v>
      </c>
      <c r="S869" s="24">
        <v>0</v>
      </c>
      <c r="T869" s="24">
        <v>181</v>
      </c>
    </row>
    <row r="870" spans="1:20">
      <c r="A870" s="9" t="s">
        <v>554</v>
      </c>
      <c r="B870" s="30" t="s">
        <v>653</v>
      </c>
      <c r="C870" s="30" t="str">
        <f>CONCATENATE(VOL_VOLUMEN_SUMINISTROS[[#This Row],[Proyecto]],VOL_VOLUMEN_SUMINISTROS[[#This Row],[J]],VOL_VOLUMEN_SUMINISTROS[[#This Row],[FIN DE SEMANA]])</f>
        <v>1052-1MNO</v>
      </c>
      <c r="D870" s="360" t="str">
        <f>CONCATENATE(VOL_VOLUMEN_SUMINISTROS[[#This Row],[Grupo]],VOL_VOLUMEN_SUMINISTROS[[#This Row],[Proyecto]],VOL_VOLUMEN_SUMINISTROS[[#This Row],[FIN DE SEMANA]])</f>
        <v>31052-1NO</v>
      </c>
      <c r="E870" s="30" t="s">
        <v>146</v>
      </c>
      <c r="F870" s="30" t="s">
        <v>147</v>
      </c>
      <c r="G870" s="360">
        <v>3</v>
      </c>
      <c r="H870" s="30">
        <v>4</v>
      </c>
      <c r="I870" s="9" t="s">
        <v>600</v>
      </c>
      <c r="J870" s="9" t="s">
        <v>668</v>
      </c>
      <c r="K870" s="30">
        <v>1</v>
      </c>
      <c r="L870" s="9" t="s">
        <v>669</v>
      </c>
      <c r="M870" s="30" t="s">
        <v>84</v>
      </c>
      <c r="N870" s="30" t="s">
        <v>151</v>
      </c>
      <c r="O870" s="24">
        <v>0</v>
      </c>
      <c r="P870" s="24">
        <v>156</v>
      </c>
      <c r="Q870" s="24">
        <v>329</v>
      </c>
      <c r="R870" s="24">
        <v>0</v>
      </c>
      <c r="S870" s="24">
        <v>0</v>
      </c>
      <c r="T870" s="24">
        <v>485</v>
      </c>
    </row>
    <row r="871" spans="1:20">
      <c r="A871" s="9" t="s">
        <v>554</v>
      </c>
      <c r="B871" s="30" t="s">
        <v>653</v>
      </c>
      <c r="C871" s="30" t="str">
        <f>CONCATENATE(VOL_VOLUMEN_SUMINISTROS[[#This Row],[Proyecto]],VOL_VOLUMEN_SUMINISTROS[[#This Row],[J]],VOL_VOLUMEN_SUMINISTROS[[#This Row],[FIN DE SEMANA]])</f>
        <v>1052-1NNO</v>
      </c>
      <c r="D871" s="360" t="str">
        <f>CONCATENATE(VOL_VOLUMEN_SUMINISTROS[[#This Row],[Grupo]],VOL_VOLUMEN_SUMINISTROS[[#This Row],[Proyecto]],VOL_VOLUMEN_SUMINISTROS[[#This Row],[FIN DE SEMANA]])</f>
        <v>31052-1NO</v>
      </c>
      <c r="E871" s="30" t="s">
        <v>146</v>
      </c>
      <c r="F871" s="30" t="s">
        <v>147</v>
      </c>
      <c r="G871" s="360">
        <v>3</v>
      </c>
      <c r="H871" s="30">
        <v>4</v>
      </c>
      <c r="I871" s="9" t="s">
        <v>600</v>
      </c>
      <c r="J871" s="9" t="s">
        <v>668</v>
      </c>
      <c r="K871" s="30">
        <v>1</v>
      </c>
      <c r="L871" s="9" t="s">
        <v>669</v>
      </c>
      <c r="M871" s="30" t="s">
        <v>84</v>
      </c>
      <c r="N871" s="30" t="s">
        <v>153</v>
      </c>
      <c r="O871" s="24">
        <v>0</v>
      </c>
      <c r="P871" s="24">
        <v>0</v>
      </c>
      <c r="Q871" s="24">
        <v>0</v>
      </c>
      <c r="R871" s="24">
        <v>74</v>
      </c>
      <c r="S871" s="24">
        <v>110</v>
      </c>
      <c r="T871" s="24">
        <v>184</v>
      </c>
    </row>
    <row r="872" spans="1:20">
      <c r="A872" s="9" t="s">
        <v>554</v>
      </c>
      <c r="B872" s="30" t="s">
        <v>653</v>
      </c>
      <c r="C872" s="30" t="str">
        <f>CONCATENATE(VOL_VOLUMEN_SUMINISTROS[[#This Row],[Proyecto]],VOL_VOLUMEN_SUMINISTROS[[#This Row],[J]],VOL_VOLUMEN_SUMINISTROS[[#This Row],[FIN DE SEMANA]])</f>
        <v>1052-1TNO</v>
      </c>
      <c r="D872" s="360" t="str">
        <f>CONCATENATE(VOL_VOLUMEN_SUMINISTROS[[#This Row],[Grupo]],VOL_VOLUMEN_SUMINISTROS[[#This Row],[Proyecto]],VOL_VOLUMEN_SUMINISTROS[[#This Row],[FIN DE SEMANA]])</f>
        <v>31052-1NO</v>
      </c>
      <c r="E872" s="30" t="s">
        <v>146</v>
      </c>
      <c r="F872" s="30" t="s">
        <v>147</v>
      </c>
      <c r="G872" s="360">
        <v>3</v>
      </c>
      <c r="H872" s="30">
        <v>4</v>
      </c>
      <c r="I872" s="9" t="s">
        <v>600</v>
      </c>
      <c r="J872" s="9" t="s">
        <v>668</v>
      </c>
      <c r="K872" s="30">
        <v>1</v>
      </c>
      <c r="L872" s="9" t="s">
        <v>669</v>
      </c>
      <c r="M872" s="30" t="s">
        <v>84</v>
      </c>
      <c r="N872" s="30" t="s">
        <v>154</v>
      </c>
      <c r="O872" s="24">
        <v>0</v>
      </c>
      <c r="P872" s="24">
        <v>108</v>
      </c>
      <c r="Q872" s="24">
        <v>266</v>
      </c>
      <c r="R872" s="24">
        <v>0</v>
      </c>
      <c r="S872" s="24">
        <v>0</v>
      </c>
      <c r="T872" s="24">
        <v>374</v>
      </c>
    </row>
    <row r="873" spans="1:20">
      <c r="A873" s="9" t="s">
        <v>554</v>
      </c>
      <c r="B873" s="30" t="s">
        <v>653</v>
      </c>
      <c r="C873" s="30" t="str">
        <f>CONCATENATE(VOL_VOLUMEN_SUMINISTROS[[#This Row],[Proyecto]],VOL_VOLUMEN_SUMINISTROS[[#This Row],[J]],VOL_VOLUMEN_SUMINISTROS[[#This Row],[FIN DE SEMANA]])</f>
        <v>1052-1MNO</v>
      </c>
      <c r="D873" s="360" t="str">
        <f>CONCATENATE(VOL_VOLUMEN_SUMINISTROS[[#This Row],[Grupo]],VOL_VOLUMEN_SUMINISTROS[[#This Row],[Proyecto]],VOL_VOLUMEN_SUMINISTROS[[#This Row],[FIN DE SEMANA]])</f>
        <v>31052-1NO</v>
      </c>
      <c r="E873" s="30" t="s">
        <v>146</v>
      </c>
      <c r="F873" s="30" t="s">
        <v>147</v>
      </c>
      <c r="G873" s="360">
        <v>3</v>
      </c>
      <c r="H873" s="30">
        <v>4</v>
      </c>
      <c r="I873" s="9" t="s">
        <v>600</v>
      </c>
      <c r="J873" s="9" t="s">
        <v>668</v>
      </c>
      <c r="K873" s="30">
        <v>2</v>
      </c>
      <c r="L873" s="9" t="s">
        <v>670</v>
      </c>
      <c r="M873" s="30" t="s">
        <v>84</v>
      </c>
      <c r="N873" s="30" t="s">
        <v>151</v>
      </c>
      <c r="O873" s="24">
        <v>70</v>
      </c>
      <c r="P873" s="24">
        <v>188</v>
      </c>
      <c r="Q873" s="24">
        <v>51</v>
      </c>
      <c r="R873" s="24">
        <v>0</v>
      </c>
      <c r="S873" s="24">
        <v>0</v>
      </c>
      <c r="T873" s="24">
        <v>309</v>
      </c>
    </row>
    <row r="874" spans="1:20">
      <c r="A874" s="9" t="s">
        <v>554</v>
      </c>
      <c r="B874" s="30" t="s">
        <v>653</v>
      </c>
      <c r="C874" s="30" t="str">
        <f>CONCATENATE(VOL_VOLUMEN_SUMINISTROS[[#This Row],[Proyecto]],VOL_VOLUMEN_SUMINISTROS[[#This Row],[J]],VOL_VOLUMEN_SUMINISTROS[[#This Row],[FIN DE SEMANA]])</f>
        <v>1052-1TNO</v>
      </c>
      <c r="D874" s="360" t="str">
        <f>CONCATENATE(VOL_VOLUMEN_SUMINISTROS[[#This Row],[Grupo]],VOL_VOLUMEN_SUMINISTROS[[#This Row],[Proyecto]],VOL_VOLUMEN_SUMINISTROS[[#This Row],[FIN DE SEMANA]])</f>
        <v>31052-1NO</v>
      </c>
      <c r="E874" s="30" t="s">
        <v>146</v>
      </c>
      <c r="F874" s="30" t="s">
        <v>147</v>
      </c>
      <c r="G874" s="360">
        <v>3</v>
      </c>
      <c r="H874" s="30">
        <v>4</v>
      </c>
      <c r="I874" s="9" t="s">
        <v>600</v>
      </c>
      <c r="J874" s="9" t="s">
        <v>668</v>
      </c>
      <c r="K874" s="30">
        <v>2</v>
      </c>
      <c r="L874" s="9" t="s">
        <v>670</v>
      </c>
      <c r="M874" s="30" t="s">
        <v>84</v>
      </c>
      <c r="N874" s="30" t="s">
        <v>154</v>
      </c>
      <c r="O874" s="24">
        <v>120</v>
      </c>
      <c r="P874" s="24">
        <v>162</v>
      </c>
      <c r="Q874" s="24">
        <v>34</v>
      </c>
      <c r="R874" s="24">
        <v>0</v>
      </c>
      <c r="S874" s="24">
        <v>0</v>
      </c>
      <c r="T874" s="24">
        <v>316</v>
      </c>
    </row>
    <row r="875" spans="1:20">
      <c r="A875" s="9" t="s">
        <v>554</v>
      </c>
      <c r="B875" s="30" t="s">
        <v>653</v>
      </c>
      <c r="C875" s="30" t="str">
        <f>CONCATENATE(VOL_VOLUMEN_SUMINISTROS[[#This Row],[Proyecto]],VOL_VOLUMEN_SUMINISTROS[[#This Row],[J]],VOL_VOLUMEN_SUMINISTROS[[#This Row],[FIN DE SEMANA]])</f>
        <v>1052-1MNO</v>
      </c>
      <c r="D875" s="360" t="str">
        <f>CONCATENATE(VOL_VOLUMEN_SUMINISTROS[[#This Row],[Grupo]],VOL_VOLUMEN_SUMINISTROS[[#This Row],[Proyecto]],VOL_VOLUMEN_SUMINISTROS[[#This Row],[FIN DE SEMANA]])</f>
        <v>31052-1NO</v>
      </c>
      <c r="E875" s="30" t="s">
        <v>146</v>
      </c>
      <c r="F875" s="30" t="s">
        <v>147</v>
      </c>
      <c r="G875" s="360">
        <v>3</v>
      </c>
      <c r="H875" s="30">
        <v>4</v>
      </c>
      <c r="I875" s="9" t="s">
        <v>600</v>
      </c>
      <c r="J875" s="9" t="s">
        <v>668</v>
      </c>
      <c r="K875" s="30">
        <v>3</v>
      </c>
      <c r="L875" s="9" t="s">
        <v>671</v>
      </c>
      <c r="M875" s="30" t="s">
        <v>84</v>
      </c>
      <c r="N875" s="30" t="s">
        <v>151</v>
      </c>
      <c r="O875" s="24">
        <v>158</v>
      </c>
      <c r="P875" s="24">
        <v>0</v>
      </c>
      <c r="Q875" s="24">
        <v>0</v>
      </c>
      <c r="R875" s="24">
        <v>0</v>
      </c>
      <c r="S875" s="24">
        <v>0</v>
      </c>
      <c r="T875" s="24">
        <v>158</v>
      </c>
    </row>
    <row r="876" spans="1:20">
      <c r="A876" s="9" t="s">
        <v>554</v>
      </c>
      <c r="B876" s="30" t="s">
        <v>653</v>
      </c>
      <c r="C876" s="30" t="str">
        <f>CONCATENATE(VOL_VOLUMEN_SUMINISTROS[[#This Row],[Proyecto]],VOL_VOLUMEN_SUMINISTROS[[#This Row],[J]],VOL_VOLUMEN_SUMINISTROS[[#This Row],[FIN DE SEMANA]])</f>
        <v>1052-1TNO</v>
      </c>
      <c r="D876" s="360" t="str">
        <f>CONCATENATE(VOL_VOLUMEN_SUMINISTROS[[#This Row],[Grupo]],VOL_VOLUMEN_SUMINISTROS[[#This Row],[Proyecto]],VOL_VOLUMEN_SUMINISTROS[[#This Row],[FIN DE SEMANA]])</f>
        <v>31052-1NO</v>
      </c>
      <c r="E876" s="30" t="s">
        <v>146</v>
      </c>
      <c r="F876" s="30" t="s">
        <v>147</v>
      </c>
      <c r="G876" s="360">
        <v>3</v>
      </c>
      <c r="H876" s="30">
        <v>4</v>
      </c>
      <c r="I876" s="9" t="s">
        <v>600</v>
      </c>
      <c r="J876" s="9" t="s">
        <v>668</v>
      </c>
      <c r="K876" s="30">
        <v>3</v>
      </c>
      <c r="L876" s="9" t="s">
        <v>671</v>
      </c>
      <c r="M876" s="30" t="s">
        <v>84</v>
      </c>
      <c r="N876" s="30" t="s">
        <v>154</v>
      </c>
      <c r="O876" s="24">
        <v>150</v>
      </c>
      <c r="P876" s="24">
        <v>0</v>
      </c>
      <c r="Q876" s="24">
        <v>0</v>
      </c>
      <c r="R876" s="24">
        <v>0</v>
      </c>
      <c r="S876" s="24">
        <v>0</v>
      </c>
      <c r="T876" s="24">
        <v>150</v>
      </c>
    </row>
    <row r="877" spans="1:20">
      <c r="A877" s="9" t="s">
        <v>554</v>
      </c>
      <c r="B877" s="30" t="s">
        <v>653</v>
      </c>
      <c r="C877" s="30" t="str">
        <f>CONCATENATE(VOL_VOLUMEN_SUMINISTROS[[#This Row],[Proyecto]],VOL_VOLUMEN_SUMINISTROS[[#This Row],[J]],VOL_VOLUMEN_SUMINISTROS[[#This Row],[FIN DE SEMANA]])</f>
        <v>1052-1MNO</v>
      </c>
      <c r="D877" s="360" t="str">
        <f>CONCATENATE(VOL_VOLUMEN_SUMINISTROS[[#This Row],[Grupo]],VOL_VOLUMEN_SUMINISTROS[[#This Row],[Proyecto]],VOL_VOLUMEN_SUMINISTROS[[#This Row],[FIN DE SEMANA]])</f>
        <v>31052-1NO</v>
      </c>
      <c r="E877" s="30" t="s">
        <v>146</v>
      </c>
      <c r="F877" s="30" t="s">
        <v>147</v>
      </c>
      <c r="G877" s="360">
        <v>3</v>
      </c>
      <c r="H877" s="30">
        <v>4</v>
      </c>
      <c r="I877" s="9" t="s">
        <v>600</v>
      </c>
      <c r="J877" s="9" t="s">
        <v>672</v>
      </c>
      <c r="K877" s="30">
        <v>1</v>
      </c>
      <c r="L877" s="9" t="s">
        <v>673</v>
      </c>
      <c r="M877" s="30" t="s">
        <v>84</v>
      </c>
      <c r="N877" s="30" t="s">
        <v>151</v>
      </c>
      <c r="O877" s="24">
        <v>0</v>
      </c>
      <c r="P877" s="24">
        <v>54</v>
      </c>
      <c r="Q877" s="24">
        <v>123</v>
      </c>
      <c r="R877" s="24">
        <v>0</v>
      </c>
      <c r="S877" s="24">
        <v>0</v>
      </c>
      <c r="T877" s="24">
        <v>177</v>
      </c>
    </row>
    <row r="878" spans="1:20">
      <c r="A878" s="9" t="s">
        <v>554</v>
      </c>
      <c r="B878" s="30" t="s">
        <v>653</v>
      </c>
      <c r="C878" s="30" t="str">
        <f>CONCATENATE(VOL_VOLUMEN_SUMINISTROS[[#This Row],[Proyecto]],VOL_VOLUMEN_SUMINISTROS[[#This Row],[J]],VOL_VOLUMEN_SUMINISTROS[[#This Row],[FIN DE SEMANA]])</f>
        <v>1052-1TNO</v>
      </c>
      <c r="D878" s="360" t="str">
        <f>CONCATENATE(VOL_VOLUMEN_SUMINISTROS[[#This Row],[Grupo]],VOL_VOLUMEN_SUMINISTROS[[#This Row],[Proyecto]],VOL_VOLUMEN_SUMINISTROS[[#This Row],[FIN DE SEMANA]])</f>
        <v>31052-1NO</v>
      </c>
      <c r="E878" s="30" t="s">
        <v>146</v>
      </c>
      <c r="F878" s="30" t="s">
        <v>147</v>
      </c>
      <c r="G878" s="360">
        <v>3</v>
      </c>
      <c r="H878" s="30">
        <v>4</v>
      </c>
      <c r="I878" s="9" t="s">
        <v>600</v>
      </c>
      <c r="J878" s="9" t="s">
        <v>672</v>
      </c>
      <c r="K878" s="30">
        <v>1</v>
      </c>
      <c r="L878" s="9" t="s">
        <v>673</v>
      </c>
      <c r="M878" s="30" t="s">
        <v>84</v>
      </c>
      <c r="N878" s="30" t="s">
        <v>154</v>
      </c>
      <c r="O878" s="24">
        <v>0</v>
      </c>
      <c r="P878" s="24">
        <v>42</v>
      </c>
      <c r="Q878" s="24">
        <v>98</v>
      </c>
      <c r="R878" s="24">
        <v>0</v>
      </c>
      <c r="S878" s="24">
        <v>0</v>
      </c>
      <c r="T878" s="24">
        <v>140</v>
      </c>
    </row>
    <row r="879" spans="1:20">
      <c r="A879" s="9" t="s">
        <v>554</v>
      </c>
      <c r="B879" s="30" t="s">
        <v>653</v>
      </c>
      <c r="C879" s="30" t="str">
        <f>CONCATENATE(VOL_VOLUMEN_SUMINISTROS[[#This Row],[Proyecto]],VOL_VOLUMEN_SUMINISTROS[[#This Row],[J]],VOL_VOLUMEN_SUMINISTROS[[#This Row],[FIN DE SEMANA]])</f>
        <v>1052-1MNO</v>
      </c>
      <c r="D879" s="360" t="str">
        <f>CONCATENATE(VOL_VOLUMEN_SUMINISTROS[[#This Row],[Grupo]],VOL_VOLUMEN_SUMINISTROS[[#This Row],[Proyecto]],VOL_VOLUMEN_SUMINISTROS[[#This Row],[FIN DE SEMANA]])</f>
        <v>31052-1NO</v>
      </c>
      <c r="E879" s="30" t="s">
        <v>146</v>
      </c>
      <c r="F879" s="30" t="s">
        <v>147</v>
      </c>
      <c r="G879" s="360">
        <v>3</v>
      </c>
      <c r="H879" s="30">
        <v>4</v>
      </c>
      <c r="I879" s="9" t="s">
        <v>600</v>
      </c>
      <c r="J879" s="9" t="s">
        <v>672</v>
      </c>
      <c r="K879" s="30">
        <v>2</v>
      </c>
      <c r="L879" s="9" t="s">
        <v>674</v>
      </c>
      <c r="M879" s="30" t="s">
        <v>84</v>
      </c>
      <c r="N879" s="30" t="s">
        <v>151</v>
      </c>
      <c r="O879" s="24">
        <v>169</v>
      </c>
      <c r="P879" s="24">
        <v>118</v>
      </c>
      <c r="Q879" s="24">
        <v>21</v>
      </c>
      <c r="R879" s="24">
        <v>0</v>
      </c>
      <c r="S879" s="24">
        <v>0</v>
      </c>
      <c r="T879" s="24">
        <v>308</v>
      </c>
    </row>
    <row r="880" spans="1:20">
      <c r="A880" s="9" t="s">
        <v>554</v>
      </c>
      <c r="B880" s="30" t="s">
        <v>653</v>
      </c>
      <c r="C880" s="30" t="str">
        <f>CONCATENATE(VOL_VOLUMEN_SUMINISTROS[[#This Row],[Proyecto]],VOL_VOLUMEN_SUMINISTROS[[#This Row],[J]],VOL_VOLUMEN_SUMINISTROS[[#This Row],[FIN DE SEMANA]])</f>
        <v>1052-1TNO</v>
      </c>
      <c r="D880" s="360" t="str">
        <f>CONCATENATE(VOL_VOLUMEN_SUMINISTROS[[#This Row],[Grupo]],VOL_VOLUMEN_SUMINISTROS[[#This Row],[Proyecto]],VOL_VOLUMEN_SUMINISTROS[[#This Row],[FIN DE SEMANA]])</f>
        <v>31052-1NO</v>
      </c>
      <c r="E880" s="30" t="s">
        <v>146</v>
      </c>
      <c r="F880" s="30" t="s">
        <v>147</v>
      </c>
      <c r="G880" s="360">
        <v>3</v>
      </c>
      <c r="H880" s="30">
        <v>4</v>
      </c>
      <c r="I880" s="9" t="s">
        <v>600</v>
      </c>
      <c r="J880" s="9" t="s">
        <v>672</v>
      </c>
      <c r="K880" s="30">
        <v>2</v>
      </c>
      <c r="L880" s="9" t="s">
        <v>674</v>
      </c>
      <c r="M880" s="30" t="s">
        <v>84</v>
      </c>
      <c r="N880" s="30" t="s">
        <v>154</v>
      </c>
      <c r="O880" s="24">
        <v>104</v>
      </c>
      <c r="P880" s="24">
        <v>74</v>
      </c>
      <c r="Q880" s="24">
        <v>14</v>
      </c>
      <c r="R880" s="24">
        <v>0</v>
      </c>
      <c r="S880" s="24">
        <v>0</v>
      </c>
      <c r="T880" s="24">
        <v>192</v>
      </c>
    </row>
    <row r="881" spans="1:20">
      <c r="A881" s="9" t="s">
        <v>554</v>
      </c>
      <c r="B881" s="30" t="s">
        <v>653</v>
      </c>
      <c r="C881" s="30" t="str">
        <f>CONCATENATE(VOL_VOLUMEN_SUMINISTROS[[#This Row],[Proyecto]],VOL_VOLUMEN_SUMINISTROS[[#This Row],[J]],VOL_VOLUMEN_SUMINISTROS[[#This Row],[FIN DE SEMANA]])</f>
        <v>1052-1MNO</v>
      </c>
      <c r="D881" s="360" t="str">
        <f>CONCATENATE(VOL_VOLUMEN_SUMINISTROS[[#This Row],[Grupo]],VOL_VOLUMEN_SUMINISTROS[[#This Row],[Proyecto]],VOL_VOLUMEN_SUMINISTROS[[#This Row],[FIN DE SEMANA]])</f>
        <v>31052-1NO</v>
      </c>
      <c r="E881" s="30" t="s">
        <v>146</v>
      </c>
      <c r="F881" s="30" t="s">
        <v>147</v>
      </c>
      <c r="G881" s="360">
        <v>3</v>
      </c>
      <c r="H881" s="30">
        <v>4</v>
      </c>
      <c r="I881" s="9" t="s">
        <v>600</v>
      </c>
      <c r="J881" s="9" t="s">
        <v>675</v>
      </c>
      <c r="K881" s="30">
        <v>1</v>
      </c>
      <c r="L881" s="9" t="s">
        <v>676</v>
      </c>
      <c r="M881" s="30" t="s">
        <v>84</v>
      </c>
      <c r="N881" s="30" t="s">
        <v>151</v>
      </c>
      <c r="O881" s="24">
        <v>238</v>
      </c>
      <c r="P881" s="24">
        <v>277</v>
      </c>
      <c r="Q881" s="24">
        <v>375</v>
      </c>
      <c r="R881" s="24">
        <v>0</v>
      </c>
      <c r="S881" s="24">
        <v>0</v>
      </c>
      <c r="T881" s="24">
        <v>890</v>
      </c>
    </row>
    <row r="882" spans="1:20">
      <c r="A882" s="9" t="s">
        <v>554</v>
      </c>
      <c r="B882" s="30" t="s">
        <v>653</v>
      </c>
      <c r="C882" s="30" t="str">
        <f>CONCATENATE(VOL_VOLUMEN_SUMINISTROS[[#This Row],[Proyecto]],VOL_VOLUMEN_SUMINISTROS[[#This Row],[J]],VOL_VOLUMEN_SUMINISTROS[[#This Row],[FIN DE SEMANA]])</f>
        <v>1052-1TNO</v>
      </c>
      <c r="D882" s="360" t="str">
        <f>CONCATENATE(VOL_VOLUMEN_SUMINISTROS[[#This Row],[Grupo]],VOL_VOLUMEN_SUMINISTROS[[#This Row],[Proyecto]],VOL_VOLUMEN_SUMINISTROS[[#This Row],[FIN DE SEMANA]])</f>
        <v>31052-1NO</v>
      </c>
      <c r="E882" s="30" t="s">
        <v>146</v>
      </c>
      <c r="F882" s="30" t="s">
        <v>147</v>
      </c>
      <c r="G882" s="360">
        <v>3</v>
      </c>
      <c r="H882" s="30">
        <v>4</v>
      </c>
      <c r="I882" s="9" t="s">
        <v>600</v>
      </c>
      <c r="J882" s="9" t="s">
        <v>675</v>
      </c>
      <c r="K882" s="30">
        <v>1</v>
      </c>
      <c r="L882" s="9" t="s">
        <v>676</v>
      </c>
      <c r="M882" s="30" t="s">
        <v>84</v>
      </c>
      <c r="N882" s="30" t="s">
        <v>154</v>
      </c>
      <c r="O882" s="24">
        <v>194</v>
      </c>
      <c r="P882" s="24">
        <v>268</v>
      </c>
      <c r="Q882" s="24">
        <v>237</v>
      </c>
      <c r="R882" s="24">
        <v>0</v>
      </c>
      <c r="S882" s="24">
        <v>0</v>
      </c>
      <c r="T882" s="24">
        <v>699</v>
      </c>
    </row>
    <row r="883" spans="1:20">
      <c r="A883" s="9" t="s">
        <v>554</v>
      </c>
      <c r="B883" s="30" t="s">
        <v>653</v>
      </c>
      <c r="C883" s="30" t="str">
        <f>CONCATENATE(VOL_VOLUMEN_SUMINISTROS[[#This Row],[Proyecto]],VOL_VOLUMEN_SUMINISTROS[[#This Row],[J]],VOL_VOLUMEN_SUMINISTROS[[#This Row],[FIN DE SEMANA]])</f>
        <v>1052-1MNO</v>
      </c>
      <c r="D883" s="360" t="str">
        <f>CONCATENATE(VOL_VOLUMEN_SUMINISTROS[[#This Row],[Grupo]],VOL_VOLUMEN_SUMINISTROS[[#This Row],[Proyecto]],VOL_VOLUMEN_SUMINISTROS[[#This Row],[FIN DE SEMANA]])</f>
        <v>31052-1NO</v>
      </c>
      <c r="E883" s="30" t="s">
        <v>146</v>
      </c>
      <c r="F883" s="30" t="s">
        <v>147</v>
      </c>
      <c r="G883" s="360">
        <v>3</v>
      </c>
      <c r="H883" s="30">
        <v>4</v>
      </c>
      <c r="I883" s="9" t="s">
        <v>600</v>
      </c>
      <c r="J883" s="9" t="s">
        <v>675</v>
      </c>
      <c r="K883" s="30">
        <v>2</v>
      </c>
      <c r="L883" s="9" t="s">
        <v>677</v>
      </c>
      <c r="M883" s="30" t="s">
        <v>84</v>
      </c>
      <c r="N883" s="30" t="s">
        <v>151</v>
      </c>
      <c r="O883" s="24">
        <v>152</v>
      </c>
      <c r="P883" s="24">
        <v>101</v>
      </c>
      <c r="Q883" s="24">
        <v>15</v>
      </c>
      <c r="R883" s="24">
        <v>0</v>
      </c>
      <c r="S883" s="24">
        <v>0</v>
      </c>
      <c r="T883" s="24">
        <v>268</v>
      </c>
    </row>
    <row r="884" spans="1:20">
      <c r="A884" s="9" t="s">
        <v>554</v>
      </c>
      <c r="B884" s="30" t="s">
        <v>653</v>
      </c>
      <c r="C884" s="30" t="str">
        <f>CONCATENATE(VOL_VOLUMEN_SUMINISTROS[[#This Row],[Proyecto]],VOL_VOLUMEN_SUMINISTROS[[#This Row],[J]],VOL_VOLUMEN_SUMINISTROS[[#This Row],[FIN DE SEMANA]])</f>
        <v>1052-1TNO</v>
      </c>
      <c r="D884" s="360" t="str">
        <f>CONCATENATE(VOL_VOLUMEN_SUMINISTROS[[#This Row],[Grupo]],VOL_VOLUMEN_SUMINISTROS[[#This Row],[Proyecto]],VOL_VOLUMEN_SUMINISTROS[[#This Row],[FIN DE SEMANA]])</f>
        <v>31052-1NO</v>
      </c>
      <c r="E884" s="30" t="s">
        <v>146</v>
      </c>
      <c r="F884" s="30" t="s">
        <v>147</v>
      </c>
      <c r="G884" s="360">
        <v>3</v>
      </c>
      <c r="H884" s="30">
        <v>4</v>
      </c>
      <c r="I884" s="9" t="s">
        <v>600</v>
      </c>
      <c r="J884" s="9" t="s">
        <v>675</v>
      </c>
      <c r="K884" s="30">
        <v>2</v>
      </c>
      <c r="L884" s="9" t="s">
        <v>677</v>
      </c>
      <c r="M884" s="30" t="s">
        <v>84</v>
      </c>
      <c r="N884" s="30" t="s">
        <v>154</v>
      </c>
      <c r="O884" s="24">
        <v>75</v>
      </c>
      <c r="P884" s="24">
        <v>122</v>
      </c>
      <c r="Q884" s="24">
        <v>32</v>
      </c>
      <c r="R884" s="24">
        <v>0</v>
      </c>
      <c r="S884" s="24">
        <v>0</v>
      </c>
      <c r="T884" s="24">
        <v>229</v>
      </c>
    </row>
    <row r="885" spans="1:20">
      <c r="A885" s="9" t="s">
        <v>554</v>
      </c>
      <c r="B885" s="30" t="s">
        <v>653</v>
      </c>
      <c r="C885" s="30" t="str">
        <f>CONCATENATE(VOL_VOLUMEN_SUMINISTROS[[#This Row],[Proyecto]],VOL_VOLUMEN_SUMINISTROS[[#This Row],[J]],VOL_VOLUMEN_SUMINISTROS[[#This Row],[FIN DE SEMANA]])</f>
        <v>1052-1NNO</v>
      </c>
      <c r="D885" s="360" t="str">
        <f>CONCATENATE(VOL_VOLUMEN_SUMINISTROS[[#This Row],[Grupo]],VOL_VOLUMEN_SUMINISTROS[[#This Row],[Proyecto]],VOL_VOLUMEN_SUMINISTROS[[#This Row],[FIN DE SEMANA]])</f>
        <v>31052-1NO</v>
      </c>
      <c r="E885" s="30" t="s">
        <v>146</v>
      </c>
      <c r="F885" s="30" t="s">
        <v>147</v>
      </c>
      <c r="G885" s="360">
        <v>3</v>
      </c>
      <c r="H885" s="30">
        <v>4</v>
      </c>
      <c r="I885" s="9" t="s">
        <v>600</v>
      </c>
      <c r="J885" s="9" t="s">
        <v>678</v>
      </c>
      <c r="K885" s="30">
        <v>1</v>
      </c>
      <c r="L885" s="9" t="s">
        <v>679</v>
      </c>
      <c r="M885" s="30" t="s">
        <v>84</v>
      </c>
      <c r="N885" s="30" t="s">
        <v>153</v>
      </c>
      <c r="O885" s="24">
        <v>0</v>
      </c>
      <c r="P885" s="24">
        <v>0</v>
      </c>
      <c r="Q885" s="24">
        <v>0</v>
      </c>
      <c r="R885" s="24">
        <v>169</v>
      </c>
      <c r="S885" s="24">
        <v>110</v>
      </c>
      <c r="T885" s="24">
        <v>279</v>
      </c>
    </row>
    <row r="886" spans="1:20">
      <c r="A886" s="9" t="s">
        <v>554</v>
      </c>
      <c r="B886" s="30" t="s">
        <v>653</v>
      </c>
      <c r="C886" s="30" t="str">
        <f>CONCATENATE(VOL_VOLUMEN_SUMINISTROS[[#This Row],[Proyecto]],VOL_VOLUMEN_SUMINISTROS[[#This Row],[J]],VOL_VOLUMEN_SUMINISTROS[[#This Row],[FIN DE SEMANA]])</f>
        <v>1052-1MNO</v>
      </c>
      <c r="D886" s="360" t="str">
        <f>CONCATENATE(VOL_VOLUMEN_SUMINISTROS[[#This Row],[Grupo]],VOL_VOLUMEN_SUMINISTROS[[#This Row],[Proyecto]],VOL_VOLUMEN_SUMINISTROS[[#This Row],[FIN DE SEMANA]])</f>
        <v>31052-1NO</v>
      </c>
      <c r="E886" s="30" t="s">
        <v>146</v>
      </c>
      <c r="F886" s="30" t="s">
        <v>147</v>
      </c>
      <c r="G886" s="360">
        <v>3</v>
      </c>
      <c r="H886" s="30">
        <v>4</v>
      </c>
      <c r="I886" s="9" t="s">
        <v>600</v>
      </c>
      <c r="J886" s="9" t="s">
        <v>678</v>
      </c>
      <c r="K886" s="30">
        <v>2</v>
      </c>
      <c r="L886" s="9" t="s">
        <v>680</v>
      </c>
      <c r="M886" s="30" t="s">
        <v>84</v>
      </c>
      <c r="N886" s="30" t="s">
        <v>151</v>
      </c>
      <c r="O886" s="24">
        <v>148</v>
      </c>
      <c r="P886" s="24">
        <v>96</v>
      </c>
      <c r="Q886" s="24">
        <v>15</v>
      </c>
      <c r="R886" s="24">
        <v>0</v>
      </c>
      <c r="S886" s="24">
        <v>0</v>
      </c>
      <c r="T886" s="24">
        <v>259</v>
      </c>
    </row>
    <row r="887" spans="1:20">
      <c r="A887" s="9" t="s">
        <v>554</v>
      </c>
      <c r="B887" s="30" t="s">
        <v>653</v>
      </c>
      <c r="C887" s="30" t="str">
        <f>CONCATENATE(VOL_VOLUMEN_SUMINISTROS[[#This Row],[Proyecto]],VOL_VOLUMEN_SUMINISTROS[[#This Row],[J]],VOL_VOLUMEN_SUMINISTROS[[#This Row],[FIN DE SEMANA]])</f>
        <v>1052-1TNO</v>
      </c>
      <c r="D887" s="360" t="str">
        <f>CONCATENATE(VOL_VOLUMEN_SUMINISTROS[[#This Row],[Grupo]],VOL_VOLUMEN_SUMINISTROS[[#This Row],[Proyecto]],VOL_VOLUMEN_SUMINISTROS[[#This Row],[FIN DE SEMANA]])</f>
        <v>31052-1NO</v>
      </c>
      <c r="E887" s="30" t="s">
        <v>146</v>
      </c>
      <c r="F887" s="30" t="s">
        <v>147</v>
      </c>
      <c r="G887" s="360">
        <v>3</v>
      </c>
      <c r="H887" s="30">
        <v>4</v>
      </c>
      <c r="I887" s="9" t="s">
        <v>600</v>
      </c>
      <c r="J887" s="9" t="s">
        <v>678</v>
      </c>
      <c r="K887" s="30">
        <v>2</v>
      </c>
      <c r="L887" s="9" t="s">
        <v>680</v>
      </c>
      <c r="M887" s="30" t="s">
        <v>84</v>
      </c>
      <c r="N887" s="30" t="s">
        <v>154</v>
      </c>
      <c r="O887" s="24">
        <v>69</v>
      </c>
      <c r="P887" s="24">
        <v>78</v>
      </c>
      <c r="Q887" s="24">
        <v>18</v>
      </c>
      <c r="R887" s="24">
        <v>0</v>
      </c>
      <c r="S887" s="24">
        <v>0</v>
      </c>
      <c r="T887" s="24">
        <v>165</v>
      </c>
    </row>
    <row r="888" spans="1:20">
      <c r="A888" s="9" t="s">
        <v>554</v>
      </c>
      <c r="B888" s="30" t="s">
        <v>653</v>
      </c>
      <c r="C888" s="30" t="str">
        <f>CONCATENATE(VOL_VOLUMEN_SUMINISTROS[[#This Row],[Proyecto]],VOL_VOLUMEN_SUMINISTROS[[#This Row],[J]],VOL_VOLUMEN_SUMINISTROS[[#This Row],[FIN DE SEMANA]])</f>
        <v>1052-1MNO</v>
      </c>
      <c r="D888" s="360" t="str">
        <f>CONCATENATE(VOL_VOLUMEN_SUMINISTROS[[#This Row],[Grupo]],VOL_VOLUMEN_SUMINISTROS[[#This Row],[Proyecto]],VOL_VOLUMEN_SUMINISTROS[[#This Row],[FIN DE SEMANA]])</f>
        <v>31052-1NO</v>
      </c>
      <c r="E888" s="30" t="s">
        <v>146</v>
      </c>
      <c r="F888" s="30" t="s">
        <v>147</v>
      </c>
      <c r="G888" s="360">
        <v>3</v>
      </c>
      <c r="H888" s="30">
        <v>4</v>
      </c>
      <c r="I888" s="9" t="s">
        <v>600</v>
      </c>
      <c r="J888" s="9" t="s">
        <v>678</v>
      </c>
      <c r="K888" s="30">
        <v>3</v>
      </c>
      <c r="L888" s="9" t="s">
        <v>457</v>
      </c>
      <c r="M888" s="30" t="s">
        <v>84</v>
      </c>
      <c r="N888" s="30" t="s">
        <v>151</v>
      </c>
      <c r="O888" s="24">
        <v>91</v>
      </c>
      <c r="P888" s="24">
        <v>0</v>
      </c>
      <c r="Q888" s="24">
        <v>0</v>
      </c>
      <c r="R888" s="24">
        <v>0</v>
      </c>
      <c r="S888" s="24">
        <v>0</v>
      </c>
      <c r="T888" s="24">
        <v>91</v>
      </c>
    </row>
    <row r="889" spans="1:20">
      <c r="A889" s="9" t="s">
        <v>554</v>
      </c>
      <c r="B889" s="30" t="s">
        <v>653</v>
      </c>
      <c r="C889" s="30" t="str">
        <f>CONCATENATE(VOL_VOLUMEN_SUMINISTROS[[#This Row],[Proyecto]],VOL_VOLUMEN_SUMINISTROS[[#This Row],[J]],VOL_VOLUMEN_SUMINISTROS[[#This Row],[FIN DE SEMANA]])</f>
        <v>1052-1MNO</v>
      </c>
      <c r="D889" s="360" t="str">
        <f>CONCATENATE(VOL_VOLUMEN_SUMINISTROS[[#This Row],[Grupo]],VOL_VOLUMEN_SUMINISTROS[[#This Row],[Proyecto]],VOL_VOLUMEN_SUMINISTROS[[#This Row],[FIN DE SEMANA]])</f>
        <v>31052-1NO</v>
      </c>
      <c r="E889" s="30" t="s">
        <v>146</v>
      </c>
      <c r="F889" s="30" t="s">
        <v>147</v>
      </c>
      <c r="G889" s="360">
        <v>3</v>
      </c>
      <c r="H889" s="30">
        <v>4</v>
      </c>
      <c r="I889" s="9" t="s">
        <v>600</v>
      </c>
      <c r="J889" s="9" t="s">
        <v>681</v>
      </c>
      <c r="K889" s="30">
        <v>1</v>
      </c>
      <c r="L889" s="9" t="s">
        <v>682</v>
      </c>
      <c r="M889" s="30" t="s">
        <v>84</v>
      </c>
      <c r="N889" s="30" t="s">
        <v>151</v>
      </c>
      <c r="O889" s="24">
        <v>50</v>
      </c>
      <c r="P889" s="24">
        <v>240</v>
      </c>
      <c r="Q889" s="24">
        <v>287</v>
      </c>
      <c r="R889" s="24">
        <v>0</v>
      </c>
      <c r="S889" s="24">
        <v>0</v>
      </c>
      <c r="T889" s="24">
        <v>577</v>
      </c>
    </row>
    <row r="890" spans="1:20">
      <c r="A890" s="9" t="s">
        <v>554</v>
      </c>
      <c r="B890" s="30" t="s">
        <v>653</v>
      </c>
      <c r="C890" s="30" t="str">
        <f>CONCATENATE(VOL_VOLUMEN_SUMINISTROS[[#This Row],[Proyecto]],VOL_VOLUMEN_SUMINISTROS[[#This Row],[J]],VOL_VOLUMEN_SUMINISTROS[[#This Row],[FIN DE SEMANA]])</f>
        <v>1052-1TNO</v>
      </c>
      <c r="D890" s="360" t="str">
        <f>CONCATENATE(VOL_VOLUMEN_SUMINISTROS[[#This Row],[Grupo]],VOL_VOLUMEN_SUMINISTROS[[#This Row],[Proyecto]],VOL_VOLUMEN_SUMINISTROS[[#This Row],[FIN DE SEMANA]])</f>
        <v>31052-1NO</v>
      </c>
      <c r="E890" s="30" t="s">
        <v>146</v>
      </c>
      <c r="F890" s="30" t="s">
        <v>147</v>
      </c>
      <c r="G890" s="360">
        <v>3</v>
      </c>
      <c r="H890" s="30">
        <v>4</v>
      </c>
      <c r="I890" s="9" t="s">
        <v>600</v>
      </c>
      <c r="J890" s="9" t="s">
        <v>681</v>
      </c>
      <c r="K890" s="30">
        <v>1</v>
      </c>
      <c r="L890" s="9" t="s">
        <v>682</v>
      </c>
      <c r="M890" s="30" t="s">
        <v>84</v>
      </c>
      <c r="N890" s="30" t="s">
        <v>154</v>
      </c>
      <c r="O890" s="24">
        <v>47</v>
      </c>
      <c r="P890" s="24">
        <v>108</v>
      </c>
      <c r="Q890" s="24">
        <v>161</v>
      </c>
      <c r="R890" s="24">
        <v>0</v>
      </c>
      <c r="S890" s="24">
        <v>0</v>
      </c>
      <c r="T890" s="24">
        <v>316</v>
      </c>
    </row>
    <row r="891" spans="1:20">
      <c r="A891" s="9" t="s">
        <v>554</v>
      </c>
      <c r="B891" s="30" t="s">
        <v>653</v>
      </c>
      <c r="C891" s="30" t="str">
        <f>CONCATENATE(VOL_VOLUMEN_SUMINISTROS[[#This Row],[Proyecto]],VOL_VOLUMEN_SUMINISTROS[[#This Row],[J]],VOL_VOLUMEN_SUMINISTROS[[#This Row],[FIN DE SEMANA]])</f>
        <v>1052-1MNO</v>
      </c>
      <c r="D891" s="360" t="str">
        <f>CONCATENATE(VOL_VOLUMEN_SUMINISTROS[[#This Row],[Grupo]],VOL_VOLUMEN_SUMINISTROS[[#This Row],[Proyecto]],VOL_VOLUMEN_SUMINISTROS[[#This Row],[FIN DE SEMANA]])</f>
        <v>31052-1NO</v>
      </c>
      <c r="E891" s="30" t="s">
        <v>146</v>
      </c>
      <c r="F891" s="30" t="s">
        <v>147</v>
      </c>
      <c r="G891" s="360">
        <v>3</v>
      </c>
      <c r="H891" s="30">
        <v>4</v>
      </c>
      <c r="I891" s="9" t="s">
        <v>600</v>
      </c>
      <c r="J891" s="9" t="s">
        <v>681</v>
      </c>
      <c r="K891" s="30">
        <v>2</v>
      </c>
      <c r="L891" s="9" t="s">
        <v>683</v>
      </c>
      <c r="M891" s="30" t="s">
        <v>84</v>
      </c>
      <c r="N891" s="30" t="s">
        <v>151</v>
      </c>
      <c r="O891" s="24">
        <v>175</v>
      </c>
      <c r="P891" s="24">
        <v>74</v>
      </c>
      <c r="Q891" s="24">
        <v>0</v>
      </c>
      <c r="R891" s="24">
        <v>0</v>
      </c>
      <c r="S891" s="24">
        <v>0</v>
      </c>
      <c r="T891" s="24">
        <v>249</v>
      </c>
    </row>
    <row r="892" spans="1:20">
      <c r="A892" s="9" t="s">
        <v>554</v>
      </c>
      <c r="B892" s="30" t="s">
        <v>653</v>
      </c>
      <c r="C892" s="30" t="str">
        <f>CONCATENATE(VOL_VOLUMEN_SUMINISTROS[[#This Row],[Proyecto]],VOL_VOLUMEN_SUMINISTROS[[#This Row],[J]],VOL_VOLUMEN_SUMINISTROS[[#This Row],[FIN DE SEMANA]])</f>
        <v>1052-1TNO</v>
      </c>
      <c r="D892" s="360" t="str">
        <f>CONCATENATE(VOL_VOLUMEN_SUMINISTROS[[#This Row],[Grupo]],VOL_VOLUMEN_SUMINISTROS[[#This Row],[Proyecto]],VOL_VOLUMEN_SUMINISTROS[[#This Row],[FIN DE SEMANA]])</f>
        <v>31052-1NO</v>
      </c>
      <c r="E892" s="30" t="s">
        <v>146</v>
      </c>
      <c r="F892" s="30" t="s">
        <v>147</v>
      </c>
      <c r="G892" s="360">
        <v>3</v>
      </c>
      <c r="H892" s="30">
        <v>4</v>
      </c>
      <c r="I892" s="9" t="s">
        <v>600</v>
      </c>
      <c r="J892" s="9" t="s">
        <v>681</v>
      </c>
      <c r="K892" s="30">
        <v>2</v>
      </c>
      <c r="L892" s="9" t="s">
        <v>683</v>
      </c>
      <c r="M892" s="30" t="s">
        <v>84</v>
      </c>
      <c r="N892" s="30" t="s">
        <v>154</v>
      </c>
      <c r="O892" s="24">
        <v>121</v>
      </c>
      <c r="P892" s="24">
        <v>96</v>
      </c>
      <c r="Q892" s="24">
        <v>16</v>
      </c>
      <c r="R892" s="24">
        <v>0</v>
      </c>
      <c r="S892" s="24">
        <v>0</v>
      </c>
      <c r="T892" s="24">
        <v>233</v>
      </c>
    </row>
    <row r="893" spans="1:20">
      <c r="A893" s="9" t="s">
        <v>554</v>
      </c>
      <c r="B893" s="30" t="s">
        <v>653</v>
      </c>
      <c r="C893" s="30" t="str">
        <f>CONCATENATE(VOL_VOLUMEN_SUMINISTROS[[#This Row],[Proyecto]],VOL_VOLUMEN_SUMINISTROS[[#This Row],[J]],VOL_VOLUMEN_SUMINISTROS[[#This Row],[FIN DE SEMANA]])</f>
        <v>1052-1MNO</v>
      </c>
      <c r="D893" s="360" t="str">
        <f>CONCATENATE(VOL_VOLUMEN_SUMINISTROS[[#This Row],[Grupo]],VOL_VOLUMEN_SUMINISTROS[[#This Row],[Proyecto]],VOL_VOLUMEN_SUMINISTROS[[#This Row],[FIN DE SEMANA]])</f>
        <v>31052-1NO</v>
      </c>
      <c r="E893" s="30" t="s">
        <v>146</v>
      </c>
      <c r="F893" s="30" t="s">
        <v>147</v>
      </c>
      <c r="G893" s="360">
        <v>3</v>
      </c>
      <c r="H893" s="30">
        <v>4</v>
      </c>
      <c r="I893" s="9" t="s">
        <v>600</v>
      </c>
      <c r="J893" s="9" t="s">
        <v>684</v>
      </c>
      <c r="K893" s="30">
        <v>1</v>
      </c>
      <c r="L893" s="9" t="s">
        <v>685</v>
      </c>
      <c r="M893" s="30" t="s">
        <v>84</v>
      </c>
      <c r="N893" s="30" t="s">
        <v>151</v>
      </c>
      <c r="O893" s="24">
        <v>0</v>
      </c>
      <c r="P893" s="24">
        <v>207</v>
      </c>
      <c r="Q893" s="24">
        <v>367</v>
      </c>
      <c r="R893" s="24">
        <v>0</v>
      </c>
      <c r="S893" s="24">
        <v>0</v>
      </c>
      <c r="T893" s="24">
        <v>574</v>
      </c>
    </row>
    <row r="894" spans="1:20">
      <c r="A894" s="9" t="s">
        <v>554</v>
      </c>
      <c r="B894" s="30" t="s">
        <v>653</v>
      </c>
      <c r="C894" s="30" t="str">
        <f>CONCATENATE(VOL_VOLUMEN_SUMINISTROS[[#This Row],[Proyecto]],VOL_VOLUMEN_SUMINISTROS[[#This Row],[J]],VOL_VOLUMEN_SUMINISTROS[[#This Row],[FIN DE SEMANA]])</f>
        <v>1052-1TNO</v>
      </c>
      <c r="D894" s="360" t="str">
        <f>CONCATENATE(VOL_VOLUMEN_SUMINISTROS[[#This Row],[Grupo]],VOL_VOLUMEN_SUMINISTROS[[#This Row],[Proyecto]],VOL_VOLUMEN_SUMINISTROS[[#This Row],[FIN DE SEMANA]])</f>
        <v>31052-1NO</v>
      </c>
      <c r="E894" s="30" t="s">
        <v>146</v>
      </c>
      <c r="F894" s="30" t="s">
        <v>147</v>
      </c>
      <c r="G894" s="360">
        <v>3</v>
      </c>
      <c r="H894" s="30">
        <v>4</v>
      </c>
      <c r="I894" s="9" t="s">
        <v>600</v>
      </c>
      <c r="J894" s="9" t="s">
        <v>684</v>
      </c>
      <c r="K894" s="30">
        <v>1</v>
      </c>
      <c r="L894" s="9" t="s">
        <v>685</v>
      </c>
      <c r="M894" s="30" t="s">
        <v>84</v>
      </c>
      <c r="N894" s="30" t="s">
        <v>154</v>
      </c>
      <c r="O894" s="24">
        <v>0</v>
      </c>
      <c r="P894" s="24">
        <v>138</v>
      </c>
      <c r="Q894" s="24">
        <v>178</v>
      </c>
      <c r="R894" s="24">
        <v>0</v>
      </c>
      <c r="S894" s="24">
        <v>0</v>
      </c>
      <c r="T894" s="24">
        <v>316</v>
      </c>
    </row>
    <row r="895" spans="1:20">
      <c r="A895" s="9" t="s">
        <v>554</v>
      </c>
      <c r="B895" s="30" t="s">
        <v>653</v>
      </c>
      <c r="C895" s="30" t="str">
        <f>CONCATENATE(VOL_VOLUMEN_SUMINISTROS[[#This Row],[Proyecto]],VOL_VOLUMEN_SUMINISTROS[[#This Row],[J]],VOL_VOLUMEN_SUMINISTROS[[#This Row],[FIN DE SEMANA]])</f>
        <v>1052-1MNO</v>
      </c>
      <c r="D895" s="360" t="str">
        <f>CONCATENATE(VOL_VOLUMEN_SUMINISTROS[[#This Row],[Grupo]],VOL_VOLUMEN_SUMINISTROS[[#This Row],[Proyecto]],VOL_VOLUMEN_SUMINISTROS[[#This Row],[FIN DE SEMANA]])</f>
        <v>31052-1NO</v>
      </c>
      <c r="E895" s="30" t="s">
        <v>146</v>
      </c>
      <c r="F895" s="30" t="s">
        <v>147</v>
      </c>
      <c r="G895" s="360">
        <v>3</v>
      </c>
      <c r="H895" s="30">
        <v>4</v>
      </c>
      <c r="I895" s="9" t="s">
        <v>600</v>
      </c>
      <c r="J895" s="9" t="s">
        <v>684</v>
      </c>
      <c r="K895" s="30">
        <v>2</v>
      </c>
      <c r="L895" s="9" t="s">
        <v>686</v>
      </c>
      <c r="M895" s="30" t="s">
        <v>84</v>
      </c>
      <c r="N895" s="30" t="s">
        <v>151</v>
      </c>
      <c r="O895" s="24">
        <v>179</v>
      </c>
      <c r="P895" s="24">
        <v>138</v>
      </c>
      <c r="Q895" s="24">
        <v>24</v>
      </c>
      <c r="R895" s="24">
        <v>0</v>
      </c>
      <c r="S895" s="24">
        <v>0</v>
      </c>
      <c r="T895" s="24">
        <v>341</v>
      </c>
    </row>
    <row r="896" spans="1:20">
      <c r="A896" s="9" t="s">
        <v>554</v>
      </c>
      <c r="B896" s="30" t="s">
        <v>653</v>
      </c>
      <c r="C896" s="30" t="str">
        <f>CONCATENATE(VOL_VOLUMEN_SUMINISTROS[[#This Row],[Proyecto]],VOL_VOLUMEN_SUMINISTROS[[#This Row],[J]],VOL_VOLUMEN_SUMINISTROS[[#This Row],[FIN DE SEMANA]])</f>
        <v>1052-1TNO</v>
      </c>
      <c r="D896" s="360" t="str">
        <f>CONCATENATE(VOL_VOLUMEN_SUMINISTROS[[#This Row],[Grupo]],VOL_VOLUMEN_SUMINISTROS[[#This Row],[Proyecto]],VOL_VOLUMEN_SUMINISTROS[[#This Row],[FIN DE SEMANA]])</f>
        <v>31052-1NO</v>
      </c>
      <c r="E896" s="30" t="s">
        <v>146</v>
      </c>
      <c r="F896" s="30" t="s">
        <v>147</v>
      </c>
      <c r="G896" s="360">
        <v>3</v>
      </c>
      <c r="H896" s="30">
        <v>4</v>
      </c>
      <c r="I896" s="9" t="s">
        <v>600</v>
      </c>
      <c r="J896" s="9" t="s">
        <v>684</v>
      </c>
      <c r="K896" s="30">
        <v>2</v>
      </c>
      <c r="L896" s="9" t="s">
        <v>686</v>
      </c>
      <c r="M896" s="30" t="s">
        <v>84</v>
      </c>
      <c r="N896" s="30" t="s">
        <v>154</v>
      </c>
      <c r="O896" s="24">
        <v>198</v>
      </c>
      <c r="P896" s="24">
        <v>131</v>
      </c>
      <c r="Q896" s="24">
        <v>28</v>
      </c>
      <c r="R896" s="24">
        <v>0</v>
      </c>
      <c r="S896" s="24">
        <v>0</v>
      </c>
      <c r="T896" s="24">
        <v>357</v>
      </c>
    </row>
    <row r="897" spans="1:20">
      <c r="A897" s="9" t="s">
        <v>554</v>
      </c>
      <c r="B897" s="30" t="s">
        <v>653</v>
      </c>
      <c r="C897" s="30" t="str">
        <f>CONCATENATE(VOL_VOLUMEN_SUMINISTROS[[#This Row],[Proyecto]],VOL_VOLUMEN_SUMINISTROS[[#This Row],[J]],VOL_VOLUMEN_SUMINISTROS[[#This Row],[FIN DE SEMANA]])</f>
        <v>1052-1MNO</v>
      </c>
      <c r="D897" s="360" t="str">
        <f>CONCATENATE(VOL_VOLUMEN_SUMINISTROS[[#This Row],[Grupo]],VOL_VOLUMEN_SUMINISTROS[[#This Row],[Proyecto]],VOL_VOLUMEN_SUMINISTROS[[#This Row],[FIN DE SEMANA]])</f>
        <v>31052-1NO</v>
      </c>
      <c r="E897" s="30" t="s">
        <v>146</v>
      </c>
      <c r="F897" s="30" t="s">
        <v>147</v>
      </c>
      <c r="G897" s="360">
        <v>3</v>
      </c>
      <c r="H897" s="30">
        <v>4</v>
      </c>
      <c r="I897" s="9" t="s">
        <v>600</v>
      </c>
      <c r="J897" s="9" t="s">
        <v>687</v>
      </c>
      <c r="K897" s="30">
        <v>1</v>
      </c>
      <c r="L897" s="9" t="s">
        <v>688</v>
      </c>
      <c r="M897" s="30" t="s">
        <v>84</v>
      </c>
      <c r="N897" s="30" t="s">
        <v>151</v>
      </c>
      <c r="O897" s="24">
        <v>48</v>
      </c>
      <c r="P897" s="24">
        <v>252</v>
      </c>
      <c r="Q897" s="24">
        <v>354</v>
      </c>
      <c r="R897" s="24">
        <v>0</v>
      </c>
      <c r="S897" s="24">
        <v>0</v>
      </c>
      <c r="T897" s="24">
        <v>654</v>
      </c>
    </row>
    <row r="898" spans="1:20">
      <c r="A898" s="9" t="s">
        <v>554</v>
      </c>
      <c r="B898" s="30" t="s">
        <v>653</v>
      </c>
      <c r="C898" s="30" t="str">
        <f>CONCATENATE(VOL_VOLUMEN_SUMINISTROS[[#This Row],[Proyecto]],VOL_VOLUMEN_SUMINISTROS[[#This Row],[J]],VOL_VOLUMEN_SUMINISTROS[[#This Row],[FIN DE SEMANA]])</f>
        <v>1052-1TNO</v>
      </c>
      <c r="D898" s="360" t="str">
        <f>CONCATENATE(VOL_VOLUMEN_SUMINISTROS[[#This Row],[Grupo]],VOL_VOLUMEN_SUMINISTROS[[#This Row],[Proyecto]],VOL_VOLUMEN_SUMINISTROS[[#This Row],[FIN DE SEMANA]])</f>
        <v>31052-1NO</v>
      </c>
      <c r="E898" s="30" t="s">
        <v>146</v>
      </c>
      <c r="F898" s="30" t="s">
        <v>147</v>
      </c>
      <c r="G898" s="360">
        <v>3</v>
      </c>
      <c r="H898" s="30">
        <v>4</v>
      </c>
      <c r="I898" s="9" t="s">
        <v>600</v>
      </c>
      <c r="J898" s="9" t="s">
        <v>687</v>
      </c>
      <c r="K898" s="30">
        <v>1</v>
      </c>
      <c r="L898" s="9" t="s">
        <v>688</v>
      </c>
      <c r="M898" s="30" t="s">
        <v>84</v>
      </c>
      <c r="N898" s="30" t="s">
        <v>154</v>
      </c>
      <c r="O898" s="24">
        <v>44</v>
      </c>
      <c r="P898" s="24">
        <v>223</v>
      </c>
      <c r="Q898" s="24">
        <v>297</v>
      </c>
      <c r="R898" s="24">
        <v>0</v>
      </c>
      <c r="S898" s="24">
        <v>0</v>
      </c>
      <c r="T898" s="24">
        <v>564</v>
      </c>
    </row>
    <row r="899" spans="1:20">
      <c r="A899" s="9" t="s">
        <v>554</v>
      </c>
      <c r="B899" s="30" t="s">
        <v>653</v>
      </c>
      <c r="C899" s="30" t="str">
        <f>CONCATENATE(VOL_VOLUMEN_SUMINISTROS[[#This Row],[Proyecto]],VOL_VOLUMEN_SUMINISTROS[[#This Row],[J]],VOL_VOLUMEN_SUMINISTROS[[#This Row],[FIN DE SEMANA]])</f>
        <v>1052-1MNO</v>
      </c>
      <c r="D899" s="360" t="str">
        <f>CONCATENATE(VOL_VOLUMEN_SUMINISTROS[[#This Row],[Grupo]],VOL_VOLUMEN_SUMINISTROS[[#This Row],[Proyecto]],VOL_VOLUMEN_SUMINISTROS[[#This Row],[FIN DE SEMANA]])</f>
        <v>31052-1NO</v>
      </c>
      <c r="E899" s="30" t="s">
        <v>146</v>
      </c>
      <c r="F899" s="30" t="s">
        <v>147</v>
      </c>
      <c r="G899" s="360">
        <v>3</v>
      </c>
      <c r="H899" s="30">
        <v>4</v>
      </c>
      <c r="I899" s="9" t="s">
        <v>600</v>
      </c>
      <c r="J899" s="9" t="s">
        <v>687</v>
      </c>
      <c r="K899" s="30">
        <v>2</v>
      </c>
      <c r="L899" s="9" t="s">
        <v>689</v>
      </c>
      <c r="M899" s="30" t="s">
        <v>84</v>
      </c>
      <c r="N899" s="30" t="s">
        <v>151</v>
      </c>
      <c r="O899" s="24">
        <v>141</v>
      </c>
      <c r="P899" s="24">
        <v>43</v>
      </c>
      <c r="Q899" s="24">
        <v>0</v>
      </c>
      <c r="R899" s="24">
        <v>0</v>
      </c>
      <c r="S899" s="24">
        <v>0</v>
      </c>
      <c r="T899" s="24">
        <v>184</v>
      </c>
    </row>
    <row r="900" spans="1:20">
      <c r="A900" s="9" t="s">
        <v>554</v>
      </c>
      <c r="B900" s="30" t="s">
        <v>653</v>
      </c>
      <c r="C900" s="30" t="str">
        <f>CONCATENATE(VOL_VOLUMEN_SUMINISTROS[[#This Row],[Proyecto]],VOL_VOLUMEN_SUMINISTROS[[#This Row],[J]],VOL_VOLUMEN_SUMINISTROS[[#This Row],[FIN DE SEMANA]])</f>
        <v>1052-1TNO</v>
      </c>
      <c r="D900" s="360" t="str">
        <f>CONCATENATE(VOL_VOLUMEN_SUMINISTROS[[#This Row],[Grupo]],VOL_VOLUMEN_SUMINISTROS[[#This Row],[Proyecto]],VOL_VOLUMEN_SUMINISTROS[[#This Row],[FIN DE SEMANA]])</f>
        <v>31052-1NO</v>
      </c>
      <c r="E900" s="30" t="s">
        <v>146</v>
      </c>
      <c r="F900" s="30" t="s">
        <v>147</v>
      </c>
      <c r="G900" s="360">
        <v>3</v>
      </c>
      <c r="H900" s="30">
        <v>4</v>
      </c>
      <c r="I900" s="9" t="s">
        <v>600</v>
      </c>
      <c r="J900" s="9" t="s">
        <v>687</v>
      </c>
      <c r="K900" s="30">
        <v>2</v>
      </c>
      <c r="L900" s="9" t="s">
        <v>689</v>
      </c>
      <c r="M900" s="30" t="s">
        <v>84</v>
      </c>
      <c r="N900" s="30" t="s">
        <v>154</v>
      </c>
      <c r="O900" s="24">
        <v>132</v>
      </c>
      <c r="P900" s="24">
        <v>43</v>
      </c>
      <c r="Q900" s="24">
        <v>0</v>
      </c>
      <c r="R900" s="24">
        <v>0</v>
      </c>
      <c r="S900" s="24">
        <v>0</v>
      </c>
      <c r="T900" s="24">
        <v>175</v>
      </c>
    </row>
    <row r="901" spans="1:20">
      <c r="A901" s="9" t="s">
        <v>554</v>
      </c>
      <c r="B901" s="30" t="s">
        <v>653</v>
      </c>
      <c r="C901" s="30" t="str">
        <f>CONCATENATE(VOL_VOLUMEN_SUMINISTROS[[#This Row],[Proyecto]],VOL_VOLUMEN_SUMINISTROS[[#This Row],[J]],VOL_VOLUMEN_SUMINISTROS[[#This Row],[FIN DE SEMANA]])</f>
        <v>1052-1MNO</v>
      </c>
      <c r="D901" s="360" t="str">
        <f>CONCATENATE(VOL_VOLUMEN_SUMINISTROS[[#This Row],[Grupo]],VOL_VOLUMEN_SUMINISTROS[[#This Row],[Proyecto]],VOL_VOLUMEN_SUMINISTROS[[#This Row],[FIN DE SEMANA]])</f>
        <v>31052-1NO</v>
      </c>
      <c r="E901" s="30" t="s">
        <v>146</v>
      </c>
      <c r="F901" s="30" t="s">
        <v>147</v>
      </c>
      <c r="G901" s="360">
        <v>3</v>
      </c>
      <c r="H901" s="30">
        <v>4</v>
      </c>
      <c r="I901" s="9" t="s">
        <v>600</v>
      </c>
      <c r="J901" s="9" t="s">
        <v>690</v>
      </c>
      <c r="K901" s="30">
        <v>1</v>
      </c>
      <c r="L901" s="9" t="s">
        <v>691</v>
      </c>
      <c r="M901" s="30" t="s">
        <v>84</v>
      </c>
      <c r="N901" s="30" t="s">
        <v>151</v>
      </c>
      <c r="O901" s="24">
        <v>495</v>
      </c>
      <c r="P901" s="24">
        <v>641</v>
      </c>
      <c r="Q901" s="24">
        <v>768</v>
      </c>
      <c r="R901" s="24">
        <v>0</v>
      </c>
      <c r="S901" s="24">
        <v>0</v>
      </c>
      <c r="T901" s="24">
        <v>1904</v>
      </c>
    </row>
    <row r="902" spans="1:20">
      <c r="A902" s="9" t="s">
        <v>554</v>
      </c>
      <c r="B902" s="30" t="s">
        <v>653</v>
      </c>
      <c r="C902" s="30" t="str">
        <f>CONCATENATE(VOL_VOLUMEN_SUMINISTROS[[#This Row],[Proyecto]],VOL_VOLUMEN_SUMINISTROS[[#This Row],[J]],VOL_VOLUMEN_SUMINISTROS[[#This Row],[FIN DE SEMANA]])</f>
        <v>1052-1TNO</v>
      </c>
      <c r="D902" s="360" t="str">
        <f>CONCATENATE(VOL_VOLUMEN_SUMINISTROS[[#This Row],[Grupo]],VOL_VOLUMEN_SUMINISTROS[[#This Row],[Proyecto]],VOL_VOLUMEN_SUMINISTROS[[#This Row],[FIN DE SEMANA]])</f>
        <v>31052-1NO</v>
      </c>
      <c r="E902" s="30" t="s">
        <v>146</v>
      </c>
      <c r="F902" s="30" t="s">
        <v>147</v>
      </c>
      <c r="G902" s="360">
        <v>3</v>
      </c>
      <c r="H902" s="30">
        <v>4</v>
      </c>
      <c r="I902" s="9" t="s">
        <v>600</v>
      </c>
      <c r="J902" s="9" t="s">
        <v>690</v>
      </c>
      <c r="K902" s="30">
        <v>1</v>
      </c>
      <c r="L902" s="9" t="s">
        <v>691</v>
      </c>
      <c r="M902" s="30" t="s">
        <v>84</v>
      </c>
      <c r="N902" s="30" t="s">
        <v>154</v>
      </c>
      <c r="O902" s="24">
        <v>485</v>
      </c>
      <c r="P902" s="24">
        <v>608</v>
      </c>
      <c r="Q902" s="24">
        <v>646</v>
      </c>
      <c r="R902" s="24">
        <v>0</v>
      </c>
      <c r="S902" s="24">
        <v>0</v>
      </c>
      <c r="T902" s="24">
        <v>1739</v>
      </c>
    </row>
    <row r="903" spans="1:20">
      <c r="A903" s="9" t="s">
        <v>554</v>
      </c>
      <c r="B903" s="30" t="s">
        <v>653</v>
      </c>
      <c r="C903" s="30" t="str">
        <f>CONCATENATE(VOL_VOLUMEN_SUMINISTROS[[#This Row],[Proyecto]],VOL_VOLUMEN_SUMINISTROS[[#This Row],[J]],VOL_VOLUMEN_SUMINISTROS[[#This Row],[FIN DE SEMANA]])</f>
        <v>1052-1MNO</v>
      </c>
      <c r="D903" s="360" t="str">
        <f>CONCATENATE(VOL_VOLUMEN_SUMINISTROS[[#This Row],[Grupo]],VOL_VOLUMEN_SUMINISTROS[[#This Row],[Proyecto]],VOL_VOLUMEN_SUMINISTROS[[#This Row],[FIN DE SEMANA]])</f>
        <v>31052-1NO</v>
      </c>
      <c r="E903" s="30" t="s">
        <v>146</v>
      </c>
      <c r="F903" s="30" t="s">
        <v>147</v>
      </c>
      <c r="G903" s="360">
        <v>3</v>
      </c>
      <c r="H903" s="30">
        <v>4</v>
      </c>
      <c r="I903" s="9" t="s">
        <v>600</v>
      </c>
      <c r="J903" s="9" t="s">
        <v>692</v>
      </c>
      <c r="K903" s="30">
        <v>1</v>
      </c>
      <c r="L903" s="9" t="s">
        <v>693</v>
      </c>
      <c r="M903" s="30" t="s">
        <v>84</v>
      </c>
      <c r="N903" s="30" t="s">
        <v>151</v>
      </c>
      <c r="O903" s="24">
        <v>30</v>
      </c>
      <c r="P903" s="24">
        <v>12</v>
      </c>
      <c r="Q903" s="24">
        <v>2</v>
      </c>
      <c r="R903" s="24">
        <v>0</v>
      </c>
      <c r="S903" s="24">
        <v>0</v>
      </c>
      <c r="T903" s="24">
        <v>44</v>
      </c>
    </row>
    <row r="904" spans="1:20">
      <c r="A904" s="9" t="s">
        <v>554</v>
      </c>
      <c r="B904" s="30" t="s">
        <v>653</v>
      </c>
      <c r="C904" s="30" t="str">
        <f>CONCATENATE(VOL_VOLUMEN_SUMINISTROS[[#This Row],[Proyecto]],VOL_VOLUMEN_SUMINISTROS[[#This Row],[J]],VOL_VOLUMEN_SUMINISTROS[[#This Row],[FIN DE SEMANA]])</f>
        <v>1052-1MNO</v>
      </c>
      <c r="D904" s="360" t="str">
        <f>CONCATENATE(VOL_VOLUMEN_SUMINISTROS[[#This Row],[Grupo]],VOL_VOLUMEN_SUMINISTROS[[#This Row],[Proyecto]],VOL_VOLUMEN_SUMINISTROS[[#This Row],[FIN DE SEMANA]])</f>
        <v>31052-1NO</v>
      </c>
      <c r="E904" s="30" t="s">
        <v>146</v>
      </c>
      <c r="F904" s="30" t="s">
        <v>147</v>
      </c>
      <c r="G904" s="360">
        <v>3</v>
      </c>
      <c r="H904" s="30">
        <v>4</v>
      </c>
      <c r="I904" s="9" t="s">
        <v>600</v>
      </c>
      <c r="J904" s="9" t="s">
        <v>694</v>
      </c>
      <c r="K904" s="30">
        <v>1</v>
      </c>
      <c r="L904" s="9" t="s">
        <v>152</v>
      </c>
      <c r="M904" s="30" t="s">
        <v>84</v>
      </c>
      <c r="N904" s="30" t="s">
        <v>151</v>
      </c>
      <c r="O904" s="24">
        <v>0</v>
      </c>
      <c r="P904" s="24">
        <v>159</v>
      </c>
      <c r="Q904" s="24">
        <v>389</v>
      </c>
      <c r="R904" s="24">
        <v>0</v>
      </c>
      <c r="S904" s="24">
        <v>0</v>
      </c>
      <c r="T904" s="24">
        <v>548</v>
      </c>
    </row>
    <row r="905" spans="1:20">
      <c r="A905" s="9" t="s">
        <v>554</v>
      </c>
      <c r="B905" s="30" t="s">
        <v>653</v>
      </c>
      <c r="C905" s="30" t="str">
        <f>CONCATENATE(VOL_VOLUMEN_SUMINISTROS[[#This Row],[Proyecto]],VOL_VOLUMEN_SUMINISTROS[[#This Row],[J]],VOL_VOLUMEN_SUMINISTROS[[#This Row],[FIN DE SEMANA]])</f>
        <v>1052-1TNO</v>
      </c>
      <c r="D905" s="360" t="str">
        <f>CONCATENATE(VOL_VOLUMEN_SUMINISTROS[[#This Row],[Grupo]],VOL_VOLUMEN_SUMINISTROS[[#This Row],[Proyecto]],VOL_VOLUMEN_SUMINISTROS[[#This Row],[FIN DE SEMANA]])</f>
        <v>31052-1NO</v>
      </c>
      <c r="E905" s="30" t="s">
        <v>146</v>
      </c>
      <c r="F905" s="30" t="s">
        <v>147</v>
      </c>
      <c r="G905" s="360">
        <v>3</v>
      </c>
      <c r="H905" s="30">
        <v>4</v>
      </c>
      <c r="I905" s="9" t="s">
        <v>600</v>
      </c>
      <c r="J905" s="9" t="s">
        <v>694</v>
      </c>
      <c r="K905" s="30">
        <v>1</v>
      </c>
      <c r="L905" s="9" t="s">
        <v>152</v>
      </c>
      <c r="M905" s="30" t="s">
        <v>84</v>
      </c>
      <c r="N905" s="30" t="s">
        <v>154</v>
      </c>
      <c r="O905" s="24">
        <v>0</v>
      </c>
      <c r="P905" s="24">
        <v>72</v>
      </c>
      <c r="Q905" s="24">
        <v>178</v>
      </c>
      <c r="R905" s="24">
        <v>0</v>
      </c>
      <c r="S905" s="24">
        <v>0</v>
      </c>
      <c r="T905" s="24">
        <v>250</v>
      </c>
    </row>
    <row r="906" spans="1:20">
      <c r="A906" s="9" t="s">
        <v>554</v>
      </c>
      <c r="B906" s="30" t="s">
        <v>653</v>
      </c>
      <c r="C906" s="30" t="str">
        <f>CONCATENATE(VOL_VOLUMEN_SUMINISTROS[[#This Row],[Proyecto]],VOL_VOLUMEN_SUMINISTROS[[#This Row],[J]],VOL_VOLUMEN_SUMINISTROS[[#This Row],[FIN DE SEMANA]])</f>
        <v>1052-1MNO</v>
      </c>
      <c r="D906" s="360" t="str">
        <f>CONCATENATE(VOL_VOLUMEN_SUMINISTROS[[#This Row],[Grupo]],VOL_VOLUMEN_SUMINISTROS[[#This Row],[Proyecto]],VOL_VOLUMEN_SUMINISTROS[[#This Row],[FIN DE SEMANA]])</f>
        <v>31052-1NO</v>
      </c>
      <c r="E906" s="30" t="s">
        <v>146</v>
      </c>
      <c r="F906" s="30" t="s">
        <v>147</v>
      </c>
      <c r="G906" s="360">
        <v>3</v>
      </c>
      <c r="H906" s="30">
        <v>4</v>
      </c>
      <c r="I906" s="9" t="s">
        <v>600</v>
      </c>
      <c r="J906" s="9" t="s">
        <v>694</v>
      </c>
      <c r="K906" s="30">
        <v>2</v>
      </c>
      <c r="L906" s="9" t="s">
        <v>164</v>
      </c>
      <c r="M906" s="30" t="s">
        <v>84</v>
      </c>
      <c r="N906" s="30" t="s">
        <v>151</v>
      </c>
      <c r="O906" s="24">
        <v>162</v>
      </c>
      <c r="P906" s="24">
        <v>139</v>
      </c>
      <c r="Q906" s="24">
        <v>30</v>
      </c>
      <c r="R906" s="24">
        <v>0</v>
      </c>
      <c r="S906" s="24">
        <v>0</v>
      </c>
      <c r="T906" s="24">
        <v>331</v>
      </c>
    </row>
    <row r="907" spans="1:20">
      <c r="A907" s="9" t="s">
        <v>554</v>
      </c>
      <c r="B907" s="30" t="s">
        <v>653</v>
      </c>
      <c r="C907" s="30" t="str">
        <f>CONCATENATE(VOL_VOLUMEN_SUMINISTROS[[#This Row],[Proyecto]],VOL_VOLUMEN_SUMINISTROS[[#This Row],[J]],VOL_VOLUMEN_SUMINISTROS[[#This Row],[FIN DE SEMANA]])</f>
        <v>1052-1TNO</v>
      </c>
      <c r="D907" s="360" t="str">
        <f>CONCATENATE(VOL_VOLUMEN_SUMINISTROS[[#This Row],[Grupo]],VOL_VOLUMEN_SUMINISTROS[[#This Row],[Proyecto]],VOL_VOLUMEN_SUMINISTROS[[#This Row],[FIN DE SEMANA]])</f>
        <v>31052-1NO</v>
      </c>
      <c r="E907" s="30" t="s">
        <v>146</v>
      </c>
      <c r="F907" s="30" t="s">
        <v>147</v>
      </c>
      <c r="G907" s="360">
        <v>3</v>
      </c>
      <c r="H907" s="30">
        <v>4</v>
      </c>
      <c r="I907" s="9" t="s">
        <v>600</v>
      </c>
      <c r="J907" s="9" t="s">
        <v>694</v>
      </c>
      <c r="K907" s="30">
        <v>2</v>
      </c>
      <c r="L907" s="9" t="s">
        <v>164</v>
      </c>
      <c r="M907" s="30" t="s">
        <v>84</v>
      </c>
      <c r="N907" s="30" t="s">
        <v>154</v>
      </c>
      <c r="O907" s="24">
        <v>139</v>
      </c>
      <c r="P907" s="24">
        <v>130</v>
      </c>
      <c r="Q907" s="24">
        <v>28</v>
      </c>
      <c r="R907" s="24">
        <v>0</v>
      </c>
      <c r="S907" s="24">
        <v>0</v>
      </c>
      <c r="T907" s="24">
        <v>297</v>
      </c>
    </row>
    <row r="908" spans="1:20">
      <c r="A908" s="9" t="s">
        <v>554</v>
      </c>
      <c r="B908" s="30" t="s">
        <v>653</v>
      </c>
      <c r="C908" s="30" t="str">
        <f>CONCATENATE(VOL_VOLUMEN_SUMINISTROS[[#This Row],[Proyecto]],VOL_VOLUMEN_SUMINISTROS[[#This Row],[J]],VOL_VOLUMEN_SUMINISTROS[[#This Row],[FIN DE SEMANA]])</f>
        <v>1052-1MNO</v>
      </c>
      <c r="D908" s="360" t="str">
        <f>CONCATENATE(VOL_VOLUMEN_SUMINISTROS[[#This Row],[Grupo]],VOL_VOLUMEN_SUMINISTROS[[#This Row],[Proyecto]],VOL_VOLUMEN_SUMINISTROS[[#This Row],[FIN DE SEMANA]])</f>
        <v>31052-1NO</v>
      </c>
      <c r="E908" s="30" t="s">
        <v>146</v>
      </c>
      <c r="F908" s="30" t="s">
        <v>147</v>
      </c>
      <c r="G908" s="360">
        <v>3</v>
      </c>
      <c r="H908" s="30">
        <v>4</v>
      </c>
      <c r="I908" s="9" t="s">
        <v>600</v>
      </c>
      <c r="J908" s="9" t="s">
        <v>695</v>
      </c>
      <c r="K908" s="30">
        <v>1</v>
      </c>
      <c r="L908" s="9" t="s">
        <v>696</v>
      </c>
      <c r="M908" s="30" t="s">
        <v>84</v>
      </c>
      <c r="N908" s="30" t="s">
        <v>151</v>
      </c>
      <c r="O908" s="24">
        <v>0</v>
      </c>
      <c r="P908" s="24">
        <v>0</v>
      </c>
      <c r="Q908" s="24">
        <v>700</v>
      </c>
      <c r="R908" s="24">
        <v>0</v>
      </c>
      <c r="S908" s="24">
        <v>0</v>
      </c>
      <c r="T908" s="24">
        <v>700</v>
      </c>
    </row>
    <row r="909" spans="1:20">
      <c r="A909" s="9" t="s">
        <v>554</v>
      </c>
      <c r="B909" s="30" t="s">
        <v>653</v>
      </c>
      <c r="C909" s="30" t="str">
        <f>CONCATENATE(VOL_VOLUMEN_SUMINISTROS[[#This Row],[Proyecto]],VOL_VOLUMEN_SUMINISTROS[[#This Row],[J]],VOL_VOLUMEN_SUMINISTROS[[#This Row],[FIN DE SEMANA]])</f>
        <v>1052-1MNO</v>
      </c>
      <c r="D909" s="360" t="str">
        <f>CONCATENATE(VOL_VOLUMEN_SUMINISTROS[[#This Row],[Grupo]],VOL_VOLUMEN_SUMINISTROS[[#This Row],[Proyecto]],VOL_VOLUMEN_SUMINISTROS[[#This Row],[FIN DE SEMANA]])</f>
        <v>31052-1NO</v>
      </c>
      <c r="E909" s="30" t="s">
        <v>146</v>
      </c>
      <c r="F909" s="30" t="s">
        <v>147</v>
      </c>
      <c r="G909" s="360">
        <v>3</v>
      </c>
      <c r="H909" s="30">
        <v>4</v>
      </c>
      <c r="I909" s="9" t="s">
        <v>600</v>
      </c>
      <c r="J909" s="9" t="s">
        <v>697</v>
      </c>
      <c r="K909" s="30">
        <v>1</v>
      </c>
      <c r="L909" s="9" t="s">
        <v>697</v>
      </c>
      <c r="M909" s="30" t="s">
        <v>84</v>
      </c>
      <c r="N909" s="30" t="s">
        <v>151</v>
      </c>
      <c r="O909" s="24">
        <v>0</v>
      </c>
      <c r="P909" s="24">
        <v>150</v>
      </c>
      <c r="Q909" s="24">
        <v>50</v>
      </c>
      <c r="R909" s="24">
        <v>0</v>
      </c>
      <c r="S909" s="24">
        <v>0</v>
      </c>
      <c r="T909" s="24">
        <v>200</v>
      </c>
    </row>
    <row r="910" spans="1:20">
      <c r="A910" s="9" t="s">
        <v>554</v>
      </c>
      <c r="B910" s="30" t="s">
        <v>653</v>
      </c>
      <c r="C910" s="30" t="str">
        <f>CONCATENATE(VOL_VOLUMEN_SUMINISTROS[[#This Row],[Proyecto]],VOL_VOLUMEN_SUMINISTROS[[#This Row],[J]],VOL_VOLUMEN_SUMINISTROS[[#This Row],[FIN DE SEMANA]])</f>
        <v>1052-1TNO</v>
      </c>
      <c r="D910" s="360" t="str">
        <f>CONCATENATE(VOL_VOLUMEN_SUMINISTROS[[#This Row],[Grupo]],VOL_VOLUMEN_SUMINISTROS[[#This Row],[Proyecto]],VOL_VOLUMEN_SUMINISTROS[[#This Row],[FIN DE SEMANA]])</f>
        <v>31052-1NO</v>
      </c>
      <c r="E910" s="30" t="s">
        <v>146</v>
      </c>
      <c r="F910" s="30" t="s">
        <v>147</v>
      </c>
      <c r="G910" s="360">
        <v>3</v>
      </c>
      <c r="H910" s="30">
        <v>4</v>
      </c>
      <c r="I910" s="9" t="s">
        <v>600</v>
      </c>
      <c r="J910" s="9" t="s">
        <v>697</v>
      </c>
      <c r="K910" s="30">
        <v>1</v>
      </c>
      <c r="L910" s="9" t="s">
        <v>697</v>
      </c>
      <c r="M910" s="30" t="s">
        <v>84</v>
      </c>
      <c r="N910" s="30" t="s">
        <v>154</v>
      </c>
      <c r="O910" s="24">
        <v>0</v>
      </c>
      <c r="P910" s="24">
        <v>81</v>
      </c>
      <c r="Q910" s="24">
        <v>27</v>
      </c>
      <c r="R910" s="24">
        <v>0</v>
      </c>
      <c r="S910" s="24">
        <v>0</v>
      </c>
      <c r="T910" s="24">
        <v>108</v>
      </c>
    </row>
    <row r="911" spans="1:20">
      <c r="A911" s="9" t="s">
        <v>554</v>
      </c>
      <c r="B911" s="30" t="s">
        <v>698</v>
      </c>
      <c r="C911" s="30" t="str">
        <f>CONCATENATE(VOL_VOLUMEN_SUMINISTROS[[#This Row],[Proyecto]],VOL_VOLUMEN_SUMINISTROS[[#This Row],[J]],VOL_VOLUMEN_SUMINISTROS[[#This Row],[FIN DE SEMANA]])</f>
        <v>1052-2M1NO</v>
      </c>
      <c r="D911" s="360" t="str">
        <f>CONCATENATE(VOL_VOLUMEN_SUMINISTROS[[#This Row],[Grupo]],VOL_VOLUMEN_SUMINISTROS[[#This Row],[Proyecto]],VOL_VOLUMEN_SUMINISTROS[[#This Row],[FIN DE SEMANA]])</f>
        <v>31052-2NO</v>
      </c>
      <c r="E911" s="30" t="s">
        <v>182</v>
      </c>
      <c r="F911" s="30" t="s">
        <v>147</v>
      </c>
      <c r="G911" s="360">
        <v>3</v>
      </c>
      <c r="H911" s="30">
        <v>4</v>
      </c>
      <c r="I911" s="9" t="s">
        <v>600</v>
      </c>
      <c r="J911" s="9" t="s">
        <v>658</v>
      </c>
      <c r="K911" s="30">
        <v>1</v>
      </c>
      <c r="L911" s="9" t="s">
        <v>659</v>
      </c>
      <c r="M911" s="30" t="s">
        <v>84</v>
      </c>
      <c r="N911" s="30" t="s">
        <v>215</v>
      </c>
      <c r="O911" s="24">
        <v>80</v>
      </c>
      <c r="P911" s="24">
        <v>94</v>
      </c>
      <c r="Q911" s="24">
        <v>18</v>
      </c>
      <c r="R911" s="24">
        <v>0</v>
      </c>
      <c r="S911" s="24">
        <v>0</v>
      </c>
      <c r="T911" s="24">
        <v>192</v>
      </c>
    </row>
    <row r="912" spans="1:20">
      <c r="A912" s="9" t="s">
        <v>554</v>
      </c>
      <c r="B912" s="30" t="s">
        <v>698</v>
      </c>
      <c r="C912" s="30" t="str">
        <f>CONCATENATE(VOL_VOLUMEN_SUMINISTROS[[#This Row],[Proyecto]],VOL_VOLUMEN_SUMINISTROS[[#This Row],[J]],VOL_VOLUMEN_SUMINISTROS[[#This Row],[FIN DE SEMANA]])</f>
        <v>1052-2MNO</v>
      </c>
      <c r="D912" s="360" t="str">
        <f>CONCATENATE(VOL_VOLUMEN_SUMINISTROS[[#This Row],[Grupo]],VOL_VOLUMEN_SUMINISTROS[[#This Row],[Proyecto]],VOL_VOLUMEN_SUMINISTROS[[#This Row],[FIN DE SEMANA]])</f>
        <v>31052-2NO</v>
      </c>
      <c r="E912" s="30" t="s">
        <v>182</v>
      </c>
      <c r="F912" s="30" t="s">
        <v>147</v>
      </c>
      <c r="G912" s="360">
        <v>3</v>
      </c>
      <c r="H912" s="30">
        <v>4</v>
      </c>
      <c r="I912" s="9" t="s">
        <v>600</v>
      </c>
      <c r="J912" s="9" t="s">
        <v>690</v>
      </c>
      <c r="K912" s="30">
        <v>1</v>
      </c>
      <c r="L912" s="9" t="s">
        <v>691</v>
      </c>
      <c r="M912" s="30" t="s">
        <v>84</v>
      </c>
      <c r="N912" s="30" t="s">
        <v>151</v>
      </c>
      <c r="O912" s="24">
        <v>18</v>
      </c>
      <c r="P912" s="24">
        <v>105</v>
      </c>
      <c r="Q912" s="24">
        <v>106</v>
      </c>
      <c r="R912" s="24">
        <v>0</v>
      </c>
      <c r="S912" s="24">
        <v>0</v>
      </c>
      <c r="T912" s="24">
        <v>229</v>
      </c>
    </row>
    <row r="913" spans="1:20">
      <c r="A913" s="9" t="s">
        <v>554</v>
      </c>
      <c r="B913" s="30" t="s">
        <v>698</v>
      </c>
      <c r="C913" s="30" t="str">
        <f>CONCATENATE(VOL_VOLUMEN_SUMINISTROS[[#This Row],[Proyecto]],VOL_VOLUMEN_SUMINISTROS[[#This Row],[J]],VOL_VOLUMEN_SUMINISTROS[[#This Row],[FIN DE SEMANA]])</f>
        <v>1052-2TNO</v>
      </c>
      <c r="D913" s="360" t="str">
        <f>CONCATENATE(VOL_VOLUMEN_SUMINISTROS[[#This Row],[Grupo]],VOL_VOLUMEN_SUMINISTROS[[#This Row],[Proyecto]],VOL_VOLUMEN_SUMINISTROS[[#This Row],[FIN DE SEMANA]])</f>
        <v>31052-2NO</v>
      </c>
      <c r="E913" s="30" t="s">
        <v>182</v>
      </c>
      <c r="F913" s="30" t="s">
        <v>147</v>
      </c>
      <c r="G913" s="360">
        <v>3</v>
      </c>
      <c r="H913" s="30">
        <v>4</v>
      </c>
      <c r="I913" s="9" t="s">
        <v>600</v>
      </c>
      <c r="J913" s="9" t="s">
        <v>690</v>
      </c>
      <c r="K913" s="30">
        <v>1</v>
      </c>
      <c r="L913" s="9" t="s">
        <v>691</v>
      </c>
      <c r="M913" s="30" t="s">
        <v>84</v>
      </c>
      <c r="N913" s="30" t="s">
        <v>154</v>
      </c>
      <c r="O913" s="24">
        <v>30</v>
      </c>
      <c r="P913" s="24">
        <v>108</v>
      </c>
      <c r="Q913" s="24">
        <v>112</v>
      </c>
      <c r="R913" s="24">
        <v>0</v>
      </c>
      <c r="S913" s="24">
        <v>0</v>
      </c>
      <c r="T913" s="24">
        <v>250</v>
      </c>
    </row>
    <row r="914" spans="1:20">
      <c r="A914" s="9" t="s">
        <v>554</v>
      </c>
      <c r="B914" s="30" t="s">
        <v>698</v>
      </c>
      <c r="C914" s="30" t="str">
        <f>CONCATENATE(VOL_VOLUMEN_SUMINISTROS[[#This Row],[Proyecto]],VOL_VOLUMEN_SUMINISTROS[[#This Row],[J]],VOL_VOLUMEN_SUMINISTROS[[#This Row],[FIN DE SEMANA]])</f>
        <v>1052-2M1NO</v>
      </c>
      <c r="D914" s="360" t="str">
        <f>CONCATENATE(VOL_VOLUMEN_SUMINISTROS[[#This Row],[Grupo]],VOL_VOLUMEN_SUMINISTROS[[#This Row],[Proyecto]],VOL_VOLUMEN_SUMINISTROS[[#This Row],[FIN DE SEMANA]])</f>
        <v>31052-2NO</v>
      </c>
      <c r="E914" s="30" t="s">
        <v>182</v>
      </c>
      <c r="F914" s="30" t="s">
        <v>147</v>
      </c>
      <c r="G914" s="360">
        <v>3</v>
      </c>
      <c r="H914" s="30">
        <v>4</v>
      </c>
      <c r="I914" s="9" t="s">
        <v>600</v>
      </c>
      <c r="J914" s="9" t="s">
        <v>639</v>
      </c>
      <c r="K914" s="30">
        <v>1</v>
      </c>
      <c r="L914" s="9" t="s">
        <v>640</v>
      </c>
      <c r="M914" s="30" t="s">
        <v>84</v>
      </c>
      <c r="N914" s="30" t="s">
        <v>215</v>
      </c>
      <c r="O914" s="24">
        <v>0</v>
      </c>
      <c r="P914" s="24">
        <v>99</v>
      </c>
      <c r="Q914" s="24">
        <v>33</v>
      </c>
      <c r="R914" s="24">
        <v>0</v>
      </c>
      <c r="S914" s="24">
        <v>0</v>
      </c>
      <c r="T914" s="24">
        <v>132</v>
      </c>
    </row>
    <row r="915" spans="1:20">
      <c r="A915" s="9" t="s">
        <v>554</v>
      </c>
      <c r="B915" s="30" t="s">
        <v>698</v>
      </c>
      <c r="C915" s="30" t="str">
        <f>CONCATENATE(VOL_VOLUMEN_SUMINISTROS[[#This Row],[Proyecto]],VOL_VOLUMEN_SUMINISTROS[[#This Row],[J]],VOL_VOLUMEN_SUMINISTROS[[#This Row],[FIN DE SEMANA]])</f>
        <v>1052-2M1NO</v>
      </c>
      <c r="D915" s="360" t="str">
        <f>CONCATENATE(VOL_VOLUMEN_SUMINISTROS[[#This Row],[Grupo]],VOL_VOLUMEN_SUMINISTROS[[#This Row],[Proyecto]],VOL_VOLUMEN_SUMINISTROS[[#This Row],[FIN DE SEMANA]])</f>
        <v>21052-2NO</v>
      </c>
      <c r="E915" s="30" t="s">
        <v>182</v>
      </c>
      <c r="F915" s="30" t="s">
        <v>147</v>
      </c>
      <c r="G915" s="360">
        <v>2</v>
      </c>
      <c r="H915" s="30">
        <v>4</v>
      </c>
      <c r="I915" s="9" t="s">
        <v>600</v>
      </c>
      <c r="J915" s="9" t="s">
        <v>639</v>
      </c>
      <c r="K915" s="30">
        <v>2</v>
      </c>
      <c r="L915" s="9" t="s">
        <v>641</v>
      </c>
      <c r="M915" s="30" t="s">
        <v>84</v>
      </c>
      <c r="N915" s="30" t="s">
        <v>215</v>
      </c>
      <c r="O915" s="24">
        <v>134</v>
      </c>
      <c r="P915" s="24">
        <v>67</v>
      </c>
      <c r="Q915" s="24">
        <v>0</v>
      </c>
      <c r="R915" s="24">
        <v>0</v>
      </c>
      <c r="S915" s="24">
        <v>0</v>
      </c>
      <c r="T915" s="24">
        <v>201</v>
      </c>
    </row>
    <row r="916" spans="1:20">
      <c r="A916" s="9" t="s">
        <v>554</v>
      </c>
      <c r="B916" s="30" t="s">
        <v>699</v>
      </c>
      <c r="C916" s="30" t="str">
        <f>CONCATENATE(VOL_VOLUMEN_SUMINISTROS[[#This Row],[Proyecto]],VOL_VOLUMEN_SUMINISTROS[[#This Row],[J]],VOL_VOLUMEN_SUMINISTROS[[#This Row],[FIN DE SEMANA]])</f>
        <v>1052-2MNO</v>
      </c>
      <c r="D916" s="360" t="str">
        <f>CONCATENATE(VOL_VOLUMEN_SUMINISTROS[[#This Row],[Grupo]],VOL_VOLUMEN_SUMINISTROS[[#This Row],[Proyecto]],VOL_VOLUMEN_SUMINISTROS[[#This Row],[FIN DE SEMANA]])</f>
        <v>31052-2NO</v>
      </c>
      <c r="E916" s="30" t="s">
        <v>182</v>
      </c>
      <c r="F916" s="30" t="s">
        <v>147</v>
      </c>
      <c r="G916" s="360">
        <v>3</v>
      </c>
      <c r="H916" s="30">
        <v>4</v>
      </c>
      <c r="I916" s="9" t="s">
        <v>600</v>
      </c>
      <c r="J916" s="9" t="s">
        <v>672</v>
      </c>
      <c r="K916" s="30">
        <v>2</v>
      </c>
      <c r="L916" s="9" t="s">
        <v>674</v>
      </c>
      <c r="M916" s="30" t="s">
        <v>84</v>
      </c>
      <c r="N916" s="30" t="s">
        <v>151</v>
      </c>
      <c r="O916" s="24">
        <v>0</v>
      </c>
      <c r="P916" s="24">
        <v>0</v>
      </c>
      <c r="Q916" s="24">
        <v>27</v>
      </c>
      <c r="R916" s="24">
        <v>0</v>
      </c>
      <c r="S916" s="24">
        <v>0</v>
      </c>
      <c r="T916" s="24">
        <v>27</v>
      </c>
    </row>
    <row r="917" spans="1:20">
      <c r="A917" s="9" t="s">
        <v>554</v>
      </c>
      <c r="B917" s="30" t="s">
        <v>699</v>
      </c>
      <c r="C917" s="30" t="str">
        <f>CONCATENATE(VOL_VOLUMEN_SUMINISTROS[[#This Row],[Proyecto]],VOL_VOLUMEN_SUMINISTROS[[#This Row],[J]],VOL_VOLUMEN_SUMINISTROS[[#This Row],[FIN DE SEMANA]])</f>
        <v>1052-2TNO</v>
      </c>
      <c r="D917" s="360" t="str">
        <f>CONCATENATE(VOL_VOLUMEN_SUMINISTROS[[#This Row],[Grupo]],VOL_VOLUMEN_SUMINISTROS[[#This Row],[Proyecto]],VOL_VOLUMEN_SUMINISTROS[[#This Row],[FIN DE SEMANA]])</f>
        <v>31052-2NO</v>
      </c>
      <c r="E917" s="30" t="s">
        <v>182</v>
      </c>
      <c r="F917" s="30" t="s">
        <v>147</v>
      </c>
      <c r="G917" s="360">
        <v>3</v>
      </c>
      <c r="H917" s="30">
        <v>4</v>
      </c>
      <c r="I917" s="9" t="s">
        <v>600</v>
      </c>
      <c r="J917" s="9" t="s">
        <v>672</v>
      </c>
      <c r="K917" s="30">
        <v>2</v>
      </c>
      <c r="L917" s="9" t="s">
        <v>674</v>
      </c>
      <c r="M917" s="30" t="s">
        <v>84</v>
      </c>
      <c r="N917" s="30" t="s">
        <v>154</v>
      </c>
      <c r="O917" s="24">
        <v>0</v>
      </c>
      <c r="P917" s="24">
        <v>0</v>
      </c>
      <c r="Q917" s="24">
        <v>22</v>
      </c>
      <c r="R917" s="24">
        <v>0</v>
      </c>
      <c r="S917" s="24">
        <v>0</v>
      </c>
      <c r="T917" s="24">
        <v>22</v>
      </c>
    </row>
    <row r="918" spans="1:20">
      <c r="A918" s="9" t="s">
        <v>554</v>
      </c>
      <c r="B918" s="30" t="s">
        <v>699</v>
      </c>
      <c r="C918" s="30" t="str">
        <f>CONCATENATE(VOL_VOLUMEN_SUMINISTROS[[#This Row],[Proyecto]],VOL_VOLUMEN_SUMINISTROS[[#This Row],[J]],VOL_VOLUMEN_SUMINISTROS[[#This Row],[FIN DE SEMANA]])</f>
        <v>1052-2MNO</v>
      </c>
      <c r="D918" s="360" t="str">
        <f>CONCATENATE(VOL_VOLUMEN_SUMINISTROS[[#This Row],[Grupo]],VOL_VOLUMEN_SUMINISTROS[[#This Row],[Proyecto]],VOL_VOLUMEN_SUMINISTROS[[#This Row],[FIN DE SEMANA]])</f>
        <v>31052-2NO</v>
      </c>
      <c r="E918" s="30" t="s">
        <v>182</v>
      </c>
      <c r="F918" s="30" t="s">
        <v>147</v>
      </c>
      <c r="G918" s="360">
        <v>3</v>
      </c>
      <c r="H918" s="30">
        <v>4</v>
      </c>
      <c r="I918" s="9" t="s">
        <v>600</v>
      </c>
      <c r="J918" s="9" t="s">
        <v>675</v>
      </c>
      <c r="K918" s="30">
        <v>1</v>
      </c>
      <c r="L918" s="9" t="s">
        <v>676</v>
      </c>
      <c r="M918" s="30" t="s">
        <v>84</v>
      </c>
      <c r="N918" s="30" t="s">
        <v>151</v>
      </c>
      <c r="O918" s="24">
        <v>0</v>
      </c>
      <c r="P918" s="24">
        <v>0</v>
      </c>
      <c r="Q918" s="24">
        <v>44</v>
      </c>
      <c r="R918" s="24">
        <v>0</v>
      </c>
      <c r="S918" s="24">
        <v>0</v>
      </c>
      <c r="T918" s="24">
        <v>44</v>
      </c>
    </row>
    <row r="919" spans="1:20">
      <c r="A919" s="9" t="s">
        <v>554</v>
      </c>
      <c r="B919" s="30" t="s">
        <v>699</v>
      </c>
      <c r="C919" s="30" t="str">
        <f>CONCATENATE(VOL_VOLUMEN_SUMINISTROS[[#This Row],[Proyecto]],VOL_VOLUMEN_SUMINISTROS[[#This Row],[J]],VOL_VOLUMEN_SUMINISTROS[[#This Row],[FIN DE SEMANA]])</f>
        <v>1052-2TNO</v>
      </c>
      <c r="D919" s="360" t="str">
        <f>CONCATENATE(VOL_VOLUMEN_SUMINISTROS[[#This Row],[Grupo]],VOL_VOLUMEN_SUMINISTROS[[#This Row],[Proyecto]],VOL_VOLUMEN_SUMINISTROS[[#This Row],[FIN DE SEMANA]])</f>
        <v>31052-2NO</v>
      </c>
      <c r="E919" s="30" t="s">
        <v>182</v>
      </c>
      <c r="F919" s="30" t="s">
        <v>147</v>
      </c>
      <c r="G919" s="360">
        <v>3</v>
      </c>
      <c r="H919" s="30">
        <v>4</v>
      </c>
      <c r="I919" s="9" t="s">
        <v>600</v>
      </c>
      <c r="J919" s="9" t="s">
        <v>675</v>
      </c>
      <c r="K919" s="30">
        <v>1</v>
      </c>
      <c r="L919" s="9" t="s">
        <v>676</v>
      </c>
      <c r="M919" s="30" t="s">
        <v>84</v>
      </c>
      <c r="N919" s="30" t="s">
        <v>154</v>
      </c>
      <c r="O919" s="24">
        <v>0</v>
      </c>
      <c r="P919" s="24">
        <v>0</v>
      </c>
      <c r="Q919" s="24">
        <v>78</v>
      </c>
      <c r="R919" s="24">
        <v>0</v>
      </c>
      <c r="S919" s="24">
        <v>0</v>
      </c>
      <c r="T919" s="24">
        <v>78</v>
      </c>
    </row>
    <row r="920" spans="1:20">
      <c r="A920" s="9" t="s">
        <v>554</v>
      </c>
      <c r="B920" s="30" t="s">
        <v>699</v>
      </c>
      <c r="C920" s="30" t="str">
        <f>CONCATENATE(VOL_VOLUMEN_SUMINISTROS[[#This Row],[Proyecto]],VOL_VOLUMEN_SUMINISTROS[[#This Row],[J]],VOL_VOLUMEN_SUMINISTROS[[#This Row],[FIN DE SEMANA]])</f>
        <v>1052-2MNO</v>
      </c>
      <c r="D920" s="360" t="str">
        <f>CONCATENATE(VOL_VOLUMEN_SUMINISTROS[[#This Row],[Grupo]],VOL_VOLUMEN_SUMINISTROS[[#This Row],[Proyecto]],VOL_VOLUMEN_SUMINISTROS[[#This Row],[FIN DE SEMANA]])</f>
        <v>31052-2NO</v>
      </c>
      <c r="E920" s="30" t="s">
        <v>182</v>
      </c>
      <c r="F920" s="30" t="s">
        <v>147</v>
      </c>
      <c r="G920" s="360">
        <v>3</v>
      </c>
      <c r="H920" s="30">
        <v>4</v>
      </c>
      <c r="I920" s="9" t="s">
        <v>600</v>
      </c>
      <c r="J920" s="9" t="s">
        <v>687</v>
      </c>
      <c r="K920" s="30">
        <v>1</v>
      </c>
      <c r="L920" s="9" t="s">
        <v>688</v>
      </c>
      <c r="M920" s="30" t="s">
        <v>84</v>
      </c>
      <c r="N920" s="30" t="s">
        <v>151</v>
      </c>
      <c r="O920" s="24">
        <v>0</v>
      </c>
      <c r="P920" s="24">
        <v>0</v>
      </c>
      <c r="Q920" s="24">
        <v>60</v>
      </c>
      <c r="R920" s="24">
        <v>0</v>
      </c>
      <c r="S920" s="24">
        <v>0</v>
      </c>
      <c r="T920" s="24">
        <v>60</v>
      </c>
    </row>
    <row r="921" spans="1:20">
      <c r="A921" s="9" t="s">
        <v>554</v>
      </c>
      <c r="B921" s="30" t="s">
        <v>699</v>
      </c>
      <c r="C921" s="30" t="str">
        <f>CONCATENATE(VOL_VOLUMEN_SUMINISTROS[[#This Row],[Proyecto]],VOL_VOLUMEN_SUMINISTROS[[#This Row],[J]],VOL_VOLUMEN_SUMINISTROS[[#This Row],[FIN DE SEMANA]])</f>
        <v>1052-2TNO</v>
      </c>
      <c r="D921" s="360" t="str">
        <f>CONCATENATE(VOL_VOLUMEN_SUMINISTROS[[#This Row],[Grupo]],VOL_VOLUMEN_SUMINISTROS[[#This Row],[Proyecto]],VOL_VOLUMEN_SUMINISTROS[[#This Row],[FIN DE SEMANA]])</f>
        <v>31052-2NO</v>
      </c>
      <c r="E921" s="30" t="s">
        <v>182</v>
      </c>
      <c r="F921" s="30" t="s">
        <v>147</v>
      </c>
      <c r="G921" s="360">
        <v>3</v>
      </c>
      <c r="H921" s="30">
        <v>4</v>
      </c>
      <c r="I921" s="9" t="s">
        <v>600</v>
      </c>
      <c r="J921" s="9" t="s">
        <v>687</v>
      </c>
      <c r="K921" s="30">
        <v>1</v>
      </c>
      <c r="L921" s="9" t="s">
        <v>688</v>
      </c>
      <c r="M921" s="30" t="s">
        <v>84</v>
      </c>
      <c r="N921" s="30" t="s">
        <v>154</v>
      </c>
      <c r="O921" s="24">
        <v>0</v>
      </c>
      <c r="P921" s="24">
        <v>0</v>
      </c>
      <c r="Q921" s="24">
        <v>73</v>
      </c>
      <c r="R921" s="24">
        <v>0</v>
      </c>
      <c r="S921" s="24">
        <v>0</v>
      </c>
      <c r="T921" s="24">
        <v>73</v>
      </c>
    </row>
    <row r="922" spans="1:20">
      <c r="A922" s="9" t="s">
        <v>554</v>
      </c>
      <c r="B922" s="30" t="s">
        <v>699</v>
      </c>
      <c r="C922" s="30" t="str">
        <f>CONCATENATE(VOL_VOLUMEN_SUMINISTROS[[#This Row],[Proyecto]],VOL_VOLUMEN_SUMINISTROS[[#This Row],[J]],VOL_VOLUMEN_SUMINISTROS[[#This Row],[FIN DE SEMANA]])</f>
        <v>1052-2MNO</v>
      </c>
      <c r="D922" s="360" t="str">
        <f>CONCATENATE(VOL_VOLUMEN_SUMINISTROS[[#This Row],[Grupo]],VOL_VOLUMEN_SUMINISTROS[[#This Row],[Proyecto]],VOL_VOLUMEN_SUMINISTROS[[#This Row],[FIN DE SEMANA]])</f>
        <v>31052-2NO</v>
      </c>
      <c r="E922" s="30" t="s">
        <v>182</v>
      </c>
      <c r="F922" s="30" t="s">
        <v>147</v>
      </c>
      <c r="G922" s="360">
        <v>3</v>
      </c>
      <c r="H922" s="30">
        <v>4</v>
      </c>
      <c r="I922" s="9" t="s">
        <v>600</v>
      </c>
      <c r="J922" s="9" t="s">
        <v>690</v>
      </c>
      <c r="K922" s="30">
        <v>1</v>
      </c>
      <c r="L922" s="9" t="s">
        <v>691</v>
      </c>
      <c r="M922" s="30" t="s">
        <v>84</v>
      </c>
      <c r="N922" s="30" t="s">
        <v>151</v>
      </c>
      <c r="O922" s="24">
        <v>0</v>
      </c>
      <c r="P922" s="24">
        <v>0</v>
      </c>
      <c r="Q922" s="24">
        <v>130</v>
      </c>
      <c r="R922" s="24">
        <v>0</v>
      </c>
      <c r="S922" s="24">
        <v>0</v>
      </c>
      <c r="T922" s="24">
        <v>130</v>
      </c>
    </row>
    <row r="923" spans="1:20">
      <c r="A923" s="9" t="s">
        <v>554</v>
      </c>
      <c r="B923" s="30" t="s">
        <v>699</v>
      </c>
      <c r="C923" s="30" t="str">
        <f>CONCATENATE(VOL_VOLUMEN_SUMINISTROS[[#This Row],[Proyecto]],VOL_VOLUMEN_SUMINISTROS[[#This Row],[J]],VOL_VOLUMEN_SUMINISTROS[[#This Row],[FIN DE SEMANA]])</f>
        <v>1052-2TNO</v>
      </c>
      <c r="D923" s="360" t="str">
        <f>CONCATENATE(VOL_VOLUMEN_SUMINISTROS[[#This Row],[Grupo]],VOL_VOLUMEN_SUMINISTROS[[#This Row],[Proyecto]],VOL_VOLUMEN_SUMINISTROS[[#This Row],[FIN DE SEMANA]])</f>
        <v>31052-2NO</v>
      </c>
      <c r="E923" s="30" t="s">
        <v>182</v>
      </c>
      <c r="F923" s="30" t="s">
        <v>147</v>
      </c>
      <c r="G923" s="360">
        <v>3</v>
      </c>
      <c r="H923" s="30">
        <v>4</v>
      </c>
      <c r="I923" s="9" t="s">
        <v>600</v>
      </c>
      <c r="J923" s="9" t="s">
        <v>690</v>
      </c>
      <c r="K923" s="30">
        <v>1</v>
      </c>
      <c r="L923" s="9" t="s">
        <v>691</v>
      </c>
      <c r="M923" s="30" t="s">
        <v>84</v>
      </c>
      <c r="N923" s="30" t="s">
        <v>154</v>
      </c>
      <c r="O923" s="24">
        <v>0</v>
      </c>
      <c r="P923" s="24">
        <v>0</v>
      </c>
      <c r="Q923" s="24">
        <v>180</v>
      </c>
      <c r="R923" s="24">
        <v>0</v>
      </c>
      <c r="S923" s="24">
        <v>0</v>
      </c>
      <c r="T923" s="24">
        <v>180</v>
      </c>
    </row>
    <row r="924" spans="1:20">
      <c r="A924" s="9" t="s">
        <v>554</v>
      </c>
      <c r="B924" s="30" t="s">
        <v>699</v>
      </c>
      <c r="C924" s="30" t="str">
        <f>CONCATENATE(VOL_VOLUMEN_SUMINISTROS[[#This Row],[Proyecto]],VOL_VOLUMEN_SUMINISTROS[[#This Row],[J]],VOL_VOLUMEN_SUMINISTROS[[#This Row],[FIN DE SEMANA]])</f>
        <v>1052-2MNO</v>
      </c>
      <c r="D924" s="360" t="str">
        <f>CONCATENATE(VOL_VOLUMEN_SUMINISTROS[[#This Row],[Grupo]],VOL_VOLUMEN_SUMINISTROS[[#This Row],[Proyecto]],VOL_VOLUMEN_SUMINISTROS[[#This Row],[FIN DE SEMANA]])</f>
        <v>21052-2NO</v>
      </c>
      <c r="E924" s="30" t="s">
        <v>182</v>
      </c>
      <c r="F924" s="30" t="s">
        <v>147</v>
      </c>
      <c r="G924" s="360">
        <v>2</v>
      </c>
      <c r="H924" s="30">
        <v>4</v>
      </c>
      <c r="I924" s="9" t="s">
        <v>600</v>
      </c>
      <c r="J924" s="9" t="s">
        <v>639</v>
      </c>
      <c r="K924" s="30">
        <v>1</v>
      </c>
      <c r="L924" s="9" t="s">
        <v>640</v>
      </c>
      <c r="M924" s="30" t="s">
        <v>84</v>
      </c>
      <c r="N924" s="30" t="s">
        <v>151</v>
      </c>
      <c r="O924" s="24">
        <v>0</v>
      </c>
      <c r="P924" s="24">
        <v>0</v>
      </c>
      <c r="Q924" s="24">
        <v>80</v>
      </c>
      <c r="R924" s="24">
        <v>0</v>
      </c>
      <c r="S924" s="24">
        <v>0</v>
      </c>
      <c r="T924" s="24">
        <v>80</v>
      </c>
    </row>
    <row r="925" spans="1:20">
      <c r="A925" s="9" t="s">
        <v>554</v>
      </c>
      <c r="B925" s="30" t="s">
        <v>699</v>
      </c>
      <c r="C925" s="30" t="str">
        <f>CONCATENATE(VOL_VOLUMEN_SUMINISTROS[[#This Row],[Proyecto]],VOL_VOLUMEN_SUMINISTROS[[#This Row],[J]],VOL_VOLUMEN_SUMINISTROS[[#This Row],[FIN DE SEMANA]])</f>
        <v>1052-2TNO</v>
      </c>
      <c r="D925" s="360" t="str">
        <f>CONCATENATE(VOL_VOLUMEN_SUMINISTROS[[#This Row],[Grupo]],VOL_VOLUMEN_SUMINISTROS[[#This Row],[Proyecto]],VOL_VOLUMEN_SUMINISTROS[[#This Row],[FIN DE SEMANA]])</f>
        <v>21052-2NO</v>
      </c>
      <c r="E925" s="30" t="s">
        <v>182</v>
      </c>
      <c r="F925" s="30" t="s">
        <v>147</v>
      </c>
      <c r="G925" s="360">
        <v>2</v>
      </c>
      <c r="H925" s="30">
        <v>4</v>
      </c>
      <c r="I925" s="9" t="s">
        <v>600</v>
      </c>
      <c r="J925" s="9" t="s">
        <v>639</v>
      </c>
      <c r="K925" s="30">
        <v>1</v>
      </c>
      <c r="L925" s="9" t="s">
        <v>640</v>
      </c>
      <c r="M925" s="30" t="s">
        <v>84</v>
      </c>
      <c r="N925" s="30" t="s">
        <v>154</v>
      </c>
      <c r="O925" s="24">
        <v>0</v>
      </c>
      <c r="P925" s="24">
        <v>0</v>
      </c>
      <c r="Q925" s="24">
        <v>70</v>
      </c>
      <c r="R925" s="24">
        <v>0</v>
      </c>
      <c r="S925" s="24">
        <v>0</v>
      </c>
      <c r="T925" s="24">
        <v>70</v>
      </c>
    </row>
    <row r="926" spans="1:20">
      <c r="A926" s="9" t="s">
        <v>554</v>
      </c>
      <c r="B926" s="30" t="s">
        <v>699</v>
      </c>
      <c r="C926" s="30" t="str">
        <f>CONCATENATE(VOL_VOLUMEN_SUMINISTROS[[#This Row],[Proyecto]],VOL_VOLUMEN_SUMINISTROS[[#This Row],[J]],VOL_VOLUMEN_SUMINISTROS[[#This Row],[FIN DE SEMANA]])</f>
        <v>1052-2TNO</v>
      </c>
      <c r="D926" s="360" t="str">
        <f>CONCATENATE(VOL_VOLUMEN_SUMINISTROS[[#This Row],[Grupo]],VOL_VOLUMEN_SUMINISTROS[[#This Row],[Proyecto]],VOL_VOLUMEN_SUMINISTROS[[#This Row],[FIN DE SEMANA]])</f>
        <v>31052-2NO</v>
      </c>
      <c r="E926" s="30" t="s">
        <v>182</v>
      </c>
      <c r="F926" s="30" t="s">
        <v>147</v>
      </c>
      <c r="G926" s="360">
        <v>3</v>
      </c>
      <c r="H926" s="30">
        <v>4</v>
      </c>
      <c r="I926" s="9" t="s">
        <v>600</v>
      </c>
      <c r="J926" s="9" t="s">
        <v>694</v>
      </c>
      <c r="K926" s="30">
        <v>1</v>
      </c>
      <c r="L926" s="9" t="s">
        <v>152</v>
      </c>
      <c r="M926" s="30" t="s">
        <v>84</v>
      </c>
      <c r="N926" s="30" t="s">
        <v>154</v>
      </c>
      <c r="O926" s="24">
        <v>0</v>
      </c>
      <c r="P926" s="24">
        <v>0</v>
      </c>
      <c r="Q926" s="24">
        <v>130</v>
      </c>
      <c r="R926" s="24">
        <v>0</v>
      </c>
      <c r="S926" s="24">
        <v>0</v>
      </c>
      <c r="T926" s="24">
        <v>130</v>
      </c>
    </row>
    <row r="927" spans="1:20">
      <c r="A927" s="9" t="s">
        <v>554</v>
      </c>
      <c r="B927" s="30" t="s">
        <v>700</v>
      </c>
      <c r="C927" s="30" t="str">
        <f>CONCATENATE(VOL_VOLUMEN_SUMINISTROS[[#This Row],[Proyecto]],VOL_VOLUMEN_SUMINISTROS[[#This Row],[J]],VOL_VOLUMEN_SUMINISTROS[[#This Row],[FIN DE SEMANA]])</f>
        <v>1052-2TNO</v>
      </c>
      <c r="D927" s="360" t="str">
        <f>CONCATENATE(VOL_VOLUMEN_SUMINISTROS[[#This Row],[Grupo]],VOL_VOLUMEN_SUMINISTROS[[#This Row],[Proyecto]],VOL_VOLUMEN_SUMINISTROS[[#This Row],[FIN DE SEMANA]])</f>
        <v>31052-2NO</v>
      </c>
      <c r="E927" s="30" t="s">
        <v>182</v>
      </c>
      <c r="F927" s="30" t="s">
        <v>147</v>
      </c>
      <c r="G927" s="360">
        <v>3</v>
      </c>
      <c r="H927" s="30">
        <v>4</v>
      </c>
      <c r="I927" s="9" t="s">
        <v>600</v>
      </c>
      <c r="J927" s="9" t="s">
        <v>675</v>
      </c>
      <c r="K927" s="30">
        <v>1</v>
      </c>
      <c r="L927" s="9" t="s">
        <v>676</v>
      </c>
      <c r="M927" s="30" t="s">
        <v>84</v>
      </c>
      <c r="N927" s="30" t="s">
        <v>154</v>
      </c>
      <c r="O927" s="24">
        <v>160</v>
      </c>
      <c r="P927" s="24">
        <v>0</v>
      </c>
      <c r="Q927" s="24">
        <v>0</v>
      </c>
      <c r="R927" s="24">
        <v>0</v>
      </c>
      <c r="S927" s="24">
        <v>0</v>
      </c>
      <c r="T927" s="24">
        <v>160</v>
      </c>
    </row>
    <row r="928" spans="1:20">
      <c r="A928" s="9" t="s">
        <v>554</v>
      </c>
      <c r="B928" s="30" t="s">
        <v>700</v>
      </c>
      <c r="C928" s="30" t="str">
        <f>CONCATENATE(VOL_VOLUMEN_SUMINISTROS[[#This Row],[Proyecto]],VOL_VOLUMEN_SUMINISTROS[[#This Row],[J]],VOL_VOLUMEN_SUMINISTROS[[#This Row],[FIN DE SEMANA]])</f>
        <v>1052-2MNO</v>
      </c>
      <c r="D928" s="360" t="str">
        <f>CONCATENATE(VOL_VOLUMEN_SUMINISTROS[[#This Row],[Grupo]],VOL_VOLUMEN_SUMINISTROS[[#This Row],[Proyecto]],VOL_VOLUMEN_SUMINISTROS[[#This Row],[FIN DE SEMANA]])</f>
        <v>31052-2NO</v>
      </c>
      <c r="E928" s="30" t="s">
        <v>182</v>
      </c>
      <c r="F928" s="30" t="s">
        <v>147</v>
      </c>
      <c r="G928" s="360">
        <v>3</v>
      </c>
      <c r="H928" s="30">
        <v>4</v>
      </c>
      <c r="I928" s="9" t="s">
        <v>600</v>
      </c>
      <c r="J928" s="9" t="s">
        <v>681</v>
      </c>
      <c r="K928" s="30">
        <v>1</v>
      </c>
      <c r="L928" s="9" t="s">
        <v>682</v>
      </c>
      <c r="M928" s="30" t="s">
        <v>84</v>
      </c>
      <c r="N928" s="30" t="s">
        <v>151</v>
      </c>
      <c r="O928" s="24">
        <v>48</v>
      </c>
      <c r="P928" s="24">
        <v>0</v>
      </c>
      <c r="Q928" s="24">
        <v>0</v>
      </c>
      <c r="R928" s="24">
        <v>0</v>
      </c>
      <c r="S928" s="24">
        <v>0</v>
      </c>
      <c r="T928" s="24">
        <v>48</v>
      </c>
    </row>
    <row r="929" spans="1:20">
      <c r="A929" s="9" t="s">
        <v>554</v>
      </c>
      <c r="B929" s="30" t="s">
        <v>700</v>
      </c>
      <c r="C929" s="30" t="str">
        <f>CONCATENATE(VOL_VOLUMEN_SUMINISTROS[[#This Row],[Proyecto]],VOL_VOLUMEN_SUMINISTROS[[#This Row],[J]],VOL_VOLUMEN_SUMINISTROS[[#This Row],[FIN DE SEMANA]])</f>
        <v>1052-2TNO</v>
      </c>
      <c r="D929" s="360" t="str">
        <f>CONCATENATE(VOL_VOLUMEN_SUMINISTROS[[#This Row],[Grupo]],VOL_VOLUMEN_SUMINISTROS[[#This Row],[Proyecto]],VOL_VOLUMEN_SUMINISTROS[[#This Row],[FIN DE SEMANA]])</f>
        <v>31052-2NO</v>
      </c>
      <c r="E929" s="30" t="s">
        <v>182</v>
      </c>
      <c r="F929" s="30" t="s">
        <v>147</v>
      </c>
      <c r="G929" s="360">
        <v>3</v>
      </c>
      <c r="H929" s="30">
        <v>4</v>
      </c>
      <c r="I929" s="9" t="s">
        <v>600</v>
      </c>
      <c r="J929" s="9" t="s">
        <v>681</v>
      </c>
      <c r="K929" s="30">
        <v>1</v>
      </c>
      <c r="L929" s="9" t="s">
        <v>682</v>
      </c>
      <c r="M929" s="30" t="s">
        <v>84</v>
      </c>
      <c r="N929" s="30" t="s">
        <v>154</v>
      </c>
      <c r="O929" s="24">
        <v>47</v>
      </c>
      <c r="P929" s="24">
        <v>0</v>
      </c>
      <c r="Q929" s="24">
        <v>0</v>
      </c>
      <c r="R929" s="24">
        <v>0</v>
      </c>
      <c r="S929" s="24">
        <v>0</v>
      </c>
      <c r="T929" s="24">
        <v>47</v>
      </c>
    </row>
    <row r="930" spans="1:20">
      <c r="A930" s="9" t="s">
        <v>554</v>
      </c>
      <c r="B930" s="30" t="s">
        <v>700</v>
      </c>
      <c r="C930" s="30" t="str">
        <f>CONCATENATE(VOL_VOLUMEN_SUMINISTROS[[#This Row],[Proyecto]],VOL_VOLUMEN_SUMINISTROS[[#This Row],[J]],VOL_VOLUMEN_SUMINISTROS[[#This Row],[FIN DE SEMANA]])</f>
        <v>1052-2MNO</v>
      </c>
      <c r="D930" s="360" t="str">
        <f>CONCATENATE(VOL_VOLUMEN_SUMINISTROS[[#This Row],[Grupo]],VOL_VOLUMEN_SUMINISTROS[[#This Row],[Proyecto]],VOL_VOLUMEN_SUMINISTROS[[#This Row],[FIN DE SEMANA]])</f>
        <v>31052-2NO</v>
      </c>
      <c r="E930" s="30" t="s">
        <v>182</v>
      </c>
      <c r="F930" s="30" t="s">
        <v>147</v>
      </c>
      <c r="G930" s="360">
        <v>3</v>
      </c>
      <c r="H930" s="30">
        <v>4</v>
      </c>
      <c r="I930" s="9" t="s">
        <v>600</v>
      </c>
      <c r="J930" s="9" t="s">
        <v>681</v>
      </c>
      <c r="K930" s="30">
        <v>2</v>
      </c>
      <c r="L930" s="9" t="s">
        <v>683</v>
      </c>
      <c r="M930" s="30" t="s">
        <v>84</v>
      </c>
      <c r="N930" s="30" t="s">
        <v>151</v>
      </c>
      <c r="O930" s="24">
        <v>25</v>
      </c>
      <c r="P930" s="24">
        <v>0</v>
      </c>
      <c r="Q930" s="24">
        <v>0</v>
      </c>
      <c r="R930" s="24">
        <v>0</v>
      </c>
      <c r="S930" s="24">
        <v>0</v>
      </c>
      <c r="T930" s="24">
        <v>25</v>
      </c>
    </row>
    <row r="931" spans="1:20">
      <c r="A931" s="9" t="s">
        <v>554</v>
      </c>
      <c r="B931" s="30" t="s">
        <v>700</v>
      </c>
      <c r="C931" s="30" t="str">
        <f>CONCATENATE(VOL_VOLUMEN_SUMINISTROS[[#This Row],[Proyecto]],VOL_VOLUMEN_SUMINISTROS[[#This Row],[J]],VOL_VOLUMEN_SUMINISTROS[[#This Row],[FIN DE SEMANA]])</f>
        <v>1052-2TNO</v>
      </c>
      <c r="D931" s="360" t="str">
        <f>CONCATENATE(VOL_VOLUMEN_SUMINISTROS[[#This Row],[Grupo]],VOL_VOLUMEN_SUMINISTROS[[#This Row],[Proyecto]],VOL_VOLUMEN_SUMINISTROS[[#This Row],[FIN DE SEMANA]])</f>
        <v>31052-2NO</v>
      </c>
      <c r="E931" s="30" t="s">
        <v>182</v>
      </c>
      <c r="F931" s="30" t="s">
        <v>147</v>
      </c>
      <c r="G931" s="360">
        <v>3</v>
      </c>
      <c r="H931" s="30">
        <v>4</v>
      </c>
      <c r="I931" s="9" t="s">
        <v>600</v>
      </c>
      <c r="J931" s="9" t="s">
        <v>681</v>
      </c>
      <c r="K931" s="30">
        <v>2</v>
      </c>
      <c r="L931" s="9" t="s">
        <v>683</v>
      </c>
      <c r="M931" s="30" t="s">
        <v>84</v>
      </c>
      <c r="N931" s="30" t="s">
        <v>154</v>
      </c>
      <c r="O931" s="24">
        <v>24</v>
      </c>
      <c r="P931" s="24">
        <v>0</v>
      </c>
      <c r="Q931" s="24">
        <v>0</v>
      </c>
      <c r="R931" s="24">
        <v>0</v>
      </c>
      <c r="S931" s="24">
        <v>0</v>
      </c>
      <c r="T931" s="24">
        <v>24</v>
      </c>
    </row>
    <row r="932" spans="1:20">
      <c r="A932" s="9" t="s">
        <v>701</v>
      </c>
      <c r="B932" s="30" t="s">
        <v>702</v>
      </c>
      <c r="C932" s="30" t="str">
        <f>CONCATENATE(VOL_VOLUMEN_SUMINISTROS[[#This Row],[Proyecto]],VOL_VOLUMEN_SUMINISTROS[[#This Row],[J]],VOL_VOLUMEN_SUMINISTROS[[#This Row],[FIN DE SEMANA]])</f>
        <v>1052-1MNO</v>
      </c>
      <c r="D932" s="360" t="str">
        <f>CONCATENATE(VOL_VOLUMEN_SUMINISTROS[[#This Row],[Grupo]],VOL_VOLUMEN_SUMINISTROS[[#This Row],[Proyecto]],VOL_VOLUMEN_SUMINISTROS[[#This Row],[FIN DE SEMANA]])</f>
        <v>211052-1NO</v>
      </c>
      <c r="E932" s="30" t="s">
        <v>146</v>
      </c>
      <c r="F932" s="30" t="s">
        <v>147</v>
      </c>
      <c r="G932" s="360">
        <v>21</v>
      </c>
      <c r="H932" s="30">
        <v>19</v>
      </c>
      <c r="I932" s="9" t="s">
        <v>249</v>
      </c>
      <c r="J932" s="9" t="s">
        <v>703</v>
      </c>
      <c r="K932" s="30">
        <v>1</v>
      </c>
      <c r="L932" s="9" t="s">
        <v>704</v>
      </c>
      <c r="M932" s="30" t="s">
        <v>84</v>
      </c>
      <c r="N932" s="30" t="s">
        <v>151</v>
      </c>
      <c r="O932" s="24">
        <v>252</v>
      </c>
      <c r="P932" s="24">
        <v>343</v>
      </c>
      <c r="Q932" s="24">
        <v>505</v>
      </c>
      <c r="R932" s="24">
        <v>0</v>
      </c>
      <c r="S932" s="24">
        <v>0</v>
      </c>
      <c r="T932" s="24">
        <v>1100</v>
      </c>
    </row>
    <row r="933" spans="1:20">
      <c r="A933" s="9" t="s">
        <v>701</v>
      </c>
      <c r="B933" s="30" t="s">
        <v>702</v>
      </c>
      <c r="C933" s="30" t="str">
        <f>CONCATENATE(VOL_VOLUMEN_SUMINISTROS[[#This Row],[Proyecto]],VOL_VOLUMEN_SUMINISTROS[[#This Row],[J]],VOL_VOLUMEN_SUMINISTROS[[#This Row],[FIN DE SEMANA]])</f>
        <v>1052-1NNO</v>
      </c>
      <c r="D933" s="360" t="str">
        <f>CONCATENATE(VOL_VOLUMEN_SUMINISTROS[[#This Row],[Grupo]],VOL_VOLUMEN_SUMINISTROS[[#This Row],[Proyecto]],VOL_VOLUMEN_SUMINISTROS[[#This Row],[FIN DE SEMANA]])</f>
        <v>211052-1NO</v>
      </c>
      <c r="E933" s="30" t="s">
        <v>146</v>
      </c>
      <c r="F933" s="30" t="s">
        <v>147</v>
      </c>
      <c r="G933" s="360">
        <v>21</v>
      </c>
      <c r="H933" s="30">
        <v>19</v>
      </c>
      <c r="I933" s="9" t="s">
        <v>249</v>
      </c>
      <c r="J933" s="9" t="s">
        <v>703</v>
      </c>
      <c r="K933" s="30">
        <v>1</v>
      </c>
      <c r="L933" s="9" t="s">
        <v>704</v>
      </c>
      <c r="M933" s="30" t="s">
        <v>84</v>
      </c>
      <c r="N933" s="30" t="s">
        <v>153</v>
      </c>
      <c r="O933" s="24">
        <v>0</v>
      </c>
      <c r="P933" s="24">
        <v>0</v>
      </c>
      <c r="Q933" s="24">
        <v>0</v>
      </c>
      <c r="R933" s="24">
        <v>113</v>
      </c>
      <c r="S933" s="24">
        <v>111</v>
      </c>
      <c r="T933" s="24">
        <v>224</v>
      </c>
    </row>
    <row r="934" spans="1:20">
      <c r="A934" s="9" t="s">
        <v>701</v>
      </c>
      <c r="B934" s="30" t="s">
        <v>702</v>
      </c>
      <c r="C934" s="30" t="str">
        <f>CONCATENATE(VOL_VOLUMEN_SUMINISTROS[[#This Row],[Proyecto]],VOL_VOLUMEN_SUMINISTROS[[#This Row],[J]],VOL_VOLUMEN_SUMINISTROS[[#This Row],[FIN DE SEMANA]])</f>
        <v>1052-1TNO</v>
      </c>
      <c r="D934" s="360" t="str">
        <f>CONCATENATE(VOL_VOLUMEN_SUMINISTROS[[#This Row],[Grupo]],VOL_VOLUMEN_SUMINISTROS[[#This Row],[Proyecto]],VOL_VOLUMEN_SUMINISTROS[[#This Row],[FIN DE SEMANA]])</f>
        <v>211052-1NO</v>
      </c>
      <c r="E934" s="30" t="s">
        <v>146</v>
      </c>
      <c r="F934" s="30" t="s">
        <v>147</v>
      </c>
      <c r="G934" s="360">
        <v>21</v>
      </c>
      <c r="H934" s="30">
        <v>19</v>
      </c>
      <c r="I934" s="9" t="s">
        <v>249</v>
      </c>
      <c r="J934" s="9" t="s">
        <v>703</v>
      </c>
      <c r="K934" s="30">
        <v>1</v>
      </c>
      <c r="L934" s="9" t="s">
        <v>704</v>
      </c>
      <c r="M934" s="30" t="s">
        <v>84</v>
      </c>
      <c r="N934" s="30" t="s">
        <v>154</v>
      </c>
      <c r="O934" s="24">
        <v>303</v>
      </c>
      <c r="P934" s="24">
        <v>384</v>
      </c>
      <c r="Q934" s="24">
        <v>468</v>
      </c>
      <c r="R934" s="24">
        <v>0</v>
      </c>
      <c r="S934" s="24">
        <v>0</v>
      </c>
      <c r="T934" s="24">
        <v>1155</v>
      </c>
    </row>
    <row r="935" spans="1:20">
      <c r="A935" s="9" t="s">
        <v>701</v>
      </c>
      <c r="B935" s="30" t="s">
        <v>702</v>
      </c>
      <c r="C935" s="30" t="str">
        <f>CONCATENATE(VOL_VOLUMEN_SUMINISTROS[[#This Row],[Proyecto]],VOL_VOLUMEN_SUMINISTROS[[#This Row],[J]],VOL_VOLUMEN_SUMINISTROS[[#This Row],[FIN DE SEMANA]])</f>
        <v>1052-1MNO</v>
      </c>
      <c r="D935" s="360" t="str">
        <f>CONCATENATE(VOL_VOLUMEN_SUMINISTROS[[#This Row],[Grupo]],VOL_VOLUMEN_SUMINISTROS[[#This Row],[Proyecto]],VOL_VOLUMEN_SUMINISTROS[[#This Row],[FIN DE SEMANA]])</f>
        <v>211052-1NO</v>
      </c>
      <c r="E935" s="30" t="s">
        <v>146</v>
      </c>
      <c r="F935" s="30" t="s">
        <v>147</v>
      </c>
      <c r="G935" s="360">
        <v>21</v>
      </c>
      <c r="H935" s="30">
        <v>19</v>
      </c>
      <c r="I935" s="9" t="s">
        <v>249</v>
      </c>
      <c r="J935" s="9" t="s">
        <v>705</v>
      </c>
      <c r="K935" s="30">
        <v>1</v>
      </c>
      <c r="L935" s="9" t="s">
        <v>706</v>
      </c>
      <c r="M935" s="30" t="s">
        <v>84</v>
      </c>
      <c r="N935" s="30" t="s">
        <v>151</v>
      </c>
      <c r="O935" s="24">
        <v>149</v>
      </c>
      <c r="P935" s="24">
        <v>382</v>
      </c>
      <c r="Q935" s="24">
        <v>537</v>
      </c>
      <c r="R935" s="24">
        <v>0</v>
      </c>
      <c r="S935" s="24">
        <v>0</v>
      </c>
      <c r="T935" s="24">
        <v>1068</v>
      </c>
    </row>
    <row r="936" spans="1:20">
      <c r="A936" s="9" t="s">
        <v>701</v>
      </c>
      <c r="B936" s="30" t="s">
        <v>702</v>
      </c>
      <c r="C936" s="30" t="str">
        <f>CONCATENATE(VOL_VOLUMEN_SUMINISTROS[[#This Row],[Proyecto]],VOL_VOLUMEN_SUMINISTROS[[#This Row],[J]],VOL_VOLUMEN_SUMINISTROS[[#This Row],[FIN DE SEMANA]])</f>
        <v>1052-1TNO</v>
      </c>
      <c r="D936" s="360" t="str">
        <f>CONCATENATE(VOL_VOLUMEN_SUMINISTROS[[#This Row],[Grupo]],VOL_VOLUMEN_SUMINISTROS[[#This Row],[Proyecto]],VOL_VOLUMEN_SUMINISTROS[[#This Row],[FIN DE SEMANA]])</f>
        <v>211052-1NO</v>
      </c>
      <c r="E936" s="30" t="s">
        <v>146</v>
      </c>
      <c r="F936" s="30" t="s">
        <v>147</v>
      </c>
      <c r="G936" s="360">
        <v>21</v>
      </c>
      <c r="H936" s="30">
        <v>19</v>
      </c>
      <c r="I936" s="9" t="s">
        <v>249</v>
      </c>
      <c r="J936" s="9" t="s">
        <v>705</v>
      </c>
      <c r="K936" s="30">
        <v>1</v>
      </c>
      <c r="L936" s="9" t="s">
        <v>706</v>
      </c>
      <c r="M936" s="30" t="s">
        <v>84</v>
      </c>
      <c r="N936" s="30" t="s">
        <v>154</v>
      </c>
      <c r="O936" s="24">
        <v>145</v>
      </c>
      <c r="P936" s="24">
        <v>368</v>
      </c>
      <c r="Q936" s="24">
        <v>510</v>
      </c>
      <c r="R936" s="24">
        <v>0</v>
      </c>
      <c r="S936" s="24">
        <v>0</v>
      </c>
      <c r="T936" s="24">
        <v>1023</v>
      </c>
    </row>
    <row r="937" spans="1:20">
      <c r="A937" s="9" t="s">
        <v>701</v>
      </c>
      <c r="B937" s="30" t="s">
        <v>702</v>
      </c>
      <c r="C937" s="30" t="str">
        <f>CONCATENATE(VOL_VOLUMEN_SUMINISTROS[[#This Row],[Proyecto]],VOL_VOLUMEN_SUMINISTROS[[#This Row],[J]],VOL_VOLUMEN_SUMINISTROS[[#This Row],[FIN DE SEMANA]])</f>
        <v>1052-1MNO</v>
      </c>
      <c r="D937" s="360" t="str">
        <f>CONCATENATE(VOL_VOLUMEN_SUMINISTROS[[#This Row],[Grupo]],VOL_VOLUMEN_SUMINISTROS[[#This Row],[Proyecto]],VOL_VOLUMEN_SUMINISTROS[[#This Row],[FIN DE SEMANA]])</f>
        <v>211052-1NO</v>
      </c>
      <c r="E937" s="30" t="s">
        <v>146</v>
      </c>
      <c r="F937" s="30" t="s">
        <v>147</v>
      </c>
      <c r="G937" s="360">
        <v>21</v>
      </c>
      <c r="H937" s="30">
        <v>19</v>
      </c>
      <c r="I937" s="9" t="s">
        <v>249</v>
      </c>
      <c r="J937" s="9" t="s">
        <v>705</v>
      </c>
      <c r="K937" s="30">
        <v>2</v>
      </c>
      <c r="L937" s="9" t="s">
        <v>707</v>
      </c>
      <c r="M937" s="30" t="s">
        <v>84</v>
      </c>
      <c r="N937" s="30" t="s">
        <v>151</v>
      </c>
      <c r="O937" s="24">
        <v>228</v>
      </c>
      <c r="P937" s="24">
        <v>69</v>
      </c>
      <c r="Q937" s="24">
        <v>0</v>
      </c>
      <c r="R937" s="24">
        <v>0</v>
      </c>
      <c r="S937" s="24">
        <v>0</v>
      </c>
      <c r="T937" s="24">
        <v>297</v>
      </c>
    </row>
    <row r="938" spans="1:20">
      <c r="A938" s="9" t="s">
        <v>701</v>
      </c>
      <c r="B938" s="30" t="s">
        <v>702</v>
      </c>
      <c r="C938" s="30" t="str">
        <f>CONCATENATE(VOL_VOLUMEN_SUMINISTROS[[#This Row],[Proyecto]],VOL_VOLUMEN_SUMINISTROS[[#This Row],[J]],VOL_VOLUMEN_SUMINISTROS[[#This Row],[FIN DE SEMANA]])</f>
        <v>1052-1TNO</v>
      </c>
      <c r="D938" s="360" t="str">
        <f>CONCATENATE(VOL_VOLUMEN_SUMINISTROS[[#This Row],[Grupo]],VOL_VOLUMEN_SUMINISTROS[[#This Row],[Proyecto]],VOL_VOLUMEN_SUMINISTROS[[#This Row],[FIN DE SEMANA]])</f>
        <v>211052-1NO</v>
      </c>
      <c r="E938" s="30" t="s">
        <v>146</v>
      </c>
      <c r="F938" s="30" t="s">
        <v>147</v>
      </c>
      <c r="G938" s="360">
        <v>21</v>
      </c>
      <c r="H938" s="30">
        <v>19</v>
      </c>
      <c r="I938" s="9" t="s">
        <v>249</v>
      </c>
      <c r="J938" s="9" t="s">
        <v>705</v>
      </c>
      <c r="K938" s="30">
        <v>2</v>
      </c>
      <c r="L938" s="9" t="s">
        <v>707</v>
      </c>
      <c r="M938" s="30" t="s">
        <v>84</v>
      </c>
      <c r="N938" s="30" t="s">
        <v>154</v>
      </c>
      <c r="O938" s="24">
        <v>226</v>
      </c>
      <c r="P938" s="24">
        <v>68</v>
      </c>
      <c r="Q938" s="24">
        <v>0</v>
      </c>
      <c r="R938" s="24">
        <v>0</v>
      </c>
      <c r="S938" s="24">
        <v>0</v>
      </c>
      <c r="T938" s="24">
        <v>294</v>
      </c>
    </row>
    <row r="939" spans="1:20">
      <c r="A939" s="9" t="s">
        <v>701</v>
      </c>
      <c r="B939" s="30" t="s">
        <v>702</v>
      </c>
      <c r="C939" s="30" t="str">
        <f>CONCATENATE(VOL_VOLUMEN_SUMINISTROS[[#This Row],[Proyecto]],VOL_VOLUMEN_SUMINISTROS[[#This Row],[J]],VOL_VOLUMEN_SUMINISTROS[[#This Row],[FIN DE SEMANA]])</f>
        <v>1052-1MNO</v>
      </c>
      <c r="D939" s="360" t="str">
        <f>CONCATENATE(VOL_VOLUMEN_SUMINISTROS[[#This Row],[Grupo]],VOL_VOLUMEN_SUMINISTROS[[#This Row],[Proyecto]],VOL_VOLUMEN_SUMINISTROS[[#This Row],[FIN DE SEMANA]])</f>
        <v>211052-1NO</v>
      </c>
      <c r="E939" s="30" t="s">
        <v>146</v>
      </c>
      <c r="F939" s="30" t="s">
        <v>147</v>
      </c>
      <c r="G939" s="360">
        <v>21</v>
      </c>
      <c r="H939" s="30">
        <v>19</v>
      </c>
      <c r="I939" s="9" t="s">
        <v>249</v>
      </c>
      <c r="J939" s="9" t="s">
        <v>708</v>
      </c>
      <c r="K939" s="30">
        <v>1</v>
      </c>
      <c r="L939" s="9" t="s">
        <v>709</v>
      </c>
      <c r="M939" s="30" t="s">
        <v>84</v>
      </c>
      <c r="N939" s="30" t="s">
        <v>151</v>
      </c>
      <c r="O939" s="24">
        <v>46</v>
      </c>
      <c r="P939" s="24">
        <v>251</v>
      </c>
      <c r="Q939" s="24">
        <v>171</v>
      </c>
      <c r="R939" s="24">
        <v>0</v>
      </c>
      <c r="S939" s="24">
        <v>0</v>
      </c>
      <c r="T939" s="24">
        <v>468</v>
      </c>
    </row>
    <row r="940" spans="1:20">
      <c r="A940" s="9" t="s">
        <v>701</v>
      </c>
      <c r="B940" s="30" t="s">
        <v>702</v>
      </c>
      <c r="C940" s="30" t="str">
        <f>CONCATENATE(VOL_VOLUMEN_SUMINISTROS[[#This Row],[Proyecto]],VOL_VOLUMEN_SUMINISTROS[[#This Row],[J]],VOL_VOLUMEN_SUMINISTROS[[#This Row],[FIN DE SEMANA]])</f>
        <v>1052-1TNO</v>
      </c>
      <c r="D940" s="360" t="str">
        <f>CONCATENATE(VOL_VOLUMEN_SUMINISTROS[[#This Row],[Grupo]],VOL_VOLUMEN_SUMINISTROS[[#This Row],[Proyecto]],VOL_VOLUMEN_SUMINISTROS[[#This Row],[FIN DE SEMANA]])</f>
        <v>211052-1NO</v>
      </c>
      <c r="E940" s="30" t="s">
        <v>146</v>
      </c>
      <c r="F940" s="30" t="s">
        <v>147</v>
      </c>
      <c r="G940" s="360">
        <v>21</v>
      </c>
      <c r="H940" s="30">
        <v>19</v>
      </c>
      <c r="I940" s="9" t="s">
        <v>249</v>
      </c>
      <c r="J940" s="9" t="s">
        <v>708</v>
      </c>
      <c r="K940" s="30">
        <v>1</v>
      </c>
      <c r="L940" s="9" t="s">
        <v>709</v>
      </c>
      <c r="M940" s="30" t="s">
        <v>84</v>
      </c>
      <c r="N940" s="30" t="s">
        <v>154</v>
      </c>
      <c r="O940" s="24">
        <v>28</v>
      </c>
      <c r="P940" s="24">
        <v>215</v>
      </c>
      <c r="Q940" s="24">
        <v>244</v>
      </c>
      <c r="R940" s="24">
        <v>0</v>
      </c>
      <c r="S940" s="24">
        <v>0</v>
      </c>
      <c r="T940" s="24">
        <v>487</v>
      </c>
    </row>
    <row r="941" spans="1:20">
      <c r="A941" s="9" t="s">
        <v>701</v>
      </c>
      <c r="B941" s="30" t="s">
        <v>702</v>
      </c>
      <c r="C941" s="30" t="str">
        <f>CONCATENATE(VOL_VOLUMEN_SUMINISTROS[[#This Row],[Proyecto]],VOL_VOLUMEN_SUMINISTROS[[#This Row],[J]],VOL_VOLUMEN_SUMINISTROS[[#This Row],[FIN DE SEMANA]])</f>
        <v>1052-1MNO</v>
      </c>
      <c r="D941" s="360" t="str">
        <f>CONCATENATE(VOL_VOLUMEN_SUMINISTROS[[#This Row],[Grupo]],VOL_VOLUMEN_SUMINISTROS[[#This Row],[Proyecto]],VOL_VOLUMEN_SUMINISTROS[[#This Row],[FIN DE SEMANA]])</f>
        <v>211052-1NO</v>
      </c>
      <c r="E941" s="30" t="s">
        <v>146</v>
      </c>
      <c r="F941" s="30" t="s">
        <v>147</v>
      </c>
      <c r="G941" s="360">
        <v>21</v>
      </c>
      <c r="H941" s="30">
        <v>19</v>
      </c>
      <c r="I941" s="9" t="s">
        <v>249</v>
      </c>
      <c r="J941" s="9" t="s">
        <v>708</v>
      </c>
      <c r="K941" s="30">
        <v>2</v>
      </c>
      <c r="L941" s="9" t="s">
        <v>710</v>
      </c>
      <c r="M941" s="30" t="s">
        <v>84</v>
      </c>
      <c r="N941" s="30" t="s">
        <v>151</v>
      </c>
      <c r="O941" s="24">
        <v>166</v>
      </c>
      <c r="P941" s="24">
        <v>43</v>
      </c>
      <c r="Q941" s="24">
        <v>0</v>
      </c>
      <c r="R941" s="24">
        <v>0</v>
      </c>
      <c r="S941" s="24">
        <v>0</v>
      </c>
      <c r="T941" s="24">
        <v>209</v>
      </c>
    </row>
    <row r="942" spans="1:20">
      <c r="A942" s="9" t="s">
        <v>701</v>
      </c>
      <c r="B942" s="30" t="s">
        <v>702</v>
      </c>
      <c r="C942" s="30" t="str">
        <f>CONCATENATE(VOL_VOLUMEN_SUMINISTROS[[#This Row],[Proyecto]],VOL_VOLUMEN_SUMINISTROS[[#This Row],[J]],VOL_VOLUMEN_SUMINISTROS[[#This Row],[FIN DE SEMANA]])</f>
        <v>1052-1TNO</v>
      </c>
      <c r="D942" s="360" t="str">
        <f>CONCATENATE(VOL_VOLUMEN_SUMINISTROS[[#This Row],[Grupo]],VOL_VOLUMEN_SUMINISTROS[[#This Row],[Proyecto]],VOL_VOLUMEN_SUMINISTROS[[#This Row],[FIN DE SEMANA]])</f>
        <v>211052-1NO</v>
      </c>
      <c r="E942" s="30" t="s">
        <v>146</v>
      </c>
      <c r="F942" s="30" t="s">
        <v>147</v>
      </c>
      <c r="G942" s="360">
        <v>21</v>
      </c>
      <c r="H942" s="30">
        <v>19</v>
      </c>
      <c r="I942" s="9" t="s">
        <v>249</v>
      </c>
      <c r="J942" s="9" t="s">
        <v>708</v>
      </c>
      <c r="K942" s="30">
        <v>2</v>
      </c>
      <c r="L942" s="9" t="s">
        <v>710</v>
      </c>
      <c r="M942" s="30" t="s">
        <v>84</v>
      </c>
      <c r="N942" s="30" t="s">
        <v>154</v>
      </c>
      <c r="O942" s="24">
        <v>173</v>
      </c>
      <c r="P942" s="24">
        <v>43</v>
      </c>
      <c r="Q942" s="24">
        <v>0</v>
      </c>
      <c r="R942" s="24">
        <v>0</v>
      </c>
      <c r="S942" s="24">
        <v>0</v>
      </c>
      <c r="T942" s="24">
        <v>216</v>
      </c>
    </row>
    <row r="943" spans="1:20">
      <c r="A943" s="9" t="s">
        <v>701</v>
      </c>
      <c r="B943" s="30" t="s">
        <v>702</v>
      </c>
      <c r="C943" s="30" t="str">
        <f>CONCATENATE(VOL_VOLUMEN_SUMINISTROS[[#This Row],[Proyecto]],VOL_VOLUMEN_SUMINISTROS[[#This Row],[J]],VOL_VOLUMEN_SUMINISTROS[[#This Row],[FIN DE SEMANA]])</f>
        <v>1052-1MNO</v>
      </c>
      <c r="D943" s="360" t="str">
        <f>CONCATENATE(VOL_VOLUMEN_SUMINISTROS[[#This Row],[Grupo]],VOL_VOLUMEN_SUMINISTROS[[#This Row],[Proyecto]],VOL_VOLUMEN_SUMINISTROS[[#This Row],[FIN DE SEMANA]])</f>
        <v>211052-1NO</v>
      </c>
      <c r="E943" s="30" t="s">
        <v>146</v>
      </c>
      <c r="F943" s="30" t="s">
        <v>147</v>
      </c>
      <c r="G943" s="360">
        <v>21</v>
      </c>
      <c r="H943" s="30">
        <v>19</v>
      </c>
      <c r="I943" s="9" t="s">
        <v>249</v>
      </c>
      <c r="J943" s="9" t="s">
        <v>708</v>
      </c>
      <c r="K943" s="30">
        <v>3</v>
      </c>
      <c r="L943" s="9" t="s">
        <v>457</v>
      </c>
      <c r="M943" s="30" t="s">
        <v>84</v>
      </c>
      <c r="N943" s="30" t="s">
        <v>151</v>
      </c>
      <c r="O943" s="24">
        <v>326</v>
      </c>
      <c r="P943" s="24">
        <v>181</v>
      </c>
      <c r="Q943" s="24">
        <v>202</v>
      </c>
      <c r="R943" s="24">
        <v>0</v>
      </c>
      <c r="S943" s="24">
        <v>0</v>
      </c>
      <c r="T943" s="24">
        <v>709</v>
      </c>
    </row>
    <row r="944" spans="1:20">
      <c r="A944" s="9" t="s">
        <v>701</v>
      </c>
      <c r="B944" s="30" t="s">
        <v>702</v>
      </c>
      <c r="C944" s="30" t="str">
        <f>CONCATENATE(VOL_VOLUMEN_SUMINISTROS[[#This Row],[Proyecto]],VOL_VOLUMEN_SUMINISTROS[[#This Row],[J]],VOL_VOLUMEN_SUMINISTROS[[#This Row],[FIN DE SEMANA]])</f>
        <v>1052-1TNO</v>
      </c>
      <c r="D944" s="360" t="str">
        <f>CONCATENATE(VOL_VOLUMEN_SUMINISTROS[[#This Row],[Grupo]],VOL_VOLUMEN_SUMINISTROS[[#This Row],[Proyecto]],VOL_VOLUMEN_SUMINISTROS[[#This Row],[FIN DE SEMANA]])</f>
        <v>211052-1NO</v>
      </c>
      <c r="E944" s="30" t="s">
        <v>146</v>
      </c>
      <c r="F944" s="30" t="s">
        <v>147</v>
      </c>
      <c r="G944" s="360">
        <v>21</v>
      </c>
      <c r="H944" s="30">
        <v>19</v>
      </c>
      <c r="I944" s="9" t="s">
        <v>249</v>
      </c>
      <c r="J944" s="9" t="s">
        <v>708</v>
      </c>
      <c r="K944" s="30">
        <v>3</v>
      </c>
      <c r="L944" s="9" t="s">
        <v>457</v>
      </c>
      <c r="M944" s="30" t="s">
        <v>84</v>
      </c>
      <c r="N944" s="30" t="s">
        <v>154</v>
      </c>
      <c r="O944" s="24">
        <v>308</v>
      </c>
      <c r="P944" s="24">
        <v>257</v>
      </c>
      <c r="Q944" s="24">
        <v>150</v>
      </c>
      <c r="R944" s="24">
        <v>0</v>
      </c>
      <c r="S944" s="24">
        <v>0</v>
      </c>
      <c r="T944" s="24">
        <v>715</v>
      </c>
    </row>
    <row r="945" spans="1:20">
      <c r="A945" s="9" t="s">
        <v>701</v>
      </c>
      <c r="B945" s="30" t="s">
        <v>702</v>
      </c>
      <c r="C945" s="30" t="str">
        <f>CONCATENATE(VOL_VOLUMEN_SUMINISTROS[[#This Row],[Proyecto]],VOL_VOLUMEN_SUMINISTROS[[#This Row],[J]],VOL_VOLUMEN_SUMINISTROS[[#This Row],[FIN DE SEMANA]])</f>
        <v>1052-1MNO</v>
      </c>
      <c r="D945" s="360" t="str">
        <f>CONCATENATE(VOL_VOLUMEN_SUMINISTROS[[#This Row],[Grupo]],VOL_VOLUMEN_SUMINISTROS[[#This Row],[Proyecto]],VOL_VOLUMEN_SUMINISTROS[[#This Row],[FIN DE SEMANA]])</f>
        <v>211052-1NO</v>
      </c>
      <c r="E945" s="30" t="s">
        <v>146</v>
      </c>
      <c r="F945" s="30" t="s">
        <v>147</v>
      </c>
      <c r="G945" s="360">
        <v>21</v>
      </c>
      <c r="H945" s="30">
        <v>19</v>
      </c>
      <c r="I945" s="9" t="s">
        <v>249</v>
      </c>
      <c r="J945" s="9" t="s">
        <v>711</v>
      </c>
      <c r="K945" s="30">
        <v>1</v>
      </c>
      <c r="L945" s="9" t="s">
        <v>712</v>
      </c>
      <c r="M945" s="30" t="s">
        <v>84</v>
      </c>
      <c r="N945" s="30" t="s">
        <v>151</v>
      </c>
      <c r="O945" s="24">
        <v>82</v>
      </c>
      <c r="P945" s="24">
        <v>389</v>
      </c>
      <c r="Q945" s="24">
        <v>477</v>
      </c>
      <c r="R945" s="24">
        <v>0</v>
      </c>
      <c r="S945" s="24">
        <v>0</v>
      </c>
      <c r="T945" s="24">
        <v>948</v>
      </c>
    </row>
    <row r="946" spans="1:20">
      <c r="A946" s="9" t="s">
        <v>701</v>
      </c>
      <c r="B946" s="30" t="s">
        <v>702</v>
      </c>
      <c r="C946" s="30" t="str">
        <f>CONCATENATE(VOL_VOLUMEN_SUMINISTROS[[#This Row],[Proyecto]],VOL_VOLUMEN_SUMINISTROS[[#This Row],[J]],VOL_VOLUMEN_SUMINISTROS[[#This Row],[FIN DE SEMANA]])</f>
        <v>1052-1TNO</v>
      </c>
      <c r="D946" s="360" t="str">
        <f>CONCATENATE(VOL_VOLUMEN_SUMINISTROS[[#This Row],[Grupo]],VOL_VOLUMEN_SUMINISTROS[[#This Row],[Proyecto]],VOL_VOLUMEN_SUMINISTROS[[#This Row],[FIN DE SEMANA]])</f>
        <v>211052-1NO</v>
      </c>
      <c r="E946" s="30" t="s">
        <v>146</v>
      </c>
      <c r="F946" s="30" t="s">
        <v>147</v>
      </c>
      <c r="G946" s="360">
        <v>21</v>
      </c>
      <c r="H946" s="30">
        <v>19</v>
      </c>
      <c r="I946" s="9" t="s">
        <v>249</v>
      </c>
      <c r="J946" s="9" t="s">
        <v>711</v>
      </c>
      <c r="K946" s="30">
        <v>1</v>
      </c>
      <c r="L946" s="9" t="s">
        <v>712</v>
      </c>
      <c r="M946" s="30" t="s">
        <v>84</v>
      </c>
      <c r="N946" s="30" t="s">
        <v>154</v>
      </c>
      <c r="O946" s="24">
        <v>72</v>
      </c>
      <c r="P946" s="24">
        <v>372</v>
      </c>
      <c r="Q946" s="24">
        <v>478</v>
      </c>
      <c r="R946" s="24">
        <v>0</v>
      </c>
      <c r="S946" s="24">
        <v>0</v>
      </c>
      <c r="T946" s="24">
        <v>922</v>
      </c>
    </row>
    <row r="947" spans="1:20">
      <c r="A947" s="9" t="s">
        <v>701</v>
      </c>
      <c r="B947" s="30" t="s">
        <v>702</v>
      </c>
      <c r="C947" s="30" t="str">
        <f>CONCATENATE(VOL_VOLUMEN_SUMINISTROS[[#This Row],[Proyecto]],VOL_VOLUMEN_SUMINISTROS[[#This Row],[J]],VOL_VOLUMEN_SUMINISTROS[[#This Row],[FIN DE SEMANA]])</f>
        <v>1052-1MNO</v>
      </c>
      <c r="D947" s="360" t="str">
        <f>CONCATENATE(VOL_VOLUMEN_SUMINISTROS[[#This Row],[Grupo]],VOL_VOLUMEN_SUMINISTROS[[#This Row],[Proyecto]],VOL_VOLUMEN_SUMINISTROS[[#This Row],[FIN DE SEMANA]])</f>
        <v>211052-1NO</v>
      </c>
      <c r="E947" s="30" t="s">
        <v>146</v>
      </c>
      <c r="F947" s="30" t="s">
        <v>147</v>
      </c>
      <c r="G947" s="360">
        <v>21</v>
      </c>
      <c r="H947" s="30">
        <v>19</v>
      </c>
      <c r="I947" s="9" t="s">
        <v>249</v>
      </c>
      <c r="J947" s="9" t="s">
        <v>711</v>
      </c>
      <c r="K947" s="30">
        <v>2</v>
      </c>
      <c r="L947" s="9" t="s">
        <v>713</v>
      </c>
      <c r="M947" s="30" t="s">
        <v>84</v>
      </c>
      <c r="N947" s="30" t="s">
        <v>151</v>
      </c>
      <c r="O947" s="24">
        <v>244</v>
      </c>
      <c r="P947" s="24">
        <v>92</v>
      </c>
      <c r="Q947" s="24">
        <v>6</v>
      </c>
      <c r="R947" s="24">
        <v>0</v>
      </c>
      <c r="S947" s="24">
        <v>0</v>
      </c>
      <c r="T947" s="24">
        <v>342</v>
      </c>
    </row>
    <row r="948" spans="1:20">
      <c r="A948" s="9" t="s">
        <v>701</v>
      </c>
      <c r="B948" s="30" t="s">
        <v>702</v>
      </c>
      <c r="C948" s="30" t="str">
        <f>CONCATENATE(VOL_VOLUMEN_SUMINISTROS[[#This Row],[Proyecto]],VOL_VOLUMEN_SUMINISTROS[[#This Row],[J]],VOL_VOLUMEN_SUMINISTROS[[#This Row],[FIN DE SEMANA]])</f>
        <v>1052-1TNO</v>
      </c>
      <c r="D948" s="360" t="str">
        <f>CONCATENATE(VOL_VOLUMEN_SUMINISTROS[[#This Row],[Grupo]],VOL_VOLUMEN_SUMINISTROS[[#This Row],[Proyecto]],VOL_VOLUMEN_SUMINISTROS[[#This Row],[FIN DE SEMANA]])</f>
        <v>211052-1NO</v>
      </c>
      <c r="E948" s="30" t="s">
        <v>146</v>
      </c>
      <c r="F948" s="30" t="s">
        <v>147</v>
      </c>
      <c r="G948" s="360">
        <v>21</v>
      </c>
      <c r="H948" s="30">
        <v>19</v>
      </c>
      <c r="I948" s="9" t="s">
        <v>249</v>
      </c>
      <c r="J948" s="9" t="s">
        <v>711</v>
      </c>
      <c r="K948" s="30">
        <v>2</v>
      </c>
      <c r="L948" s="9" t="s">
        <v>713</v>
      </c>
      <c r="M948" s="30" t="s">
        <v>84</v>
      </c>
      <c r="N948" s="30" t="s">
        <v>154</v>
      </c>
      <c r="O948" s="24">
        <v>248</v>
      </c>
      <c r="P948" s="24">
        <v>93</v>
      </c>
      <c r="Q948" s="24">
        <v>6</v>
      </c>
      <c r="R948" s="24">
        <v>0</v>
      </c>
      <c r="S948" s="24">
        <v>0</v>
      </c>
      <c r="T948" s="24">
        <v>347</v>
      </c>
    </row>
    <row r="949" spans="1:20">
      <c r="A949" s="9" t="s">
        <v>701</v>
      </c>
      <c r="B949" s="30" t="s">
        <v>702</v>
      </c>
      <c r="C949" s="30" t="str">
        <f>CONCATENATE(VOL_VOLUMEN_SUMINISTROS[[#This Row],[Proyecto]],VOL_VOLUMEN_SUMINISTROS[[#This Row],[J]],VOL_VOLUMEN_SUMINISTROS[[#This Row],[FIN DE SEMANA]])</f>
        <v>1052-1MNO</v>
      </c>
      <c r="D949" s="360" t="str">
        <f>CONCATENATE(VOL_VOLUMEN_SUMINISTROS[[#This Row],[Grupo]],VOL_VOLUMEN_SUMINISTROS[[#This Row],[Proyecto]],VOL_VOLUMEN_SUMINISTROS[[#This Row],[FIN DE SEMANA]])</f>
        <v>211052-1NO</v>
      </c>
      <c r="E949" s="30" t="s">
        <v>146</v>
      </c>
      <c r="F949" s="30" t="s">
        <v>147</v>
      </c>
      <c r="G949" s="360">
        <v>21</v>
      </c>
      <c r="H949" s="30">
        <v>19</v>
      </c>
      <c r="I949" s="9" t="s">
        <v>249</v>
      </c>
      <c r="J949" s="9" t="s">
        <v>714</v>
      </c>
      <c r="K949" s="30">
        <v>1</v>
      </c>
      <c r="L949" s="9" t="s">
        <v>715</v>
      </c>
      <c r="M949" s="30" t="s">
        <v>84</v>
      </c>
      <c r="N949" s="30" t="s">
        <v>151</v>
      </c>
      <c r="O949" s="24">
        <v>0</v>
      </c>
      <c r="P949" s="24">
        <v>393</v>
      </c>
      <c r="Q949" s="24">
        <v>649</v>
      </c>
      <c r="R949" s="24">
        <v>0</v>
      </c>
      <c r="S949" s="24">
        <v>0</v>
      </c>
      <c r="T949" s="24">
        <v>1042</v>
      </c>
    </row>
    <row r="950" spans="1:20">
      <c r="A950" s="9" t="s">
        <v>701</v>
      </c>
      <c r="B950" s="30" t="s">
        <v>702</v>
      </c>
      <c r="C950" s="30" t="str">
        <f>CONCATENATE(VOL_VOLUMEN_SUMINISTROS[[#This Row],[Proyecto]],VOL_VOLUMEN_SUMINISTROS[[#This Row],[J]],VOL_VOLUMEN_SUMINISTROS[[#This Row],[FIN DE SEMANA]])</f>
        <v>1052-1TNO</v>
      </c>
      <c r="D950" s="360" t="str">
        <f>CONCATENATE(VOL_VOLUMEN_SUMINISTROS[[#This Row],[Grupo]],VOL_VOLUMEN_SUMINISTROS[[#This Row],[Proyecto]],VOL_VOLUMEN_SUMINISTROS[[#This Row],[FIN DE SEMANA]])</f>
        <v>211052-1NO</v>
      </c>
      <c r="E950" s="30" t="s">
        <v>146</v>
      </c>
      <c r="F950" s="30" t="s">
        <v>147</v>
      </c>
      <c r="G950" s="360">
        <v>21</v>
      </c>
      <c r="H950" s="30">
        <v>19</v>
      </c>
      <c r="I950" s="9" t="s">
        <v>249</v>
      </c>
      <c r="J950" s="9" t="s">
        <v>714</v>
      </c>
      <c r="K950" s="30">
        <v>1</v>
      </c>
      <c r="L950" s="9" t="s">
        <v>715</v>
      </c>
      <c r="M950" s="30" t="s">
        <v>84</v>
      </c>
      <c r="N950" s="30" t="s">
        <v>154</v>
      </c>
      <c r="O950" s="24">
        <v>0</v>
      </c>
      <c r="P950" s="24">
        <v>381</v>
      </c>
      <c r="Q950" s="24">
        <v>615</v>
      </c>
      <c r="R950" s="24">
        <v>0</v>
      </c>
      <c r="S950" s="24">
        <v>0</v>
      </c>
      <c r="T950" s="24">
        <v>996</v>
      </c>
    </row>
    <row r="951" spans="1:20">
      <c r="A951" s="9" t="s">
        <v>701</v>
      </c>
      <c r="B951" s="30" t="s">
        <v>702</v>
      </c>
      <c r="C951" s="30" t="str">
        <f>CONCATENATE(VOL_VOLUMEN_SUMINISTROS[[#This Row],[Proyecto]],VOL_VOLUMEN_SUMINISTROS[[#This Row],[J]],VOL_VOLUMEN_SUMINISTROS[[#This Row],[FIN DE SEMANA]])</f>
        <v>1052-1MNO</v>
      </c>
      <c r="D951" s="360" t="str">
        <f>CONCATENATE(VOL_VOLUMEN_SUMINISTROS[[#This Row],[Grupo]],VOL_VOLUMEN_SUMINISTROS[[#This Row],[Proyecto]],VOL_VOLUMEN_SUMINISTROS[[#This Row],[FIN DE SEMANA]])</f>
        <v>211052-1NO</v>
      </c>
      <c r="E951" s="30" t="s">
        <v>146</v>
      </c>
      <c r="F951" s="30" t="s">
        <v>147</v>
      </c>
      <c r="G951" s="360">
        <v>21</v>
      </c>
      <c r="H951" s="30">
        <v>19</v>
      </c>
      <c r="I951" s="9" t="s">
        <v>249</v>
      </c>
      <c r="J951" s="9" t="s">
        <v>714</v>
      </c>
      <c r="K951" s="30">
        <v>2</v>
      </c>
      <c r="L951" s="9" t="s">
        <v>716</v>
      </c>
      <c r="M951" s="30" t="s">
        <v>84</v>
      </c>
      <c r="N951" s="30" t="s">
        <v>151</v>
      </c>
      <c r="O951" s="24">
        <v>168</v>
      </c>
      <c r="P951" s="24">
        <v>225</v>
      </c>
      <c r="Q951" s="24">
        <v>47</v>
      </c>
      <c r="R951" s="24">
        <v>0</v>
      </c>
      <c r="S951" s="24">
        <v>0</v>
      </c>
      <c r="T951" s="24">
        <v>440</v>
      </c>
    </row>
    <row r="952" spans="1:20">
      <c r="A952" s="9" t="s">
        <v>701</v>
      </c>
      <c r="B952" s="30" t="s">
        <v>702</v>
      </c>
      <c r="C952" s="30" t="str">
        <f>CONCATENATE(VOL_VOLUMEN_SUMINISTROS[[#This Row],[Proyecto]],VOL_VOLUMEN_SUMINISTROS[[#This Row],[J]],VOL_VOLUMEN_SUMINISTROS[[#This Row],[FIN DE SEMANA]])</f>
        <v>1052-1TNO</v>
      </c>
      <c r="D952" s="360" t="str">
        <f>CONCATENATE(VOL_VOLUMEN_SUMINISTROS[[#This Row],[Grupo]],VOL_VOLUMEN_SUMINISTROS[[#This Row],[Proyecto]],VOL_VOLUMEN_SUMINISTROS[[#This Row],[FIN DE SEMANA]])</f>
        <v>211052-1NO</v>
      </c>
      <c r="E952" s="30" t="s">
        <v>146</v>
      </c>
      <c r="F952" s="30" t="s">
        <v>147</v>
      </c>
      <c r="G952" s="360">
        <v>21</v>
      </c>
      <c r="H952" s="30">
        <v>19</v>
      </c>
      <c r="I952" s="9" t="s">
        <v>249</v>
      </c>
      <c r="J952" s="9" t="s">
        <v>714</v>
      </c>
      <c r="K952" s="30">
        <v>2</v>
      </c>
      <c r="L952" s="9" t="s">
        <v>716</v>
      </c>
      <c r="M952" s="30" t="s">
        <v>84</v>
      </c>
      <c r="N952" s="30" t="s">
        <v>154</v>
      </c>
      <c r="O952" s="24">
        <v>190</v>
      </c>
      <c r="P952" s="24">
        <v>218</v>
      </c>
      <c r="Q952" s="24">
        <v>41</v>
      </c>
      <c r="R952" s="24">
        <v>0</v>
      </c>
      <c r="S952" s="24">
        <v>0</v>
      </c>
      <c r="T952" s="24">
        <v>449</v>
      </c>
    </row>
    <row r="953" spans="1:20">
      <c r="A953" s="9" t="s">
        <v>701</v>
      </c>
      <c r="B953" s="30" t="s">
        <v>702</v>
      </c>
      <c r="C953" s="30" t="str">
        <f>CONCATENATE(VOL_VOLUMEN_SUMINISTROS[[#This Row],[Proyecto]],VOL_VOLUMEN_SUMINISTROS[[#This Row],[J]],VOL_VOLUMEN_SUMINISTROS[[#This Row],[FIN DE SEMANA]])</f>
        <v>1052-1MNO</v>
      </c>
      <c r="D953" s="360" t="str">
        <f>CONCATENATE(VOL_VOLUMEN_SUMINISTROS[[#This Row],[Grupo]],VOL_VOLUMEN_SUMINISTROS[[#This Row],[Proyecto]],VOL_VOLUMEN_SUMINISTROS[[#This Row],[FIN DE SEMANA]])</f>
        <v>211052-1NO</v>
      </c>
      <c r="E953" s="30" t="s">
        <v>146</v>
      </c>
      <c r="F953" s="30" t="s">
        <v>147</v>
      </c>
      <c r="G953" s="360">
        <v>21</v>
      </c>
      <c r="H953" s="30">
        <v>19</v>
      </c>
      <c r="I953" s="9" t="s">
        <v>249</v>
      </c>
      <c r="J953" s="9" t="s">
        <v>714</v>
      </c>
      <c r="K953" s="30">
        <v>3</v>
      </c>
      <c r="L953" s="9" t="s">
        <v>717</v>
      </c>
      <c r="M953" s="30" t="s">
        <v>84</v>
      </c>
      <c r="N953" s="30" t="s">
        <v>151</v>
      </c>
      <c r="O953" s="24">
        <v>220</v>
      </c>
      <c r="P953" s="24">
        <v>60</v>
      </c>
      <c r="Q953" s="24">
        <v>0</v>
      </c>
      <c r="R953" s="24">
        <v>0</v>
      </c>
      <c r="S953" s="24">
        <v>0</v>
      </c>
      <c r="T953" s="24">
        <v>280</v>
      </c>
    </row>
    <row r="954" spans="1:20">
      <c r="A954" s="9" t="s">
        <v>701</v>
      </c>
      <c r="B954" s="30" t="s">
        <v>702</v>
      </c>
      <c r="C954" s="30" t="str">
        <f>CONCATENATE(VOL_VOLUMEN_SUMINISTROS[[#This Row],[Proyecto]],VOL_VOLUMEN_SUMINISTROS[[#This Row],[J]],VOL_VOLUMEN_SUMINISTROS[[#This Row],[FIN DE SEMANA]])</f>
        <v>1052-1TNO</v>
      </c>
      <c r="D954" s="360" t="str">
        <f>CONCATENATE(VOL_VOLUMEN_SUMINISTROS[[#This Row],[Grupo]],VOL_VOLUMEN_SUMINISTROS[[#This Row],[Proyecto]],VOL_VOLUMEN_SUMINISTROS[[#This Row],[FIN DE SEMANA]])</f>
        <v>211052-1NO</v>
      </c>
      <c r="E954" s="30" t="s">
        <v>146</v>
      </c>
      <c r="F954" s="30" t="s">
        <v>147</v>
      </c>
      <c r="G954" s="360">
        <v>21</v>
      </c>
      <c r="H954" s="30">
        <v>19</v>
      </c>
      <c r="I954" s="9" t="s">
        <v>249</v>
      </c>
      <c r="J954" s="9" t="s">
        <v>714</v>
      </c>
      <c r="K954" s="30">
        <v>3</v>
      </c>
      <c r="L954" s="9" t="s">
        <v>717</v>
      </c>
      <c r="M954" s="30" t="s">
        <v>84</v>
      </c>
      <c r="N954" s="30" t="s">
        <v>154</v>
      </c>
      <c r="O954" s="24">
        <v>222</v>
      </c>
      <c r="P954" s="24">
        <v>49</v>
      </c>
      <c r="Q954" s="24">
        <v>0</v>
      </c>
      <c r="R954" s="24">
        <v>0</v>
      </c>
      <c r="S954" s="24">
        <v>0</v>
      </c>
      <c r="T954" s="24">
        <v>271</v>
      </c>
    </row>
    <row r="955" spans="1:20">
      <c r="A955" s="9" t="s">
        <v>701</v>
      </c>
      <c r="B955" s="30" t="s">
        <v>702</v>
      </c>
      <c r="C955" s="30" t="str">
        <f>CONCATENATE(VOL_VOLUMEN_SUMINISTROS[[#This Row],[Proyecto]],VOL_VOLUMEN_SUMINISTROS[[#This Row],[J]],VOL_VOLUMEN_SUMINISTROS[[#This Row],[FIN DE SEMANA]])</f>
        <v>1052-1MNO</v>
      </c>
      <c r="D955" s="360" t="str">
        <f>CONCATENATE(VOL_VOLUMEN_SUMINISTROS[[#This Row],[Grupo]],VOL_VOLUMEN_SUMINISTROS[[#This Row],[Proyecto]],VOL_VOLUMEN_SUMINISTROS[[#This Row],[FIN DE SEMANA]])</f>
        <v>61052-1NO</v>
      </c>
      <c r="E955" s="30" t="s">
        <v>146</v>
      </c>
      <c r="F955" s="30" t="s">
        <v>147</v>
      </c>
      <c r="G955" s="360">
        <v>6</v>
      </c>
      <c r="H955" s="30">
        <v>19</v>
      </c>
      <c r="I955" s="9" t="s">
        <v>249</v>
      </c>
      <c r="J955" s="9" t="s">
        <v>718</v>
      </c>
      <c r="K955" s="30">
        <v>1</v>
      </c>
      <c r="L955" s="9" t="s">
        <v>719</v>
      </c>
      <c r="M955" s="30" t="s">
        <v>84</v>
      </c>
      <c r="N955" s="30" t="s">
        <v>151</v>
      </c>
      <c r="O955" s="24">
        <v>246</v>
      </c>
      <c r="P955" s="24">
        <v>334</v>
      </c>
      <c r="Q955" s="24">
        <v>423</v>
      </c>
      <c r="R955" s="24">
        <v>0</v>
      </c>
      <c r="S955" s="24">
        <v>0</v>
      </c>
      <c r="T955" s="24">
        <v>1003</v>
      </c>
    </row>
    <row r="956" spans="1:20">
      <c r="A956" s="9" t="s">
        <v>701</v>
      </c>
      <c r="B956" s="30" t="s">
        <v>702</v>
      </c>
      <c r="C956" s="30" t="str">
        <f>CONCATENATE(VOL_VOLUMEN_SUMINISTROS[[#This Row],[Proyecto]],VOL_VOLUMEN_SUMINISTROS[[#This Row],[J]],VOL_VOLUMEN_SUMINISTROS[[#This Row],[FIN DE SEMANA]])</f>
        <v>1052-1MNO</v>
      </c>
      <c r="D956" s="360" t="str">
        <f>CONCATENATE(VOL_VOLUMEN_SUMINISTROS[[#This Row],[Grupo]],VOL_VOLUMEN_SUMINISTROS[[#This Row],[Proyecto]],VOL_VOLUMEN_SUMINISTROS[[#This Row],[FIN DE SEMANA]])</f>
        <v>211052-1NO</v>
      </c>
      <c r="E956" s="30" t="s">
        <v>146</v>
      </c>
      <c r="F956" s="30" t="s">
        <v>147</v>
      </c>
      <c r="G956" s="360">
        <v>21</v>
      </c>
      <c r="H956" s="30">
        <v>19</v>
      </c>
      <c r="I956" s="9" t="s">
        <v>249</v>
      </c>
      <c r="J956" s="9" t="s">
        <v>720</v>
      </c>
      <c r="K956" s="30">
        <v>1</v>
      </c>
      <c r="L956" s="9" t="s">
        <v>721</v>
      </c>
      <c r="M956" s="30" t="s">
        <v>84</v>
      </c>
      <c r="N956" s="30" t="s">
        <v>151</v>
      </c>
      <c r="O956" s="24">
        <v>23</v>
      </c>
      <c r="P956" s="24">
        <v>225</v>
      </c>
      <c r="Q956" s="24">
        <v>307</v>
      </c>
      <c r="R956" s="24">
        <v>0</v>
      </c>
      <c r="S956" s="24">
        <v>0</v>
      </c>
      <c r="T956" s="24">
        <v>555</v>
      </c>
    </row>
    <row r="957" spans="1:20">
      <c r="A957" s="9" t="s">
        <v>701</v>
      </c>
      <c r="B957" s="30" t="s">
        <v>702</v>
      </c>
      <c r="C957" s="30" t="str">
        <f>CONCATENATE(VOL_VOLUMEN_SUMINISTROS[[#This Row],[Proyecto]],VOL_VOLUMEN_SUMINISTROS[[#This Row],[J]],VOL_VOLUMEN_SUMINISTROS[[#This Row],[FIN DE SEMANA]])</f>
        <v>1052-1TNO</v>
      </c>
      <c r="D957" s="360" t="str">
        <f>CONCATENATE(VOL_VOLUMEN_SUMINISTROS[[#This Row],[Grupo]],VOL_VOLUMEN_SUMINISTROS[[#This Row],[Proyecto]],VOL_VOLUMEN_SUMINISTROS[[#This Row],[FIN DE SEMANA]])</f>
        <v>211052-1NO</v>
      </c>
      <c r="E957" s="30" t="s">
        <v>146</v>
      </c>
      <c r="F957" s="30" t="s">
        <v>147</v>
      </c>
      <c r="G957" s="360">
        <v>21</v>
      </c>
      <c r="H957" s="30">
        <v>19</v>
      </c>
      <c r="I957" s="9" t="s">
        <v>249</v>
      </c>
      <c r="J957" s="9" t="s">
        <v>720</v>
      </c>
      <c r="K957" s="30">
        <v>1</v>
      </c>
      <c r="L957" s="9" t="s">
        <v>721</v>
      </c>
      <c r="M957" s="30" t="s">
        <v>84</v>
      </c>
      <c r="N957" s="30" t="s">
        <v>154</v>
      </c>
      <c r="O957" s="24">
        <v>0</v>
      </c>
      <c r="P957" s="24">
        <v>192</v>
      </c>
      <c r="Q957" s="24">
        <v>223</v>
      </c>
      <c r="R957" s="24">
        <v>0</v>
      </c>
      <c r="S957" s="24">
        <v>0</v>
      </c>
      <c r="T957" s="24">
        <v>415</v>
      </c>
    </row>
    <row r="958" spans="1:20">
      <c r="A958" s="9" t="s">
        <v>701</v>
      </c>
      <c r="B958" s="30" t="s">
        <v>702</v>
      </c>
      <c r="C958" s="30" t="str">
        <f>CONCATENATE(VOL_VOLUMEN_SUMINISTROS[[#This Row],[Proyecto]],VOL_VOLUMEN_SUMINISTROS[[#This Row],[J]],VOL_VOLUMEN_SUMINISTROS[[#This Row],[FIN DE SEMANA]])</f>
        <v>1052-1MNO</v>
      </c>
      <c r="D958" s="360" t="str">
        <f>CONCATENATE(VOL_VOLUMEN_SUMINISTROS[[#This Row],[Grupo]],VOL_VOLUMEN_SUMINISTROS[[#This Row],[Proyecto]],VOL_VOLUMEN_SUMINISTROS[[#This Row],[FIN DE SEMANA]])</f>
        <v>211052-1NO</v>
      </c>
      <c r="E958" s="30" t="s">
        <v>146</v>
      </c>
      <c r="F958" s="30" t="s">
        <v>147</v>
      </c>
      <c r="G958" s="360">
        <v>21</v>
      </c>
      <c r="H958" s="30">
        <v>19</v>
      </c>
      <c r="I958" s="9" t="s">
        <v>249</v>
      </c>
      <c r="J958" s="9" t="s">
        <v>720</v>
      </c>
      <c r="K958" s="30">
        <v>2</v>
      </c>
      <c r="L958" s="9" t="s">
        <v>722</v>
      </c>
      <c r="M958" s="30" t="s">
        <v>84</v>
      </c>
      <c r="N958" s="30" t="s">
        <v>151</v>
      </c>
      <c r="O958" s="24">
        <v>189</v>
      </c>
      <c r="P958" s="24">
        <v>131</v>
      </c>
      <c r="Q958" s="24">
        <v>24</v>
      </c>
      <c r="R958" s="24">
        <v>0</v>
      </c>
      <c r="S958" s="24">
        <v>0</v>
      </c>
      <c r="T958" s="24">
        <v>344</v>
      </c>
    </row>
    <row r="959" spans="1:20">
      <c r="A959" s="9" t="s">
        <v>701</v>
      </c>
      <c r="B959" s="30" t="s">
        <v>702</v>
      </c>
      <c r="C959" s="30" t="str">
        <f>CONCATENATE(VOL_VOLUMEN_SUMINISTROS[[#This Row],[Proyecto]],VOL_VOLUMEN_SUMINISTROS[[#This Row],[J]],VOL_VOLUMEN_SUMINISTROS[[#This Row],[FIN DE SEMANA]])</f>
        <v>1052-1TNO</v>
      </c>
      <c r="D959" s="360" t="str">
        <f>CONCATENATE(VOL_VOLUMEN_SUMINISTROS[[#This Row],[Grupo]],VOL_VOLUMEN_SUMINISTROS[[#This Row],[Proyecto]],VOL_VOLUMEN_SUMINISTROS[[#This Row],[FIN DE SEMANA]])</f>
        <v>211052-1NO</v>
      </c>
      <c r="E959" s="30" t="s">
        <v>146</v>
      </c>
      <c r="F959" s="30" t="s">
        <v>147</v>
      </c>
      <c r="G959" s="360">
        <v>21</v>
      </c>
      <c r="H959" s="30">
        <v>19</v>
      </c>
      <c r="I959" s="9" t="s">
        <v>249</v>
      </c>
      <c r="J959" s="9" t="s">
        <v>720</v>
      </c>
      <c r="K959" s="30">
        <v>2</v>
      </c>
      <c r="L959" s="9" t="s">
        <v>722</v>
      </c>
      <c r="M959" s="30" t="s">
        <v>84</v>
      </c>
      <c r="N959" s="30" t="s">
        <v>154</v>
      </c>
      <c r="O959" s="24">
        <v>126</v>
      </c>
      <c r="P959" s="24">
        <v>100</v>
      </c>
      <c r="Q959" s="24">
        <v>20</v>
      </c>
      <c r="R959" s="24">
        <v>0</v>
      </c>
      <c r="S959" s="24">
        <v>0</v>
      </c>
      <c r="T959" s="24">
        <v>246</v>
      </c>
    </row>
    <row r="960" spans="1:20">
      <c r="A960" s="9" t="s">
        <v>701</v>
      </c>
      <c r="B960" s="30" t="s">
        <v>702</v>
      </c>
      <c r="C960" s="30" t="str">
        <f>CONCATENATE(VOL_VOLUMEN_SUMINISTROS[[#This Row],[Proyecto]],VOL_VOLUMEN_SUMINISTROS[[#This Row],[J]],VOL_VOLUMEN_SUMINISTROS[[#This Row],[FIN DE SEMANA]])</f>
        <v>1052-1MNO</v>
      </c>
      <c r="D960" s="360" t="str">
        <f>CONCATENATE(VOL_VOLUMEN_SUMINISTROS[[#This Row],[Grupo]],VOL_VOLUMEN_SUMINISTROS[[#This Row],[Proyecto]],VOL_VOLUMEN_SUMINISTROS[[#This Row],[FIN DE SEMANA]])</f>
        <v>211052-1NO</v>
      </c>
      <c r="E960" s="30" t="s">
        <v>146</v>
      </c>
      <c r="F960" s="30" t="s">
        <v>147</v>
      </c>
      <c r="G960" s="360">
        <v>21</v>
      </c>
      <c r="H960" s="30">
        <v>19</v>
      </c>
      <c r="I960" s="9" t="s">
        <v>249</v>
      </c>
      <c r="J960" s="9" t="s">
        <v>720</v>
      </c>
      <c r="K960" s="30">
        <v>3</v>
      </c>
      <c r="L960" s="9" t="s">
        <v>723</v>
      </c>
      <c r="M960" s="30" t="s">
        <v>84</v>
      </c>
      <c r="N960" s="30" t="s">
        <v>151</v>
      </c>
      <c r="O960" s="24">
        <v>99</v>
      </c>
      <c r="P960" s="24">
        <v>97</v>
      </c>
      <c r="Q960" s="24">
        <v>21</v>
      </c>
      <c r="R960" s="24">
        <v>0</v>
      </c>
      <c r="S960" s="24">
        <v>0</v>
      </c>
      <c r="T960" s="24">
        <v>217</v>
      </c>
    </row>
    <row r="961" spans="1:20">
      <c r="A961" s="9" t="s">
        <v>701</v>
      </c>
      <c r="B961" s="30" t="s">
        <v>702</v>
      </c>
      <c r="C961" s="30" t="str">
        <f>CONCATENATE(VOL_VOLUMEN_SUMINISTROS[[#This Row],[Proyecto]],VOL_VOLUMEN_SUMINISTROS[[#This Row],[J]],VOL_VOLUMEN_SUMINISTROS[[#This Row],[FIN DE SEMANA]])</f>
        <v>1052-1TNO</v>
      </c>
      <c r="D961" s="360" t="str">
        <f>CONCATENATE(VOL_VOLUMEN_SUMINISTROS[[#This Row],[Grupo]],VOL_VOLUMEN_SUMINISTROS[[#This Row],[Proyecto]],VOL_VOLUMEN_SUMINISTROS[[#This Row],[FIN DE SEMANA]])</f>
        <v>211052-1NO</v>
      </c>
      <c r="E961" s="30" t="s">
        <v>146</v>
      </c>
      <c r="F961" s="30" t="s">
        <v>147</v>
      </c>
      <c r="G961" s="360">
        <v>21</v>
      </c>
      <c r="H961" s="30">
        <v>19</v>
      </c>
      <c r="I961" s="9" t="s">
        <v>249</v>
      </c>
      <c r="J961" s="9" t="s">
        <v>720</v>
      </c>
      <c r="K961" s="30">
        <v>3</v>
      </c>
      <c r="L961" s="9" t="s">
        <v>723</v>
      </c>
      <c r="M961" s="30" t="s">
        <v>84</v>
      </c>
      <c r="N961" s="30" t="s">
        <v>154</v>
      </c>
      <c r="O961" s="24">
        <v>97</v>
      </c>
      <c r="P961" s="24">
        <v>58</v>
      </c>
      <c r="Q961" s="24">
        <v>11</v>
      </c>
      <c r="R961" s="24">
        <v>0</v>
      </c>
      <c r="S961" s="24">
        <v>0</v>
      </c>
      <c r="T961" s="24">
        <v>166</v>
      </c>
    </row>
    <row r="962" spans="1:20">
      <c r="A962" s="9" t="s">
        <v>701</v>
      </c>
      <c r="B962" s="30" t="s">
        <v>702</v>
      </c>
      <c r="C962" s="30" t="str">
        <f>CONCATENATE(VOL_VOLUMEN_SUMINISTROS[[#This Row],[Proyecto]],VOL_VOLUMEN_SUMINISTROS[[#This Row],[J]],VOL_VOLUMEN_SUMINISTROS[[#This Row],[FIN DE SEMANA]])</f>
        <v>1052-1MNO</v>
      </c>
      <c r="D962" s="360" t="str">
        <f>CONCATENATE(VOL_VOLUMEN_SUMINISTROS[[#This Row],[Grupo]],VOL_VOLUMEN_SUMINISTROS[[#This Row],[Proyecto]],VOL_VOLUMEN_SUMINISTROS[[#This Row],[FIN DE SEMANA]])</f>
        <v>211052-1NO</v>
      </c>
      <c r="E962" s="30" t="s">
        <v>146</v>
      </c>
      <c r="F962" s="30" t="s">
        <v>147</v>
      </c>
      <c r="G962" s="360">
        <v>21</v>
      </c>
      <c r="H962" s="30">
        <v>19</v>
      </c>
      <c r="I962" s="9" t="s">
        <v>249</v>
      </c>
      <c r="J962" s="9" t="s">
        <v>724</v>
      </c>
      <c r="K962" s="30">
        <v>1</v>
      </c>
      <c r="L962" s="9" t="s">
        <v>725</v>
      </c>
      <c r="M962" s="30" t="s">
        <v>84</v>
      </c>
      <c r="N962" s="30" t="s">
        <v>151</v>
      </c>
      <c r="O962" s="24">
        <v>158</v>
      </c>
      <c r="P962" s="24">
        <v>175</v>
      </c>
      <c r="Q962" s="24">
        <v>37</v>
      </c>
      <c r="R962" s="24">
        <v>0</v>
      </c>
      <c r="S962" s="24">
        <v>0</v>
      </c>
      <c r="T962" s="24">
        <v>370</v>
      </c>
    </row>
    <row r="963" spans="1:20">
      <c r="A963" s="9" t="s">
        <v>701</v>
      </c>
      <c r="B963" s="30" t="s">
        <v>726</v>
      </c>
      <c r="C963" s="30" t="str">
        <f>CONCATENATE(VOL_VOLUMEN_SUMINISTROS[[#This Row],[Proyecto]],VOL_VOLUMEN_SUMINISTROS[[#This Row],[J]],VOL_VOLUMEN_SUMINISTROS[[#This Row],[FIN DE SEMANA]])</f>
        <v>1052-2MNO</v>
      </c>
      <c r="D963" s="360" t="str">
        <f>CONCATENATE(VOL_VOLUMEN_SUMINISTROS[[#This Row],[Grupo]],VOL_VOLUMEN_SUMINISTROS[[#This Row],[Proyecto]],VOL_VOLUMEN_SUMINISTROS[[#This Row],[FIN DE SEMANA]])</f>
        <v>211052-2NO</v>
      </c>
      <c r="E963" s="30" t="s">
        <v>182</v>
      </c>
      <c r="F963" s="30" t="s">
        <v>147</v>
      </c>
      <c r="G963" s="360">
        <v>21</v>
      </c>
      <c r="H963" s="30">
        <v>19</v>
      </c>
      <c r="I963" s="9" t="s">
        <v>249</v>
      </c>
      <c r="J963" s="9" t="s">
        <v>705</v>
      </c>
      <c r="K963" s="30">
        <v>1</v>
      </c>
      <c r="L963" s="9" t="s">
        <v>706</v>
      </c>
      <c r="M963" s="30" t="s">
        <v>84</v>
      </c>
      <c r="N963" s="30" t="s">
        <v>151</v>
      </c>
      <c r="O963" s="24">
        <v>75</v>
      </c>
      <c r="P963" s="24">
        <v>0</v>
      </c>
      <c r="Q963" s="24">
        <v>0</v>
      </c>
      <c r="R963" s="24">
        <v>0</v>
      </c>
      <c r="S963" s="24">
        <v>0</v>
      </c>
      <c r="T963" s="24">
        <v>75</v>
      </c>
    </row>
    <row r="964" spans="1:20">
      <c r="A964" s="9" t="s">
        <v>701</v>
      </c>
      <c r="B964" s="30" t="s">
        <v>726</v>
      </c>
      <c r="C964" s="30" t="str">
        <f>CONCATENATE(VOL_VOLUMEN_SUMINISTROS[[#This Row],[Proyecto]],VOL_VOLUMEN_SUMINISTROS[[#This Row],[J]],VOL_VOLUMEN_SUMINISTROS[[#This Row],[FIN DE SEMANA]])</f>
        <v>1052-2TNO</v>
      </c>
      <c r="D964" s="360" t="str">
        <f>CONCATENATE(VOL_VOLUMEN_SUMINISTROS[[#This Row],[Grupo]],VOL_VOLUMEN_SUMINISTROS[[#This Row],[Proyecto]],VOL_VOLUMEN_SUMINISTROS[[#This Row],[FIN DE SEMANA]])</f>
        <v>211052-2NO</v>
      </c>
      <c r="E964" s="30" t="s">
        <v>182</v>
      </c>
      <c r="F964" s="30" t="s">
        <v>147</v>
      </c>
      <c r="G964" s="360">
        <v>21</v>
      </c>
      <c r="H964" s="30">
        <v>19</v>
      </c>
      <c r="I964" s="9" t="s">
        <v>249</v>
      </c>
      <c r="J964" s="9" t="s">
        <v>705</v>
      </c>
      <c r="K964" s="30">
        <v>1</v>
      </c>
      <c r="L964" s="9" t="s">
        <v>706</v>
      </c>
      <c r="M964" s="30" t="s">
        <v>84</v>
      </c>
      <c r="N964" s="30" t="s">
        <v>154</v>
      </c>
      <c r="O964" s="24">
        <v>75</v>
      </c>
      <c r="P964" s="24">
        <v>0</v>
      </c>
      <c r="Q964" s="24">
        <v>0</v>
      </c>
      <c r="R964" s="24">
        <v>0</v>
      </c>
      <c r="S964" s="24">
        <v>0</v>
      </c>
      <c r="T964" s="24">
        <v>75</v>
      </c>
    </row>
    <row r="965" spans="1:20">
      <c r="A965" s="9" t="s">
        <v>701</v>
      </c>
      <c r="B965" s="30" t="s">
        <v>726</v>
      </c>
      <c r="C965" s="30" t="str">
        <f>CONCATENATE(VOL_VOLUMEN_SUMINISTROS[[#This Row],[Proyecto]],VOL_VOLUMEN_SUMINISTROS[[#This Row],[J]],VOL_VOLUMEN_SUMINISTROS[[#This Row],[FIN DE SEMANA]])</f>
        <v>1052-2MNO</v>
      </c>
      <c r="D965" s="360" t="str">
        <f>CONCATENATE(VOL_VOLUMEN_SUMINISTROS[[#This Row],[Grupo]],VOL_VOLUMEN_SUMINISTROS[[#This Row],[Proyecto]],VOL_VOLUMEN_SUMINISTROS[[#This Row],[FIN DE SEMANA]])</f>
        <v>211052-2NO</v>
      </c>
      <c r="E965" s="30" t="s">
        <v>182</v>
      </c>
      <c r="F965" s="30" t="s">
        <v>147</v>
      </c>
      <c r="G965" s="360">
        <v>21</v>
      </c>
      <c r="H965" s="30">
        <v>19</v>
      </c>
      <c r="I965" s="9" t="s">
        <v>249</v>
      </c>
      <c r="J965" s="9" t="s">
        <v>705</v>
      </c>
      <c r="K965" s="30">
        <v>2</v>
      </c>
      <c r="L965" s="9" t="s">
        <v>707</v>
      </c>
      <c r="M965" s="30" t="s">
        <v>84</v>
      </c>
      <c r="N965" s="30" t="s">
        <v>151</v>
      </c>
      <c r="O965" s="24">
        <v>90</v>
      </c>
      <c r="P965" s="24">
        <v>0</v>
      </c>
      <c r="Q965" s="24">
        <v>0</v>
      </c>
      <c r="R965" s="24">
        <v>0</v>
      </c>
      <c r="S965" s="24">
        <v>0</v>
      </c>
      <c r="T965" s="24">
        <v>90</v>
      </c>
    </row>
    <row r="966" spans="1:20">
      <c r="A966" s="9" t="s">
        <v>701</v>
      </c>
      <c r="B966" s="30" t="s">
        <v>726</v>
      </c>
      <c r="C966" s="30" t="str">
        <f>CONCATENATE(VOL_VOLUMEN_SUMINISTROS[[#This Row],[Proyecto]],VOL_VOLUMEN_SUMINISTROS[[#This Row],[J]],VOL_VOLUMEN_SUMINISTROS[[#This Row],[FIN DE SEMANA]])</f>
        <v>1052-2TNO</v>
      </c>
      <c r="D966" s="360" t="str">
        <f>CONCATENATE(VOL_VOLUMEN_SUMINISTROS[[#This Row],[Grupo]],VOL_VOLUMEN_SUMINISTROS[[#This Row],[Proyecto]],VOL_VOLUMEN_SUMINISTROS[[#This Row],[FIN DE SEMANA]])</f>
        <v>211052-2NO</v>
      </c>
      <c r="E966" s="30" t="s">
        <v>182</v>
      </c>
      <c r="F966" s="30" t="s">
        <v>147</v>
      </c>
      <c r="G966" s="360">
        <v>21</v>
      </c>
      <c r="H966" s="30">
        <v>19</v>
      </c>
      <c r="I966" s="9" t="s">
        <v>249</v>
      </c>
      <c r="J966" s="9" t="s">
        <v>705</v>
      </c>
      <c r="K966" s="30">
        <v>2</v>
      </c>
      <c r="L966" s="9" t="s">
        <v>707</v>
      </c>
      <c r="M966" s="30" t="s">
        <v>84</v>
      </c>
      <c r="N966" s="30" t="s">
        <v>154</v>
      </c>
      <c r="O966" s="24">
        <v>90</v>
      </c>
      <c r="P966" s="24">
        <v>0</v>
      </c>
      <c r="Q966" s="24">
        <v>0</v>
      </c>
      <c r="R966" s="24">
        <v>0</v>
      </c>
      <c r="S966" s="24">
        <v>0</v>
      </c>
      <c r="T966" s="24">
        <v>90</v>
      </c>
    </row>
    <row r="967" spans="1:20">
      <c r="A967" s="9" t="s">
        <v>701</v>
      </c>
      <c r="B967" s="30" t="s">
        <v>726</v>
      </c>
      <c r="C967" s="30" t="str">
        <f>CONCATENATE(VOL_VOLUMEN_SUMINISTROS[[#This Row],[Proyecto]],VOL_VOLUMEN_SUMINISTROS[[#This Row],[J]],VOL_VOLUMEN_SUMINISTROS[[#This Row],[FIN DE SEMANA]])</f>
        <v>1052-2MNO</v>
      </c>
      <c r="D967" s="360" t="str">
        <f>CONCATENATE(VOL_VOLUMEN_SUMINISTROS[[#This Row],[Grupo]],VOL_VOLUMEN_SUMINISTROS[[#This Row],[Proyecto]],VOL_VOLUMEN_SUMINISTROS[[#This Row],[FIN DE SEMANA]])</f>
        <v>211052-2NO</v>
      </c>
      <c r="E967" s="30" t="s">
        <v>182</v>
      </c>
      <c r="F967" s="30" t="s">
        <v>147</v>
      </c>
      <c r="G967" s="360">
        <v>21</v>
      </c>
      <c r="H967" s="30">
        <v>19</v>
      </c>
      <c r="I967" s="9" t="s">
        <v>249</v>
      </c>
      <c r="J967" s="9" t="s">
        <v>708</v>
      </c>
      <c r="K967" s="30">
        <v>2</v>
      </c>
      <c r="L967" s="9" t="s">
        <v>710</v>
      </c>
      <c r="M967" s="30" t="s">
        <v>84</v>
      </c>
      <c r="N967" s="30" t="s">
        <v>151</v>
      </c>
      <c r="O967" s="24">
        <v>79</v>
      </c>
      <c r="P967" s="24">
        <v>0</v>
      </c>
      <c r="Q967" s="24">
        <v>0</v>
      </c>
      <c r="R967" s="24">
        <v>0</v>
      </c>
      <c r="S967" s="24">
        <v>0</v>
      </c>
      <c r="T967" s="24">
        <v>79</v>
      </c>
    </row>
    <row r="968" spans="1:20">
      <c r="A968" s="9" t="s">
        <v>701</v>
      </c>
      <c r="B968" s="30" t="s">
        <v>726</v>
      </c>
      <c r="C968" s="30" t="str">
        <f>CONCATENATE(VOL_VOLUMEN_SUMINISTROS[[#This Row],[Proyecto]],VOL_VOLUMEN_SUMINISTROS[[#This Row],[J]],VOL_VOLUMEN_SUMINISTROS[[#This Row],[FIN DE SEMANA]])</f>
        <v>1052-2TNO</v>
      </c>
      <c r="D968" s="360" t="str">
        <f>CONCATENATE(VOL_VOLUMEN_SUMINISTROS[[#This Row],[Grupo]],VOL_VOLUMEN_SUMINISTROS[[#This Row],[Proyecto]],VOL_VOLUMEN_SUMINISTROS[[#This Row],[FIN DE SEMANA]])</f>
        <v>211052-2NO</v>
      </c>
      <c r="E968" s="30" t="s">
        <v>182</v>
      </c>
      <c r="F968" s="30" t="s">
        <v>147</v>
      </c>
      <c r="G968" s="360">
        <v>21</v>
      </c>
      <c r="H968" s="30">
        <v>19</v>
      </c>
      <c r="I968" s="9" t="s">
        <v>249</v>
      </c>
      <c r="J968" s="9" t="s">
        <v>708</v>
      </c>
      <c r="K968" s="30">
        <v>2</v>
      </c>
      <c r="L968" s="9" t="s">
        <v>710</v>
      </c>
      <c r="M968" s="30" t="s">
        <v>84</v>
      </c>
      <c r="N968" s="30" t="s">
        <v>154</v>
      </c>
      <c r="O968" s="24">
        <v>87</v>
      </c>
      <c r="P968" s="24">
        <v>0</v>
      </c>
      <c r="Q968" s="24">
        <v>0</v>
      </c>
      <c r="R968" s="24">
        <v>0</v>
      </c>
      <c r="S968" s="24">
        <v>0</v>
      </c>
      <c r="T968" s="24">
        <v>87</v>
      </c>
    </row>
    <row r="969" spans="1:20">
      <c r="A969" s="9" t="s">
        <v>701</v>
      </c>
      <c r="B969" s="30" t="s">
        <v>726</v>
      </c>
      <c r="C969" s="30" t="str">
        <f>CONCATENATE(VOL_VOLUMEN_SUMINISTROS[[#This Row],[Proyecto]],VOL_VOLUMEN_SUMINISTROS[[#This Row],[J]],VOL_VOLUMEN_SUMINISTROS[[#This Row],[FIN DE SEMANA]])</f>
        <v>1052-2MNO</v>
      </c>
      <c r="D969" s="360" t="str">
        <f>CONCATENATE(VOL_VOLUMEN_SUMINISTROS[[#This Row],[Grupo]],VOL_VOLUMEN_SUMINISTROS[[#This Row],[Proyecto]],VOL_VOLUMEN_SUMINISTROS[[#This Row],[FIN DE SEMANA]])</f>
        <v>211052-2NO</v>
      </c>
      <c r="E969" s="30" t="s">
        <v>182</v>
      </c>
      <c r="F969" s="30" t="s">
        <v>147</v>
      </c>
      <c r="G969" s="360">
        <v>21</v>
      </c>
      <c r="H969" s="30">
        <v>19</v>
      </c>
      <c r="I969" s="9" t="s">
        <v>249</v>
      </c>
      <c r="J969" s="9" t="s">
        <v>708</v>
      </c>
      <c r="K969" s="30">
        <v>3</v>
      </c>
      <c r="L969" s="9" t="s">
        <v>457</v>
      </c>
      <c r="M969" s="30" t="s">
        <v>84</v>
      </c>
      <c r="N969" s="30" t="s">
        <v>151</v>
      </c>
      <c r="O969" s="24">
        <v>174</v>
      </c>
      <c r="P969" s="24">
        <v>0</v>
      </c>
      <c r="Q969" s="24">
        <v>0</v>
      </c>
      <c r="R969" s="24">
        <v>0</v>
      </c>
      <c r="S969" s="24">
        <v>0</v>
      </c>
      <c r="T969" s="24">
        <v>174</v>
      </c>
    </row>
    <row r="970" spans="1:20">
      <c r="A970" s="9" t="s">
        <v>701</v>
      </c>
      <c r="B970" s="30" t="s">
        <v>726</v>
      </c>
      <c r="C970" s="30" t="str">
        <f>CONCATENATE(VOL_VOLUMEN_SUMINISTROS[[#This Row],[Proyecto]],VOL_VOLUMEN_SUMINISTROS[[#This Row],[J]],VOL_VOLUMEN_SUMINISTROS[[#This Row],[FIN DE SEMANA]])</f>
        <v>1052-2TNO</v>
      </c>
      <c r="D970" s="360" t="str">
        <f>CONCATENATE(VOL_VOLUMEN_SUMINISTROS[[#This Row],[Grupo]],VOL_VOLUMEN_SUMINISTROS[[#This Row],[Proyecto]],VOL_VOLUMEN_SUMINISTROS[[#This Row],[FIN DE SEMANA]])</f>
        <v>211052-2NO</v>
      </c>
      <c r="E970" s="30" t="s">
        <v>182</v>
      </c>
      <c r="F970" s="30" t="s">
        <v>147</v>
      </c>
      <c r="G970" s="360">
        <v>21</v>
      </c>
      <c r="H970" s="30">
        <v>19</v>
      </c>
      <c r="I970" s="9" t="s">
        <v>249</v>
      </c>
      <c r="J970" s="9" t="s">
        <v>708</v>
      </c>
      <c r="K970" s="30">
        <v>3</v>
      </c>
      <c r="L970" s="9" t="s">
        <v>457</v>
      </c>
      <c r="M970" s="30" t="s">
        <v>84</v>
      </c>
      <c r="N970" s="30" t="s">
        <v>154</v>
      </c>
      <c r="O970" s="24">
        <v>144</v>
      </c>
      <c r="P970" s="24">
        <v>0</v>
      </c>
      <c r="Q970" s="24">
        <v>0</v>
      </c>
      <c r="R970" s="24">
        <v>0</v>
      </c>
      <c r="S970" s="24">
        <v>0</v>
      </c>
      <c r="T970" s="24">
        <v>144</v>
      </c>
    </row>
    <row r="971" spans="1:20">
      <c r="A971" s="9" t="s">
        <v>701</v>
      </c>
      <c r="B971" s="30" t="s">
        <v>726</v>
      </c>
      <c r="C971" s="30" t="str">
        <f>CONCATENATE(VOL_VOLUMEN_SUMINISTROS[[#This Row],[Proyecto]],VOL_VOLUMEN_SUMINISTROS[[#This Row],[J]],VOL_VOLUMEN_SUMINISTROS[[#This Row],[FIN DE SEMANA]])</f>
        <v>1052-2MNO</v>
      </c>
      <c r="D971" s="360" t="str">
        <f>CONCATENATE(VOL_VOLUMEN_SUMINISTROS[[#This Row],[Grupo]],VOL_VOLUMEN_SUMINISTROS[[#This Row],[Proyecto]],VOL_VOLUMEN_SUMINISTROS[[#This Row],[FIN DE SEMANA]])</f>
        <v>211052-2NO</v>
      </c>
      <c r="E971" s="30" t="s">
        <v>182</v>
      </c>
      <c r="F971" s="30" t="s">
        <v>147</v>
      </c>
      <c r="G971" s="360">
        <v>21</v>
      </c>
      <c r="H971" s="30">
        <v>19</v>
      </c>
      <c r="I971" s="9" t="s">
        <v>249</v>
      </c>
      <c r="J971" s="9" t="s">
        <v>720</v>
      </c>
      <c r="K971" s="30">
        <v>2</v>
      </c>
      <c r="L971" s="9" t="s">
        <v>722</v>
      </c>
      <c r="M971" s="30" t="s">
        <v>84</v>
      </c>
      <c r="N971" s="30" t="s">
        <v>151</v>
      </c>
      <c r="O971" s="24">
        <v>72</v>
      </c>
      <c r="P971" s="24">
        <v>0</v>
      </c>
      <c r="Q971" s="24">
        <v>0</v>
      </c>
      <c r="R971" s="24">
        <v>0</v>
      </c>
      <c r="S971" s="24">
        <v>0</v>
      </c>
      <c r="T971" s="24">
        <v>72</v>
      </c>
    </row>
    <row r="972" spans="1:20">
      <c r="A972" s="9" t="s">
        <v>701</v>
      </c>
      <c r="B972" s="30" t="s">
        <v>726</v>
      </c>
      <c r="C972" s="30" t="str">
        <f>CONCATENATE(VOL_VOLUMEN_SUMINISTROS[[#This Row],[Proyecto]],VOL_VOLUMEN_SUMINISTROS[[#This Row],[J]],VOL_VOLUMEN_SUMINISTROS[[#This Row],[FIN DE SEMANA]])</f>
        <v>1052-2TNO</v>
      </c>
      <c r="D972" s="360" t="str">
        <f>CONCATENATE(VOL_VOLUMEN_SUMINISTROS[[#This Row],[Grupo]],VOL_VOLUMEN_SUMINISTROS[[#This Row],[Proyecto]],VOL_VOLUMEN_SUMINISTROS[[#This Row],[FIN DE SEMANA]])</f>
        <v>211052-2NO</v>
      </c>
      <c r="E972" s="30" t="s">
        <v>182</v>
      </c>
      <c r="F972" s="30" t="s">
        <v>147</v>
      </c>
      <c r="G972" s="360">
        <v>21</v>
      </c>
      <c r="H972" s="30">
        <v>19</v>
      </c>
      <c r="I972" s="9" t="s">
        <v>249</v>
      </c>
      <c r="J972" s="9" t="s">
        <v>720</v>
      </c>
      <c r="K972" s="30">
        <v>2</v>
      </c>
      <c r="L972" s="9" t="s">
        <v>722</v>
      </c>
      <c r="M972" s="30" t="s">
        <v>84</v>
      </c>
      <c r="N972" s="30" t="s">
        <v>154</v>
      </c>
      <c r="O972" s="24">
        <v>58</v>
      </c>
      <c r="P972" s="24">
        <v>0</v>
      </c>
      <c r="Q972" s="24">
        <v>0</v>
      </c>
      <c r="R972" s="24">
        <v>0</v>
      </c>
      <c r="S972" s="24">
        <v>0</v>
      </c>
      <c r="T972" s="24">
        <v>58</v>
      </c>
    </row>
    <row r="973" spans="1:20">
      <c r="A973" s="9" t="s">
        <v>701</v>
      </c>
      <c r="B973" s="30" t="s">
        <v>726</v>
      </c>
      <c r="C973" s="30" t="str">
        <f>CONCATENATE(VOL_VOLUMEN_SUMINISTROS[[#This Row],[Proyecto]],VOL_VOLUMEN_SUMINISTROS[[#This Row],[J]],VOL_VOLUMEN_SUMINISTROS[[#This Row],[FIN DE SEMANA]])</f>
        <v>1052-2MNO</v>
      </c>
      <c r="D973" s="360" t="str">
        <f>CONCATENATE(VOL_VOLUMEN_SUMINISTROS[[#This Row],[Grupo]],VOL_VOLUMEN_SUMINISTROS[[#This Row],[Proyecto]],VOL_VOLUMEN_SUMINISTROS[[#This Row],[FIN DE SEMANA]])</f>
        <v>211052-2NO</v>
      </c>
      <c r="E973" s="30" t="s">
        <v>182</v>
      </c>
      <c r="F973" s="30" t="s">
        <v>147</v>
      </c>
      <c r="G973" s="360">
        <v>21</v>
      </c>
      <c r="H973" s="30">
        <v>19</v>
      </c>
      <c r="I973" s="9" t="s">
        <v>249</v>
      </c>
      <c r="J973" s="9" t="s">
        <v>720</v>
      </c>
      <c r="K973" s="30">
        <v>3</v>
      </c>
      <c r="L973" s="9" t="s">
        <v>723</v>
      </c>
      <c r="M973" s="30" t="s">
        <v>84</v>
      </c>
      <c r="N973" s="30" t="s">
        <v>151</v>
      </c>
      <c r="O973" s="24">
        <v>42</v>
      </c>
      <c r="P973" s="24">
        <v>0</v>
      </c>
      <c r="Q973" s="24">
        <v>0</v>
      </c>
      <c r="R973" s="24">
        <v>0</v>
      </c>
      <c r="S973" s="24">
        <v>0</v>
      </c>
      <c r="T973" s="24">
        <v>42</v>
      </c>
    </row>
    <row r="974" spans="1:20">
      <c r="A974" s="9" t="s">
        <v>701</v>
      </c>
      <c r="B974" s="30" t="s">
        <v>726</v>
      </c>
      <c r="C974" s="30" t="str">
        <f>CONCATENATE(VOL_VOLUMEN_SUMINISTROS[[#This Row],[Proyecto]],VOL_VOLUMEN_SUMINISTROS[[#This Row],[J]],VOL_VOLUMEN_SUMINISTROS[[#This Row],[FIN DE SEMANA]])</f>
        <v>1052-2TNO</v>
      </c>
      <c r="D974" s="360" t="str">
        <f>CONCATENATE(VOL_VOLUMEN_SUMINISTROS[[#This Row],[Grupo]],VOL_VOLUMEN_SUMINISTROS[[#This Row],[Proyecto]],VOL_VOLUMEN_SUMINISTROS[[#This Row],[FIN DE SEMANA]])</f>
        <v>211052-2NO</v>
      </c>
      <c r="E974" s="30" t="s">
        <v>182</v>
      </c>
      <c r="F974" s="30" t="s">
        <v>147</v>
      </c>
      <c r="G974" s="360">
        <v>21</v>
      </c>
      <c r="H974" s="30">
        <v>19</v>
      </c>
      <c r="I974" s="9" t="s">
        <v>249</v>
      </c>
      <c r="J974" s="9" t="s">
        <v>720</v>
      </c>
      <c r="K974" s="30">
        <v>3</v>
      </c>
      <c r="L974" s="9" t="s">
        <v>723</v>
      </c>
      <c r="M974" s="30" t="s">
        <v>84</v>
      </c>
      <c r="N974" s="30" t="s">
        <v>154</v>
      </c>
      <c r="O974" s="24">
        <v>47</v>
      </c>
      <c r="P974" s="24">
        <v>0</v>
      </c>
      <c r="Q974" s="24">
        <v>0</v>
      </c>
      <c r="R974" s="24">
        <v>0</v>
      </c>
      <c r="S974" s="24">
        <v>0</v>
      </c>
      <c r="T974" s="24">
        <v>47</v>
      </c>
    </row>
    <row r="975" spans="1:20">
      <c r="A975" s="9" t="s">
        <v>701</v>
      </c>
      <c r="B975" s="30" t="s">
        <v>727</v>
      </c>
      <c r="C975" s="30" t="str">
        <f>CONCATENATE(VOL_VOLUMEN_SUMINISTROS[[#This Row],[Proyecto]],VOL_VOLUMEN_SUMINISTROS[[#This Row],[J]],VOL_VOLUMEN_SUMINISTROS[[#This Row],[FIN DE SEMANA]])</f>
        <v>1052-2M1NO</v>
      </c>
      <c r="D975" s="360" t="str">
        <f>CONCATENATE(VOL_VOLUMEN_SUMINISTROS[[#This Row],[Grupo]],VOL_VOLUMEN_SUMINISTROS[[#This Row],[Proyecto]],VOL_VOLUMEN_SUMINISTROS[[#This Row],[FIN DE SEMANA]])</f>
        <v>211052-2NO</v>
      </c>
      <c r="E975" s="30" t="s">
        <v>182</v>
      </c>
      <c r="F975" s="30" t="s">
        <v>147</v>
      </c>
      <c r="G975" s="360">
        <v>21</v>
      </c>
      <c r="H975" s="30">
        <v>19</v>
      </c>
      <c r="I975" s="9" t="s">
        <v>249</v>
      </c>
      <c r="J975" s="9" t="s">
        <v>720</v>
      </c>
      <c r="K975" s="30">
        <v>1</v>
      </c>
      <c r="L975" s="9" t="s">
        <v>721</v>
      </c>
      <c r="M975" s="30" t="s">
        <v>84</v>
      </c>
      <c r="N975" s="30" t="s">
        <v>215</v>
      </c>
      <c r="O975" s="24">
        <v>0</v>
      </c>
      <c r="P975" s="24">
        <v>75</v>
      </c>
      <c r="Q975" s="24">
        <v>75</v>
      </c>
      <c r="R975" s="24">
        <v>0</v>
      </c>
      <c r="S975" s="24">
        <v>0</v>
      </c>
      <c r="T975" s="24">
        <v>150</v>
      </c>
    </row>
    <row r="976" spans="1:20">
      <c r="A976" s="9" t="s">
        <v>701</v>
      </c>
      <c r="B976" s="30" t="s">
        <v>727</v>
      </c>
      <c r="C976" s="30" t="str">
        <f>CONCATENATE(VOL_VOLUMEN_SUMINISTROS[[#This Row],[Proyecto]],VOL_VOLUMEN_SUMINISTROS[[#This Row],[J]],VOL_VOLUMEN_SUMINISTROS[[#This Row],[FIN DE SEMANA]])</f>
        <v>1052-2TNO</v>
      </c>
      <c r="D976" s="360" t="str">
        <f>CONCATENATE(VOL_VOLUMEN_SUMINISTROS[[#This Row],[Grupo]],VOL_VOLUMEN_SUMINISTROS[[#This Row],[Proyecto]],VOL_VOLUMEN_SUMINISTROS[[#This Row],[FIN DE SEMANA]])</f>
        <v>211052-2NO</v>
      </c>
      <c r="E976" s="30" t="s">
        <v>182</v>
      </c>
      <c r="F976" s="30" t="s">
        <v>147</v>
      </c>
      <c r="G976" s="360">
        <v>21</v>
      </c>
      <c r="H976" s="30">
        <v>19</v>
      </c>
      <c r="I976" s="9" t="s">
        <v>249</v>
      </c>
      <c r="J976" s="9" t="s">
        <v>720</v>
      </c>
      <c r="K976" s="30">
        <v>1</v>
      </c>
      <c r="L976" s="9" t="s">
        <v>721</v>
      </c>
      <c r="M976" s="30" t="s">
        <v>84</v>
      </c>
      <c r="N976" s="30" t="s">
        <v>154</v>
      </c>
      <c r="O976" s="24">
        <v>0</v>
      </c>
      <c r="P976" s="24">
        <v>90</v>
      </c>
      <c r="Q976" s="24">
        <v>70</v>
      </c>
      <c r="R976" s="24">
        <v>0</v>
      </c>
      <c r="S976" s="24">
        <v>0</v>
      </c>
      <c r="T976" s="24">
        <v>160</v>
      </c>
    </row>
    <row r="977" spans="1:20">
      <c r="A977" s="9" t="s">
        <v>701</v>
      </c>
      <c r="B977" s="30" t="s">
        <v>727</v>
      </c>
      <c r="C977" s="30" t="str">
        <f>CONCATENATE(VOL_VOLUMEN_SUMINISTROS[[#This Row],[Proyecto]],VOL_VOLUMEN_SUMINISTROS[[#This Row],[J]],VOL_VOLUMEN_SUMINISTROS[[#This Row],[FIN DE SEMANA]])</f>
        <v>1052-2M1NO</v>
      </c>
      <c r="D977" s="360" t="str">
        <f>CONCATENATE(VOL_VOLUMEN_SUMINISTROS[[#This Row],[Grupo]],VOL_VOLUMEN_SUMINISTROS[[#This Row],[Proyecto]],VOL_VOLUMEN_SUMINISTROS[[#This Row],[FIN DE SEMANA]])</f>
        <v>211052-2NO</v>
      </c>
      <c r="E977" s="30" t="s">
        <v>182</v>
      </c>
      <c r="F977" s="30" t="s">
        <v>147</v>
      </c>
      <c r="G977" s="360">
        <v>21</v>
      </c>
      <c r="H977" s="30">
        <v>19</v>
      </c>
      <c r="I977" s="9" t="s">
        <v>249</v>
      </c>
      <c r="J977" s="9" t="s">
        <v>720</v>
      </c>
      <c r="K977" s="30">
        <v>2</v>
      </c>
      <c r="L977" s="9" t="s">
        <v>722</v>
      </c>
      <c r="M977" s="30" t="s">
        <v>84</v>
      </c>
      <c r="N977" s="30" t="s">
        <v>215</v>
      </c>
      <c r="O977" s="24">
        <v>40</v>
      </c>
      <c r="P977" s="24">
        <v>50</v>
      </c>
      <c r="Q977" s="24">
        <v>10</v>
      </c>
      <c r="R977" s="24">
        <v>0</v>
      </c>
      <c r="S977" s="24">
        <v>0</v>
      </c>
      <c r="T977" s="24">
        <v>100</v>
      </c>
    </row>
    <row r="978" spans="1:20">
      <c r="A978" s="9" t="s">
        <v>701</v>
      </c>
      <c r="B978" s="30" t="s">
        <v>727</v>
      </c>
      <c r="C978" s="30" t="str">
        <f>CONCATENATE(VOL_VOLUMEN_SUMINISTROS[[#This Row],[Proyecto]],VOL_VOLUMEN_SUMINISTROS[[#This Row],[J]],VOL_VOLUMEN_SUMINISTROS[[#This Row],[FIN DE SEMANA]])</f>
        <v>1052-2TNO</v>
      </c>
      <c r="D978" s="360" t="str">
        <f>CONCATENATE(VOL_VOLUMEN_SUMINISTROS[[#This Row],[Grupo]],VOL_VOLUMEN_SUMINISTROS[[#This Row],[Proyecto]],VOL_VOLUMEN_SUMINISTROS[[#This Row],[FIN DE SEMANA]])</f>
        <v>211052-2NO</v>
      </c>
      <c r="E978" s="30" t="s">
        <v>182</v>
      </c>
      <c r="F978" s="30" t="s">
        <v>147</v>
      </c>
      <c r="G978" s="360">
        <v>21</v>
      </c>
      <c r="H978" s="30">
        <v>19</v>
      </c>
      <c r="I978" s="9" t="s">
        <v>249</v>
      </c>
      <c r="J978" s="9" t="s">
        <v>720</v>
      </c>
      <c r="K978" s="30">
        <v>2</v>
      </c>
      <c r="L978" s="9" t="s">
        <v>722</v>
      </c>
      <c r="M978" s="30" t="s">
        <v>84</v>
      </c>
      <c r="N978" s="30" t="s">
        <v>154</v>
      </c>
      <c r="O978" s="24">
        <v>40</v>
      </c>
      <c r="P978" s="24">
        <v>50</v>
      </c>
      <c r="Q978" s="24">
        <v>10</v>
      </c>
      <c r="R978" s="24">
        <v>0</v>
      </c>
      <c r="S978" s="24">
        <v>0</v>
      </c>
      <c r="T978" s="24">
        <v>100</v>
      </c>
    </row>
    <row r="979" spans="1:20">
      <c r="A979" s="9" t="s">
        <v>701</v>
      </c>
      <c r="B979" s="30" t="s">
        <v>727</v>
      </c>
      <c r="C979" s="30" t="str">
        <f>CONCATENATE(VOL_VOLUMEN_SUMINISTROS[[#This Row],[Proyecto]],VOL_VOLUMEN_SUMINISTROS[[#This Row],[J]],VOL_VOLUMEN_SUMINISTROS[[#This Row],[FIN DE SEMANA]])</f>
        <v>1052-2MNO</v>
      </c>
      <c r="D979" s="360" t="str">
        <f>CONCATENATE(VOL_VOLUMEN_SUMINISTROS[[#This Row],[Grupo]],VOL_VOLUMEN_SUMINISTROS[[#This Row],[Proyecto]],VOL_VOLUMEN_SUMINISTROS[[#This Row],[FIN DE SEMANA]])</f>
        <v>211052-2NO</v>
      </c>
      <c r="E979" s="30" t="s">
        <v>182</v>
      </c>
      <c r="F979" s="30" t="s">
        <v>147</v>
      </c>
      <c r="G979" s="360">
        <v>21</v>
      </c>
      <c r="H979" s="30">
        <v>19</v>
      </c>
      <c r="I979" s="9" t="s">
        <v>249</v>
      </c>
      <c r="J979" s="9" t="s">
        <v>720</v>
      </c>
      <c r="K979" s="30">
        <v>3</v>
      </c>
      <c r="L979" s="9" t="s">
        <v>723</v>
      </c>
      <c r="M979" s="30" t="s">
        <v>84</v>
      </c>
      <c r="N979" s="30" t="s">
        <v>151</v>
      </c>
      <c r="O979" s="24">
        <v>40</v>
      </c>
      <c r="P979" s="24">
        <v>50</v>
      </c>
      <c r="Q979" s="24">
        <v>10</v>
      </c>
      <c r="R979" s="24">
        <v>0</v>
      </c>
      <c r="S979" s="24">
        <v>0</v>
      </c>
      <c r="T979" s="24">
        <v>100</v>
      </c>
    </row>
    <row r="980" spans="1:20">
      <c r="A980" s="9" t="s">
        <v>701</v>
      </c>
      <c r="B980" s="30" t="s">
        <v>727</v>
      </c>
      <c r="C980" s="30" t="str">
        <f>CONCATENATE(VOL_VOLUMEN_SUMINISTROS[[#This Row],[Proyecto]],VOL_VOLUMEN_SUMINISTROS[[#This Row],[J]],VOL_VOLUMEN_SUMINISTROS[[#This Row],[FIN DE SEMANA]])</f>
        <v>1052-2TNO</v>
      </c>
      <c r="D980" s="360" t="str">
        <f>CONCATENATE(VOL_VOLUMEN_SUMINISTROS[[#This Row],[Grupo]],VOL_VOLUMEN_SUMINISTROS[[#This Row],[Proyecto]],VOL_VOLUMEN_SUMINISTROS[[#This Row],[FIN DE SEMANA]])</f>
        <v>211052-2NO</v>
      </c>
      <c r="E980" s="30" t="s">
        <v>182</v>
      </c>
      <c r="F980" s="30" t="s">
        <v>147</v>
      </c>
      <c r="G980" s="360">
        <v>21</v>
      </c>
      <c r="H980" s="30">
        <v>19</v>
      </c>
      <c r="I980" s="9" t="s">
        <v>249</v>
      </c>
      <c r="J980" s="9" t="s">
        <v>720</v>
      </c>
      <c r="K980" s="30">
        <v>3</v>
      </c>
      <c r="L980" s="9" t="s">
        <v>723</v>
      </c>
      <c r="M980" s="30" t="s">
        <v>84</v>
      </c>
      <c r="N980" s="30" t="s">
        <v>154</v>
      </c>
      <c r="O980" s="24">
        <v>40</v>
      </c>
      <c r="P980" s="24">
        <v>50</v>
      </c>
      <c r="Q980" s="24">
        <v>10</v>
      </c>
      <c r="R980" s="24">
        <v>0</v>
      </c>
      <c r="S980" s="24">
        <v>0</v>
      </c>
      <c r="T980" s="24">
        <v>100</v>
      </c>
    </row>
    <row r="981" spans="1:20">
      <c r="A981" s="9" t="s">
        <v>701</v>
      </c>
      <c r="B981" s="30" t="s">
        <v>727</v>
      </c>
      <c r="C981" s="30" t="str">
        <f>CONCATENATE(VOL_VOLUMEN_SUMINISTROS[[#This Row],[Proyecto]],VOL_VOLUMEN_SUMINISTROS[[#This Row],[J]],VOL_VOLUMEN_SUMINISTROS[[#This Row],[FIN DE SEMANA]])</f>
        <v>1052-2M1NO</v>
      </c>
      <c r="D981" s="360" t="str">
        <f>CONCATENATE(VOL_VOLUMEN_SUMINISTROS[[#This Row],[Grupo]],VOL_VOLUMEN_SUMINISTROS[[#This Row],[Proyecto]],VOL_VOLUMEN_SUMINISTROS[[#This Row],[FIN DE SEMANA]])</f>
        <v>211052-2NO</v>
      </c>
      <c r="E981" s="30" t="s">
        <v>182</v>
      </c>
      <c r="F981" s="30" t="s">
        <v>147</v>
      </c>
      <c r="G981" s="360">
        <v>21</v>
      </c>
      <c r="H981" s="30">
        <v>19</v>
      </c>
      <c r="I981" s="9" t="s">
        <v>249</v>
      </c>
      <c r="J981" s="9" t="s">
        <v>728</v>
      </c>
      <c r="K981" s="30">
        <v>1</v>
      </c>
      <c r="L981" s="9" t="s">
        <v>729</v>
      </c>
      <c r="M981" s="30" t="s">
        <v>84</v>
      </c>
      <c r="N981" s="30" t="s">
        <v>215</v>
      </c>
      <c r="O981" s="24">
        <v>0</v>
      </c>
      <c r="P981" s="24">
        <v>339</v>
      </c>
      <c r="Q981" s="24">
        <v>113</v>
      </c>
      <c r="R981" s="24">
        <v>0</v>
      </c>
      <c r="S981" s="24">
        <v>0</v>
      </c>
      <c r="T981" s="24">
        <v>452</v>
      </c>
    </row>
    <row r="982" spans="1:20">
      <c r="A982" s="9" t="s">
        <v>701</v>
      </c>
      <c r="B982" s="30" t="s">
        <v>730</v>
      </c>
      <c r="C982" s="30" t="str">
        <f>CONCATENATE(VOL_VOLUMEN_SUMINISTROS[[#This Row],[Proyecto]],VOL_VOLUMEN_SUMINISTROS[[#This Row],[J]],VOL_VOLUMEN_SUMINISTROS[[#This Row],[FIN DE SEMANA]])</f>
        <v>1052-2MNO</v>
      </c>
      <c r="D982" s="360" t="str">
        <f>CONCATENATE(VOL_VOLUMEN_SUMINISTROS[[#This Row],[Grupo]],VOL_VOLUMEN_SUMINISTROS[[#This Row],[Proyecto]],VOL_VOLUMEN_SUMINISTROS[[#This Row],[FIN DE SEMANA]])</f>
        <v>211052-2NO</v>
      </c>
      <c r="E982" s="30" t="s">
        <v>182</v>
      </c>
      <c r="F982" s="30" t="s">
        <v>147</v>
      </c>
      <c r="G982" s="360">
        <v>21</v>
      </c>
      <c r="H982" s="30">
        <v>19</v>
      </c>
      <c r="I982" s="9" t="s">
        <v>249</v>
      </c>
      <c r="J982" s="9" t="s">
        <v>703</v>
      </c>
      <c r="K982" s="30">
        <v>1</v>
      </c>
      <c r="L982" s="9" t="s">
        <v>704</v>
      </c>
      <c r="M982" s="30" t="s">
        <v>84</v>
      </c>
      <c r="N982" s="30" t="s">
        <v>151</v>
      </c>
      <c r="O982" s="24">
        <v>0</v>
      </c>
      <c r="P982" s="24">
        <v>0</v>
      </c>
      <c r="Q982" s="24">
        <v>105</v>
      </c>
      <c r="R982" s="24">
        <v>0</v>
      </c>
      <c r="S982" s="24">
        <v>0</v>
      </c>
      <c r="T982" s="24">
        <v>105</v>
      </c>
    </row>
    <row r="983" spans="1:20">
      <c r="A983" s="9" t="s">
        <v>701</v>
      </c>
      <c r="B983" s="30" t="s">
        <v>730</v>
      </c>
      <c r="C983" s="30" t="str">
        <f>CONCATENATE(VOL_VOLUMEN_SUMINISTROS[[#This Row],[Proyecto]],VOL_VOLUMEN_SUMINISTROS[[#This Row],[J]],VOL_VOLUMEN_SUMINISTROS[[#This Row],[FIN DE SEMANA]])</f>
        <v>1052-2TNO</v>
      </c>
      <c r="D983" s="360" t="str">
        <f>CONCATENATE(VOL_VOLUMEN_SUMINISTROS[[#This Row],[Grupo]],VOL_VOLUMEN_SUMINISTROS[[#This Row],[Proyecto]],VOL_VOLUMEN_SUMINISTROS[[#This Row],[FIN DE SEMANA]])</f>
        <v>211052-2NO</v>
      </c>
      <c r="E983" s="30" t="s">
        <v>182</v>
      </c>
      <c r="F983" s="30" t="s">
        <v>147</v>
      </c>
      <c r="G983" s="360">
        <v>21</v>
      </c>
      <c r="H983" s="30">
        <v>19</v>
      </c>
      <c r="I983" s="9" t="s">
        <v>249</v>
      </c>
      <c r="J983" s="9" t="s">
        <v>703</v>
      </c>
      <c r="K983" s="30">
        <v>1</v>
      </c>
      <c r="L983" s="9" t="s">
        <v>704</v>
      </c>
      <c r="M983" s="30" t="s">
        <v>84</v>
      </c>
      <c r="N983" s="30" t="s">
        <v>154</v>
      </c>
      <c r="O983" s="24">
        <v>0</v>
      </c>
      <c r="P983" s="24">
        <v>0</v>
      </c>
      <c r="Q983" s="24">
        <v>143</v>
      </c>
      <c r="R983" s="24">
        <v>0</v>
      </c>
      <c r="S983" s="24">
        <v>0</v>
      </c>
      <c r="T983" s="24">
        <v>143</v>
      </c>
    </row>
    <row r="984" spans="1:20">
      <c r="A984" s="9" t="s">
        <v>701</v>
      </c>
      <c r="B984" s="30" t="s">
        <v>730</v>
      </c>
      <c r="C984" s="30" t="str">
        <f>CONCATENATE(VOL_VOLUMEN_SUMINISTROS[[#This Row],[Proyecto]],VOL_VOLUMEN_SUMINISTROS[[#This Row],[J]],VOL_VOLUMEN_SUMINISTROS[[#This Row],[FIN DE SEMANA]])</f>
        <v>1052-2MNO</v>
      </c>
      <c r="D984" s="360" t="str">
        <f>CONCATENATE(VOL_VOLUMEN_SUMINISTROS[[#This Row],[Grupo]],VOL_VOLUMEN_SUMINISTROS[[#This Row],[Proyecto]],VOL_VOLUMEN_SUMINISTROS[[#This Row],[FIN DE SEMANA]])</f>
        <v>211052-2NO</v>
      </c>
      <c r="E984" s="30" t="s">
        <v>182</v>
      </c>
      <c r="F984" s="30" t="s">
        <v>147</v>
      </c>
      <c r="G984" s="360">
        <v>21</v>
      </c>
      <c r="H984" s="30">
        <v>19</v>
      </c>
      <c r="I984" s="9" t="s">
        <v>249</v>
      </c>
      <c r="J984" s="9" t="s">
        <v>711</v>
      </c>
      <c r="K984" s="30">
        <v>1</v>
      </c>
      <c r="L984" s="9" t="s">
        <v>712</v>
      </c>
      <c r="M984" s="30" t="s">
        <v>84</v>
      </c>
      <c r="N984" s="30" t="s">
        <v>151</v>
      </c>
      <c r="O984" s="24">
        <v>0</v>
      </c>
      <c r="P984" s="24">
        <v>0</v>
      </c>
      <c r="Q984" s="24">
        <v>80</v>
      </c>
      <c r="R984" s="24">
        <v>0</v>
      </c>
      <c r="S984" s="24">
        <v>0</v>
      </c>
      <c r="T984" s="24">
        <v>80</v>
      </c>
    </row>
    <row r="985" spans="1:20">
      <c r="A985" s="9" t="s">
        <v>701</v>
      </c>
      <c r="B985" s="30" t="s">
        <v>730</v>
      </c>
      <c r="C985" s="30" t="str">
        <f>CONCATENATE(VOL_VOLUMEN_SUMINISTROS[[#This Row],[Proyecto]],VOL_VOLUMEN_SUMINISTROS[[#This Row],[J]],VOL_VOLUMEN_SUMINISTROS[[#This Row],[FIN DE SEMANA]])</f>
        <v>1052-2TNO</v>
      </c>
      <c r="D985" s="360" t="str">
        <f>CONCATENATE(VOL_VOLUMEN_SUMINISTROS[[#This Row],[Grupo]],VOL_VOLUMEN_SUMINISTROS[[#This Row],[Proyecto]],VOL_VOLUMEN_SUMINISTROS[[#This Row],[FIN DE SEMANA]])</f>
        <v>211052-2NO</v>
      </c>
      <c r="E985" s="30" t="s">
        <v>182</v>
      </c>
      <c r="F985" s="30" t="s">
        <v>147</v>
      </c>
      <c r="G985" s="360">
        <v>21</v>
      </c>
      <c r="H985" s="30">
        <v>19</v>
      </c>
      <c r="I985" s="9" t="s">
        <v>249</v>
      </c>
      <c r="J985" s="9" t="s">
        <v>711</v>
      </c>
      <c r="K985" s="30">
        <v>1</v>
      </c>
      <c r="L985" s="9" t="s">
        <v>712</v>
      </c>
      <c r="M985" s="30" t="s">
        <v>84</v>
      </c>
      <c r="N985" s="30" t="s">
        <v>154</v>
      </c>
      <c r="O985" s="24">
        <v>0</v>
      </c>
      <c r="P985" s="24">
        <v>0</v>
      </c>
      <c r="Q985" s="24">
        <v>75</v>
      </c>
      <c r="R985" s="24">
        <v>0</v>
      </c>
      <c r="S985" s="24">
        <v>0</v>
      </c>
      <c r="T985" s="24">
        <v>75</v>
      </c>
    </row>
    <row r="986" spans="1:20">
      <c r="A986" s="9" t="s">
        <v>701</v>
      </c>
      <c r="B986" s="30" t="s">
        <v>730</v>
      </c>
      <c r="C986" s="30" t="str">
        <f>CONCATENATE(VOL_VOLUMEN_SUMINISTROS[[#This Row],[Proyecto]],VOL_VOLUMEN_SUMINISTROS[[#This Row],[J]],VOL_VOLUMEN_SUMINISTROS[[#This Row],[FIN DE SEMANA]])</f>
        <v>1052-2MNO</v>
      </c>
      <c r="D986" s="360" t="str">
        <f>CONCATENATE(VOL_VOLUMEN_SUMINISTROS[[#This Row],[Grupo]],VOL_VOLUMEN_SUMINISTROS[[#This Row],[Proyecto]],VOL_VOLUMEN_SUMINISTROS[[#This Row],[FIN DE SEMANA]])</f>
        <v>211052-2NO</v>
      </c>
      <c r="E986" s="30" t="s">
        <v>182</v>
      </c>
      <c r="F986" s="30" t="s">
        <v>147</v>
      </c>
      <c r="G986" s="360">
        <v>21</v>
      </c>
      <c r="H986" s="30">
        <v>19</v>
      </c>
      <c r="I986" s="9" t="s">
        <v>249</v>
      </c>
      <c r="J986" s="9" t="s">
        <v>714</v>
      </c>
      <c r="K986" s="30">
        <v>1</v>
      </c>
      <c r="L986" s="9" t="s">
        <v>715</v>
      </c>
      <c r="M986" s="30" t="s">
        <v>84</v>
      </c>
      <c r="N986" s="30" t="s">
        <v>151</v>
      </c>
      <c r="O986" s="24">
        <v>0</v>
      </c>
      <c r="P986" s="24">
        <v>0</v>
      </c>
      <c r="Q986" s="24">
        <v>120</v>
      </c>
      <c r="R986" s="24">
        <v>0</v>
      </c>
      <c r="S986" s="24">
        <v>0</v>
      </c>
      <c r="T986" s="24">
        <v>120</v>
      </c>
    </row>
    <row r="987" spans="1:20">
      <c r="A987" s="9" t="s">
        <v>701</v>
      </c>
      <c r="B987" s="30" t="s">
        <v>730</v>
      </c>
      <c r="C987" s="30" t="str">
        <f>CONCATENATE(VOL_VOLUMEN_SUMINISTROS[[#This Row],[Proyecto]],VOL_VOLUMEN_SUMINISTROS[[#This Row],[J]],VOL_VOLUMEN_SUMINISTROS[[#This Row],[FIN DE SEMANA]])</f>
        <v>1052-2TNO</v>
      </c>
      <c r="D987" s="360" t="str">
        <f>CONCATENATE(VOL_VOLUMEN_SUMINISTROS[[#This Row],[Grupo]],VOL_VOLUMEN_SUMINISTROS[[#This Row],[Proyecto]],VOL_VOLUMEN_SUMINISTROS[[#This Row],[FIN DE SEMANA]])</f>
        <v>211052-2NO</v>
      </c>
      <c r="E987" s="30" t="s">
        <v>182</v>
      </c>
      <c r="F987" s="30" t="s">
        <v>147</v>
      </c>
      <c r="G987" s="360">
        <v>21</v>
      </c>
      <c r="H987" s="30">
        <v>19</v>
      </c>
      <c r="I987" s="9" t="s">
        <v>249</v>
      </c>
      <c r="J987" s="9" t="s">
        <v>714</v>
      </c>
      <c r="K987" s="30">
        <v>1</v>
      </c>
      <c r="L987" s="9" t="s">
        <v>715</v>
      </c>
      <c r="M987" s="30" t="s">
        <v>84</v>
      </c>
      <c r="N987" s="30" t="s">
        <v>154</v>
      </c>
      <c r="O987" s="24">
        <v>0</v>
      </c>
      <c r="P987" s="24">
        <v>0</v>
      </c>
      <c r="Q987" s="24">
        <v>120</v>
      </c>
      <c r="R987" s="24">
        <v>0</v>
      </c>
      <c r="S987" s="24">
        <v>0</v>
      </c>
      <c r="T987" s="24">
        <v>120</v>
      </c>
    </row>
    <row r="988" spans="1:20">
      <c r="A988" s="9" t="s">
        <v>701</v>
      </c>
      <c r="B988" s="30" t="s">
        <v>730</v>
      </c>
      <c r="C988" s="30" t="str">
        <f>CONCATENATE(VOL_VOLUMEN_SUMINISTROS[[#This Row],[Proyecto]],VOL_VOLUMEN_SUMINISTROS[[#This Row],[J]],VOL_VOLUMEN_SUMINISTROS[[#This Row],[FIN DE SEMANA]])</f>
        <v>1052-2MNO</v>
      </c>
      <c r="D988" s="360" t="str">
        <f>CONCATENATE(VOL_VOLUMEN_SUMINISTROS[[#This Row],[Grupo]],VOL_VOLUMEN_SUMINISTROS[[#This Row],[Proyecto]],VOL_VOLUMEN_SUMINISTROS[[#This Row],[FIN DE SEMANA]])</f>
        <v>211052-2NO</v>
      </c>
      <c r="E988" s="30" t="s">
        <v>182</v>
      </c>
      <c r="F988" s="30" t="s">
        <v>147</v>
      </c>
      <c r="G988" s="360">
        <v>21</v>
      </c>
      <c r="H988" s="30">
        <v>19</v>
      </c>
      <c r="I988" s="9" t="s">
        <v>249</v>
      </c>
      <c r="J988" s="9" t="s">
        <v>720</v>
      </c>
      <c r="K988" s="30">
        <v>1</v>
      </c>
      <c r="L988" s="9" t="s">
        <v>721</v>
      </c>
      <c r="M988" s="30" t="s">
        <v>84</v>
      </c>
      <c r="N988" s="30" t="s">
        <v>151</v>
      </c>
      <c r="O988" s="24">
        <v>0</v>
      </c>
      <c r="P988" s="24">
        <v>0</v>
      </c>
      <c r="Q988" s="24">
        <v>80</v>
      </c>
      <c r="R988" s="24">
        <v>0</v>
      </c>
      <c r="S988" s="24">
        <v>0</v>
      </c>
      <c r="T988" s="24">
        <v>80</v>
      </c>
    </row>
    <row r="989" spans="1:20">
      <c r="A989" s="9" t="s">
        <v>701</v>
      </c>
      <c r="B989" s="30" t="s">
        <v>730</v>
      </c>
      <c r="C989" s="30" t="str">
        <f>CONCATENATE(VOL_VOLUMEN_SUMINISTROS[[#This Row],[Proyecto]],VOL_VOLUMEN_SUMINISTROS[[#This Row],[J]],VOL_VOLUMEN_SUMINISTROS[[#This Row],[FIN DE SEMANA]])</f>
        <v>1052-2TNO</v>
      </c>
      <c r="D989" s="360" t="str">
        <f>CONCATENATE(VOL_VOLUMEN_SUMINISTROS[[#This Row],[Grupo]],VOL_VOLUMEN_SUMINISTROS[[#This Row],[Proyecto]],VOL_VOLUMEN_SUMINISTROS[[#This Row],[FIN DE SEMANA]])</f>
        <v>211052-2NO</v>
      </c>
      <c r="E989" s="30" t="s">
        <v>182</v>
      </c>
      <c r="F989" s="30" t="s">
        <v>147</v>
      </c>
      <c r="G989" s="360">
        <v>21</v>
      </c>
      <c r="H989" s="30">
        <v>19</v>
      </c>
      <c r="I989" s="9" t="s">
        <v>249</v>
      </c>
      <c r="J989" s="9" t="s">
        <v>720</v>
      </c>
      <c r="K989" s="30">
        <v>1</v>
      </c>
      <c r="L989" s="9" t="s">
        <v>721</v>
      </c>
      <c r="M989" s="30" t="s">
        <v>84</v>
      </c>
      <c r="N989" s="30" t="s">
        <v>154</v>
      </c>
      <c r="O989" s="24">
        <v>0</v>
      </c>
      <c r="P989" s="24">
        <v>0</v>
      </c>
      <c r="Q989" s="24">
        <v>80</v>
      </c>
      <c r="R989" s="24">
        <v>0</v>
      </c>
      <c r="S989" s="24">
        <v>0</v>
      </c>
      <c r="T989" s="24">
        <v>80</v>
      </c>
    </row>
    <row r="990" spans="1:20">
      <c r="A990" s="9" t="s">
        <v>731</v>
      </c>
      <c r="B990" s="30" t="s">
        <v>732</v>
      </c>
      <c r="C990" s="30" t="str">
        <f>CONCATENATE(VOL_VOLUMEN_SUMINISTROS[[#This Row],[Proyecto]],VOL_VOLUMEN_SUMINISTROS[[#This Row],[J]],VOL_VOLUMEN_SUMINISTROS[[#This Row],[FIN DE SEMANA]])</f>
        <v>1052-1MNO</v>
      </c>
      <c r="D990" s="360" t="str">
        <f>CONCATENATE(VOL_VOLUMEN_SUMINISTROS[[#This Row],[Grupo]],VOL_VOLUMEN_SUMINISTROS[[#This Row],[Proyecto]],VOL_VOLUMEN_SUMINISTROS[[#This Row],[FIN DE SEMANA]])</f>
        <v>131052-1NO</v>
      </c>
      <c r="E990" s="30" t="s">
        <v>146</v>
      </c>
      <c r="F990" s="30" t="s">
        <v>733</v>
      </c>
      <c r="G990" s="360">
        <v>13</v>
      </c>
      <c r="H990" s="30">
        <v>10</v>
      </c>
      <c r="I990" s="9" t="s">
        <v>330</v>
      </c>
      <c r="J990" s="9" t="s">
        <v>734</v>
      </c>
      <c r="K990" s="30">
        <v>1</v>
      </c>
      <c r="L990" s="9" t="s">
        <v>152</v>
      </c>
      <c r="M990" s="30" t="s">
        <v>84</v>
      </c>
      <c r="N990" s="30" t="s">
        <v>151</v>
      </c>
      <c r="O990" s="24">
        <v>0</v>
      </c>
      <c r="P990" s="24">
        <v>0</v>
      </c>
      <c r="Q990" s="24">
        <v>22</v>
      </c>
      <c r="R990" s="24">
        <v>0</v>
      </c>
      <c r="S990" s="24">
        <v>0</v>
      </c>
      <c r="T990" s="24">
        <v>22</v>
      </c>
    </row>
    <row r="991" spans="1:20">
      <c r="A991" s="9" t="s">
        <v>731</v>
      </c>
      <c r="B991" s="30" t="s">
        <v>732</v>
      </c>
      <c r="C991" s="30" t="str">
        <f>CONCATENATE(VOL_VOLUMEN_SUMINISTROS[[#This Row],[Proyecto]],VOL_VOLUMEN_SUMINISTROS[[#This Row],[J]],VOL_VOLUMEN_SUMINISTROS[[#This Row],[FIN DE SEMANA]])</f>
        <v>1052-1MNO</v>
      </c>
      <c r="D991" s="360" t="str">
        <f>CONCATENATE(VOL_VOLUMEN_SUMINISTROS[[#This Row],[Grupo]],VOL_VOLUMEN_SUMINISTROS[[#This Row],[Proyecto]],VOL_VOLUMEN_SUMINISTROS[[#This Row],[FIN DE SEMANA]])</f>
        <v>131052-1NO</v>
      </c>
      <c r="E991" s="30" t="s">
        <v>146</v>
      </c>
      <c r="F991" s="30" t="s">
        <v>733</v>
      </c>
      <c r="G991" s="360">
        <v>13</v>
      </c>
      <c r="H991" s="30">
        <v>10</v>
      </c>
      <c r="I991" s="9" t="s">
        <v>330</v>
      </c>
      <c r="J991" s="9" t="s">
        <v>735</v>
      </c>
      <c r="K991" s="30">
        <v>1</v>
      </c>
      <c r="L991" s="9" t="s">
        <v>152</v>
      </c>
      <c r="M991" s="30" t="s">
        <v>84</v>
      </c>
      <c r="N991" s="30" t="s">
        <v>151</v>
      </c>
      <c r="O991" s="24">
        <v>2</v>
      </c>
      <c r="P991" s="24">
        <v>58</v>
      </c>
      <c r="Q991" s="24">
        <v>150</v>
      </c>
      <c r="R991" s="24">
        <v>0</v>
      </c>
      <c r="S991" s="24">
        <v>0</v>
      </c>
      <c r="T991" s="24">
        <v>210</v>
      </c>
    </row>
    <row r="992" spans="1:20">
      <c r="A992" s="9" t="s">
        <v>731</v>
      </c>
      <c r="B992" s="30" t="s">
        <v>732</v>
      </c>
      <c r="C992" s="30" t="str">
        <f>CONCATENATE(VOL_VOLUMEN_SUMINISTROS[[#This Row],[Proyecto]],VOL_VOLUMEN_SUMINISTROS[[#This Row],[J]],VOL_VOLUMEN_SUMINISTROS[[#This Row],[FIN DE SEMANA]])</f>
        <v>1052-1MNO</v>
      </c>
      <c r="D992" s="360" t="str">
        <f>CONCATENATE(VOL_VOLUMEN_SUMINISTROS[[#This Row],[Grupo]],VOL_VOLUMEN_SUMINISTROS[[#This Row],[Proyecto]],VOL_VOLUMEN_SUMINISTROS[[#This Row],[FIN DE SEMANA]])</f>
        <v>131052-1NO</v>
      </c>
      <c r="E992" s="30" t="s">
        <v>146</v>
      </c>
      <c r="F992" s="30" t="s">
        <v>733</v>
      </c>
      <c r="G992" s="360">
        <v>13</v>
      </c>
      <c r="H992" s="30">
        <v>10</v>
      </c>
      <c r="I992" s="9" t="s">
        <v>330</v>
      </c>
      <c r="J992" s="9" t="s">
        <v>736</v>
      </c>
      <c r="K992" s="30">
        <v>1</v>
      </c>
      <c r="L992" s="9" t="s">
        <v>152</v>
      </c>
      <c r="M992" s="30" t="s">
        <v>84</v>
      </c>
      <c r="N992" s="30" t="s">
        <v>151</v>
      </c>
      <c r="O992" s="24">
        <v>15</v>
      </c>
      <c r="P992" s="24">
        <v>49</v>
      </c>
      <c r="Q992" s="24">
        <v>22</v>
      </c>
      <c r="R992" s="24">
        <v>0</v>
      </c>
      <c r="S992" s="24">
        <v>0</v>
      </c>
      <c r="T992" s="24">
        <v>86</v>
      </c>
    </row>
    <row r="993" spans="1:20">
      <c r="A993" s="9" t="s">
        <v>731</v>
      </c>
      <c r="B993" s="30" t="s">
        <v>732</v>
      </c>
      <c r="C993" s="30" t="str">
        <f>CONCATENATE(VOL_VOLUMEN_SUMINISTROS[[#This Row],[Proyecto]],VOL_VOLUMEN_SUMINISTROS[[#This Row],[J]],VOL_VOLUMEN_SUMINISTROS[[#This Row],[FIN DE SEMANA]])</f>
        <v>1052-1MNO</v>
      </c>
      <c r="D993" s="360" t="str">
        <f>CONCATENATE(VOL_VOLUMEN_SUMINISTROS[[#This Row],[Grupo]],VOL_VOLUMEN_SUMINISTROS[[#This Row],[Proyecto]],VOL_VOLUMEN_SUMINISTROS[[#This Row],[FIN DE SEMANA]])</f>
        <v>131052-1NO</v>
      </c>
      <c r="E993" s="30" t="s">
        <v>146</v>
      </c>
      <c r="F993" s="30" t="s">
        <v>733</v>
      </c>
      <c r="G993" s="360">
        <v>13</v>
      </c>
      <c r="H993" s="30">
        <v>10</v>
      </c>
      <c r="I993" s="9" t="s">
        <v>330</v>
      </c>
      <c r="J993" s="9" t="s">
        <v>737</v>
      </c>
      <c r="K993" s="30">
        <v>1</v>
      </c>
      <c r="L993" s="9" t="s">
        <v>152</v>
      </c>
      <c r="M993" s="30" t="s">
        <v>84</v>
      </c>
      <c r="N993" s="30" t="s">
        <v>151</v>
      </c>
      <c r="O993" s="24">
        <v>0</v>
      </c>
      <c r="P993" s="24">
        <v>30</v>
      </c>
      <c r="Q993" s="24">
        <v>541</v>
      </c>
      <c r="R993" s="24">
        <v>0</v>
      </c>
      <c r="S993" s="24">
        <v>0</v>
      </c>
      <c r="T993" s="24">
        <v>571</v>
      </c>
    </row>
    <row r="994" spans="1:20">
      <c r="A994" s="9" t="s">
        <v>731</v>
      </c>
      <c r="B994" s="30" t="s">
        <v>732</v>
      </c>
      <c r="C994" s="30" t="str">
        <f>CONCATENATE(VOL_VOLUMEN_SUMINISTROS[[#This Row],[Proyecto]],VOL_VOLUMEN_SUMINISTROS[[#This Row],[J]],VOL_VOLUMEN_SUMINISTROS[[#This Row],[FIN DE SEMANA]])</f>
        <v>1052-1MNO</v>
      </c>
      <c r="D994" s="360" t="str">
        <f>CONCATENATE(VOL_VOLUMEN_SUMINISTROS[[#This Row],[Grupo]],VOL_VOLUMEN_SUMINISTROS[[#This Row],[Proyecto]],VOL_VOLUMEN_SUMINISTROS[[#This Row],[FIN DE SEMANA]])</f>
        <v>131052-1NO</v>
      </c>
      <c r="E994" s="30" t="s">
        <v>146</v>
      </c>
      <c r="F994" s="30" t="s">
        <v>733</v>
      </c>
      <c r="G994" s="360">
        <v>13</v>
      </c>
      <c r="H994" s="30">
        <v>10</v>
      </c>
      <c r="I994" s="9" t="s">
        <v>330</v>
      </c>
      <c r="J994" s="9" t="s">
        <v>738</v>
      </c>
      <c r="K994" s="30">
        <v>1</v>
      </c>
      <c r="L994" s="9" t="s">
        <v>152</v>
      </c>
      <c r="M994" s="30" t="s">
        <v>84</v>
      </c>
      <c r="N994" s="30" t="s">
        <v>151</v>
      </c>
      <c r="O994" s="24">
        <v>2</v>
      </c>
      <c r="P994" s="24">
        <v>79</v>
      </c>
      <c r="Q994" s="24">
        <v>509</v>
      </c>
      <c r="R994" s="24">
        <v>0</v>
      </c>
      <c r="S994" s="24">
        <v>0</v>
      </c>
      <c r="T994" s="24">
        <v>590</v>
      </c>
    </row>
    <row r="995" spans="1:20">
      <c r="A995" s="9" t="s">
        <v>731</v>
      </c>
      <c r="B995" s="30" t="s">
        <v>732</v>
      </c>
      <c r="C995" s="30" t="str">
        <f>CONCATENATE(VOL_VOLUMEN_SUMINISTROS[[#This Row],[Proyecto]],VOL_VOLUMEN_SUMINISTROS[[#This Row],[J]],VOL_VOLUMEN_SUMINISTROS[[#This Row],[FIN DE SEMANA]])</f>
        <v>1052-1MNO</v>
      </c>
      <c r="D995" s="360" t="str">
        <f>CONCATENATE(VOL_VOLUMEN_SUMINISTROS[[#This Row],[Grupo]],VOL_VOLUMEN_SUMINISTROS[[#This Row],[Proyecto]],VOL_VOLUMEN_SUMINISTROS[[#This Row],[FIN DE SEMANA]])</f>
        <v>131052-1NO</v>
      </c>
      <c r="E995" s="30" t="s">
        <v>146</v>
      </c>
      <c r="F995" s="30" t="s">
        <v>733</v>
      </c>
      <c r="G995" s="360">
        <v>13</v>
      </c>
      <c r="H995" s="30">
        <v>10</v>
      </c>
      <c r="I995" s="9" t="s">
        <v>330</v>
      </c>
      <c r="J995" s="9" t="s">
        <v>739</v>
      </c>
      <c r="K995" s="30">
        <v>1</v>
      </c>
      <c r="L995" s="9" t="s">
        <v>152</v>
      </c>
      <c r="M995" s="30" t="s">
        <v>84</v>
      </c>
      <c r="N995" s="30" t="s">
        <v>151</v>
      </c>
      <c r="O995" s="24">
        <v>0</v>
      </c>
      <c r="P995" s="24">
        <v>21</v>
      </c>
      <c r="Q995" s="24">
        <v>118</v>
      </c>
      <c r="R995" s="24">
        <v>0</v>
      </c>
      <c r="S995" s="24">
        <v>0</v>
      </c>
      <c r="T995" s="24">
        <v>139</v>
      </c>
    </row>
    <row r="996" spans="1:20">
      <c r="A996" s="9" t="s">
        <v>731</v>
      </c>
      <c r="B996" s="30" t="s">
        <v>732</v>
      </c>
      <c r="C996" s="30" t="str">
        <f>CONCATENATE(VOL_VOLUMEN_SUMINISTROS[[#This Row],[Proyecto]],VOL_VOLUMEN_SUMINISTROS[[#This Row],[J]],VOL_VOLUMEN_SUMINISTROS[[#This Row],[FIN DE SEMANA]])</f>
        <v>1052-1MNO</v>
      </c>
      <c r="D996" s="360" t="str">
        <f>CONCATENATE(VOL_VOLUMEN_SUMINISTROS[[#This Row],[Grupo]],VOL_VOLUMEN_SUMINISTROS[[#This Row],[Proyecto]],VOL_VOLUMEN_SUMINISTROS[[#This Row],[FIN DE SEMANA]])</f>
        <v>131052-1NO</v>
      </c>
      <c r="E996" s="30" t="s">
        <v>146</v>
      </c>
      <c r="F996" s="30" t="s">
        <v>733</v>
      </c>
      <c r="G996" s="360">
        <v>13</v>
      </c>
      <c r="H996" s="30">
        <v>10</v>
      </c>
      <c r="I996" s="9" t="s">
        <v>330</v>
      </c>
      <c r="J996" s="9" t="s">
        <v>740</v>
      </c>
      <c r="K996" s="30">
        <v>1</v>
      </c>
      <c r="L996" s="9" t="s">
        <v>152</v>
      </c>
      <c r="M996" s="30" t="s">
        <v>84</v>
      </c>
      <c r="N996" s="30" t="s">
        <v>151</v>
      </c>
      <c r="O996" s="24">
        <v>0</v>
      </c>
      <c r="P996" s="24">
        <v>42</v>
      </c>
      <c r="Q996" s="24">
        <v>148</v>
      </c>
      <c r="R996" s="24">
        <v>0</v>
      </c>
      <c r="S996" s="24">
        <v>0</v>
      </c>
      <c r="T996" s="24">
        <v>190</v>
      </c>
    </row>
    <row r="997" spans="1:20">
      <c r="A997" s="9" t="s">
        <v>731</v>
      </c>
      <c r="B997" s="30" t="s">
        <v>732</v>
      </c>
      <c r="C997" s="30" t="str">
        <f>CONCATENATE(VOL_VOLUMEN_SUMINISTROS[[#This Row],[Proyecto]],VOL_VOLUMEN_SUMINISTROS[[#This Row],[J]],VOL_VOLUMEN_SUMINISTROS[[#This Row],[FIN DE SEMANA]])</f>
        <v>1052-1MNO</v>
      </c>
      <c r="D997" s="360" t="str">
        <f>CONCATENATE(VOL_VOLUMEN_SUMINISTROS[[#This Row],[Grupo]],VOL_VOLUMEN_SUMINISTROS[[#This Row],[Proyecto]],VOL_VOLUMEN_SUMINISTROS[[#This Row],[FIN DE SEMANA]])</f>
        <v>131052-1NO</v>
      </c>
      <c r="E997" s="30" t="s">
        <v>146</v>
      </c>
      <c r="F997" s="30" t="s">
        <v>733</v>
      </c>
      <c r="G997" s="360">
        <v>13</v>
      </c>
      <c r="H997" s="30">
        <v>10</v>
      </c>
      <c r="I997" s="9" t="s">
        <v>330</v>
      </c>
      <c r="J997" s="9" t="s">
        <v>741</v>
      </c>
      <c r="K997" s="30">
        <v>1</v>
      </c>
      <c r="L997" s="9" t="s">
        <v>152</v>
      </c>
      <c r="M997" s="30" t="s">
        <v>84</v>
      </c>
      <c r="N997" s="30" t="s">
        <v>151</v>
      </c>
      <c r="O997" s="24">
        <v>0</v>
      </c>
      <c r="P997" s="24">
        <v>12</v>
      </c>
      <c r="Q997" s="24">
        <v>116</v>
      </c>
      <c r="R997" s="24">
        <v>0</v>
      </c>
      <c r="S997" s="24">
        <v>0</v>
      </c>
      <c r="T997" s="24">
        <v>128</v>
      </c>
    </row>
    <row r="998" spans="1:20">
      <c r="A998" s="9" t="s">
        <v>731</v>
      </c>
      <c r="B998" s="30" t="s">
        <v>742</v>
      </c>
      <c r="C998" s="30" t="str">
        <f>CONCATENATE(VOL_VOLUMEN_SUMINISTROS[[#This Row],[Proyecto]],VOL_VOLUMEN_SUMINISTROS[[#This Row],[J]],VOL_VOLUMEN_SUMINISTROS[[#This Row],[FIN DE SEMANA]])</f>
        <v>1052-1MNO</v>
      </c>
      <c r="D998" s="360" t="str">
        <f>CONCATENATE(VOL_VOLUMEN_SUMINISTROS[[#This Row],[Grupo]],VOL_VOLUMEN_SUMINISTROS[[#This Row],[Proyecto]],VOL_VOLUMEN_SUMINISTROS[[#This Row],[FIN DE SEMANA]])</f>
        <v>261052-1NO</v>
      </c>
      <c r="E998" s="30" t="s">
        <v>146</v>
      </c>
      <c r="F998" s="30" t="s">
        <v>733</v>
      </c>
      <c r="G998" s="360">
        <v>26</v>
      </c>
      <c r="H998" s="30">
        <v>18</v>
      </c>
      <c r="I998" s="9" t="s">
        <v>307</v>
      </c>
      <c r="J998" s="9" t="s">
        <v>743</v>
      </c>
      <c r="K998" s="30">
        <v>1</v>
      </c>
      <c r="L998" s="9" t="s">
        <v>152</v>
      </c>
      <c r="M998" s="30" t="s">
        <v>84</v>
      </c>
      <c r="N998" s="30" t="s">
        <v>151</v>
      </c>
      <c r="O998" s="24">
        <v>0</v>
      </c>
      <c r="P998" s="24">
        <v>21</v>
      </c>
      <c r="Q998" s="24">
        <v>7</v>
      </c>
      <c r="R998" s="24">
        <v>0</v>
      </c>
      <c r="S998" s="24">
        <v>0</v>
      </c>
      <c r="T998" s="24">
        <v>28</v>
      </c>
    </row>
    <row r="999" spans="1:20">
      <c r="A999" s="9" t="s">
        <v>731</v>
      </c>
      <c r="B999" s="30" t="s">
        <v>742</v>
      </c>
      <c r="C999" s="30" t="str">
        <f>CONCATENATE(VOL_VOLUMEN_SUMINISTROS[[#This Row],[Proyecto]],VOL_VOLUMEN_SUMINISTROS[[#This Row],[J]],VOL_VOLUMEN_SUMINISTROS[[#This Row],[FIN DE SEMANA]])</f>
        <v>1052-1MNO</v>
      </c>
      <c r="D999" s="360" t="str">
        <f>CONCATENATE(VOL_VOLUMEN_SUMINISTROS[[#This Row],[Grupo]],VOL_VOLUMEN_SUMINISTROS[[#This Row],[Proyecto]],VOL_VOLUMEN_SUMINISTROS[[#This Row],[FIN DE SEMANA]])</f>
        <v>261052-1NO</v>
      </c>
      <c r="E999" s="30" t="s">
        <v>146</v>
      </c>
      <c r="F999" s="30" t="s">
        <v>733</v>
      </c>
      <c r="G999" s="360">
        <v>26</v>
      </c>
      <c r="H999" s="30">
        <v>18</v>
      </c>
      <c r="I999" s="9" t="s">
        <v>307</v>
      </c>
      <c r="J999" s="9" t="s">
        <v>744</v>
      </c>
      <c r="K999" s="30">
        <v>1</v>
      </c>
      <c r="L999" s="9" t="s">
        <v>152</v>
      </c>
      <c r="M999" s="30" t="s">
        <v>84</v>
      </c>
      <c r="N999" s="30" t="s">
        <v>151</v>
      </c>
      <c r="O999" s="24">
        <v>6</v>
      </c>
      <c r="P999" s="24">
        <v>18</v>
      </c>
      <c r="Q999" s="24">
        <v>168</v>
      </c>
      <c r="R999" s="24">
        <v>0</v>
      </c>
      <c r="S999" s="24">
        <v>0</v>
      </c>
      <c r="T999" s="24">
        <v>192</v>
      </c>
    </row>
    <row r="1000" spans="1:20">
      <c r="A1000" s="9" t="s">
        <v>731</v>
      </c>
      <c r="B1000" s="30" t="s">
        <v>742</v>
      </c>
      <c r="C1000" s="30" t="str">
        <f>CONCATENATE(VOL_VOLUMEN_SUMINISTROS[[#This Row],[Proyecto]],VOL_VOLUMEN_SUMINISTROS[[#This Row],[J]],VOL_VOLUMEN_SUMINISTROS[[#This Row],[FIN DE SEMANA]])</f>
        <v>1052-1MNO</v>
      </c>
      <c r="D1000" s="360" t="str">
        <f>CONCATENATE(VOL_VOLUMEN_SUMINISTROS[[#This Row],[Grupo]],VOL_VOLUMEN_SUMINISTROS[[#This Row],[Proyecto]],VOL_VOLUMEN_SUMINISTROS[[#This Row],[FIN DE SEMANA]])</f>
        <v>261052-1NO</v>
      </c>
      <c r="E1000" s="30" t="s">
        <v>146</v>
      </c>
      <c r="F1000" s="30" t="s">
        <v>733</v>
      </c>
      <c r="G1000" s="360">
        <v>26</v>
      </c>
      <c r="H1000" s="30">
        <v>18</v>
      </c>
      <c r="I1000" s="9" t="s">
        <v>307</v>
      </c>
      <c r="J1000" s="9" t="s">
        <v>745</v>
      </c>
      <c r="K1000" s="30">
        <v>1</v>
      </c>
      <c r="L1000" s="9" t="s">
        <v>152</v>
      </c>
      <c r="M1000" s="30" t="s">
        <v>84</v>
      </c>
      <c r="N1000" s="30" t="s">
        <v>151</v>
      </c>
      <c r="O1000" s="24">
        <v>0</v>
      </c>
      <c r="P1000" s="24">
        <v>3</v>
      </c>
      <c r="Q1000" s="24">
        <v>3</v>
      </c>
      <c r="R1000" s="24">
        <v>0</v>
      </c>
      <c r="S1000" s="24">
        <v>0</v>
      </c>
      <c r="T1000" s="24">
        <v>6</v>
      </c>
    </row>
    <row r="1001" spans="1:20">
      <c r="A1001" s="9" t="s">
        <v>731</v>
      </c>
      <c r="B1001" s="30" t="s">
        <v>742</v>
      </c>
      <c r="C1001" s="30" t="str">
        <f>CONCATENATE(VOL_VOLUMEN_SUMINISTROS[[#This Row],[Proyecto]],VOL_VOLUMEN_SUMINISTROS[[#This Row],[J]],VOL_VOLUMEN_SUMINISTROS[[#This Row],[FIN DE SEMANA]])</f>
        <v>1052-1MNO</v>
      </c>
      <c r="D1001" s="360" t="str">
        <f>CONCATENATE(VOL_VOLUMEN_SUMINISTROS[[#This Row],[Grupo]],VOL_VOLUMEN_SUMINISTROS[[#This Row],[Proyecto]],VOL_VOLUMEN_SUMINISTROS[[#This Row],[FIN DE SEMANA]])</f>
        <v>261052-1NO</v>
      </c>
      <c r="E1001" s="30" t="s">
        <v>146</v>
      </c>
      <c r="F1001" s="30" t="s">
        <v>733</v>
      </c>
      <c r="G1001" s="360">
        <v>26</v>
      </c>
      <c r="H1001" s="30">
        <v>18</v>
      </c>
      <c r="I1001" s="9" t="s">
        <v>307</v>
      </c>
      <c r="J1001" s="9" t="s">
        <v>746</v>
      </c>
      <c r="K1001" s="30">
        <v>1</v>
      </c>
      <c r="L1001" s="9" t="s">
        <v>152</v>
      </c>
      <c r="M1001" s="30" t="s">
        <v>84</v>
      </c>
      <c r="N1001" s="30" t="s">
        <v>151</v>
      </c>
      <c r="O1001" s="24">
        <v>16</v>
      </c>
      <c r="P1001" s="24">
        <v>56</v>
      </c>
      <c r="Q1001" s="24">
        <v>140</v>
      </c>
      <c r="R1001" s="24">
        <v>0</v>
      </c>
      <c r="S1001" s="24">
        <v>0</v>
      </c>
      <c r="T1001" s="24">
        <v>212</v>
      </c>
    </row>
    <row r="1002" spans="1:20">
      <c r="A1002" s="9" t="s">
        <v>731</v>
      </c>
      <c r="B1002" s="30" t="s">
        <v>742</v>
      </c>
      <c r="C1002" s="30" t="str">
        <f>CONCATENATE(VOL_VOLUMEN_SUMINISTROS[[#This Row],[Proyecto]],VOL_VOLUMEN_SUMINISTROS[[#This Row],[J]],VOL_VOLUMEN_SUMINISTROS[[#This Row],[FIN DE SEMANA]])</f>
        <v>1052-1MNO</v>
      </c>
      <c r="D1002" s="360" t="str">
        <f>CONCATENATE(VOL_VOLUMEN_SUMINISTROS[[#This Row],[Grupo]],VOL_VOLUMEN_SUMINISTROS[[#This Row],[Proyecto]],VOL_VOLUMEN_SUMINISTROS[[#This Row],[FIN DE SEMANA]])</f>
        <v>261052-1NO</v>
      </c>
      <c r="E1002" s="30" t="s">
        <v>146</v>
      </c>
      <c r="F1002" s="30" t="s">
        <v>733</v>
      </c>
      <c r="G1002" s="360">
        <v>26</v>
      </c>
      <c r="H1002" s="30">
        <v>18</v>
      </c>
      <c r="I1002" s="9" t="s">
        <v>307</v>
      </c>
      <c r="J1002" s="9" t="s">
        <v>747</v>
      </c>
      <c r="K1002" s="30">
        <v>1</v>
      </c>
      <c r="L1002" s="9" t="s">
        <v>152</v>
      </c>
      <c r="M1002" s="30" t="s">
        <v>84</v>
      </c>
      <c r="N1002" s="30" t="s">
        <v>151</v>
      </c>
      <c r="O1002" s="24">
        <v>4</v>
      </c>
      <c r="P1002" s="24">
        <v>14</v>
      </c>
      <c r="Q1002" s="24">
        <v>110</v>
      </c>
      <c r="R1002" s="24">
        <v>0</v>
      </c>
      <c r="S1002" s="24">
        <v>0</v>
      </c>
      <c r="T1002" s="24">
        <v>128</v>
      </c>
    </row>
    <row r="1003" spans="1:20">
      <c r="A1003" s="9" t="s">
        <v>731</v>
      </c>
      <c r="B1003" s="30" t="s">
        <v>748</v>
      </c>
      <c r="C1003" s="30" t="str">
        <f>CONCATENATE(VOL_VOLUMEN_SUMINISTROS[[#This Row],[Proyecto]],VOL_VOLUMEN_SUMINISTROS[[#This Row],[J]],VOL_VOLUMEN_SUMINISTROS[[#This Row],[FIN DE SEMANA]])</f>
        <v>1052-1MNO</v>
      </c>
      <c r="D1003" s="360" t="str">
        <f>CONCATENATE(VOL_VOLUMEN_SUMINISTROS[[#This Row],[Grupo]],VOL_VOLUMEN_SUMINISTROS[[#This Row],[Proyecto]],VOL_VOLUMEN_SUMINISTROS[[#This Row],[FIN DE SEMANA]])</f>
        <v>61052-1NO</v>
      </c>
      <c r="E1003" s="30" t="s">
        <v>146</v>
      </c>
      <c r="F1003" s="30" t="s">
        <v>733</v>
      </c>
      <c r="G1003" s="360">
        <v>6</v>
      </c>
      <c r="H1003" s="30">
        <v>19</v>
      </c>
      <c r="I1003" s="9" t="s">
        <v>249</v>
      </c>
      <c r="J1003" s="9" t="s">
        <v>749</v>
      </c>
      <c r="K1003" s="30">
        <v>1</v>
      </c>
      <c r="L1003" s="9" t="s">
        <v>152</v>
      </c>
      <c r="M1003" s="30" t="s">
        <v>84</v>
      </c>
      <c r="N1003" s="30" t="s">
        <v>151</v>
      </c>
      <c r="O1003" s="24">
        <v>2</v>
      </c>
      <c r="P1003" s="24">
        <v>16</v>
      </c>
      <c r="Q1003" s="24">
        <v>50</v>
      </c>
      <c r="R1003" s="24">
        <v>0</v>
      </c>
      <c r="S1003" s="24">
        <v>0</v>
      </c>
      <c r="T1003" s="24">
        <v>68</v>
      </c>
    </row>
    <row r="1004" spans="1:20">
      <c r="A1004" s="9" t="s">
        <v>731</v>
      </c>
      <c r="B1004" s="30" t="s">
        <v>748</v>
      </c>
      <c r="C1004" s="30" t="str">
        <f>CONCATENATE(VOL_VOLUMEN_SUMINISTROS[[#This Row],[Proyecto]],VOL_VOLUMEN_SUMINISTROS[[#This Row],[J]],VOL_VOLUMEN_SUMINISTROS[[#This Row],[FIN DE SEMANA]])</f>
        <v>1052-1MNO</v>
      </c>
      <c r="D1004" s="360" t="str">
        <f>CONCATENATE(VOL_VOLUMEN_SUMINISTROS[[#This Row],[Grupo]],VOL_VOLUMEN_SUMINISTROS[[#This Row],[Proyecto]],VOL_VOLUMEN_SUMINISTROS[[#This Row],[FIN DE SEMANA]])</f>
        <v>61052-1NO</v>
      </c>
      <c r="E1004" s="30" t="s">
        <v>146</v>
      </c>
      <c r="F1004" s="30" t="s">
        <v>733</v>
      </c>
      <c r="G1004" s="360">
        <v>6</v>
      </c>
      <c r="H1004" s="30">
        <v>19</v>
      </c>
      <c r="I1004" s="9" t="s">
        <v>249</v>
      </c>
      <c r="J1004" s="9" t="s">
        <v>750</v>
      </c>
      <c r="K1004" s="30">
        <v>1</v>
      </c>
      <c r="L1004" s="9" t="s">
        <v>152</v>
      </c>
      <c r="M1004" s="30" t="s">
        <v>84</v>
      </c>
      <c r="N1004" s="30" t="s">
        <v>151</v>
      </c>
      <c r="O1004" s="24">
        <v>0</v>
      </c>
      <c r="P1004" s="24">
        <v>9</v>
      </c>
      <c r="Q1004" s="24">
        <v>58</v>
      </c>
      <c r="R1004" s="24">
        <v>0</v>
      </c>
      <c r="S1004" s="24">
        <v>0</v>
      </c>
      <c r="T1004" s="24">
        <v>67</v>
      </c>
    </row>
    <row r="1005" spans="1:20">
      <c r="A1005" s="9" t="s">
        <v>731</v>
      </c>
      <c r="B1005" s="30" t="s">
        <v>748</v>
      </c>
      <c r="C1005" s="30" t="str">
        <f>CONCATENATE(VOL_VOLUMEN_SUMINISTROS[[#This Row],[Proyecto]],VOL_VOLUMEN_SUMINISTROS[[#This Row],[J]],VOL_VOLUMEN_SUMINISTROS[[#This Row],[FIN DE SEMANA]])</f>
        <v>1052-1MNO</v>
      </c>
      <c r="D1005" s="360" t="str">
        <f>CONCATENATE(VOL_VOLUMEN_SUMINISTROS[[#This Row],[Grupo]],VOL_VOLUMEN_SUMINISTROS[[#This Row],[Proyecto]],VOL_VOLUMEN_SUMINISTROS[[#This Row],[FIN DE SEMANA]])</f>
        <v>61052-1NO</v>
      </c>
      <c r="E1005" s="30" t="s">
        <v>146</v>
      </c>
      <c r="F1005" s="30" t="s">
        <v>733</v>
      </c>
      <c r="G1005" s="360">
        <v>6</v>
      </c>
      <c r="H1005" s="30">
        <v>19</v>
      </c>
      <c r="I1005" s="9" t="s">
        <v>249</v>
      </c>
      <c r="J1005" s="9" t="s">
        <v>751</v>
      </c>
      <c r="K1005" s="30">
        <v>1</v>
      </c>
      <c r="L1005" s="9" t="s">
        <v>152</v>
      </c>
      <c r="M1005" s="30" t="s">
        <v>84</v>
      </c>
      <c r="N1005" s="30" t="s">
        <v>151</v>
      </c>
      <c r="O1005" s="24">
        <v>0</v>
      </c>
      <c r="P1005" s="24">
        <v>18</v>
      </c>
      <c r="Q1005" s="24">
        <v>42</v>
      </c>
      <c r="R1005" s="24">
        <v>0</v>
      </c>
      <c r="S1005" s="24">
        <v>0</v>
      </c>
      <c r="T1005" s="24">
        <v>60</v>
      </c>
    </row>
    <row r="1006" spans="1:20">
      <c r="A1006" s="9" t="s">
        <v>731</v>
      </c>
      <c r="B1006" s="30" t="s">
        <v>748</v>
      </c>
      <c r="C1006" s="30" t="str">
        <f>CONCATENATE(VOL_VOLUMEN_SUMINISTROS[[#This Row],[Proyecto]],VOL_VOLUMEN_SUMINISTROS[[#This Row],[J]],VOL_VOLUMEN_SUMINISTROS[[#This Row],[FIN DE SEMANA]])</f>
        <v>1052-1MNO</v>
      </c>
      <c r="D1006" s="360" t="str">
        <f>CONCATENATE(VOL_VOLUMEN_SUMINISTROS[[#This Row],[Grupo]],VOL_VOLUMEN_SUMINISTROS[[#This Row],[Proyecto]],VOL_VOLUMEN_SUMINISTROS[[#This Row],[FIN DE SEMANA]])</f>
        <v>61052-1NO</v>
      </c>
      <c r="E1006" s="30" t="s">
        <v>146</v>
      </c>
      <c r="F1006" s="30" t="s">
        <v>733</v>
      </c>
      <c r="G1006" s="360">
        <v>6</v>
      </c>
      <c r="H1006" s="30">
        <v>19</v>
      </c>
      <c r="I1006" s="9" t="s">
        <v>249</v>
      </c>
      <c r="J1006" s="9" t="s">
        <v>752</v>
      </c>
      <c r="K1006" s="30">
        <v>1</v>
      </c>
      <c r="L1006" s="9" t="s">
        <v>152</v>
      </c>
      <c r="M1006" s="30" t="s">
        <v>84</v>
      </c>
      <c r="N1006" s="30" t="s">
        <v>151</v>
      </c>
      <c r="O1006" s="24">
        <v>8</v>
      </c>
      <c r="P1006" s="24">
        <v>202</v>
      </c>
      <c r="Q1006" s="24">
        <v>410</v>
      </c>
      <c r="R1006" s="24">
        <v>0</v>
      </c>
      <c r="S1006" s="24">
        <v>0</v>
      </c>
      <c r="T1006" s="24">
        <v>620</v>
      </c>
    </row>
    <row r="1007" spans="1:20">
      <c r="A1007" s="9" t="s">
        <v>731</v>
      </c>
      <c r="B1007" s="30" t="s">
        <v>748</v>
      </c>
      <c r="C1007" s="30" t="str">
        <f>CONCATENATE(VOL_VOLUMEN_SUMINISTROS[[#This Row],[Proyecto]],VOL_VOLUMEN_SUMINISTROS[[#This Row],[J]],VOL_VOLUMEN_SUMINISTROS[[#This Row],[FIN DE SEMANA]])</f>
        <v>1052-1MNO</v>
      </c>
      <c r="D1007" s="360" t="str">
        <f>CONCATENATE(VOL_VOLUMEN_SUMINISTROS[[#This Row],[Grupo]],VOL_VOLUMEN_SUMINISTROS[[#This Row],[Proyecto]],VOL_VOLUMEN_SUMINISTROS[[#This Row],[FIN DE SEMANA]])</f>
        <v>61052-1NO</v>
      </c>
      <c r="E1007" s="30" t="s">
        <v>146</v>
      </c>
      <c r="F1007" s="30" t="s">
        <v>733</v>
      </c>
      <c r="G1007" s="360">
        <v>6</v>
      </c>
      <c r="H1007" s="30">
        <v>19</v>
      </c>
      <c r="I1007" s="9" t="s">
        <v>249</v>
      </c>
      <c r="J1007" s="9" t="s">
        <v>753</v>
      </c>
      <c r="K1007" s="30">
        <v>1</v>
      </c>
      <c r="L1007" s="9" t="s">
        <v>152</v>
      </c>
      <c r="M1007" s="30" t="s">
        <v>84</v>
      </c>
      <c r="N1007" s="30" t="s">
        <v>151</v>
      </c>
      <c r="O1007" s="24">
        <v>0</v>
      </c>
      <c r="P1007" s="24">
        <v>39</v>
      </c>
      <c r="Q1007" s="24">
        <v>91</v>
      </c>
      <c r="R1007" s="24">
        <v>0</v>
      </c>
      <c r="S1007" s="24">
        <v>0</v>
      </c>
      <c r="T1007" s="24">
        <v>130</v>
      </c>
    </row>
    <row r="1008" spans="1:20">
      <c r="A1008" s="9" t="s">
        <v>731</v>
      </c>
      <c r="B1008" s="30" t="s">
        <v>748</v>
      </c>
      <c r="C1008" s="30" t="str">
        <f>CONCATENATE(VOL_VOLUMEN_SUMINISTROS[[#This Row],[Proyecto]],VOL_VOLUMEN_SUMINISTROS[[#This Row],[J]],VOL_VOLUMEN_SUMINISTROS[[#This Row],[FIN DE SEMANA]])</f>
        <v>1052-1MNO</v>
      </c>
      <c r="D1008" s="360" t="str">
        <f>CONCATENATE(VOL_VOLUMEN_SUMINISTROS[[#This Row],[Grupo]],VOL_VOLUMEN_SUMINISTROS[[#This Row],[Proyecto]],VOL_VOLUMEN_SUMINISTROS[[#This Row],[FIN DE SEMANA]])</f>
        <v>61052-1NO</v>
      </c>
      <c r="E1008" s="30" t="s">
        <v>146</v>
      </c>
      <c r="F1008" s="30" t="s">
        <v>733</v>
      </c>
      <c r="G1008" s="360">
        <v>6</v>
      </c>
      <c r="H1008" s="30">
        <v>19</v>
      </c>
      <c r="I1008" s="9" t="s">
        <v>249</v>
      </c>
      <c r="J1008" s="9" t="s">
        <v>754</v>
      </c>
      <c r="K1008" s="30">
        <v>1</v>
      </c>
      <c r="L1008" s="9" t="s">
        <v>152</v>
      </c>
      <c r="M1008" s="30" t="s">
        <v>84</v>
      </c>
      <c r="N1008" s="30" t="s">
        <v>151</v>
      </c>
      <c r="O1008" s="24">
        <v>0</v>
      </c>
      <c r="P1008" s="24">
        <v>66</v>
      </c>
      <c r="Q1008" s="24">
        <v>133</v>
      </c>
      <c r="R1008" s="24">
        <v>0</v>
      </c>
      <c r="S1008" s="24">
        <v>0</v>
      </c>
      <c r="T1008" s="24">
        <v>199</v>
      </c>
    </row>
    <row r="1009" spans="1:20">
      <c r="A1009" s="9" t="s">
        <v>731</v>
      </c>
      <c r="B1009" s="30" t="s">
        <v>748</v>
      </c>
      <c r="C1009" s="30" t="str">
        <f>CONCATENATE(VOL_VOLUMEN_SUMINISTROS[[#This Row],[Proyecto]],VOL_VOLUMEN_SUMINISTROS[[#This Row],[J]],VOL_VOLUMEN_SUMINISTROS[[#This Row],[FIN DE SEMANA]])</f>
        <v>1052-1MNO</v>
      </c>
      <c r="D1009" s="360" t="str">
        <f>CONCATENATE(VOL_VOLUMEN_SUMINISTROS[[#This Row],[Grupo]],VOL_VOLUMEN_SUMINISTROS[[#This Row],[Proyecto]],VOL_VOLUMEN_SUMINISTROS[[#This Row],[FIN DE SEMANA]])</f>
        <v>61052-1NO</v>
      </c>
      <c r="E1009" s="30" t="s">
        <v>146</v>
      </c>
      <c r="F1009" s="30" t="s">
        <v>733</v>
      </c>
      <c r="G1009" s="360">
        <v>6</v>
      </c>
      <c r="H1009" s="30">
        <v>19</v>
      </c>
      <c r="I1009" s="9" t="s">
        <v>249</v>
      </c>
      <c r="J1009" s="9" t="s">
        <v>755</v>
      </c>
      <c r="K1009" s="30">
        <v>1</v>
      </c>
      <c r="L1009" s="9" t="s">
        <v>152</v>
      </c>
      <c r="M1009" s="30" t="s">
        <v>84</v>
      </c>
      <c r="N1009" s="30" t="s">
        <v>151</v>
      </c>
      <c r="O1009" s="24">
        <v>2</v>
      </c>
      <c r="P1009" s="24">
        <v>109</v>
      </c>
      <c r="Q1009" s="24">
        <v>261</v>
      </c>
      <c r="R1009" s="24">
        <v>0</v>
      </c>
      <c r="S1009" s="24">
        <v>0</v>
      </c>
      <c r="T1009" s="24">
        <v>372</v>
      </c>
    </row>
    <row r="1010" spans="1:20">
      <c r="A1010" s="9" t="s">
        <v>731</v>
      </c>
      <c r="B1010" s="30" t="s">
        <v>748</v>
      </c>
      <c r="C1010" s="30" t="str">
        <f>CONCATENATE(VOL_VOLUMEN_SUMINISTROS[[#This Row],[Proyecto]],VOL_VOLUMEN_SUMINISTROS[[#This Row],[J]],VOL_VOLUMEN_SUMINISTROS[[#This Row],[FIN DE SEMANA]])</f>
        <v>1052-1MNO</v>
      </c>
      <c r="D1010" s="360" t="str">
        <f>CONCATENATE(VOL_VOLUMEN_SUMINISTROS[[#This Row],[Grupo]],VOL_VOLUMEN_SUMINISTROS[[#This Row],[Proyecto]],VOL_VOLUMEN_SUMINISTROS[[#This Row],[FIN DE SEMANA]])</f>
        <v>61052-1NO</v>
      </c>
      <c r="E1010" s="30" t="s">
        <v>146</v>
      </c>
      <c r="F1010" s="30" t="s">
        <v>733</v>
      </c>
      <c r="G1010" s="360">
        <v>6</v>
      </c>
      <c r="H1010" s="30">
        <v>19</v>
      </c>
      <c r="I1010" s="9" t="s">
        <v>249</v>
      </c>
      <c r="J1010" s="9" t="s">
        <v>756</v>
      </c>
      <c r="K1010" s="30">
        <v>1</v>
      </c>
      <c r="L1010" s="9" t="s">
        <v>152</v>
      </c>
      <c r="M1010" s="30" t="s">
        <v>84</v>
      </c>
      <c r="N1010" s="30" t="s">
        <v>151</v>
      </c>
      <c r="O1010" s="24">
        <v>2</v>
      </c>
      <c r="P1010" s="24">
        <v>145</v>
      </c>
      <c r="Q1010" s="24">
        <v>453</v>
      </c>
      <c r="R1010" s="24">
        <v>0</v>
      </c>
      <c r="S1010" s="24">
        <v>0</v>
      </c>
      <c r="T1010" s="24">
        <v>600</v>
      </c>
    </row>
    <row r="1011" spans="1:20">
      <c r="A1011" s="9" t="s">
        <v>731</v>
      </c>
      <c r="B1011" s="30" t="s">
        <v>748</v>
      </c>
      <c r="C1011" s="30" t="str">
        <f>CONCATENATE(VOL_VOLUMEN_SUMINISTROS[[#This Row],[Proyecto]],VOL_VOLUMEN_SUMINISTROS[[#This Row],[J]],VOL_VOLUMEN_SUMINISTROS[[#This Row],[FIN DE SEMANA]])</f>
        <v>1052-1MNO</v>
      </c>
      <c r="D1011" s="360" t="str">
        <f>CONCATENATE(VOL_VOLUMEN_SUMINISTROS[[#This Row],[Grupo]],VOL_VOLUMEN_SUMINISTROS[[#This Row],[Proyecto]],VOL_VOLUMEN_SUMINISTROS[[#This Row],[FIN DE SEMANA]])</f>
        <v>61052-1NO</v>
      </c>
      <c r="E1011" s="30" t="s">
        <v>146</v>
      </c>
      <c r="F1011" s="30" t="s">
        <v>733</v>
      </c>
      <c r="G1011" s="360">
        <v>6</v>
      </c>
      <c r="H1011" s="30">
        <v>19</v>
      </c>
      <c r="I1011" s="9" t="s">
        <v>249</v>
      </c>
      <c r="J1011" s="9" t="s">
        <v>757</v>
      </c>
      <c r="K1011" s="30">
        <v>1</v>
      </c>
      <c r="L1011" s="9" t="s">
        <v>152</v>
      </c>
      <c r="M1011" s="30" t="s">
        <v>84</v>
      </c>
      <c r="N1011" s="30" t="s">
        <v>151</v>
      </c>
      <c r="O1011" s="24">
        <v>4</v>
      </c>
      <c r="P1011" s="24">
        <v>89</v>
      </c>
      <c r="Q1011" s="24">
        <v>234</v>
      </c>
      <c r="R1011" s="24">
        <v>0</v>
      </c>
      <c r="S1011" s="24">
        <v>0</v>
      </c>
      <c r="T1011" s="24">
        <v>327</v>
      </c>
    </row>
    <row r="1012" spans="1:20">
      <c r="A1012" s="9" t="s">
        <v>731</v>
      </c>
      <c r="B1012" s="30" t="s">
        <v>748</v>
      </c>
      <c r="C1012" s="30" t="str">
        <f>CONCATENATE(VOL_VOLUMEN_SUMINISTROS[[#This Row],[Proyecto]],VOL_VOLUMEN_SUMINISTROS[[#This Row],[J]],VOL_VOLUMEN_SUMINISTROS[[#This Row],[FIN DE SEMANA]])</f>
        <v>1052-1MNO</v>
      </c>
      <c r="D1012" s="360" t="str">
        <f>CONCATENATE(VOL_VOLUMEN_SUMINISTROS[[#This Row],[Grupo]],VOL_VOLUMEN_SUMINISTROS[[#This Row],[Proyecto]],VOL_VOLUMEN_SUMINISTROS[[#This Row],[FIN DE SEMANA]])</f>
        <v>61052-1NO</v>
      </c>
      <c r="E1012" s="30" t="s">
        <v>146</v>
      </c>
      <c r="F1012" s="30" t="s">
        <v>733</v>
      </c>
      <c r="G1012" s="360">
        <v>6</v>
      </c>
      <c r="H1012" s="30">
        <v>19</v>
      </c>
      <c r="I1012" s="9" t="s">
        <v>249</v>
      </c>
      <c r="J1012" s="9" t="s">
        <v>758</v>
      </c>
      <c r="K1012" s="30">
        <v>1</v>
      </c>
      <c r="L1012" s="9" t="s">
        <v>152</v>
      </c>
      <c r="M1012" s="30" t="s">
        <v>84</v>
      </c>
      <c r="N1012" s="30" t="s">
        <v>151</v>
      </c>
      <c r="O1012" s="24">
        <v>2</v>
      </c>
      <c r="P1012" s="24">
        <v>124</v>
      </c>
      <c r="Q1012" s="24">
        <v>326</v>
      </c>
      <c r="R1012" s="24">
        <v>0</v>
      </c>
      <c r="S1012" s="24">
        <v>0</v>
      </c>
      <c r="T1012" s="24">
        <v>452</v>
      </c>
    </row>
    <row r="1013" spans="1:20">
      <c r="A1013" s="9" t="s">
        <v>731</v>
      </c>
      <c r="B1013" s="30" t="s">
        <v>748</v>
      </c>
      <c r="C1013" s="30" t="str">
        <f>CONCATENATE(VOL_VOLUMEN_SUMINISTROS[[#This Row],[Proyecto]],VOL_VOLUMEN_SUMINISTROS[[#This Row],[J]],VOL_VOLUMEN_SUMINISTROS[[#This Row],[FIN DE SEMANA]])</f>
        <v>1052-1MNO</v>
      </c>
      <c r="D1013" s="360" t="str">
        <f>CONCATENATE(VOL_VOLUMEN_SUMINISTROS[[#This Row],[Grupo]],VOL_VOLUMEN_SUMINISTROS[[#This Row],[Proyecto]],VOL_VOLUMEN_SUMINISTROS[[#This Row],[FIN DE SEMANA]])</f>
        <v>61052-1NO</v>
      </c>
      <c r="E1013" s="30" t="s">
        <v>146</v>
      </c>
      <c r="F1013" s="30" t="s">
        <v>733</v>
      </c>
      <c r="G1013" s="360">
        <v>6</v>
      </c>
      <c r="H1013" s="30">
        <v>19</v>
      </c>
      <c r="I1013" s="9" t="s">
        <v>249</v>
      </c>
      <c r="J1013" s="9" t="s">
        <v>759</v>
      </c>
      <c r="K1013" s="30">
        <v>1</v>
      </c>
      <c r="L1013" s="9" t="s">
        <v>152</v>
      </c>
      <c r="M1013" s="30" t="s">
        <v>84</v>
      </c>
      <c r="N1013" s="30" t="s">
        <v>151</v>
      </c>
      <c r="O1013" s="24">
        <v>2</v>
      </c>
      <c r="P1013" s="24">
        <v>46</v>
      </c>
      <c r="Q1013" s="24">
        <v>90</v>
      </c>
      <c r="R1013" s="24">
        <v>0</v>
      </c>
      <c r="S1013" s="24">
        <v>0</v>
      </c>
      <c r="T1013" s="24">
        <v>138</v>
      </c>
    </row>
    <row r="1014" spans="1:20">
      <c r="A1014" s="9" t="s">
        <v>731</v>
      </c>
      <c r="B1014" s="30" t="s">
        <v>748</v>
      </c>
      <c r="C1014" s="30" t="str">
        <f>CONCATENATE(VOL_VOLUMEN_SUMINISTROS[[#This Row],[Proyecto]],VOL_VOLUMEN_SUMINISTROS[[#This Row],[J]],VOL_VOLUMEN_SUMINISTROS[[#This Row],[FIN DE SEMANA]])</f>
        <v>1052-1MNO</v>
      </c>
      <c r="D1014" s="360" t="str">
        <f>CONCATENATE(VOL_VOLUMEN_SUMINISTROS[[#This Row],[Grupo]],VOL_VOLUMEN_SUMINISTROS[[#This Row],[Proyecto]],VOL_VOLUMEN_SUMINISTROS[[#This Row],[FIN DE SEMANA]])</f>
        <v>61052-1NO</v>
      </c>
      <c r="E1014" s="30" t="s">
        <v>146</v>
      </c>
      <c r="F1014" s="30" t="s">
        <v>733</v>
      </c>
      <c r="G1014" s="360">
        <v>6</v>
      </c>
      <c r="H1014" s="30">
        <v>19</v>
      </c>
      <c r="I1014" s="9" t="s">
        <v>249</v>
      </c>
      <c r="J1014" s="9" t="s">
        <v>760</v>
      </c>
      <c r="K1014" s="30">
        <v>1</v>
      </c>
      <c r="L1014" s="9" t="s">
        <v>152</v>
      </c>
      <c r="M1014" s="30" t="s">
        <v>84</v>
      </c>
      <c r="N1014" s="30" t="s">
        <v>151</v>
      </c>
      <c r="O1014" s="24">
        <v>0</v>
      </c>
      <c r="P1014" s="24">
        <v>183</v>
      </c>
      <c r="Q1014" s="24">
        <v>353</v>
      </c>
      <c r="R1014" s="24">
        <v>0</v>
      </c>
      <c r="S1014" s="24">
        <v>0</v>
      </c>
      <c r="T1014" s="24">
        <v>536</v>
      </c>
    </row>
    <row r="1015" spans="1:20">
      <c r="A1015" s="9" t="s">
        <v>731</v>
      </c>
      <c r="B1015" s="30" t="s">
        <v>761</v>
      </c>
      <c r="C1015" s="30" t="str">
        <f>CONCATENATE(VOL_VOLUMEN_SUMINISTROS[[#This Row],[Proyecto]],VOL_VOLUMEN_SUMINISTROS[[#This Row],[J]],VOL_VOLUMEN_SUMINISTROS[[#This Row],[FIN DE SEMANA]])</f>
        <v>1052-1MNO</v>
      </c>
      <c r="D1015" s="360" t="str">
        <f>CONCATENATE(VOL_VOLUMEN_SUMINISTROS[[#This Row],[Grupo]],VOL_VOLUMEN_SUMINISTROS[[#This Row],[Proyecto]],VOL_VOLUMEN_SUMINISTROS[[#This Row],[FIN DE SEMANA]])</f>
        <v>301052-1NO</v>
      </c>
      <c r="E1015" s="30" t="s">
        <v>146</v>
      </c>
      <c r="F1015" s="30" t="s">
        <v>733</v>
      </c>
      <c r="G1015" s="360">
        <v>30</v>
      </c>
      <c r="H1015" s="30">
        <v>6</v>
      </c>
      <c r="I1015" s="9" t="s">
        <v>242</v>
      </c>
      <c r="J1015" s="9" t="s">
        <v>264</v>
      </c>
      <c r="K1015" s="30">
        <v>1</v>
      </c>
      <c r="L1015" s="9" t="s">
        <v>152</v>
      </c>
      <c r="M1015" s="30" t="s">
        <v>84</v>
      </c>
      <c r="N1015" s="30" t="s">
        <v>151</v>
      </c>
      <c r="O1015" s="24">
        <v>294</v>
      </c>
      <c r="P1015" s="24">
        <v>633</v>
      </c>
      <c r="Q1015" s="24">
        <v>720</v>
      </c>
      <c r="R1015" s="24">
        <v>0</v>
      </c>
      <c r="S1015" s="24">
        <v>0</v>
      </c>
      <c r="T1015" s="24">
        <v>1647</v>
      </c>
    </row>
    <row r="1016" spans="1:20">
      <c r="A1016" s="9" t="s">
        <v>731</v>
      </c>
      <c r="B1016" s="30" t="s">
        <v>761</v>
      </c>
      <c r="C1016" s="30" t="str">
        <f>CONCATENATE(VOL_VOLUMEN_SUMINISTROS[[#This Row],[Proyecto]],VOL_VOLUMEN_SUMINISTROS[[#This Row],[J]],VOL_VOLUMEN_SUMINISTROS[[#This Row],[FIN DE SEMANA]])</f>
        <v>1052-1TNO</v>
      </c>
      <c r="D1016" s="360" t="str">
        <f>CONCATENATE(VOL_VOLUMEN_SUMINISTROS[[#This Row],[Grupo]],VOL_VOLUMEN_SUMINISTROS[[#This Row],[Proyecto]],VOL_VOLUMEN_SUMINISTROS[[#This Row],[FIN DE SEMANA]])</f>
        <v>301052-1NO</v>
      </c>
      <c r="E1016" s="30" t="s">
        <v>146</v>
      </c>
      <c r="F1016" s="30" t="s">
        <v>733</v>
      </c>
      <c r="G1016" s="360">
        <v>30</v>
      </c>
      <c r="H1016" s="30">
        <v>6</v>
      </c>
      <c r="I1016" s="9" t="s">
        <v>242</v>
      </c>
      <c r="J1016" s="9" t="s">
        <v>264</v>
      </c>
      <c r="K1016" s="30">
        <v>1</v>
      </c>
      <c r="L1016" s="9" t="s">
        <v>152</v>
      </c>
      <c r="M1016" s="30" t="s">
        <v>84</v>
      </c>
      <c r="N1016" s="30" t="s">
        <v>154</v>
      </c>
      <c r="O1016" s="24">
        <v>466</v>
      </c>
      <c r="P1016" s="24">
        <v>579</v>
      </c>
      <c r="Q1016" s="24">
        <v>612</v>
      </c>
      <c r="R1016" s="24">
        <v>0</v>
      </c>
      <c r="S1016" s="24">
        <v>0</v>
      </c>
      <c r="T1016" s="24">
        <v>1657</v>
      </c>
    </row>
    <row r="1017" spans="1:20">
      <c r="A1017" s="9" t="s">
        <v>731</v>
      </c>
      <c r="B1017" s="30" t="s">
        <v>762</v>
      </c>
      <c r="C1017" s="30" t="str">
        <f>CONCATENATE(VOL_VOLUMEN_SUMINISTROS[[#This Row],[Proyecto]],VOL_VOLUMEN_SUMINISTROS[[#This Row],[J]],VOL_VOLUMEN_SUMINISTROS[[#This Row],[FIN DE SEMANA]])</f>
        <v>1052-1MNO</v>
      </c>
      <c r="D1017" s="360" t="str">
        <f>CONCATENATE(VOL_VOLUMEN_SUMINISTROS[[#This Row],[Grupo]],VOL_VOLUMEN_SUMINISTROS[[#This Row],[Proyecto]],VOL_VOLUMEN_SUMINISTROS[[#This Row],[FIN DE SEMANA]])</f>
        <v>61052-1NO</v>
      </c>
      <c r="E1017" s="30" t="s">
        <v>146</v>
      </c>
      <c r="F1017" s="30" t="s">
        <v>733</v>
      </c>
      <c r="G1017" s="360">
        <v>6</v>
      </c>
      <c r="H1017" s="30">
        <v>5</v>
      </c>
      <c r="I1017" s="9" t="s">
        <v>763</v>
      </c>
      <c r="J1017" s="9" t="s">
        <v>764</v>
      </c>
      <c r="K1017" s="30">
        <v>1</v>
      </c>
      <c r="L1017" s="9" t="s">
        <v>765</v>
      </c>
      <c r="M1017" s="30" t="s">
        <v>84</v>
      </c>
      <c r="N1017" s="30" t="s">
        <v>151</v>
      </c>
      <c r="O1017" s="24">
        <v>29</v>
      </c>
      <c r="P1017" s="24">
        <v>219</v>
      </c>
      <c r="Q1017" s="24">
        <v>556</v>
      </c>
      <c r="R1017" s="24">
        <v>0</v>
      </c>
      <c r="S1017" s="24">
        <v>0</v>
      </c>
      <c r="T1017" s="24">
        <v>804</v>
      </c>
    </row>
    <row r="1018" spans="1:20">
      <c r="A1018" s="9" t="s">
        <v>731</v>
      </c>
      <c r="B1018" s="30" t="s">
        <v>762</v>
      </c>
      <c r="C1018" s="30" t="str">
        <f>CONCATENATE(VOL_VOLUMEN_SUMINISTROS[[#This Row],[Proyecto]],VOL_VOLUMEN_SUMINISTROS[[#This Row],[J]],VOL_VOLUMEN_SUMINISTROS[[#This Row],[FIN DE SEMANA]])</f>
        <v>1052-1TNO</v>
      </c>
      <c r="D1018" s="360" t="str">
        <f>CONCATENATE(VOL_VOLUMEN_SUMINISTROS[[#This Row],[Grupo]],VOL_VOLUMEN_SUMINISTROS[[#This Row],[Proyecto]],VOL_VOLUMEN_SUMINISTROS[[#This Row],[FIN DE SEMANA]])</f>
        <v>181052-1NO</v>
      </c>
      <c r="E1018" s="30" t="s">
        <v>146</v>
      </c>
      <c r="F1018" s="30" t="s">
        <v>733</v>
      </c>
      <c r="G1018" s="360">
        <v>18</v>
      </c>
      <c r="H1018" s="30">
        <v>5</v>
      </c>
      <c r="I1018" s="9" t="s">
        <v>763</v>
      </c>
      <c r="J1018" s="9" t="s">
        <v>764</v>
      </c>
      <c r="K1018" s="30">
        <v>1</v>
      </c>
      <c r="L1018" s="9" t="s">
        <v>765</v>
      </c>
      <c r="M1018" s="30" t="s">
        <v>84</v>
      </c>
      <c r="N1018" s="30" t="s">
        <v>154</v>
      </c>
      <c r="O1018" s="24">
        <v>412</v>
      </c>
      <c r="P1018" s="24">
        <v>396</v>
      </c>
      <c r="Q1018" s="24">
        <v>82</v>
      </c>
      <c r="R1018" s="24">
        <v>0</v>
      </c>
      <c r="S1018" s="24">
        <v>0</v>
      </c>
      <c r="T1018" s="24">
        <v>890</v>
      </c>
    </row>
    <row r="1019" spans="1:20">
      <c r="A1019" s="9" t="s">
        <v>731</v>
      </c>
      <c r="B1019" s="30" t="s">
        <v>766</v>
      </c>
      <c r="C1019" s="30" t="str">
        <f>CONCATENATE(VOL_VOLUMEN_SUMINISTROS[[#This Row],[Proyecto]],VOL_VOLUMEN_SUMINISTROS[[#This Row],[J]],VOL_VOLUMEN_SUMINISTROS[[#This Row],[FIN DE SEMANA]])</f>
        <v>1052-1TNO</v>
      </c>
      <c r="D1019" s="360" t="str">
        <f>CONCATENATE(VOL_VOLUMEN_SUMINISTROS[[#This Row],[Grupo]],VOL_VOLUMEN_SUMINISTROS[[#This Row],[Proyecto]],VOL_VOLUMEN_SUMINISTROS[[#This Row],[FIN DE SEMANA]])</f>
        <v>81052-1NO</v>
      </c>
      <c r="E1019" s="30" t="s">
        <v>146</v>
      </c>
      <c r="F1019" s="30" t="s">
        <v>733</v>
      </c>
      <c r="G1019" s="360">
        <v>8</v>
      </c>
      <c r="H1019" s="30">
        <v>12</v>
      </c>
      <c r="I1019" s="9" t="s">
        <v>767</v>
      </c>
      <c r="J1019" s="9" t="s">
        <v>768</v>
      </c>
      <c r="K1019" s="30">
        <v>2</v>
      </c>
      <c r="L1019" s="9" t="s">
        <v>769</v>
      </c>
      <c r="M1019" s="30" t="s">
        <v>84</v>
      </c>
      <c r="N1019" s="30" t="s">
        <v>154</v>
      </c>
      <c r="O1019" s="24">
        <v>266</v>
      </c>
      <c r="P1019" s="24">
        <v>334</v>
      </c>
      <c r="Q1019" s="24">
        <v>67</v>
      </c>
      <c r="R1019" s="24">
        <v>0</v>
      </c>
      <c r="S1019" s="24">
        <v>0</v>
      </c>
      <c r="T1019" s="24">
        <v>667</v>
      </c>
    </row>
    <row r="1020" spans="1:20">
      <c r="A1020" s="9" t="s">
        <v>731</v>
      </c>
      <c r="B1020" s="30" t="s">
        <v>770</v>
      </c>
      <c r="C1020" s="30" t="str">
        <f>CONCATENATE(VOL_VOLUMEN_SUMINISTROS[[#This Row],[Proyecto]],VOL_VOLUMEN_SUMINISTROS[[#This Row],[J]],VOL_VOLUMEN_SUMINISTROS[[#This Row],[FIN DE SEMANA]])</f>
        <v>1052-1MNO</v>
      </c>
      <c r="D1020" s="360" t="str">
        <f>CONCATENATE(VOL_VOLUMEN_SUMINISTROS[[#This Row],[Grupo]],VOL_VOLUMEN_SUMINISTROS[[#This Row],[Proyecto]],VOL_VOLUMEN_SUMINISTROS[[#This Row],[FIN DE SEMANA]])</f>
        <v>181052-1NO</v>
      </c>
      <c r="E1020" s="30" t="s">
        <v>146</v>
      </c>
      <c r="F1020" s="30" t="s">
        <v>733</v>
      </c>
      <c r="G1020" s="360">
        <v>18</v>
      </c>
      <c r="H1020" s="30">
        <v>5</v>
      </c>
      <c r="I1020" s="9" t="s">
        <v>763</v>
      </c>
      <c r="J1020" s="9" t="s">
        <v>771</v>
      </c>
      <c r="K1020" s="30">
        <v>1</v>
      </c>
      <c r="L1020" s="9" t="s">
        <v>772</v>
      </c>
      <c r="M1020" s="30" t="s">
        <v>84</v>
      </c>
      <c r="N1020" s="30" t="s">
        <v>151</v>
      </c>
      <c r="O1020" s="24">
        <v>420</v>
      </c>
      <c r="P1020" s="24">
        <v>340</v>
      </c>
      <c r="Q1020" s="24">
        <v>216</v>
      </c>
      <c r="R1020" s="24">
        <v>0</v>
      </c>
      <c r="S1020" s="24">
        <v>0</v>
      </c>
      <c r="T1020" s="24">
        <v>976</v>
      </c>
    </row>
    <row r="1021" spans="1:20">
      <c r="A1021" s="9" t="s">
        <v>731</v>
      </c>
      <c r="B1021" s="30" t="s">
        <v>770</v>
      </c>
      <c r="C1021" s="30" t="str">
        <f>CONCATENATE(VOL_VOLUMEN_SUMINISTROS[[#This Row],[Proyecto]],VOL_VOLUMEN_SUMINISTROS[[#This Row],[J]],VOL_VOLUMEN_SUMINISTROS[[#This Row],[FIN DE SEMANA]])</f>
        <v>1052-1TNO</v>
      </c>
      <c r="D1021" s="360" t="str">
        <f>CONCATENATE(VOL_VOLUMEN_SUMINISTROS[[#This Row],[Grupo]],VOL_VOLUMEN_SUMINISTROS[[#This Row],[Proyecto]],VOL_VOLUMEN_SUMINISTROS[[#This Row],[FIN DE SEMANA]])</f>
        <v>181052-1NO</v>
      </c>
      <c r="E1021" s="30" t="s">
        <v>146</v>
      </c>
      <c r="F1021" s="30" t="s">
        <v>733</v>
      </c>
      <c r="G1021" s="360">
        <v>18</v>
      </c>
      <c r="H1021" s="30">
        <v>5</v>
      </c>
      <c r="I1021" s="9" t="s">
        <v>763</v>
      </c>
      <c r="J1021" s="9" t="s">
        <v>771</v>
      </c>
      <c r="K1021" s="30">
        <v>1</v>
      </c>
      <c r="L1021" s="9" t="s">
        <v>772</v>
      </c>
      <c r="M1021" s="30" t="s">
        <v>84</v>
      </c>
      <c r="N1021" s="30" t="s">
        <v>154</v>
      </c>
      <c r="O1021" s="24">
        <v>306</v>
      </c>
      <c r="P1021" s="24">
        <v>273</v>
      </c>
      <c r="Q1021" s="24">
        <v>213</v>
      </c>
      <c r="R1021" s="24">
        <v>0</v>
      </c>
      <c r="S1021" s="24">
        <v>0</v>
      </c>
      <c r="T1021" s="24">
        <v>792</v>
      </c>
    </row>
    <row r="1022" spans="1:20">
      <c r="A1022" s="9" t="s">
        <v>731</v>
      </c>
      <c r="B1022" s="30" t="s">
        <v>770</v>
      </c>
      <c r="C1022" s="30" t="str">
        <f>CONCATENATE(VOL_VOLUMEN_SUMINISTROS[[#This Row],[Proyecto]],VOL_VOLUMEN_SUMINISTROS[[#This Row],[J]],VOL_VOLUMEN_SUMINISTROS[[#This Row],[FIN DE SEMANA]])</f>
        <v>1052-1MNO</v>
      </c>
      <c r="D1022" s="360" t="str">
        <f>CONCATENATE(VOL_VOLUMEN_SUMINISTROS[[#This Row],[Grupo]],VOL_VOLUMEN_SUMINISTROS[[#This Row],[Proyecto]],VOL_VOLUMEN_SUMINISTROS[[#This Row],[FIN DE SEMANA]])</f>
        <v>151052-1NO</v>
      </c>
      <c r="E1022" s="30" t="s">
        <v>146</v>
      </c>
      <c r="F1022" s="30" t="s">
        <v>733</v>
      </c>
      <c r="G1022" s="360">
        <v>15</v>
      </c>
      <c r="H1022" s="30">
        <v>5</v>
      </c>
      <c r="I1022" s="9" t="s">
        <v>763</v>
      </c>
      <c r="J1022" s="9" t="s">
        <v>773</v>
      </c>
      <c r="K1022" s="30">
        <v>1</v>
      </c>
      <c r="L1022" s="9" t="s">
        <v>774</v>
      </c>
      <c r="M1022" s="30" t="s">
        <v>84</v>
      </c>
      <c r="N1022" s="30" t="s">
        <v>151</v>
      </c>
      <c r="O1022" s="24">
        <v>183</v>
      </c>
      <c r="P1022" s="24">
        <v>181</v>
      </c>
      <c r="Q1022" s="24">
        <v>233</v>
      </c>
      <c r="R1022" s="24">
        <v>0</v>
      </c>
      <c r="S1022" s="24">
        <v>0</v>
      </c>
      <c r="T1022" s="24">
        <v>597</v>
      </c>
    </row>
    <row r="1023" spans="1:20">
      <c r="A1023" s="9" t="s">
        <v>731</v>
      </c>
      <c r="B1023" s="30" t="s">
        <v>770</v>
      </c>
      <c r="C1023" s="30" t="str">
        <f>CONCATENATE(VOL_VOLUMEN_SUMINISTROS[[#This Row],[Proyecto]],VOL_VOLUMEN_SUMINISTROS[[#This Row],[J]],VOL_VOLUMEN_SUMINISTROS[[#This Row],[FIN DE SEMANA]])</f>
        <v>1052-1TNO</v>
      </c>
      <c r="D1023" s="360" t="str">
        <f>CONCATENATE(VOL_VOLUMEN_SUMINISTROS[[#This Row],[Grupo]],VOL_VOLUMEN_SUMINISTROS[[#This Row],[Proyecto]],VOL_VOLUMEN_SUMINISTROS[[#This Row],[FIN DE SEMANA]])</f>
        <v>151052-1NO</v>
      </c>
      <c r="E1023" s="30" t="s">
        <v>146</v>
      </c>
      <c r="F1023" s="30" t="s">
        <v>733</v>
      </c>
      <c r="G1023" s="360">
        <v>15</v>
      </c>
      <c r="H1023" s="30">
        <v>5</v>
      </c>
      <c r="I1023" s="9" t="s">
        <v>763</v>
      </c>
      <c r="J1023" s="9" t="s">
        <v>773</v>
      </c>
      <c r="K1023" s="30">
        <v>1</v>
      </c>
      <c r="L1023" s="9" t="s">
        <v>774</v>
      </c>
      <c r="M1023" s="30" t="s">
        <v>84</v>
      </c>
      <c r="N1023" s="30" t="s">
        <v>154</v>
      </c>
      <c r="O1023" s="24">
        <v>204</v>
      </c>
      <c r="P1023" s="24">
        <v>227</v>
      </c>
      <c r="Q1023" s="24">
        <v>179</v>
      </c>
      <c r="R1023" s="24">
        <v>0</v>
      </c>
      <c r="S1023" s="24">
        <v>0</v>
      </c>
      <c r="T1023" s="24">
        <v>610</v>
      </c>
    </row>
    <row r="1024" spans="1:20">
      <c r="A1024" s="9" t="s">
        <v>775</v>
      </c>
      <c r="B1024" s="30" t="s">
        <v>776</v>
      </c>
      <c r="C1024" s="30" t="str">
        <f>CONCATENATE(VOL_VOLUMEN_SUMINISTROS[[#This Row],[Proyecto]],VOL_VOLUMEN_SUMINISTROS[[#This Row],[J]],VOL_VOLUMEN_SUMINISTROS[[#This Row],[FIN DE SEMANA]])</f>
        <v>1052-1MNO</v>
      </c>
      <c r="D1024" s="360" t="str">
        <f>CONCATENATE(VOL_VOLUMEN_SUMINISTROS[[#This Row],[Grupo]],VOL_VOLUMEN_SUMINISTROS[[#This Row],[Proyecto]],VOL_VOLUMEN_SUMINISTROS[[#This Row],[FIN DE SEMANA]])</f>
        <v>291052-1NO</v>
      </c>
      <c r="E1024" s="30" t="s">
        <v>146</v>
      </c>
      <c r="F1024" s="30" t="s">
        <v>733</v>
      </c>
      <c r="G1024" s="360">
        <v>29</v>
      </c>
      <c r="H1024" s="30">
        <v>7</v>
      </c>
      <c r="I1024" s="9" t="s">
        <v>220</v>
      </c>
      <c r="J1024" s="9" t="s">
        <v>777</v>
      </c>
      <c r="K1024" s="30">
        <v>1</v>
      </c>
      <c r="L1024" s="9" t="s">
        <v>152</v>
      </c>
      <c r="M1024" s="30" t="s">
        <v>84</v>
      </c>
      <c r="N1024" s="30" t="s">
        <v>151</v>
      </c>
      <c r="O1024" s="24">
        <v>28</v>
      </c>
      <c r="P1024" s="24">
        <v>86</v>
      </c>
      <c r="Q1024" s="24">
        <v>25</v>
      </c>
      <c r="R1024" s="24">
        <v>0</v>
      </c>
      <c r="S1024" s="24">
        <v>0</v>
      </c>
      <c r="T1024" s="24">
        <v>139</v>
      </c>
    </row>
    <row r="1025" spans="1:20">
      <c r="A1025" s="9" t="s">
        <v>775</v>
      </c>
      <c r="B1025" s="30" t="s">
        <v>776</v>
      </c>
      <c r="C1025" s="30" t="str">
        <f>CONCATENATE(VOL_VOLUMEN_SUMINISTROS[[#This Row],[Proyecto]],VOL_VOLUMEN_SUMINISTROS[[#This Row],[J]],VOL_VOLUMEN_SUMINISTROS[[#This Row],[FIN DE SEMANA]])</f>
        <v>1052-1MNO</v>
      </c>
      <c r="D1025" s="360" t="str">
        <f>CONCATENATE(VOL_VOLUMEN_SUMINISTROS[[#This Row],[Grupo]],VOL_VOLUMEN_SUMINISTROS[[#This Row],[Proyecto]],VOL_VOLUMEN_SUMINISTROS[[#This Row],[FIN DE SEMANA]])</f>
        <v>291052-1NO</v>
      </c>
      <c r="E1025" s="30" t="s">
        <v>146</v>
      </c>
      <c r="F1025" s="30" t="s">
        <v>733</v>
      </c>
      <c r="G1025" s="360">
        <v>29</v>
      </c>
      <c r="H1025" s="30">
        <v>7</v>
      </c>
      <c r="I1025" s="9" t="s">
        <v>220</v>
      </c>
      <c r="J1025" s="9" t="s">
        <v>778</v>
      </c>
      <c r="K1025" s="30">
        <v>1</v>
      </c>
      <c r="L1025" s="9" t="s">
        <v>152</v>
      </c>
      <c r="M1025" s="30" t="s">
        <v>84</v>
      </c>
      <c r="N1025" s="30" t="s">
        <v>151</v>
      </c>
      <c r="O1025" s="24">
        <v>12</v>
      </c>
      <c r="P1025" s="24">
        <v>91</v>
      </c>
      <c r="Q1025" s="24">
        <v>81</v>
      </c>
      <c r="R1025" s="24">
        <v>0</v>
      </c>
      <c r="S1025" s="24">
        <v>0</v>
      </c>
      <c r="T1025" s="24">
        <v>184</v>
      </c>
    </row>
    <row r="1026" spans="1:20">
      <c r="A1026" s="9" t="s">
        <v>775</v>
      </c>
      <c r="B1026" s="30" t="s">
        <v>776</v>
      </c>
      <c r="C1026" s="30" t="str">
        <f>CONCATENATE(VOL_VOLUMEN_SUMINISTROS[[#This Row],[Proyecto]],VOL_VOLUMEN_SUMINISTROS[[#This Row],[J]],VOL_VOLUMEN_SUMINISTROS[[#This Row],[FIN DE SEMANA]])</f>
        <v>1052-1TNO</v>
      </c>
      <c r="D1026" s="360" t="str">
        <f>CONCATENATE(VOL_VOLUMEN_SUMINISTROS[[#This Row],[Grupo]],VOL_VOLUMEN_SUMINISTROS[[#This Row],[Proyecto]],VOL_VOLUMEN_SUMINISTROS[[#This Row],[FIN DE SEMANA]])</f>
        <v>291052-1NO</v>
      </c>
      <c r="E1026" s="30" t="s">
        <v>146</v>
      </c>
      <c r="F1026" s="30" t="s">
        <v>733</v>
      </c>
      <c r="G1026" s="360">
        <v>29</v>
      </c>
      <c r="H1026" s="30">
        <v>7</v>
      </c>
      <c r="I1026" s="9" t="s">
        <v>220</v>
      </c>
      <c r="J1026" s="9" t="s">
        <v>778</v>
      </c>
      <c r="K1026" s="30">
        <v>1</v>
      </c>
      <c r="L1026" s="9" t="s">
        <v>152</v>
      </c>
      <c r="M1026" s="30" t="s">
        <v>84</v>
      </c>
      <c r="N1026" s="30" t="s">
        <v>154</v>
      </c>
      <c r="O1026" s="24">
        <v>0</v>
      </c>
      <c r="P1026" s="24">
        <v>39</v>
      </c>
      <c r="Q1026" s="24">
        <v>13</v>
      </c>
      <c r="R1026" s="24">
        <v>0</v>
      </c>
      <c r="S1026" s="24">
        <v>0</v>
      </c>
      <c r="T1026" s="24">
        <v>52</v>
      </c>
    </row>
    <row r="1027" spans="1:20">
      <c r="A1027" s="9" t="s">
        <v>775</v>
      </c>
      <c r="B1027" s="30" t="s">
        <v>776</v>
      </c>
      <c r="C1027" s="30" t="str">
        <f>CONCATENATE(VOL_VOLUMEN_SUMINISTROS[[#This Row],[Proyecto]],VOL_VOLUMEN_SUMINISTROS[[#This Row],[J]],VOL_VOLUMEN_SUMINISTROS[[#This Row],[FIN DE SEMANA]])</f>
        <v>1052-1MNO</v>
      </c>
      <c r="D1027" s="360" t="str">
        <f>CONCATENATE(VOL_VOLUMEN_SUMINISTROS[[#This Row],[Grupo]],VOL_VOLUMEN_SUMINISTROS[[#This Row],[Proyecto]],VOL_VOLUMEN_SUMINISTROS[[#This Row],[FIN DE SEMANA]])</f>
        <v>41052-1NO</v>
      </c>
      <c r="E1027" s="30" t="s">
        <v>146</v>
      </c>
      <c r="F1027" s="30" t="s">
        <v>733</v>
      </c>
      <c r="G1027" s="360">
        <v>4</v>
      </c>
      <c r="H1027" s="30">
        <v>8</v>
      </c>
      <c r="I1027" s="9" t="s">
        <v>148</v>
      </c>
      <c r="J1027" s="9" t="s">
        <v>779</v>
      </c>
      <c r="K1027" s="30">
        <v>1</v>
      </c>
      <c r="L1027" s="9" t="s">
        <v>152</v>
      </c>
      <c r="M1027" s="30" t="s">
        <v>84</v>
      </c>
      <c r="N1027" s="30" t="s">
        <v>151</v>
      </c>
      <c r="O1027" s="24">
        <v>12</v>
      </c>
      <c r="P1027" s="24">
        <v>51</v>
      </c>
      <c r="Q1027" s="24">
        <v>111</v>
      </c>
      <c r="R1027" s="24">
        <v>0</v>
      </c>
      <c r="S1027" s="24">
        <v>0</v>
      </c>
      <c r="T1027" s="24">
        <v>174</v>
      </c>
    </row>
    <row r="1028" spans="1:20">
      <c r="A1028" s="9" t="s">
        <v>775</v>
      </c>
      <c r="B1028" s="30" t="s">
        <v>776</v>
      </c>
      <c r="C1028" s="30" t="str">
        <f>CONCATENATE(VOL_VOLUMEN_SUMINISTROS[[#This Row],[Proyecto]],VOL_VOLUMEN_SUMINISTROS[[#This Row],[J]],VOL_VOLUMEN_SUMINISTROS[[#This Row],[FIN DE SEMANA]])</f>
        <v>1052-1MNO</v>
      </c>
      <c r="D1028" s="360" t="str">
        <f>CONCATENATE(VOL_VOLUMEN_SUMINISTROS[[#This Row],[Grupo]],VOL_VOLUMEN_SUMINISTROS[[#This Row],[Proyecto]],VOL_VOLUMEN_SUMINISTROS[[#This Row],[FIN DE SEMANA]])</f>
        <v>41052-1NO</v>
      </c>
      <c r="E1028" s="30" t="s">
        <v>146</v>
      </c>
      <c r="F1028" s="30" t="s">
        <v>733</v>
      </c>
      <c r="G1028" s="360">
        <v>4</v>
      </c>
      <c r="H1028" s="30">
        <v>8</v>
      </c>
      <c r="I1028" s="9" t="s">
        <v>148</v>
      </c>
      <c r="J1028" s="9" t="s">
        <v>780</v>
      </c>
      <c r="K1028" s="30">
        <v>1</v>
      </c>
      <c r="L1028" s="9" t="s">
        <v>152</v>
      </c>
      <c r="M1028" s="30" t="s">
        <v>84</v>
      </c>
      <c r="N1028" s="30" t="s">
        <v>151</v>
      </c>
      <c r="O1028" s="24">
        <v>0</v>
      </c>
      <c r="P1028" s="24">
        <v>69</v>
      </c>
      <c r="Q1028" s="24">
        <v>291</v>
      </c>
      <c r="R1028" s="24">
        <v>0</v>
      </c>
      <c r="S1028" s="24">
        <v>0</v>
      </c>
      <c r="T1028" s="24">
        <v>360</v>
      </c>
    </row>
    <row r="1029" spans="1:20">
      <c r="A1029" s="9" t="s">
        <v>775</v>
      </c>
      <c r="B1029" s="30" t="s">
        <v>776</v>
      </c>
      <c r="C1029" s="30" t="str">
        <f>CONCATENATE(VOL_VOLUMEN_SUMINISTROS[[#This Row],[Proyecto]],VOL_VOLUMEN_SUMINISTROS[[#This Row],[J]],VOL_VOLUMEN_SUMINISTROS[[#This Row],[FIN DE SEMANA]])</f>
        <v>1052-1MNO</v>
      </c>
      <c r="D1029" s="360" t="str">
        <f>CONCATENATE(VOL_VOLUMEN_SUMINISTROS[[#This Row],[Grupo]],VOL_VOLUMEN_SUMINISTROS[[#This Row],[Proyecto]],VOL_VOLUMEN_SUMINISTROS[[#This Row],[FIN DE SEMANA]])</f>
        <v>41052-1NO</v>
      </c>
      <c r="E1029" s="30" t="s">
        <v>146</v>
      </c>
      <c r="F1029" s="30" t="s">
        <v>733</v>
      </c>
      <c r="G1029" s="360">
        <v>4</v>
      </c>
      <c r="H1029" s="30">
        <v>8</v>
      </c>
      <c r="I1029" s="9" t="s">
        <v>148</v>
      </c>
      <c r="J1029" s="9" t="s">
        <v>781</v>
      </c>
      <c r="K1029" s="30">
        <v>1</v>
      </c>
      <c r="L1029" s="9" t="s">
        <v>152</v>
      </c>
      <c r="M1029" s="30" t="s">
        <v>84</v>
      </c>
      <c r="N1029" s="30" t="s">
        <v>151</v>
      </c>
      <c r="O1029" s="24">
        <v>17</v>
      </c>
      <c r="P1029" s="24">
        <v>62</v>
      </c>
      <c r="Q1029" s="24">
        <v>147</v>
      </c>
      <c r="R1029" s="24">
        <v>0</v>
      </c>
      <c r="S1029" s="24">
        <v>0</v>
      </c>
      <c r="T1029" s="24">
        <v>226</v>
      </c>
    </row>
    <row r="1030" spans="1:20">
      <c r="A1030" s="9" t="s">
        <v>775</v>
      </c>
      <c r="B1030" s="30" t="s">
        <v>776</v>
      </c>
      <c r="C1030" s="30" t="str">
        <f>CONCATENATE(VOL_VOLUMEN_SUMINISTROS[[#This Row],[Proyecto]],VOL_VOLUMEN_SUMINISTROS[[#This Row],[J]],VOL_VOLUMEN_SUMINISTROS[[#This Row],[FIN DE SEMANA]])</f>
        <v>1052-1MNO</v>
      </c>
      <c r="D1030" s="360" t="str">
        <f>CONCATENATE(VOL_VOLUMEN_SUMINISTROS[[#This Row],[Grupo]],VOL_VOLUMEN_SUMINISTROS[[#This Row],[Proyecto]],VOL_VOLUMEN_SUMINISTROS[[#This Row],[FIN DE SEMANA]])</f>
        <v>41052-1NO</v>
      </c>
      <c r="E1030" s="30" t="s">
        <v>146</v>
      </c>
      <c r="F1030" s="30" t="s">
        <v>733</v>
      </c>
      <c r="G1030" s="360">
        <v>4</v>
      </c>
      <c r="H1030" s="30">
        <v>8</v>
      </c>
      <c r="I1030" s="9" t="s">
        <v>148</v>
      </c>
      <c r="J1030" s="9" t="s">
        <v>782</v>
      </c>
      <c r="K1030" s="30">
        <v>1</v>
      </c>
      <c r="L1030" s="9" t="s">
        <v>152</v>
      </c>
      <c r="M1030" s="30" t="s">
        <v>84</v>
      </c>
      <c r="N1030" s="30" t="s">
        <v>151</v>
      </c>
      <c r="O1030" s="24">
        <v>0</v>
      </c>
      <c r="P1030" s="24">
        <v>51</v>
      </c>
      <c r="Q1030" s="24">
        <v>154</v>
      </c>
      <c r="R1030" s="24">
        <v>0</v>
      </c>
      <c r="S1030" s="24">
        <v>0</v>
      </c>
      <c r="T1030" s="24">
        <v>205</v>
      </c>
    </row>
    <row r="1031" spans="1:20">
      <c r="A1031" s="9" t="s">
        <v>775</v>
      </c>
      <c r="B1031" s="30" t="s">
        <v>776</v>
      </c>
      <c r="C1031" s="30" t="str">
        <f>CONCATENATE(VOL_VOLUMEN_SUMINISTROS[[#This Row],[Proyecto]],VOL_VOLUMEN_SUMINISTROS[[#This Row],[J]],VOL_VOLUMEN_SUMINISTROS[[#This Row],[FIN DE SEMANA]])</f>
        <v>1052-1MNO</v>
      </c>
      <c r="D1031" s="360" t="str">
        <f>CONCATENATE(VOL_VOLUMEN_SUMINISTROS[[#This Row],[Grupo]],VOL_VOLUMEN_SUMINISTROS[[#This Row],[Proyecto]],VOL_VOLUMEN_SUMINISTROS[[#This Row],[FIN DE SEMANA]])</f>
        <v>41052-1NO</v>
      </c>
      <c r="E1031" s="30" t="s">
        <v>146</v>
      </c>
      <c r="F1031" s="30" t="s">
        <v>733</v>
      </c>
      <c r="G1031" s="360">
        <v>4</v>
      </c>
      <c r="H1031" s="30">
        <v>8</v>
      </c>
      <c r="I1031" s="9" t="s">
        <v>148</v>
      </c>
      <c r="J1031" s="9" t="s">
        <v>782</v>
      </c>
      <c r="K1031" s="30">
        <v>2</v>
      </c>
      <c r="L1031" s="9" t="s">
        <v>152</v>
      </c>
      <c r="M1031" s="30" t="s">
        <v>84</v>
      </c>
      <c r="N1031" s="30" t="s">
        <v>151</v>
      </c>
      <c r="O1031" s="24">
        <v>2</v>
      </c>
      <c r="P1031" s="24">
        <v>25</v>
      </c>
      <c r="Q1031" s="24">
        <v>8</v>
      </c>
      <c r="R1031" s="24">
        <v>0</v>
      </c>
      <c r="S1031" s="24">
        <v>0</v>
      </c>
      <c r="T1031" s="24">
        <v>35</v>
      </c>
    </row>
    <row r="1032" spans="1:20">
      <c r="A1032" s="9" t="s">
        <v>775</v>
      </c>
      <c r="B1032" s="30" t="s">
        <v>776</v>
      </c>
      <c r="C1032" s="30" t="str">
        <f>CONCATENATE(VOL_VOLUMEN_SUMINISTROS[[#This Row],[Proyecto]],VOL_VOLUMEN_SUMINISTROS[[#This Row],[J]],VOL_VOLUMEN_SUMINISTROS[[#This Row],[FIN DE SEMANA]])</f>
        <v>1052-1MNO</v>
      </c>
      <c r="D1032" s="360" t="str">
        <f>CONCATENATE(VOL_VOLUMEN_SUMINISTROS[[#This Row],[Grupo]],VOL_VOLUMEN_SUMINISTROS[[#This Row],[Proyecto]],VOL_VOLUMEN_SUMINISTROS[[#This Row],[FIN DE SEMANA]])</f>
        <v>121052-1NO</v>
      </c>
      <c r="E1032" s="30" t="s">
        <v>146</v>
      </c>
      <c r="F1032" s="30" t="s">
        <v>733</v>
      </c>
      <c r="G1032" s="360">
        <v>12</v>
      </c>
      <c r="H1032" s="30">
        <v>8</v>
      </c>
      <c r="I1032" s="9" t="s">
        <v>148</v>
      </c>
      <c r="J1032" s="9" t="s">
        <v>783</v>
      </c>
      <c r="K1032" s="30">
        <v>1</v>
      </c>
      <c r="L1032" s="9" t="s">
        <v>152</v>
      </c>
      <c r="M1032" s="30" t="s">
        <v>84</v>
      </c>
      <c r="N1032" s="30" t="s">
        <v>151</v>
      </c>
      <c r="O1032" s="24">
        <v>16</v>
      </c>
      <c r="P1032" s="24">
        <v>18</v>
      </c>
      <c r="Q1032" s="24">
        <v>4</v>
      </c>
      <c r="R1032" s="24">
        <v>0</v>
      </c>
      <c r="S1032" s="24">
        <v>0</v>
      </c>
      <c r="T1032" s="24">
        <v>38</v>
      </c>
    </row>
    <row r="1033" spans="1:20">
      <c r="A1033" s="9" t="s">
        <v>775</v>
      </c>
      <c r="B1033" s="30" t="s">
        <v>776</v>
      </c>
      <c r="C1033" s="30" t="str">
        <f>CONCATENATE(VOL_VOLUMEN_SUMINISTROS[[#This Row],[Proyecto]],VOL_VOLUMEN_SUMINISTROS[[#This Row],[J]],VOL_VOLUMEN_SUMINISTROS[[#This Row],[FIN DE SEMANA]])</f>
        <v>1052-1MNO</v>
      </c>
      <c r="D1033" s="360" t="str">
        <f>CONCATENATE(VOL_VOLUMEN_SUMINISTROS[[#This Row],[Grupo]],VOL_VOLUMEN_SUMINISTROS[[#This Row],[Proyecto]],VOL_VOLUMEN_SUMINISTROS[[#This Row],[FIN DE SEMANA]])</f>
        <v>121052-1NO</v>
      </c>
      <c r="E1033" s="30" t="s">
        <v>146</v>
      </c>
      <c r="F1033" s="30" t="s">
        <v>733</v>
      </c>
      <c r="G1033" s="360">
        <v>12</v>
      </c>
      <c r="H1033" s="30">
        <v>8</v>
      </c>
      <c r="I1033" s="9" t="s">
        <v>148</v>
      </c>
      <c r="J1033" s="9" t="s">
        <v>784</v>
      </c>
      <c r="K1033" s="30">
        <v>1</v>
      </c>
      <c r="L1033" s="9" t="s">
        <v>152</v>
      </c>
      <c r="M1033" s="30" t="s">
        <v>84</v>
      </c>
      <c r="N1033" s="30" t="s">
        <v>151</v>
      </c>
      <c r="O1033" s="24">
        <v>0</v>
      </c>
      <c r="P1033" s="24">
        <v>120</v>
      </c>
      <c r="Q1033" s="24">
        <v>380</v>
      </c>
      <c r="R1033" s="24">
        <v>0</v>
      </c>
      <c r="S1033" s="24">
        <v>0</v>
      </c>
      <c r="T1033" s="24">
        <v>500</v>
      </c>
    </row>
    <row r="1034" spans="1:20">
      <c r="A1034" s="9" t="s">
        <v>775</v>
      </c>
      <c r="B1034" s="30" t="s">
        <v>776</v>
      </c>
      <c r="C1034" s="30" t="str">
        <f>CONCATENATE(VOL_VOLUMEN_SUMINISTROS[[#This Row],[Proyecto]],VOL_VOLUMEN_SUMINISTROS[[#This Row],[J]],VOL_VOLUMEN_SUMINISTROS[[#This Row],[FIN DE SEMANA]])</f>
        <v>1052-1MNO</v>
      </c>
      <c r="D1034" s="360" t="str">
        <f>CONCATENATE(VOL_VOLUMEN_SUMINISTROS[[#This Row],[Grupo]],VOL_VOLUMEN_SUMINISTROS[[#This Row],[Proyecto]],VOL_VOLUMEN_SUMINISTROS[[#This Row],[FIN DE SEMANA]])</f>
        <v>121052-1NO</v>
      </c>
      <c r="E1034" s="30" t="s">
        <v>146</v>
      </c>
      <c r="F1034" s="30" t="s">
        <v>733</v>
      </c>
      <c r="G1034" s="360">
        <v>12</v>
      </c>
      <c r="H1034" s="30">
        <v>8</v>
      </c>
      <c r="I1034" s="9" t="s">
        <v>148</v>
      </c>
      <c r="J1034" s="9" t="s">
        <v>785</v>
      </c>
      <c r="K1034" s="30">
        <v>1</v>
      </c>
      <c r="L1034" s="9" t="s">
        <v>152</v>
      </c>
      <c r="M1034" s="30" t="s">
        <v>84</v>
      </c>
      <c r="N1034" s="30" t="s">
        <v>151</v>
      </c>
      <c r="O1034" s="24">
        <v>0</v>
      </c>
      <c r="P1034" s="24">
        <v>219</v>
      </c>
      <c r="Q1034" s="24">
        <v>498</v>
      </c>
      <c r="R1034" s="24">
        <v>0</v>
      </c>
      <c r="S1034" s="24">
        <v>0</v>
      </c>
      <c r="T1034" s="24">
        <v>717</v>
      </c>
    </row>
    <row r="1035" spans="1:20">
      <c r="A1035" s="9" t="s">
        <v>775</v>
      </c>
      <c r="B1035" s="30" t="s">
        <v>776</v>
      </c>
      <c r="C1035" s="30" t="str">
        <f>CONCATENATE(VOL_VOLUMEN_SUMINISTROS[[#This Row],[Proyecto]],VOL_VOLUMEN_SUMINISTROS[[#This Row],[J]],VOL_VOLUMEN_SUMINISTROS[[#This Row],[FIN DE SEMANA]])</f>
        <v>1052-1MNO</v>
      </c>
      <c r="D1035" s="360" t="str">
        <f>CONCATENATE(VOL_VOLUMEN_SUMINISTROS[[#This Row],[Grupo]],VOL_VOLUMEN_SUMINISTROS[[#This Row],[Proyecto]],VOL_VOLUMEN_SUMINISTROS[[#This Row],[FIN DE SEMANA]])</f>
        <v>121052-1NO</v>
      </c>
      <c r="E1035" s="30" t="s">
        <v>146</v>
      </c>
      <c r="F1035" s="30" t="s">
        <v>733</v>
      </c>
      <c r="G1035" s="360">
        <v>12</v>
      </c>
      <c r="H1035" s="30">
        <v>8</v>
      </c>
      <c r="I1035" s="9" t="s">
        <v>148</v>
      </c>
      <c r="J1035" s="9" t="s">
        <v>786</v>
      </c>
      <c r="K1035" s="30">
        <v>1</v>
      </c>
      <c r="L1035" s="9" t="s">
        <v>152</v>
      </c>
      <c r="M1035" s="30" t="s">
        <v>84</v>
      </c>
      <c r="N1035" s="30" t="s">
        <v>151</v>
      </c>
      <c r="O1035" s="24">
        <v>0</v>
      </c>
      <c r="P1035" s="24">
        <v>60</v>
      </c>
      <c r="Q1035" s="24">
        <v>198</v>
      </c>
      <c r="R1035" s="24">
        <v>0</v>
      </c>
      <c r="S1035" s="24">
        <v>0</v>
      </c>
      <c r="T1035" s="24">
        <v>258</v>
      </c>
    </row>
    <row r="1036" spans="1:20">
      <c r="A1036" s="9" t="s">
        <v>775</v>
      </c>
      <c r="B1036" s="30" t="s">
        <v>776</v>
      </c>
      <c r="C1036" s="30" t="str">
        <f>CONCATENATE(VOL_VOLUMEN_SUMINISTROS[[#This Row],[Proyecto]],VOL_VOLUMEN_SUMINISTROS[[#This Row],[J]],VOL_VOLUMEN_SUMINISTROS[[#This Row],[FIN DE SEMANA]])</f>
        <v>1052-1MNO</v>
      </c>
      <c r="D1036" s="360" t="str">
        <f>CONCATENATE(VOL_VOLUMEN_SUMINISTROS[[#This Row],[Grupo]],VOL_VOLUMEN_SUMINISTROS[[#This Row],[Proyecto]],VOL_VOLUMEN_SUMINISTROS[[#This Row],[FIN DE SEMANA]])</f>
        <v>121052-1NO</v>
      </c>
      <c r="E1036" s="30" t="s">
        <v>146</v>
      </c>
      <c r="F1036" s="30" t="s">
        <v>733</v>
      </c>
      <c r="G1036" s="360">
        <v>12</v>
      </c>
      <c r="H1036" s="30">
        <v>8</v>
      </c>
      <c r="I1036" s="9" t="s">
        <v>148</v>
      </c>
      <c r="J1036" s="9" t="s">
        <v>787</v>
      </c>
      <c r="K1036" s="30">
        <v>1</v>
      </c>
      <c r="L1036" s="9" t="s">
        <v>152</v>
      </c>
      <c r="M1036" s="30" t="s">
        <v>84</v>
      </c>
      <c r="N1036" s="30" t="s">
        <v>151</v>
      </c>
      <c r="O1036" s="24">
        <v>2</v>
      </c>
      <c r="P1036" s="24">
        <v>28</v>
      </c>
      <c r="Q1036" s="24">
        <v>9</v>
      </c>
      <c r="R1036" s="24">
        <v>0</v>
      </c>
      <c r="S1036" s="24">
        <v>0</v>
      </c>
      <c r="T1036" s="24">
        <v>39</v>
      </c>
    </row>
    <row r="1037" spans="1:20">
      <c r="A1037" s="9" t="s">
        <v>775</v>
      </c>
      <c r="B1037" s="30" t="s">
        <v>776</v>
      </c>
      <c r="C1037" s="30" t="str">
        <f>CONCATENATE(VOL_VOLUMEN_SUMINISTROS[[#This Row],[Proyecto]],VOL_VOLUMEN_SUMINISTROS[[#This Row],[J]],VOL_VOLUMEN_SUMINISTROS[[#This Row],[FIN DE SEMANA]])</f>
        <v>1052-1MNO</v>
      </c>
      <c r="D1037" s="360" t="str">
        <f>CONCATENATE(VOL_VOLUMEN_SUMINISTROS[[#This Row],[Grupo]],VOL_VOLUMEN_SUMINISTROS[[#This Row],[Proyecto]],VOL_VOLUMEN_SUMINISTROS[[#This Row],[FIN DE SEMANA]])</f>
        <v>121052-1NO</v>
      </c>
      <c r="E1037" s="30" t="s">
        <v>146</v>
      </c>
      <c r="F1037" s="30" t="s">
        <v>733</v>
      </c>
      <c r="G1037" s="360">
        <v>12</v>
      </c>
      <c r="H1037" s="30">
        <v>8</v>
      </c>
      <c r="I1037" s="9" t="s">
        <v>148</v>
      </c>
      <c r="J1037" s="9" t="s">
        <v>787</v>
      </c>
      <c r="K1037" s="30">
        <v>2</v>
      </c>
      <c r="L1037" s="9" t="s">
        <v>152</v>
      </c>
      <c r="M1037" s="30" t="s">
        <v>84</v>
      </c>
      <c r="N1037" s="30" t="s">
        <v>151</v>
      </c>
      <c r="O1037" s="24">
        <v>0</v>
      </c>
      <c r="P1037" s="24">
        <v>30</v>
      </c>
      <c r="Q1037" s="24">
        <v>145</v>
      </c>
      <c r="R1037" s="24">
        <v>0</v>
      </c>
      <c r="S1037" s="24">
        <v>0</v>
      </c>
      <c r="T1037" s="24">
        <v>175</v>
      </c>
    </row>
    <row r="1038" spans="1:20">
      <c r="A1038" s="9" t="s">
        <v>775</v>
      </c>
      <c r="B1038" s="30" t="s">
        <v>776</v>
      </c>
      <c r="C1038" s="30" t="str">
        <f>CONCATENATE(VOL_VOLUMEN_SUMINISTROS[[#This Row],[Proyecto]],VOL_VOLUMEN_SUMINISTROS[[#This Row],[J]],VOL_VOLUMEN_SUMINISTROS[[#This Row],[FIN DE SEMANA]])</f>
        <v>1052-1MNO</v>
      </c>
      <c r="D1038" s="360" t="str">
        <f>CONCATENATE(VOL_VOLUMEN_SUMINISTROS[[#This Row],[Grupo]],VOL_VOLUMEN_SUMINISTROS[[#This Row],[Proyecto]],VOL_VOLUMEN_SUMINISTROS[[#This Row],[FIN DE SEMANA]])</f>
        <v>121052-1NO</v>
      </c>
      <c r="E1038" s="30" t="s">
        <v>146</v>
      </c>
      <c r="F1038" s="30" t="s">
        <v>733</v>
      </c>
      <c r="G1038" s="360">
        <v>12</v>
      </c>
      <c r="H1038" s="30">
        <v>8</v>
      </c>
      <c r="I1038" s="9" t="s">
        <v>148</v>
      </c>
      <c r="J1038" s="9" t="s">
        <v>788</v>
      </c>
      <c r="K1038" s="30">
        <v>1</v>
      </c>
      <c r="L1038" s="9" t="s">
        <v>152</v>
      </c>
      <c r="M1038" s="30" t="s">
        <v>84</v>
      </c>
      <c r="N1038" s="30" t="s">
        <v>151</v>
      </c>
      <c r="O1038" s="24">
        <v>0</v>
      </c>
      <c r="P1038" s="24">
        <v>51</v>
      </c>
      <c r="Q1038" s="24">
        <v>125</v>
      </c>
      <c r="R1038" s="24">
        <v>0</v>
      </c>
      <c r="S1038" s="24">
        <v>0</v>
      </c>
      <c r="T1038" s="24">
        <v>176</v>
      </c>
    </row>
    <row r="1039" spans="1:20">
      <c r="A1039" s="9" t="s">
        <v>775</v>
      </c>
      <c r="B1039" s="30" t="s">
        <v>776</v>
      </c>
      <c r="C1039" s="30" t="str">
        <f>CONCATENATE(VOL_VOLUMEN_SUMINISTROS[[#This Row],[Proyecto]],VOL_VOLUMEN_SUMINISTROS[[#This Row],[J]],VOL_VOLUMEN_SUMINISTROS[[#This Row],[FIN DE SEMANA]])</f>
        <v>1052-1MNO</v>
      </c>
      <c r="D1039" s="360" t="str">
        <f>CONCATENATE(VOL_VOLUMEN_SUMINISTROS[[#This Row],[Grupo]],VOL_VOLUMEN_SUMINISTROS[[#This Row],[Proyecto]],VOL_VOLUMEN_SUMINISTROS[[#This Row],[FIN DE SEMANA]])</f>
        <v>121052-1NO</v>
      </c>
      <c r="E1039" s="30" t="s">
        <v>146</v>
      </c>
      <c r="F1039" s="30" t="s">
        <v>733</v>
      </c>
      <c r="G1039" s="360">
        <v>12</v>
      </c>
      <c r="H1039" s="30">
        <v>8</v>
      </c>
      <c r="I1039" s="9" t="s">
        <v>148</v>
      </c>
      <c r="J1039" s="9" t="s">
        <v>789</v>
      </c>
      <c r="K1039" s="30">
        <v>1</v>
      </c>
      <c r="L1039" s="9" t="s">
        <v>152</v>
      </c>
      <c r="M1039" s="30" t="s">
        <v>84</v>
      </c>
      <c r="N1039" s="30" t="s">
        <v>151</v>
      </c>
      <c r="O1039" s="24">
        <v>2</v>
      </c>
      <c r="P1039" s="24">
        <v>118</v>
      </c>
      <c r="Q1039" s="24">
        <v>263</v>
      </c>
      <c r="R1039" s="24">
        <v>0</v>
      </c>
      <c r="S1039" s="24">
        <v>0</v>
      </c>
      <c r="T1039" s="24">
        <v>383</v>
      </c>
    </row>
    <row r="1040" spans="1:20">
      <c r="A1040" s="9" t="s">
        <v>775</v>
      </c>
      <c r="B1040" s="30" t="s">
        <v>790</v>
      </c>
      <c r="C1040" s="30" t="str">
        <f>CONCATENATE(VOL_VOLUMEN_SUMINISTROS[[#This Row],[Proyecto]],VOL_VOLUMEN_SUMINISTROS[[#This Row],[J]],VOL_VOLUMEN_SUMINISTROS[[#This Row],[FIN DE SEMANA]])</f>
        <v>1052-1MNO</v>
      </c>
      <c r="D1040" s="360" t="str">
        <f>CONCATENATE(VOL_VOLUMEN_SUMINISTROS[[#This Row],[Grupo]],VOL_VOLUMEN_SUMINISTROS[[#This Row],[Proyecto]],VOL_VOLUMEN_SUMINISTROS[[#This Row],[FIN DE SEMANA]])</f>
        <v>291052-1NO</v>
      </c>
      <c r="E1040" s="30" t="s">
        <v>146</v>
      </c>
      <c r="F1040" s="30" t="s">
        <v>733</v>
      </c>
      <c r="G1040" s="360">
        <v>29</v>
      </c>
      <c r="H1040" s="30">
        <v>7</v>
      </c>
      <c r="I1040" s="9" t="s">
        <v>220</v>
      </c>
      <c r="J1040" s="9" t="s">
        <v>791</v>
      </c>
      <c r="K1040" s="30">
        <v>1</v>
      </c>
      <c r="L1040" s="9" t="s">
        <v>152</v>
      </c>
      <c r="M1040" s="30" t="s">
        <v>84</v>
      </c>
      <c r="N1040" s="30" t="s">
        <v>151</v>
      </c>
      <c r="O1040" s="24">
        <v>2</v>
      </c>
      <c r="P1040" s="24">
        <v>397</v>
      </c>
      <c r="Q1040" s="24">
        <v>670</v>
      </c>
      <c r="R1040" s="24">
        <v>0</v>
      </c>
      <c r="S1040" s="24">
        <v>0</v>
      </c>
      <c r="T1040" s="24">
        <v>1069</v>
      </c>
    </row>
    <row r="1041" spans="1:20">
      <c r="A1041" s="9" t="s">
        <v>775</v>
      </c>
      <c r="B1041" s="30" t="s">
        <v>790</v>
      </c>
      <c r="C1041" s="30" t="str">
        <f>CONCATENATE(VOL_VOLUMEN_SUMINISTROS[[#This Row],[Proyecto]],VOL_VOLUMEN_SUMINISTROS[[#This Row],[J]],VOL_VOLUMEN_SUMINISTROS[[#This Row],[FIN DE SEMANA]])</f>
        <v>1052-1MNO</v>
      </c>
      <c r="D1041" s="360" t="str">
        <f>CONCATENATE(VOL_VOLUMEN_SUMINISTROS[[#This Row],[Grupo]],VOL_VOLUMEN_SUMINISTROS[[#This Row],[Proyecto]],VOL_VOLUMEN_SUMINISTROS[[#This Row],[FIN DE SEMANA]])</f>
        <v>291052-1NO</v>
      </c>
      <c r="E1041" s="30" t="s">
        <v>146</v>
      </c>
      <c r="F1041" s="30" t="s">
        <v>733</v>
      </c>
      <c r="G1041" s="360">
        <v>29</v>
      </c>
      <c r="H1041" s="30">
        <v>7</v>
      </c>
      <c r="I1041" s="9" t="s">
        <v>220</v>
      </c>
      <c r="J1041" s="9" t="s">
        <v>792</v>
      </c>
      <c r="K1041" s="30">
        <v>1</v>
      </c>
      <c r="L1041" s="9" t="s">
        <v>152</v>
      </c>
      <c r="M1041" s="30" t="s">
        <v>84</v>
      </c>
      <c r="N1041" s="30" t="s">
        <v>151</v>
      </c>
      <c r="O1041" s="24">
        <v>2</v>
      </c>
      <c r="P1041" s="24">
        <v>7</v>
      </c>
      <c r="Q1041" s="24">
        <v>16</v>
      </c>
      <c r="R1041" s="24">
        <v>0</v>
      </c>
      <c r="S1041" s="24">
        <v>0</v>
      </c>
      <c r="T1041" s="24">
        <v>25</v>
      </c>
    </row>
    <row r="1042" spans="1:20">
      <c r="A1042" s="9" t="s">
        <v>775</v>
      </c>
      <c r="B1042" s="30" t="s">
        <v>790</v>
      </c>
      <c r="C1042" s="30" t="str">
        <f>CONCATENATE(VOL_VOLUMEN_SUMINISTROS[[#This Row],[Proyecto]],VOL_VOLUMEN_SUMINISTROS[[#This Row],[J]],VOL_VOLUMEN_SUMINISTROS[[#This Row],[FIN DE SEMANA]])</f>
        <v>1052-1TNO</v>
      </c>
      <c r="D1042" s="360" t="str">
        <f>CONCATENATE(VOL_VOLUMEN_SUMINISTROS[[#This Row],[Grupo]],VOL_VOLUMEN_SUMINISTROS[[#This Row],[Proyecto]],VOL_VOLUMEN_SUMINISTROS[[#This Row],[FIN DE SEMANA]])</f>
        <v>291052-1NO</v>
      </c>
      <c r="E1042" s="30" t="s">
        <v>146</v>
      </c>
      <c r="F1042" s="30" t="s">
        <v>733</v>
      </c>
      <c r="G1042" s="360">
        <v>29</v>
      </c>
      <c r="H1042" s="30">
        <v>7</v>
      </c>
      <c r="I1042" s="9" t="s">
        <v>220</v>
      </c>
      <c r="J1042" s="9" t="s">
        <v>793</v>
      </c>
      <c r="K1042" s="30">
        <v>1</v>
      </c>
      <c r="L1042" s="9" t="s">
        <v>152</v>
      </c>
      <c r="M1042" s="30" t="s">
        <v>84</v>
      </c>
      <c r="N1042" s="30" t="s">
        <v>154</v>
      </c>
      <c r="O1042" s="24">
        <v>0</v>
      </c>
      <c r="P1042" s="24">
        <v>183</v>
      </c>
      <c r="Q1042" s="24">
        <v>465</v>
      </c>
      <c r="R1042" s="24">
        <v>0</v>
      </c>
      <c r="S1042" s="24">
        <v>0</v>
      </c>
      <c r="T1042" s="24">
        <v>648</v>
      </c>
    </row>
    <row r="1043" spans="1:20">
      <c r="A1043" s="9" t="s">
        <v>775</v>
      </c>
      <c r="B1043" s="30" t="s">
        <v>790</v>
      </c>
      <c r="C1043" s="30" t="str">
        <f>CONCATENATE(VOL_VOLUMEN_SUMINISTROS[[#This Row],[Proyecto]],VOL_VOLUMEN_SUMINISTROS[[#This Row],[J]],VOL_VOLUMEN_SUMINISTROS[[#This Row],[FIN DE SEMANA]])</f>
        <v>1052-1MNO</v>
      </c>
      <c r="D1043" s="360" t="str">
        <f>CONCATENATE(VOL_VOLUMEN_SUMINISTROS[[#This Row],[Grupo]],VOL_VOLUMEN_SUMINISTROS[[#This Row],[Proyecto]],VOL_VOLUMEN_SUMINISTROS[[#This Row],[FIN DE SEMANA]])</f>
        <v>291052-1NO</v>
      </c>
      <c r="E1043" s="30" t="s">
        <v>146</v>
      </c>
      <c r="F1043" s="30" t="s">
        <v>733</v>
      </c>
      <c r="G1043" s="360">
        <v>29</v>
      </c>
      <c r="H1043" s="30">
        <v>7</v>
      </c>
      <c r="I1043" s="9" t="s">
        <v>220</v>
      </c>
      <c r="J1043" s="9" t="s">
        <v>794</v>
      </c>
      <c r="K1043" s="30">
        <v>1</v>
      </c>
      <c r="L1043" s="9" t="s">
        <v>152</v>
      </c>
      <c r="M1043" s="30" t="s">
        <v>84</v>
      </c>
      <c r="N1043" s="30" t="s">
        <v>151</v>
      </c>
      <c r="O1043" s="24">
        <v>2</v>
      </c>
      <c r="P1043" s="24">
        <v>115</v>
      </c>
      <c r="Q1043" s="24">
        <v>227</v>
      </c>
      <c r="R1043" s="24">
        <v>0</v>
      </c>
      <c r="S1043" s="24">
        <v>0</v>
      </c>
      <c r="T1043" s="24">
        <v>344</v>
      </c>
    </row>
    <row r="1044" spans="1:20">
      <c r="A1044" s="9" t="s">
        <v>775</v>
      </c>
      <c r="B1044" s="30" t="s">
        <v>790</v>
      </c>
      <c r="C1044" s="30" t="str">
        <f>CONCATENATE(VOL_VOLUMEN_SUMINISTROS[[#This Row],[Proyecto]],VOL_VOLUMEN_SUMINISTROS[[#This Row],[J]],VOL_VOLUMEN_SUMINISTROS[[#This Row],[FIN DE SEMANA]])</f>
        <v>1052-1MNO</v>
      </c>
      <c r="D1044" s="360" t="str">
        <f>CONCATENATE(VOL_VOLUMEN_SUMINISTROS[[#This Row],[Grupo]],VOL_VOLUMEN_SUMINISTROS[[#This Row],[Proyecto]],VOL_VOLUMEN_SUMINISTROS[[#This Row],[FIN DE SEMANA]])</f>
        <v>291052-1NO</v>
      </c>
      <c r="E1044" s="30" t="s">
        <v>146</v>
      </c>
      <c r="F1044" s="30" t="s">
        <v>733</v>
      </c>
      <c r="G1044" s="360">
        <v>29</v>
      </c>
      <c r="H1044" s="30">
        <v>7</v>
      </c>
      <c r="I1044" s="9" t="s">
        <v>220</v>
      </c>
      <c r="J1044" s="9" t="s">
        <v>795</v>
      </c>
      <c r="K1044" s="30">
        <v>1</v>
      </c>
      <c r="L1044" s="9" t="s">
        <v>152</v>
      </c>
      <c r="M1044" s="30" t="s">
        <v>84</v>
      </c>
      <c r="N1044" s="30" t="s">
        <v>151</v>
      </c>
      <c r="O1044" s="24">
        <v>2</v>
      </c>
      <c r="P1044" s="24">
        <v>118</v>
      </c>
      <c r="Q1044" s="24">
        <v>377</v>
      </c>
      <c r="R1044" s="24">
        <v>0</v>
      </c>
      <c r="S1044" s="24">
        <v>0</v>
      </c>
      <c r="T1044" s="24">
        <v>497</v>
      </c>
    </row>
    <row r="1045" spans="1:20">
      <c r="A1045" s="9" t="s">
        <v>775</v>
      </c>
      <c r="B1045" s="30" t="s">
        <v>790</v>
      </c>
      <c r="C1045" s="30" t="str">
        <f>CONCATENATE(VOL_VOLUMEN_SUMINISTROS[[#This Row],[Proyecto]],VOL_VOLUMEN_SUMINISTROS[[#This Row],[J]],VOL_VOLUMEN_SUMINISTROS[[#This Row],[FIN DE SEMANA]])</f>
        <v>1052-1TNO</v>
      </c>
      <c r="D1045" s="360" t="str">
        <f>CONCATENATE(VOL_VOLUMEN_SUMINISTROS[[#This Row],[Grupo]],VOL_VOLUMEN_SUMINISTROS[[#This Row],[Proyecto]],VOL_VOLUMEN_SUMINISTROS[[#This Row],[FIN DE SEMANA]])</f>
        <v>291052-1NO</v>
      </c>
      <c r="E1045" s="30" t="s">
        <v>146</v>
      </c>
      <c r="F1045" s="30" t="s">
        <v>733</v>
      </c>
      <c r="G1045" s="360">
        <v>29</v>
      </c>
      <c r="H1045" s="30">
        <v>7</v>
      </c>
      <c r="I1045" s="9" t="s">
        <v>220</v>
      </c>
      <c r="J1045" s="9" t="s">
        <v>796</v>
      </c>
      <c r="K1045" s="30">
        <v>1</v>
      </c>
      <c r="L1045" s="9" t="s">
        <v>152</v>
      </c>
      <c r="M1045" s="30" t="s">
        <v>84</v>
      </c>
      <c r="N1045" s="30" t="s">
        <v>154</v>
      </c>
      <c r="O1045" s="24">
        <v>2</v>
      </c>
      <c r="P1045" s="24">
        <v>208</v>
      </c>
      <c r="Q1045" s="24">
        <v>717</v>
      </c>
      <c r="R1045" s="24">
        <v>0</v>
      </c>
      <c r="S1045" s="24">
        <v>0</v>
      </c>
      <c r="T1045" s="24">
        <v>927</v>
      </c>
    </row>
    <row r="1046" spans="1:20">
      <c r="A1046" s="9" t="s">
        <v>775</v>
      </c>
      <c r="B1046" s="30" t="s">
        <v>790</v>
      </c>
      <c r="C1046" s="30" t="str">
        <f>CONCATENATE(VOL_VOLUMEN_SUMINISTROS[[#This Row],[Proyecto]],VOL_VOLUMEN_SUMINISTROS[[#This Row],[J]],VOL_VOLUMEN_SUMINISTROS[[#This Row],[FIN DE SEMANA]])</f>
        <v>1052-1MNO</v>
      </c>
      <c r="D1046" s="360" t="str">
        <f>CONCATENATE(VOL_VOLUMEN_SUMINISTROS[[#This Row],[Grupo]],VOL_VOLUMEN_SUMINISTROS[[#This Row],[Proyecto]],VOL_VOLUMEN_SUMINISTROS[[#This Row],[FIN DE SEMANA]])</f>
        <v>291052-1NO</v>
      </c>
      <c r="E1046" s="30" t="s">
        <v>146</v>
      </c>
      <c r="F1046" s="30" t="s">
        <v>733</v>
      </c>
      <c r="G1046" s="360">
        <v>29</v>
      </c>
      <c r="H1046" s="30">
        <v>7</v>
      </c>
      <c r="I1046" s="9" t="s">
        <v>220</v>
      </c>
      <c r="J1046" s="9" t="s">
        <v>797</v>
      </c>
      <c r="K1046" s="30">
        <v>1</v>
      </c>
      <c r="L1046" s="9" t="s">
        <v>152</v>
      </c>
      <c r="M1046" s="30" t="s">
        <v>84</v>
      </c>
      <c r="N1046" s="30" t="s">
        <v>151</v>
      </c>
      <c r="O1046" s="24">
        <v>0</v>
      </c>
      <c r="P1046" s="24">
        <v>36</v>
      </c>
      <c r="Q1046" s="24">
        <v>92</v>
      </c>
      <c r="R1046" s="24">
        <v>0</v>
      </c>
      <c r="S1046" s="24">
        <v>0</v>
      </c>
      <c r="T1046" s="24">
        <v>128</v>
      </c>
    </row>
    <row r="1047" spans="1:20">
      <c r="A1047" s="9" t="s">
        <v>775</v>
      </c>
      <c r="B1047" s="30" t="s">
        <v>790</v>
      </c>
      <c r="C1047" s="30" t="str">
        <f>CONCATENATE(VOL_VOLUMEN_SUMINISTROS[[#This Row],[Proyecto]],VOL_VOLUMEN_SUMINISTROS[[#This Row],[J]],VOL_VOLUMEN_SUMINISTROS[[#This Row],[FIN DE SEMANA]])</f>
        <v>1052-1MNO</v>
      </c>
      <c r="D1047" s="360" t="str">
        <f>CONCATENATE(VOL_VOLUMEN_SUMINISTROS[[#This Row],[Grupo]],VOL_VOLUMEN_SUMINISTROS[[#This Row],[Proyecto]],VOL_VOLUMEN_SUMINISTROS[[#This Row],[FIN DE SEMANA]])</f>
        <v>291052-1NO</v>
      </c>
      <c r="E1047" s="30" t="s">
        <v>146</v>
      </c>
      <c r="F1047" s="30" t="s">
        <v>733</v>
      </c>
      <c r="G1047" s="360">
        <v>29</v>
      </c>
      <c r="H1047" s="30">
        <v>7</v>
      </c>
      <c r="I1047" s="9" t="s">
        <v>220</v>
      </c>
      <c r="J1047" s="9" t="s">
        <v>798</v>
      </c>
      <c r="K1047" s="30">
        <v>1</v>
      </c>
      <c r="L1047" s="9" t="s">
        <v>152</v>
      </c>
      <c r="M1047" s="30" t="s">
        <v>84</v>
      </c>
      <c r="N1047" s="30" t="s">
        <v>151</v>
      </c>
      <c r="O1047" s="24">
        <v>8</v>
      </c>
      <c r="P1047" s="24">
        <v>28</v>
      </c>
      <c r="Q1047" s="24">
        <v>36</v>
      </c>
      <c r="R1047" s="24">
        <v>0</v>
      </c>
      <c r="S1047" s="24">
        <v>0</v>
      </c>
      <c r="T1047" s="24">
        <v>72</v>
      </c>
    </row>
    <row r="1048" spans="1:20">
      <c r="A1048" s="9" t="s">
        <v>775</v>
      </c>
      <c r="B1048" s="30" t="s">
        <v>790</v>
      </c>
      <c r="C1048" s="30" t="str">
        <f>CONCATENATE(VOL_VOLUMEN_SUMINISTROS[[#This Row],[Proyecto]],VOL_VOLUMEN_SUMINISTROS[[#This Row],[J]],VOL_VOLUMEN_SUMINISTROS[[#This Row],[FIN DE SEMANA]])</f>
        <v>1052-1MNO</v>
      </c>
      <c r="D1048" s="360" t="str">
        <f>CONCATENATE(VOL_VOLUMEN_SUMINISTROS[[#This Row],[Grupo]],VOL_VOLUMEN_SUMINISTROS[[#This Row],[Proyecto]],VOL_VOLUMEN_SUMINISTROS[[#This Row],[FIN DE SEMANA]])</f>
        <v>291052-1NO</v>
      </c>
      <c r="E1048" s="30" t="s">
        <v>146</v>
      </c>
      <c r="F1048" s="30" t="s">
        <v>733</v>
      </c>
      <c r="G1048" s="360">
        <v>29</v>
      </c>
      <c r="H1048" s="30">
        <v>7</v>
      </c>
      <c r="I1048" s="9" t="s">
        <v>220</v>
      </c>
      <c r="J1048" s="9" t="s">
        <v>799</v>
      </c>
      <c r="K1048" s="30">
        <v>1</v>
      </c>
      <c r="L1048" s="9" t="s">
        <v>152</v>
      </c>
      <c r="M1048" s="30" t="s">
        <v>84</v>
      </c>
      <c r="N1048" s="30" t="s">
        <v>151</v>
      </c>
      <c r="O1048" s="24">
        <v>0</v>
      </c>
      <c r="P1048" s="24">
        <v>18</v>
      </c>
      <c r="Q1048" s="24">
        <v>56</v>
      </c>
      <c r="R1048" s="24">
        <v>0</v>
      </c>
      <c r="S1048" s="24">
        <v>0</v>
      </c>
      <c r="T1048" s="24">
        <v>74</v>
      </c>
    </row>
    <row r="1049" spans="1:20">
      <c r="A1049" s="9" t="s">
        <v>800</v>
      </c>
      <c r="B1049" s="30" t="s">
        <v>801</v>
      </c>
      <c r="C1049" s="30" t="str">
        <f>CONCATENATE(VOL_VOLUMEN_SUMINISTROS[[#This Row],[Proyecto]],VOL_VOLUMEN_SUMINISTROS[[#This Row],[J]],VOL_VOLUMEN_SUMINISTROS[[#This Row],[FIN DE SEMANA]])</f>
        <v>1052-1MNO</v>
      </c>
      <c r="D1049" s="360" t="str">
        <f>CONCATENATE(VOL_VOLUMEN_SUMINISTROS[[#This Row],[Grupo]],VOL_VOLUMEN_SUMINISTROS[[#This Row],[Proyecto]],VOL_VOLUMEN_SUMINISTROS[[#This Row],[FIN DE SEMANA]])</f>
        <v>201052-1NO</v>
      </c>
      <c r="E1049" s="30" t="s">
        <v>146</v>
      </c>
      <c r="F1049" s="30" t="s">
        <v>733</v>
      </c>
      <c r="G1049" s="360">
        <v>20</v>
      </c>
      <c r="H1049" s="30">
        <v>11</v>
      </c>
      <c r="I1049" s="9" t="s">
        <v>802</v>
      </c>
      <c r="J1049" s="9" t="s">
        <v>803</v>
      </c>
      <c r="K1049" s="30">
        <v>1</v>
      </c>
      <c r="L1049" s="9" t="s">
        <v>152</v>
      </c>
      <c r="M1049" s="30" t="s">
        <v>84</v>
      </c>
      <c r="N1049" s="30" t="s">
        <v>151</v>
      </c>
      <c r="O1049" s="24">
        <v>0</v>
      </c>
      <c r="P1049" s="24">
        <v>39</v>
      </c>
      <c r="Q1049" s="24">
        <v>144</v>
      </c>
      <c r="R1049" s="24">
        <v>0</v>
      </c>
      <c r="S1049" s="24">
        <v>0</v>
      </c>
      <c r="T1049" s="24">
        <v>183</v>
      </c>
    </row>
    <row r="1050" spans="1:20">
      <c r="A1050" s="9" t="s">
        <v>800</v>
      </c>
      <c r="B1050" s="30" t="s">
        <v>801</v>
      </c>
      <c r="C1050" s="30" t="str">
        <f>CONCATENATE(VOL_VOLUMEN_SUMINISTROS[[#This Row],[Proyecto]],VOL_VOLUMEN_SUMINISTROS[[#This Row],[J]],VOL_VOLUMEN_SUMINISTROS[[#This Row],[FIN DE SEMANA]])</f>
        <v>1052-1MNO</v>
      </c>
      <c r="D1050" s="360" t="str">
        <f>CONCATENATE(VOL_VOLUMEN_SUMINISTROS[[#This Row],[Grupo]],VOL_VOLUMEN_SUMINISTROS[[#This Row],[Proyecto]],VOL_VOLUMEN_SUMINISTROS[[#This Row],[FIN DE SEMANA]])</f>
        <v>201052-1NO</v>
      </c>
      <c r="E1050" s="30" t="s">
        <v>146</v>
      </c>
      <c r="F1050" s="30" t="s">
        <v>733</v>
      </c>
      <c r="G1050" s="360">
        <v>20</v>
      </c>
      <c r="H1050" s="30">
        <v>11</v>
      </c>
      <c r="I1050" s="9" t="s">
        <v>802</v>
      </c>
      <c r="J1050" s="9" t="s">
        <v>804</v>
      </c>
      <c r="K1050" s="30">
        <v>1</v>
      </c>
      <c r="L1050" s="9" t="s">
        <v>152</v>
      </c>
      <c r="M1050" s="30" t="s">
        <v>84</v>
      </c>
      <c r="N1050" s="30" t="s">
        <v>151</v>
      </c>
      <c r="O1050" s="24">
        <v>2</v>
      </c>
      <c r="P1050" s="24">
        <v>139</v>
      </c>
      <c r="Q1050" s="24">
        <v>291</v>
      </c>
      <c r="R1050" s="24">
        <v>0</v>
      </c>
      <c r="S1050" s="24">
        <v>0</v>
      </c>
      <c r="T1050" s="24">
        <v>432</v>
      </c>
    </row>
    <row r="1051" spans="1:20">
      <c r="A1051" s="9" t="s">
        <v>800</v>
      </c>
      <c r="B1051" s="30" t="s">
        <v>801</v>
      </c>
      <c r="C1051" s="30" t="str">
        <f>CONCATENATE(VOL_VOLUMEN_SUMINISTROS[[#This Row],[Proyecto]],VOL_VOLUMEN_SUMINISTROS[[#This Row],[J]],VOL_VOLUMEN_SUMINISTROS[[#This Row],[FIN DE SEMANA]])</f>
        <v>1052-1MNO</v>
      </c>
      <c r="D1051" s="360" t="str">
        <f>CONCATENATE(VOL_VOLUMEN_SUMINISTROS[[#This Row],[Grupo]],VOL_VOLUMEN_SUMINISTROS[[#This Row],[Proyecto]],VOL_VOLUMEN_SUMINISTROS[[#This Row],[FIN DE SEMANA]])</f>
        <v>201052-1NO</v>
      </c>
      <c r="E1051" s="30" t="s">
        <v>146</v>
      </c>
      <c r="F1051" s="30" t="s">
        <v>733</v>
      </c>
      <c r="G1051" s="360">
        <v>20</v>
      </c>
      <c r="H1051" s="30">
        <v>11</v>
      </c>
      <c r="I1051" s="9" t="s">
        <v>802</v>
      </c>
      <c r="J1051" s="9" t="s">
        <v>805</v>
      </c>
      <c r="K1051" s="30">
        <v>1</v>
      </c>
      <c r="L1051" s="9" t="s">
        <v>152</v>
      </c>
      <c r="M1051" s="30" t="s">
        <v>84</v>
      </c>
      <c r="N1051" s="30" t="s">
        <v>151</v>
      </c>
      <c r="O1051" s="24">
        <v>8</v>
      </c>
      <c r="P1051" s="24">
        <v>76</v>
      </c>
      <c r="Q1051" s="24">
        <v>129</v>
      </c>
      <c r="R1051" s="24">
        <v>0</v>
      </c>
      <c r="S1051" s="24">
        <v>0</v>
      </c>
      <c r="T1051" s="24">
        <v>213</v>
      </c>
    </row>
    <row r="1052" spans="1:20">
      <c r="A1052" s="9" t="s">
        <v>800</v>
      </c>
      <c r="B1052" s="30" t="s">
        <v>801</v>
      </c>
      <c r="C1052" s="30" t="str">
        <f>CONCATENATE(VOL_VOLUMEN_SUMINISTROS[[#This Row],[Proyecto]],VOL_VOLUMEN_SUMINISTROS[[#This Row],[J]],VOL_VOLUMEN_SUMINISTROS[[#This Row],[FIN DE SEMANA]])</f>
        <v>1052-1MNO</v>
      </c>
      <c r="D1052" s="360" t="str">
        <f>CONCATENATE(VOL_VOLUMEN_SUMINISTROS[[#This Row],[Grupo]],VOL_VOLUMEN_SUMINISTROS[[#This Row],[Proyecto]],VOL_VOLUMEN_SUMINISTROS[[#This Row],[FIN DE SEMANA]])</f>
        <v>201052-1NO</v>
      </c>
      <c r="E1052" s="30" t="s">
        <v>146</v>
      </c>
      <c r="F1052" s="30" t="s">
        <v>733</v>
      </c>
      <c r="G1052" s="360">
        <v>20</v>
      </c>
      <c r="H1052" s="30">
        <v>11</v>
      </c>
      <c r="I1052" s="9" t="s">
        <v>802</v>
      </c>
      <c r="J1052" s="9" t="s">
        <v>806</v>
      </c>
      <c r="K1052" s="30">
        <v>1</v>
      </c>
      <c r="L1052" s="9" t="s">
        <v>152</v>
      </c>
      <c r="M1052" s="30" t="s">
        <v>84</v>
      </c>
      <c r="N1052" s="30" t="s">
        <v>151</v>
      </c>
      <c r="O1052" s="24">
        <v>0</v>
      </c>
      <c r="P1052" s="24">
        <v>87</v>
      </c>
      <c r="Q1052" s="24">
        <v>608</v>
      </c>
      <c r="R1052" s="24">
        <v>0</v>
      </c>
      <c r="S1052" s="24">
        <v>0</v>
      </c>
      <c r="T1052" s="24">
        <v>695</v>
      </c>
    </row>
    <row r="1053" spans="1:20">
      <c r="A1053" s="9" t="s">
        <v>800</v>
      </c>
      <c r="B1053" s="30" t="s">
        <v>801</v>
      </c>
      <c r="C1053" s="30" t="str">
        <f>CONCATENATE(VOL_VOLUMEN_SUMINISTROS[[#This Row],[Proyecto]],VOL_VOLUMEN_SUMINISTROS[[#This Row],[J]],VOL_VOLUMEN_SUMINISTROS[[#This Row],[FIN DE SEMANA]])</f>
        <v>1052-1MNO</v>
      </c>
      <c r="D1053" s="360" t="str">
        <f>CONCATENATE(VOL_VOLUMEN_SUMINISTROS[[#This Row],[Grupo]],VOL_VOLUMEN_SUMINISTROS[[#This Row],[Proyecto]],VOL_VOLUMEN_SUMINISTROS[[#This Row],[FIN DE SEMANA]])</f>
        <v>201052-1NO</v>
      </c>
      <c r="E1053" s="30" t="s">
        <v>146</v>
      </c>
      <c r="F1053" s="30" t="s">
        <v>733</v>
      </c>
      <c r="G1053" s="360">
        <v>20</v>
      </c>
      <c r="H1053" s="30">
        <v>11</v>
      </c>
      <c r="I1053" s="9" t="s">
        <v>802</v>
      </c>
      <c r="J1053" s="9" t="s">
        <v>806</v>
      </c>
      <c r="K1053" s="30">
        <v>2</v>
      </c>
      <c r="L1053" s="9" t="s">
        <v>164</v>
      </c>
      <c r="M1053" s="30" t="s">
        <v>84</v>
      </c>
      <c r="N1053" s="30" t="s">
        <v>151</v>
      </c>
      <c r="O1053" s="24">
        <v>0</v>
      </c>
      <c r="P1053" s="24">
        <v>228</v>
      </c>
      <c r="Q1053" s="24">
        <v>76</v>
      </c>
      <c r="R1053" s="24">
        <v>0</v>
      </c>
      <c r="S1053" s="24">
        <v>0</v>
      </c>
      <c r="T1053" s="24">
        <v>304</v>
      </c>
    </row>
    <row r="1054" spans="1:20">
      <c r="A1054" s="9" t="s">
        <v>800</v>
      </c>
      <c r="B1054" s="30" t="s">
        <v>801</v>
      </c>
      <c r="C1054" s="30" t="str">
        <f>CONCATENATE(VOL_VOLUMEN_SUMINISTROS[[#This Row],[Proyecto]],VOL_VOLUMEN_SUMINISTROS[[#This Row],[J]],VOL_VOLUMEN_SUMINISTROS[[#This Row],[FIN DE SEMANA]])</f>
        <v>1052-1MNO</v>
      </c>
      <c r="D1054" s="360" t="str">
        <f>CONCATENATE(VOL_VOLUMEN_SUMINISTROS[[#This Row],[Grupo]],VOL_VOLUMEN_SUMINISTROS[[#This Row],[Proyecto]],VOL_VOLUMEN_SUMINISTROS[[#This Row],[FIN DE SEMANA]])</f>
        <v>201052-1NO</v>
      </c>
      <c r="E1054" s="30" t="s">
        <v>146</v>
      </c>
      <c r="F1054" s="30" t="s">
        <v>733</v>
      </c>
      <c r="G1054" s="360">
        <v>20</v>
      </c>
      <c r="H1054" s="30">
        <v>11</v>
      </c>
      <c r="I1054" s="9" t="s">
        <v>802</v>
      </c>
      <c r="J1054" s="9" t="s">
        <v>807</v>
      </c>
      <c r="K1054" s="30">
        <v>1</v>
      </c>
      <c r="L1054" s="9" t="s">
        <v>152</v>
      </c>
      <c r="M1054" s="30" t="s">
        <v>84</v>
      </c>
      <c r="N1054" s="30" t="s">
        <v>151</v>
      </c>
      <c r="O1054" s="24">
        <v>2</v>
      </c>
      <c r="P1054" s="24">
        <v>64</v>
      </c>
      <c r="Q1054" s="24">
        <v>218</v>
      </c>
      <c r="R1054" s="24">
        <v>0</v>
      </c>
      <c r="S1054" s="24">
        <v>0</v>
      </c>
      <c r="T1054" s="24">
        <v>284</v>
      </c>
    </row>
    <row r="1055" spans="1:20">
      <c r="A1055" s="9" t="s">
        <v>800</v>
      </c>
      <c r="B1055" s="30" t="s">
        <v>801</v>
      </c>
      <c r="C1055" s="30" t="str">
        <f>CONCATENATE(VOL_VOLUMEN_SUMINISTROS[[#This Row],[Proyecto]],VOL_VOLUMEN_SUMINISTROS[[#This Row],[J]],VOL_VOLUMEN_SUMINISTROS[[#This Row],[FIN DE SEMANA]])</f>
        <v>1052-1MNO</v>
      </c>
      <c r="D1055" s="360" t="str">
        <f>CONCATENATE(VOL_VOLUMEN_SUMINISTROS[[#This Row],[Grupo]],VOL_VOLUMEN_SUMINISTROS[[#This Row],[Proyecto]],VOL_VOLUMEN_SUMINISTROS[[#This Row],[FIN DE SEMANA]])</f>
        <v>201052-1NO</v>
      </c>
      <c r="E1055" s="30" t="s">
        <v>146</v>
      </c>
      <c r="F1055" s="30" t="s">
        <v>733</v>
      </c>
      <c r="G1055" s="360">
        <v>20</v>
      </c>
      <c r="H1055" s="30">
        <v>11</v>
      </c>
      <c r="I1055" s="9" t="s">
        <v>802</v>
      </c>
      <c r="J1055" s="9" t="s">
        <v>808</v>
      </c>
      <c r="K1055" s="30">
        <v>1</v>
      </c>
      <c r="L1055" s="9" t="s">
        <v>152</v>
      </c>
      <c r="M1055" s="30" t="s">
        <v>84</v>
      </c>
      <c r="N1055" s="30" t="s">
        <v>151</v>
      </c>
      <c r="O1055" s="24">
        <v>96</v>
      </c>
      <c r="P1055" s="24">
        <v>1284</v>
      </c>
      <c r="Q1055" s="24">
        <v>1590</v>
      </c>
      <c r="R1055" s="24">
        <v>0</v>
      </c>
      <c r="S1055" s="24">
        <v>0</v>
      </c>
      <c r="T1055" s="24">
        <v>2970</v>
      </c>
    </row>
    <row r="1056" spans="1:20">
      <c r="A1056" s="9" t="s">
        <v>800</v>
      </c>
      <c r="B1056" s="30" t="s">
        <v>801</v>
      </c>
      <c r="C1056" s="30" t="str">
        <f>CONCATENATE(VOL_VOLUMEN_SUMINISTROS[[#This Row],[Proyecto]],VOL_VOLUMEN_SUMINISTROS[[#This Row],[J]],VOL_VOLUMEN_SUMINISTROS[[#This Row],[FIN DE SEMANA]])</f>
        <v>1052-1MNO</v>
      </c>
      <c r="D1056" s="360" t="str">
        <f>CONCATENATE(VOL_VOLUMEN_SUMINISTROS[[#This Row],[Grupo]],VOL_VOLUMEN_SUMINISTROS[[#This Row],[Proyecto]],VOL_VOLUMEN_SUMINISTROS[[#This Row],[FIN DE SEMANA]])</f>
        <v>171052-1NO</v>
      </c>
      <c r="E1056" s="30" t="s">
        <v>146</v>
      </c>
      <c r="F1056" s="30" t="s">
        <v>733</v>
      </c>
      <c r="G1056" s="360">
        <v>17</v>
      </c>
      <c r="H1056" s="30">
        <v>11</v>
      </c>
      <c r="I1056" s="9" t="s">
        <v>802</v>
      </c>
      <c r="J1056" s="9" t="s">
        <v>809</v>
      </c>
      <c r="K1056" s="30">
        <v>1</v>
      </c>
      <c r="L1056" s="9" t="s">
        <v>152</v>
      </c>
      <c r="M1056" s="30" t="s">
        <v>84</v>
      </c>
      <c r="N1056" s="30" t="s">
        <v>151</v>
      </c>
      <c r="O1056" s="24">
        <v>40</v>
      </c>
      <c r="P1056" s="24">
        <v>584</v>
      </c>
      <c r="Q1056" s="24">
        <v>270</v>
      </c>
      <c r="R1056" s="24">
        <v>0</v>
      </c>
      <c r="S1056" s="24">
        <v>0</v>
      </c>
      <c r="T1056" s="24">
        <v>894</v>
      </c>
    </row>
    <row r="1057" spans="1:20">
      <c r="A1057" s="9" t="s">
        <v>800</v>
      </c>
      <c r="B1057" s="30" t="s">
        <v>801</v>
      </c>
      <c r="C1057" s="30" t="str">
        <f>CONCATENATE(VOL_VOLUMEN_SUMINISTROS[[#This Row],[Proyecto]],VOL_VOLUMEN_SUMINISTROS[[#This Row],[J]],VOL_VOLUMEN_SUMINISTROS[[#This Row],[FIN DE SEMANA]])</f>
        <v>1052-1MNO</v>
      </c>
      <c r="D1057" s="360" t="str">
        <f>CONCATENATE(VOL_VOLUMEN_SUMINISTROS[[#This Row],[Grupo]],VOL_VOLUMEN_SUMINISTROS[[#This Row],[Proyecto]],VOL_VOLUMEN_SUMINISTROS[[#This Row],[FIN DE SEMANA]])</f>
        <v>171052-1NO</v>
      </c>
      <c r="E1057" s="30" t="s">
        <v>146</v>
      </c>
      <c r="F1057" s="30" t="s">
        <v>733</v>
      </c>
      <c r="G1057" s="360">
        <v>17</v>
      </c>
      <c r="H1057" s="30">
        <v>11</v>
      </c>
      <c r="I1057" s="9" t="s">
        <v>802</v>
      </c>
      <c r="J1057" s="9" t="s">
        <v>809</v>
      </c>
      <c r="K1057" s="30">
        <v>2</v>
      </c>
      <c r="L1057" s="9" t="s">
        <v>152</v>
      </c>
      <c r="M1057" s="30" t="s">
        <v>84</v>
      </c>
      <c r="N1057" s="30" t="s">
        <v>151</v>
      </c>
      <c r="O1057" s="24">
        <v>0</v>
      </c>
      <c r="P1057" s="24">
        <v>0</v>
      </c>
      <c r="Q1057" s="24">
        <v>330</v>
      </c>
      <c r="R1057" s="24">
        <v>0</v>
      </c>
      <c r="S1057" s="24">
        <v>0</v>
      </c>
      <c r="T1057" s="24">
        <v>330</v>
      </c>
    </row>
    <row r="1058" spans="1:20">
      <c r="A1058" s="9" t="s">
        <v>800</v>
      </c>
      <c r="B1058" s="30" t="s">
        <v>801</v>
      </c>
      <c r="C1058" s="30" t="str">
        <f>CONCATENATE(VOL_VOLUMEN_SUMINISTROS[[#This Row],[Proyecto]],VOL_VOLUMEN_SUMINISTROS[[#This Row],[J]],VOL_VOLUMEN_SUMINISTROS[[#This Row],[FIN DE SEMANA]])</f>
        <v>1052-1MNO</v>
      </c>
      <c r="D1058" s="360" t="str">
        <f>CONCATENATE(VOL_VOLUMEN_SUMINISTROS[[#This Row],[Grupo]],VOL_VOLUMEN_SUMINISTROS[[#This Row],[Proyecto]],VOL_VOLUMEN_SUMINISTROS[[#This Row],[FIN DE SEMANA]])</f>
        <v>171052-1NO</v>
      </c>
      <c r="E1058" s="30" t="s">
        <v>146</v>
      </c>
      <c r="F1058" s="30" t="s">
        <v>733</v>
      </c>
      <c r="G1058" s="360">
        <v>17</v>
      </c>
      <c r="H1058" s="30">
        <v>11</v>
      </c>
      <c r="I1058" s="9" t="s">
        <v>802</v>
      </c>
      <c r="J1058" s="9" t="s">
        <v>809</v>
      </c>
      <c r="K1058" s="30">
        <v>3</v>
      </c>
      <c r="L1058" s="9" t="s">
        <v>152</v>
      </c>
      <c r="M1058" s="30" t="s">
        <v>84</v>
      </c>
      <c r="N1058" s="30" t="s">
        <v>151</v>
      </c>
      <c r="O1058" s="24">
        <v>0</v>
      </c>
      <c r="P1058" s="24">
        <v>0</v>
      </c>
      <c r="Q1058" s="24">
        <v>280</v>
      </c>
      <c r="R1058" s="24">
        <v>0</v>
      </c>
      <c r="S1058" s="24">
        <v>0</v>
      </c>
      <c r="T1058" s="24">
        <v>280</v>
      </c>
    </row>
    <row r="1059" spans="1:20">
      <c r="A1059" s="9" t="s">
        <v>800</v>
      </c>
      <c r="B1059" s="30" t="s">
        <v>801</v>
      </c>
      <c r="C1059" s="30" t="str">
        <f>CONCATENATE(VOL_VOLUMEN_SUMINISTROS[[#This Row],[Proyecto]],VOL_VOLUMEN_SUMINISTROS[[#This Row],[J]],VOL_VOLUMEN_SUMINISTROS[[#This Row],[FIN DE SEMANA]])</f>
        <v>1052-1MNO</v>
      </c>
      <c r="D1059" s="360" t="str">
        <f>CONCATENATE(VOL_VOLUMEN_SUMINISTROS[[#This Row],[Grupo]],VOL_VOLUMEN_SUMINISTROS[[#This Row],[Proyecto]],VOL_VOLUMEN_SUMINISTROS[[#This Row],[FIN DE SEMANA]])</f>
        <v>191052-1NO</v>
      </c>
      <c r="E1059" s="30" t="s">
        <v>146</v>
      </c>
      <c r="F1059" s="30" t="s">
        <v>733</v>
      </c>
      <c r="G1059" s="360">
        <v>19</v>
      </c>
      <c r="H1059" s="30">
        <v>11</v>
      </c>
      <c r="I1059" s="9" t="s">
        <v>802</v>
      </c>
      <c r="J1059" s="9" t="s">
        <v>810</v>
      </c>
      <c r="K1059" s="30">
        <v>1</v>
      </c>
      <c r="L1059" s="9" t="s">
        <v>152</v>
      </c>
      <c r="M1059" s="30" t="s">
        <v>84</v>
      </c>
      <c r="N1059" s="30" t="s">
        <v>151</v>
      </c>
      <c r="O1059" s="24">
        <v>0</v>
      </c>
      <c r="P1059" s="24">
        <v>66</v>
      </c>
      <c r="Q1059" s="24">
        <v>175</v>
      </c>
      <c r="R1059" s="24">
        <v>0</v>
      </c>
      <c r="S1059" s="24">
        <v>0</v>
      </c>
      <c r="T1059" s="24">
        <v>241</v>
      </c>
    </row>
    <row r="1060" spans="1:20">
      <c r="A1060" s="9" t="s">
        <v>800</v>
      </c>
      <c r="B1060" s="30" t="s">
        <v>801</v>
      </c>
      <c r="C1060" s="30" t="str">
        <f>CONCATENATE(VOL_VOLUMEN_SUMINISTROS[[#This Row],[Proyecto]],VOL_VOLUMEN_SUMINISTROS[[#This Row],[J]],VOL_VOLUMEN_SUMINISTROS[[#This Row],[FIN DE SEMANA]])</f>
        <v>1052-1MNO</v>
      </c>
      <c r="D1060" s="360" t="str">
        <f>CONCATENATE(VOL_VOLUMEN_SUMINISTROS[[#This Row],[Grupo]],VOL_VOLUMEN_SUMINISTROS[[#This Row],[Proyecto]],VOL_VOLUMEN_SUMINISTROS[[#This Row],[FIN DE SEMANA]])</f>
        <v>191052-1NO</v>
      </c>
      <c r="E1060" s="30" t="s">
        <v>146</v>
      </c>
      <c r="F1060" s="30" t="s">
        <v>733</v>
      </c>
      <c r="G1060" s="360">
        <v>19</v>
      </c>
      <c r="H1060" s="30">
        <v>11</v>
      </c>
      <c r="I1060" s="9" t="s">
        <v>802</v>
      </c>
      <c r="J1060" s="9" t="s">
        <v>811</v>
      </c>
      <c r="K1060" s="30">
        <v>1</v>
      </c>
      <c r="L1060" s="9" t="s">
        <v>152</v>
      </c>
      <c r="M1060" s="30" t="s">
        <v>84</v>
      </c>
      <c r="N1060" s="30" t="s">
        <v>151</v>
      </c>
      <c r="O1060" s="24">
        <v>0</v>
      </c>
      <c r="P1060" s="24">
        <v>48</v>
      </c>
      <c r="Q1060" s="24">
        <v>115</v>
      </c>
      <c r="R1060" s="24">
        <v>0</v>
      </c>
      <c r="S1060" s="24">
        <v>0</v>
      </c>
      <c r="T1060" s="24">
        <v>163</v>
      </c>
    </row>
    <row r="1061" spans="1:20">
      <c r="A1061" s="9" t="s">
        <v>800</v>
      </c>
      <c r="B1061" s="30" t="s">
        <v>801</v>
      </c>
      <c r="C1061" s="30" t="str">
        <f>CONCATENATE(VOL_VOLUMEN_SUMINISTROS[[#This Row],[Proyecto]],VOL_VOLUMEN_SUMINISTROS[[#This Row],[J]],VOL_VOLUMEN_SUMINISTROS[[#This Row],[FIN DE SEMANA]])</f>
        <v>1052-1MNO</v>
      </c>
      <c r="D1061" s="360" t="str">
        <f>CONCATENATE(VOL_VOLUMEN_SUMINISTROS[[#This Row],[Grupo]],VOL_VOLUMEN_SUMINISTROS[[#This Row],[Proyecto]],VOL_VOLUMEN_SUMINISTROS[[#This Row],[FIN DE SEMANA]])</f>
        <v>191052-1NO</v>
      </c>
      <c r="E1061" s="30" t="s">
        <v>146</v>
      </c>
      <c r="F1061" s="30" t="s">
        <v>733</v>
      </c>
      <c r="G1061" s="360">
        <v>19</v>
      </c>
      <c r="H1061" s="30">
        <v>11</v>
      </c>
      <c r="I1061" s="9" t="s">
        <v>802</v>
      </c>
      <c r="J1061" s="9" t="s">
        <v>812</v>
      </c>
      <c r="K1061" s="30">
        <v>1</v>
      </c>
      <c r="L1061" s="9" t="s">
        <v>152</v>
      </c>
      <c r="M1061" s="30" t="s">
        <v>84</v>
      </c>
      <c r="N1061" s="30" t="s">
        <v>151</v>
      </c>
      <c r="O1061" s="24">
        <v>4</v>
      </c>
      <c r="P1061" s="24">
        <v>101</v>
      </c>
      <c r="Q1061" s="24">
        <v>215</v>
      </c>
      <c r="R1061" s="24">
        <v>0</v>
      </c>
      <c r="S1061" s="24">
        <v>0</v>
      </c>
      <c r="T1061" s="24">
        <v>320</v>
      </c>
    </row>
    <row r="1062" spans="1:20">
      <c r="A1062" s="9" t="s">
        <v>800</v>
      </c>
      <c r="B1062" s="30" t="s">
        <v>801</v>
      </c>
      <c r="C1062" s="30" t="str">
        <f>CONCATENATE(VOL_VOLUMEN_SUMINISTROS[[#This Row],[Proyecto]],VOL_VOLUMEN_SUMINISTROS[[#This Row],[J]],VOL_VOLUMEN_SUMINISTROS[[#This Row],[FIN DE SEMANA]])</f>
        <v>1052-1MNO</v>
      </c>
      <c r="D1062" s="360" t="str">
        <f>CONCATENATE(VOL_VOLUMEN_SUMINISTROS[[#This Row],[Grupo]],VOL_VOLUMEN_SUMINISTROS[[#This Row],[Proyecto]],VOL_VOLUMEN_SUMINISTROS[[#This Row],[FIN DE SEMANA]])</f>
        <v>191052-1NO</v>
      </c>
      <c r="E1062" s="30" t="s">
        <v>146</v>
      </c>
      <c r="F1062" s="30" t="s">
        <v>733</v>
      </c>
      <c r="G1062" s="360">
        <v>19</v>
      </c>
      <c r="H1062" s="30">
        <v>11</v>
      </c>
      <c r="I1062" s="9" t="s">
        <v>802</v>
      </c>
      <c r="J1062" s="9" t="s">
        <v>813</v>
      </c>
      <c r="K1062" s="30">
        <v>1</v>
      </c>
      <c r="L1062" s="9" t="s">
        <v>152</v>
      </c>
      <c r="M1062" s="30" t="s">
        <v>84</v>
      </c>
      <c r="N1062" s="30" t="s">
        <v>151</v>
      </c>
      <c r="O1062" s="24">
        <v>2</v>
      </c>
      <c r="P1062" s="24">
        <v>82</v>
      </c>
      <c r="Q1062" s="24">
        <v>252</v>
      </c>
      <c r="R1062" s="24">
        <v>0</v>
      </c>
      <c r="S1062" s="24">
        <v>0</v>
      </c>
      <c r="T1062" s="24">
        <v>336</v>
      </c>
    </row>
    <row r="1063" spans="1:20">
      <c r="A1063" s="9" t="s">
        <v>800</v>
      </c>
      <c r="B1063" s="30" t="s">
        <v>801</v>
      </c>
      <c r="C1063" s="30" t="str">
        <f>CONCATENATE(VOL_VOLUMEN_SUMINISTROS[[#This Row],[Proyecto]],VOL_VOLUMEN_SUMINISTROS[[#This Row],[J]],VOL_VOLUMEN_SUMINISTROS[[#This Row],[FIN DE SEMANA]])</f>
        <v>1052-1MNO</v>
      </c>
      <c r="D1063" s="360" t="str">
        <f>CONCATENATE(VOL_VOLUMEN_SUMINISTROS[[#This Row],[Grupo]],VOL_VOLUMEN_SUMINISTROS[[#This Row],[Proyecto]],VOL_VOLUMEN_SUMINISTROS[[#This Row],[FIN DE SEMANA]])</f>
        <v>191052-1NO</v>
      </c>
      <c r="E1063" s="30" t="s">
        <v>146</v>
      </c>
      <c r="F1063" s="30" t="s">
        <v>733</v>
      </c>
      <c r="G1063" s="360">
        <v>19</v>
      </c>
      <c r="H1063" s="30">
        <v>11</v>
      </c>
      <c r="I1063" s="9" t="s">
        <v>802</v>
      </c>
      <c r="J1063" s="9" t="s">
        <v>814</v>
      </c>
      <c r="K1063" s="30">
        <v>1</v>
      </c>
      <c r="L1063" s="9" t="s">
        <v>152</v>
      </c>
      <c r="M1063" s="30" t="s">
        <v>84</v>
      </c>
      <c r="N1063" s="30" t="s">
        <v>151</v>
      </c>
      <c r="O1063" s="24">
        <v>12</v>
      </c>
      <c r="P1063" s="24">
        <v>240</v>
      </c>
      <c r="Q1063" s="24">
        <v>519</v>
      </c>
      <c r="R1063" s="24">
        <v>0</v>
      </c>
      <c r="S1063" s="24">
        <v>0</v>
      </c>
      <c r="T1063" s="24">
        <v>771</v>
      </c>
    </row>
    <row r="1064" spans="1:20">
      <c r="A1064" s="9" t="s">
        <v>800</v>
      </c>
      <c r="B1064" s="30" t="s">
        <v>801</v>
      </c>
      <c r="C1064" s="30" t="str">
        <f>CONCATENATE(VOL_VOLUMEN_SUMINISTROS[[#This Row],[Proyecto]],VOL_VOLUMEN_SUMINISTROS[[#This Row],[J]],VOL_VOLUMEN_SUMINISTROS[[#This Row],[FIN DE SEMANA]])</f>
        <v>1052-1MNO</v>
      </c>
      <c r="D1064" s="360" t="str">
        <f>CONCATENATE(VOL_VOLUMEN_SUMINISTROS[[#This Row],[Grupo]],VOL_VOLUMEN_SUMINISTROS[[#This Row],[Proyecto]],VOL_VOLUMEN_SUMINISTROS[[#This Row],[FIN DE SEMANA]])</f>
        <v>191052-1NO</v>
      </c>
      <c r="E1064" s="30" t="s">
        <v>146</v>
      </c>
      <c r="F1064" s="30" t="s">
        <v>733</v>
      </c>
      <c r="G1064" s="360">
        <v>19</v>
      </c>
      <c r="H1064" s="30">
        <v>11</v>
      </c>
      <c r="I1064" s="9" t="s">
        <v>802</v>
      </c>
      <c r="J1064" s="9" t="s">
        <v>815</v>
      </c>
      <c r="K1064" s="30">
        <v>1</v>
      </c>
      <c r="L1064" s="9" t="s">
        <v>152</v>
      </c>
      <c r="M1064" s="30" t="s">
        <v>84</v>
      </c>
      <c r="N1064" s="30" t="s">
        <v>151</v>
      </c>
      <c r="O1064" s="24">
        <v>0</v>
      </c>
      <c r="P1064" s="24">
        <v>21</v>
      </c>
      <c r="Q1064" s="24">
        <v>159</v>
      </c>
      <c r="R1064" s="24">
        <v>0</v>
      </c>
      <c r="S1064" s="24">
        <v>0</v>
      </c>
      <c r="T1064" s="24">
        <v>180</v>
      </c>
    </row>
    <row r="1065" spans="1:20">
      <c r="A1065" s="9" t="s">
        <v>800</v>
      </c>
      <c r="B1065" s="30" t="s">
        <v>801</v>
      </c>
      <c r="C1065" s="30" t="str">
        <f>CONCATENATE(VOL_VOLUMEN_SUMINISTROS[[#This Row],[Proyecto]],VOL_VOLUMEN_SUMINISTROS[[#This Row],[J]],VOL_VOLUMEN_SUMINISTROS[[#This Row],[FIN DE SEMANA]])</f>
        <v>1052-1MNO</v>
      </c>
      <c r="D1065" s="360" t="str">
        <f>CONCATENATE(VOL_VOLUMEN_SUMINISTROS[[#This Row],[Grupo]],VOL_VOLUMEN_SUMINISTROS[[#This Row],[Proyecto]],VOL_VOLUMEN_SUMINISTROS[[#This Row],[FIN DE SEMANA]])</f>
        <v>191052-1NO</v>
      </c>
      <c r="E1065" s="30" t="s">
        <v>146</v>
      </c>
      <c r="F1065" s="30" t="s">
        <v>733</v>
      </c>
      <c r="G1065" s="360">
        <v>19</v>
      </c>
      <c r="H1065" s="30">
        <v>11</v>
      </c>
      <c r="I1065" s="9" t="s">
        <v>802</v>
      </c>
      <c r="J1065" s="9" t="s">
        <v>815</v>
      </c>
      <c r="K1065" s="30">
        <v>2</v>
      </c>
      <c r="L1065" s="9" t="s">
        <v>164</v>
      </c>
      <c r="M1065" s="30" t="s">
        <v>84</v>
      </c>
      <c r="N1065" s="30" t="s">
        <v>151</v>
      </c>
      <c r="O1065" s="24">
        <v>0</v>
      </c>
      <c r="P1065" s="24">
        <v>96</v>
      </c>
      <c r="Q1065" s="24">
        <v>84</v>
      </c>
      <c r="R1065" s="24">
        <v>0</v>
      </c>
      <c r="S1065" s="24">
        <v>0</v>
      </c>
      <c r="T1065" s="24">
        <v>180</v>
      </c>
    </row>
    <row r="1066" spans="1:20">
      <c r="A1066" s="9" t="s">
        <v>800</v>
      </c>
      <c r="B1066" s="30" t="s">
        <v>801</v>
      </c>
      <c r="C1066" s="30" t="str">
        <f>CONCATENATE(VOL_VOLUMEN_SUMINISTROS[[#This Row],[Proyecto]],VOL_VOLUMEN_SUMINISTROS[[#This Row],[J]],VOL_VOLUMEN_SUMINISTROS[[#This Row],[FIN DE SEMANA]])</f>
        <v>1052-1MNO</v>
      </c>
      <c r="D1066" s="360" t="str">
        <f>CONCATENATE(VOL_VOLUMEN_SUMINISTROS[[#This Row],[Grupo]],VOL_VOLUMEN_SUMINISTROS[[#This Row],[Proyecto]],VOL_VOLUMEN_SUMINISTROS[[#This Row],[FIN DE SEMANA]])</f>
        <v>191052-1NO</v>
      </c>
      <c r="E1066" s="30" t="s">
        <v>146</v>
      </c>
      <c r="F1066" s="30" t="s">
        <v>733</v>
      </c>
      <c r="G1066" s="360">
        <v>19</v>
      </c>
      <c r="H1066" s="30">
        <v>11</v>
      </c>
      <c r="I1066" s="9" t="s">
        <v>802</v>
      </c>
      <c r="J1066" s="9" t="s">
        <v>816</v>
      </c>
      <c r="K1066" s="30">
        <v>1</v>
      </c>
      <c r="L1066" s="9" t="s">
        <v>152</v>
      </c>
      <c r="M1066" s="30" t="s">
        <v>84</v>
      </c>
      <c r="N1066" s="30" t="s">
        <v>151</v>
      </c>
      <c r="O1066" s="24">
        <v>0</v>
      </c>
      <c r="P1066" s="24">
        <v>15</v>
      </c>
      <c r="Q1066" s="24">
        <v>5</v>
      </c>
      <c r="R1066" s="24">
        <v>0</v>
      </c>
      <c r="S1066" s="24">
        <v>0</v>
      </c>
      <c r="T1066" s="24">
        <v>20</v>
      </c>
    </row>
    <row r="1067" spans="1:20">
      <c r="A1067" s="9" t="s">
        <v>800</v>
      </c>
      <c r="B1067" s="30" t="s">
        <v>801</v>
      </c>
      <c r="C1067" s="30" t="str">
        <f>CONCATENATE(VOL_VOLUMEN_SUMINISTROS[[#This Row],[Proyecto]],VOL_VOLUMEN_SUMINISTROS[[#This Row],[J]],VOL_VOLUMEN_SUMINISTROS[[#This Row],[FIN DE SEMANA]])</f>
        <v>1052-1MNO</v>
      </c>
      <c r="D1067" s="360" t="str">
        <f>CONCATENATE(VOL_VOLUMEN_SUMINISTROS[[#This Row],[Grupo]],VOL_VOLUMEN_SUMINISTROS[[#This Row],[Proyecto]],VOL_VOLUMEN_SUMINISTROS[[#This Row],[FIN DE SEMANA]])</f>
        <v>191052-1NO</v>
      </c>
      <c r="E1067" s="30" t="s">
        <v>146</v>
      </c>
      <c r="F1067" s="30" t="s">
        <v>733</v>
      </c>
      <c r="G1067" s="360">
        <v>19</v>
      </c>
      <c r="H1067" s="30">
        <v>11</v>
      </c>
      <c r="I1067" s="9" t="s">
        <v>802</v>
      </c>
      <c r="J1067" s="9" t="s">
        <v>817</v>
      </c>
      <c r="K1067" s="30">
        <v>1</v>
      </c>
      <c r="L1067" s="9" t="s">
        <v>152</v>
      </c>
      <c r="M1067" s="30" t="s">
        <v>84</v>
      </c>
      <c r="N1067" s="30" t="s">
        <v>151</v>
      </c>
      <c r="O1067" s="24">
        <v>2</v>
      </c>
      <c r="P1067" s="24">
        <v>52</v>
      </c>
      <c r="Q1067" s="24">
        <v>112</v>
      </c>
      <c r="R1067" s="24">
        <v>0</v>
      </c>
      <c r="S1067" s="24">
        <v>0</v>
      </c>
      <c r="T1067" s="24">
        <v>166</v>
      </c>
    </row>
    <row r="1068" spans="1:20">
      <c r="A1068" s="9" t="s">
        <v>800</v>
      </c>
      <c r="B1068" s="30" t="s">
        <v>801</v>
      </c>
      <c r="C1068" s="30" t="str">
        <f>CONCATENATE(VOL_VOLUMEN_SUMINISTROS[[#This Row],[Proyecto]],VOL_VOLUMEN_SUMINISTROS[[#This Row],[J]],VOL_VOLUMEN_SUMINISTROS[[#This Row],[FIN DE SEMANA]])</f>
        <v>1052-1MNO</v>
      </c>
      <c r="D1068" s="360" t="str">
        <f>CONCATENATE(VOL_VOLUMEN_SUMINISTROS[[#This Row],[Grupo]],VOL_VOLUMEN_SUMINISTROS[[#This Row],[Proyecto]],VOL_VOLUMEN_SUMINISTROS[[#This Row],[FIN DE SEMANA]])</f>
        <v>191052-1NO</v>
      </c>
      <c r="E1068" s="30" t="s">
        <v>146</v>
      </c>
      <c r="F1068" s="30" t="s">
        <v>733</v>
      </c>
      <c r="G1068" s="360">
        <v>19</v>
      </c>
      <c r="H1068" s="30">
        <v>11</v>
      </c>
      <c r="I1068" s="9" t="s">
        <v>802</v>
      </c>
      <c r="J1068" s="9" t="s">
        <v>818</v>
      </c>
      <c r="K1068" s="30">
        <v>1</v>
      </c>
      <c r="L1068" s="9" t="s">
        <v>152</v>
      </c>
      <c r="M1068" s="30" t="s">
        <v>84</v>
      </c>
      <c r="N1068" s="30" t="s">
        <v>151</v>
      </c>
      <c r="O1068" s="24">
        <v>40</v>
      </c>
      <c r="P1068" s="24">
        <v>236</v>
      </c>
      <c r="Q1068" s="24">
        <v>355</v>
      </c>
      <c r="R1068" s="24">
        <v>0</v>
      </c>
      <c r="S1068" s="24">
        <v>0</v>
      </c>
      <c r="T1068" s="24">
        <v>631</v>
      </c>
    </row>
    <row r="1069" spans="1:20">
      <c r="A1069" s="9" t="s">
        <v>800</v>
      </c>
      <c r="B1069" s="30" t="s">
        <v>801</v>
      </c>
      <c r="C1069" s="30" t="str">
        <f>CONCATENATE(VOL_VOLUMEN_SUMINISTROS[[#This Row],[Proyecto]],VOL_VOLUMEN_SUMINISTROS[[#This Row],[J]],VOL_VOLUMEN_SUMINISTROS[[#This Row],[FIN DE SEMANA]])</f>
        <v>1052-1MNO</v>
      </c>
      <c r="D1069" s="360" t="str">
        <f>CONCATENATE(VOL_VOLUMEN_SUMINISTROS[[#This Row],[Grupo]],VOL_VOLUMEN_SUMINISTROS[[#This Row],[Proyecto]],VOL_VOLUMEN_SUMINISTROS[[#This Row],[FIN DE SEMANA]])</f>
        <v>191052-1NO</v>
      </c>
      <c r="E1069" s="30" t="s">
        <v>146</v>
      </c>
      <c r="F1069" s="30" t="s">
        <v>733</v>
      </c>
      <c r="G1069" s="360">
        <v>19</v>
      </c>
      <c r="H1069" s="30">
        <v>11</v>
      </c>
      <c r="I1069" s="9" t="s">
        <v>802</v>
      </c>
      <c r="J1069" s="9" t="s">
        <v>819</v>
      </c>
      <c r="K1069" s="30">
        <v>1</v>
      </c>
      <c r="L1069" s="9" t="s">
        <v>152</v>
      </c>
      <c r="M1069" s="30" t="s">
        <v>84</v>
      </c>
      <c r="N1069" s="30" t="s">
        <v>151</v>
      </c>
      <c r="O1069" s="24">
        <v>33</v>
      </c>
      <c r="P1069" s="24">
        <v>31</v>
      </c>
      <c r="Q1069" s="24">
        <v>5</v>
      </c>
      <c r="R1069" s="24">
        <v>0</v>
      </c>
      <c r="S1069" s="24">
        <v>0</v>
      </c>
      <c r="T1069" s="24">
        <v>69</v>
      </c>
    </row>
    <row r="1070" spans="1:20">
      <c r="A1070" s="9" t="s">
        <v>800</v>
      </c>
      <c r="B1070" s="30" t="s">
        <v>801</v>
      </c>
      <c r="C1070" s="30" t="str">
        <f>CONCATENATE(VOL_VOLUMEN_SUMINISTROS[[#This Row],[Proyecto]],VOL_VOLUMEN_SUMINISTROS[[#This Row],[J]],VOL_VOLUMEN_SUMINISTROS[[#This Row],[FIN DE SEMANA]])</f>
        <v>1052-1MNO</v>
      </c>
      <c r="D1070" s="360" t="str">
        <f>CONCATENATE(VOL_VOLUMEN_SUMINISTROS[[#This Row],[Grupo]],VOL_VOLUMEN_SUMINISTROS[[#This Row],[Proyecto]],VOL_VOLUMEN_SUMINISTROS[[#This Row],[FIN DE SEMANA]])</f>
        <v>191052-1NO</v>
      </c>
      <c r="E1070" s="30" t="s">
        <v>146</v>
      </c>
      <c r="F1070" s="30" t="s">
        <v>733</v>
      </c>
      <c r="G1070" s="360">
        <v>19</v>
      </c>
      <c r="H1070" s="30">
        <v>11</v>
      </c>
      <c r="I1070" s="9" t="s">
        <v>802</v>
      </c>
      <c r="J1070" s="9" t="s">
        <v>820</v>
      </c>
      <c r="K1070" s="30">
        <v>1</v>
      </c>
      <c r="L1070" s="9" t="s">
        <v>152</v>
      </c>
      <c r="M1070" s="30" t="s">
        <v>84</v>
      </c>
      <c r="N1070" s="30" t="s">
        <v>151</v>
      </c>
      <c r="O1070" s="24">
        <v>0</v>
      </c>
      <c r="P1070" s="24">
        <v>72</v>
      </c>
      <c r="Q1070" s="24">
        <v>86</v>
      </c>
      <c r="R1070" s="24">
        <v>0</v>
      </c>
      <c r="S1070" s="24">
        <v>0</v>
      </c>
      <c r="T1070" s="24">
        <v>158</v>
      </c>
    </row>
    <row r="1071" spans="1:20">
      <c r="A1071" s="9" t="s">
        <v>800</v>
      </c>
      <c r="B1071" s="30" t="s">
        <v>801</v>
      </c>
      <c r="C1071" s="30" t="str">
        <f>CONCATENATE(VOL_VOLUMEN_SUMINISTROS[[#This Row],[Proyecto]],VOL_VOLUMEN_SUMINISTROS[[#This Row],[J]],VOL_VOLUMEN_SUMINISTROS[[#This Row],[FIN DE SEMANA]])</f>
        <v>1052-1MNO</v>
      </c>
      <c r="D1071" s="360" t="str">
        <f>CONCATENATE(VOL_VOLUMEN_SUMINISTROS[[#This Row],[Grupo]],VOL_VOLUMEN_SUMINISTROS[[#This Row],[Proyecto]],VOL_VOLUMEN_SUMINISTROS[[#This Row],[FIN DE SEMANA]])</f>
        <v>191052-1NO</v>
      </c>
      <c r="E1071" s="30" t="s">
        <v>146</v>
      </c>
      <c r="F1071" s="30" t="s">
        <v>733</v>
      </c>
      <c r="G1071" s="360">
        <v>19</v>
      </c>
      <c r="H1071" s="30">
        <v>11</v>
      </c>
      <c r="I1071" s="9" t="s">
        <v>802</v>
      </c>
      <c r="J1071" s="9" t="s">
        <v>821</v>
      </c>
      <c r="K1071" s="30">
        <v>1</v>
      </c>
      <c r="L1071" s="9" t="s">
        <v>152</v>
      </c>
      <c r="M1071" s="30" t="s">
        <v>84</v>
      </c>
      <c r="N1071" s="30" t="s">
        <v>151</v>
      </c>
      <c r="O1071" s="24">
        <v>0</v>
      </c>
      <c r="P1071" s="24">
        <v>141</v>
      </c>
      <c r="Q1071" s="24">
        <v>242</v>
      </c>
      <c r="R1071" s="24">
        <v>0</v>
      </c>
      <c r="S1071" s="24">
        <v>0</v>
      </c>
      <c r="T1071" s="24">
        <v>383</v>
      </c>
    </row>
    <row r="1072" spans="1:20">
      <c r="A1072" s="9" t="s">
        <v>800</v>
      </c>
      <c r="B1072" s="30" t="s">
        <v>801</v>
      </c>
      <c r="C1072" s="30" t="str">
        <f>CONCATENATE(VOL_VOLUMEN_SUMINISTROS[[#This Row],[Proyecto]],VOL_VOLUMEN_SUMINISTROS[[#This Row],[J]],VOL_VOLUMEN_SUMINISTROS[[#This Row],[FIN DE SEMANA]])</f>
        <v>1052-1MNO</v>
      </c>
      <c r="D1072" s="360" t="str">
        <f>CONCATENATE(VOL_VOLUMEN_SUMINISTROS[[#This Row],[Grupo]],VOL_VOLUMEN_SUMINISTROS[[#This Row],[Proyecto]],VOL_VOLUMEN_SUMINISTROS[[#This Row],[FIN DE SEMANA]])</f>
        <v>191052-1NO</v>
      </c>
      <c r="E1072" s="30" t="s">
        <v>146</v>
      </c>
      <c r="F1072" s="30" t="s">
        <v>733</v>
      </c>
      <c r="G1072" s="360">
        <v>19</v>
      </c>
      <c r="H1072" s="30">
        <v>11</v>
      </c>
      <c r="I1072" s="9" t="s">
        <v>802</v>
      </c>
      <c r="J1072" s="9" t="s">
        <v>822</v>
      </c>
      <c r="K1072" s="30">
        <v>1</v>
      </c>
      <c r="L1072" s="9" t="s">
        <v>152</v>
      </c>
      <c r="M1072" s="30" t="s">
        <v>84</v>
      </c>
      <c r="N1072" s="30" t="s">
        <v>151</v>
      </c>
      <c r="O1072" s="24">
        <v>2</v>
      </c>
      <c r="P1072" s="24">
        <v>67</v>
      </c>
      <c r="Q1072" s="24">
        <v>185</v>
      </c>
      <c r="R1072" s="24">
        <v>0</v>
      </c>
      <c r="S1072" s="24">
        <v>0</v>
      </c>
      <c r="T1072" s="24">
        <v>254</v>
      </c>
    </row>
    <row r="1073" spans="1:20">
      <c r="A1073" s="9" t="s">
        <v>800</v>
      </c>
      <c r="B1073" s="30" t="s">
        <v>801</v>
      </c>
      <c r="C1073" s="30" t="str">
        <f>CONCATENATE(VOL_VOLUMEN_SUMINISTROS[[#This Row],[Proyecto]],VOL_VOLUMEN_SUMINISTROS[[#This Row],[J]],VOL_VOLUMEN_SUMINISTROS[[#This Row],[FIN DE SEMANA]])</f>
        <v>1052-1MNO</v>
      </c>
      <c r="D1073" s="360" t="str">
        <f>CONCATENATE(VOL_VOLUMEN_SUMINISTROS[[#This Row],[Grupo]],VOL_VOLUMEN_SUMINISTROS[[#This Row],[Proyecto]],VOL_VOLUMEN_SUMINISTROS[[#This Row],[FIN DE SEMANA]])</f>
        <v>191052-1NO</v>
      </c>
      <c r="E1073" s="30" t="s">
        <v>146</v>
      </c>
      <c r="F1073" s="30" t="s">
        <v>733</v>
      </c>
      <c r="G1073" s="360">
        <v>19</v>
      </c>
      <c r="H1073" s="30">
        <v>11</v>
      </c>
      <c r="I1073" s="9" t="s">
        <v>802</v>
      </c>
      <c r="J1073" s="9" t="s">
        <v>823</v>
      </c>
      <c r="K1073" s="30">
        <v>1</v>
      </c>
      <c r="L1073" s="9" t="s">
        <v>152</v>
      </c>
      <c r="M1073" s="30" t="s">
        <v>84</v>
      </c>
      <c r="N1073" s="30" t="s">
        <v>151</v>
      </c>
      <c r="O1073" s="24">
        <v>0</v>
      </c>
      <c r="P1073" s="24">
        <v>90</v>
      </c>
      <c r="Q1073" s="24">
        <v>150</v>
      </c>
      <c r="R1073" s="24">
        <v>0</v>
      </c>
      <c r="S1073" s="24">
        <v>0</v>
      </c>
      <c r="T1073" s="24">
        <v>240</v>
      </c>
    </row>
    <row r="1074" spans="1:20">
      <c r="A1074" s="9" t="s">
        <v>800</v>
      </c>
      <c r="B1074" s="30" t="s">
        <v>801</v>
      </c>
      <c r="C1074" s="30" t="str">
        <f>CONCATENATE(VOL_VOLUMEN_SUMINISTROS[[#This Row],[Proyecto]],VOL_VOLUMEN_SUMINISTROS[[#This Row],[J]],VOL_VOLUMEN_SUMINISTROS[[#This Row],[FIN DE SEMANA]])</f>
        <v>1052-1MNO</v>
      </c>
      <c r="D1074" s="360" t="str">
        <f>CONCATENATE(VOL_VOLUMEN_SUMINISTROS[[#This Row],[Grupo]],VOL_VOLUMEN_SUMINISTROS[[#This Row],[Proyecto]],VOL_VOLUMEN_SUMINISTROS[[#This Row],[FIN DE SEMANA]])</f>
        <v>191052-1NO</v>
      </c>
      <c r="E1074" s="30" t="s">
        <v>146</v>
      </c>
      <c r="F1074" s="30" t="s">
        <v>733</v>
      </c>
      <c r="G1074" s="360">
        <v>19</v>
      </c>
      <c r="H1074" s="30">
        <v>11</v>
      </c>
      <c r="I1074" s="9" t="s">
        <v>802</v>
      </c>
      <c r="J1074" s="9" t="s">
        <v>824</v>
      </c>
      <c r="K1074" s="30">
        <v>1</v>
      </c>
      <c r="L1074" s="9" t="s">
        <v>152</v>
      </c>
      <c r="M1074" s="30" t="s">
        <v>84</v>
      </c>
      <c r="N1074" s="30" t="s">
        <v>151</v>
      </c>
      <c r="O1074" s="24">
        <v>2</v>
      </c>
      <c r="P1074" s="24">
        <v>22</v>
      </c>
      <c r="Q1074" s="24">
        <v>50</v>
      </c>
      <c r="R1074" s="24">
        <v>0</v>
      </c>
      <c r="S1074" s="24">
        <v>0</v>
      </c>
      <c r="T1074" s="24">
        <v>74</v>
      </c>
    </row>
    <row r="1075" spans="1:20">
      <c r="A1075" s="9" t="s">
        <v>800</v>
      </c>
      <c r="B1075" s="30" t="s">
        <v>825</v>
      </c>
      <c r="C1075" s="30" t="str">
        <f>CONCATENATE(VOL_VOLUMEN_SUMINISTROS[[#This Row],[Proyecto]],VOL_VOLUMEN_SUMINISTROS[[#This Row],[J]],VOL_VOLUMEN_SUMINISTROS[[#This Row],[FIN DE SEMANA]])</f>
        <v>1052-1MNO</v>
      </c>
      <c r="D1075" s="360" t="str">
        <f>CONCATENATE(VOL_VOLUMEN_SUMINISTROS[[#This Row],[Grupo]],VOL_VOLUMEN_SUMINISTROS[[#This Row],[Proyecto]],VOL_VOLUMEN_SUMINISTROS[[#This Row],[FIN DE SEMANA]])</f>
        <v>201052-1NO</v>
      </c>
      <c r="E1075" s="30" t="s">
        <v>146</v>
      </c>
      <c r="F1075" s="30" t="s">
        <v>733</v>
      </c>
      <c r="G1075" s="360">
        <v>20</v>
      </c>
      <c r="H1075" s="30">
        <v>11</v>
      </c>
      <c r="I1075" s="9" t="s">
        <v>802</v>
      </c>
      <c r="J1075" s="9" t="s">
        <v>826</v>
      </c>
      <c r="K1075" s="30">
        <v>3</v>
      </c>
      <c r="L1075" s="9" t="s">
        <v>827</v>
      </c>
      <c r="M1075" s="30" t="s">
        <v>84</v>
      </c>
      <c r="N1075" s="30" t="s">
        <v>151</v>
      </c>
      <c r="O1075" s="24">
        <v>358</v>
      </c>
      <c r="P1075" s="24">
        <v>473</v>
      </c>
      <c r="Q1075" s="24">
        <v>265</v>
      </c>
      <c r="R1075" s="24">
        <v>0</v>
      </c>
      <c r="S1075" s="24">
        <v>0</v>
      </c>
      <c r="T1075" s="24">
        <v>1096</v>
      </c>
    </row>
    <row r="1076" spans="1:20">
      <c r="A1076" s="9" t="s">
        <v>800</v>
      </c>
      <c r="B1076" s="30" t="s">
        <v>825</v>
      </c>
      <c r="C1076" s="30" t="str">
        <f>CONCATENATE(VOL_VOLUMEN_SUMINISTROS[[#This Row],[Proyecto]],VOL_VOLUMEN_SUMINISTROS[[#This Row],[J]],VOL_VOLUMEN_SUMINISTROS[[#This Row],[FIN DE SEMANA]])</f>
        <v>1052-1TNO</v>
      </c>
      <c r="D1076" s="360" t="str">
        <f>CONCATENATE(VOL_VOLUMEN_SUMINISTROS[[#This Row],[Grupo]],VOL_VOLUMEN_SUMINISTROS[[#This Row],[Proyecto]],VOL_VOLUMEN_SUMINISTROS[[#This Row],[FIN DE SEMANA]])</f>
        <v>201052-1NO</v>
      </c>
      <c r="E1076" s="30" t="s">
        <v>146</v>
      </c>
      <c r="F1076" s="30" t="s">
        <v>733</v>
      </c>
      <c r="G1076" s="360">
        <v>20</v>
      </c>
      <c r="H1076" s="30">
        <v>11</v>
      </c>
      <c r="I1076" s="9" t="s">
        <v>802</v>
      </c>
      <c r="J1076" s="9" t="s">
        <v>826</v>
      </c>
      <c r="K1076" s="30">
        <v>3</v>
      </c>
      <c r="L1076" s="9" t="s">
        <v>827</v>
      </c>
      <c r="M1076" s="30" t="s">
        <v>84</v>
      </c>
      <c r="N1076" s="30" t="s">
        <v>154</v>
      </c>
      <c r="O1076" s="24">
        <v>527</v>
      </c>
      <c r="P1076" s="24">
        <v>332</v>
      </c>
      <c r="Q1076" s="24">
        <v>180</v>
      </c>
      <c r="R1076" s="24">
        <v>0</v>
      </c>
      <c r="S1076" s="24">
        <v>0</v>
      </c>
      <c r="T1076" s="24">
        <v>1039</v>
      </c>
    </row>
    <row r="1077" spans="1:20">
      <c r="A1077" s="9" t="s">
        <v>828</v>
      </c>
      <c r="B1077" s="30" t="s">
        <v>829</v>
      </c>
      <c r="C1077" s="30" t="str">
        <f>CONCATENATE(VOL_VOLUMEN_SUMINISTROS[[#This Row],[Proyecto]],VOL_VOLUMEN_SUMINISTROS[[#This Row],[J]],VOL_VOLUMEN_SUMINISTROS[[#This Row],[FIN DE SEMANA]])</f>
        <v>1052-1MNO</v>
      </c>
      <c r="D1077" s="360" t="str">
        <f>CONCATENATE(VOL_VOLUMEN_SUMINISTROS[[#This Row],[Grupo]],VOL_VOLUMEN_SUMINISTROS[[#This Row],[Proyecto]],VOL_VOLUMEN_SUMINISTROS[[#This Row],[FIN DE SEMANA]])</f>
        <v>171052-1NO</v>
      </c>
      <c r="E1077" s="30" t="s">
        <v>146</v>
      </c>
      <c r="F1077" s="30" t="s">
        <v>147</v>
      </c>
      <c r="G1077" s="360">
        <v>17</v>
      </c>
      <c r="H1077" s="30">
        <v>10</v>
      </c>
      <c r="I1077" s="9" t="s">
        <v>330</v>
      </c>
      <c r="J1077" s="9" t="s">
        <v>830</v>
      </c>
      <c r="K1077" s="30">
        <v>1</v>
      </c>
      <c r="L1077" s="9" t="s">
        <v>831</v>
      </c>
      <c r="M1077" s="30" t="s">
        <v>84</v>
      </c>
      <c r="N1077" s="30" t="s">
        <v>151</v>
      </c>
      <c r="O1077" s="24">
        <v>0</v>
      </c>
      <c r="P1077" s="24">
        <v>285</v>
      </c>
      <c r="Q1077" s="24">
        <v>561</v>
      </c>
      <c r="R1077" s="24">
        <v>0</v>
      </c>
      <c r="S1077" s="24">
        <v>0</v>
      </c>
      <c r="T1077" s="24">
        <v>846</v>
      </c>
    </row>
    <row r="1078" spans="1:20">
      <c r="A1078" s="9" t="s">
        <v>828</v>
      </c>
      <c r="B1078" s="30" t="s">
        <v>829</v>
      </c>
      <c r="C1078" s="30" t="str">
        <f>CONCATENATE(VOL_VOLUMEN_SUMINISTROS[[#This Row],[Proyecto]],VOL_VOLUMEN_SUMINISTROS[[#This Row],[J]],VOL_VOLUMEN_SUMINISTROS[[#This Row],[FIN DE SEMANA]])</f>
        <v>1052-1TNO</v>
      </c>
      <c r="D1078" s="360" t="str">
        <f>CONCATENATE(VOL_VOLUMEN_SUMINISTROS[[#This Row],[Grupo]],VOL_VOLUMEN_SUMINISTROS[[#This Row],[Proyecto]],VOL_VOLUMEN_SUMINISTROS[[#This Row],[FIN DE SEMANA]])</f>
        <v>171052-1NO</v>
      </c>
      <c r="E1078" s="30" t="s">
        <v>146</v>
      </c>
      <c r="F1078" s="30" t="s">
        <v>147</v>
      </c>
      <c r="G1078" s="360">
        <v>17</v>
      </c>
      <c r="H1078" s="30">
        <v>10</v>
      </c>
      <c r="I1078" s="9" t="s">
        <v>330</v>
      </c>
      <c r="J1078" s="9" t="s">
        <v>830</v>
      </c>
      <c r="K1078" s="30">
        <v>1</v>
      </c>
      <c r="L1078" s="9" t="s">
        <v>831</v>
      </c>
      <c r="M1078" s="30" t="s">
        <v>84</v>
      </c>
      <c r="N1078" s="30" t="s">
        <v>154</v>
      </c>
      <c r="O1078" s="24">
        <v>0</v>
      </c>
      <c r="P1078" s="24">
        <v>201</v>
      </c>
      <c r="Q1078" s="24">
        <v>477</v>
      </c>
      <c r="R1078" s="24">
        <v>0</v>
      </c>
      <c r="S1078" s="24">
        <v>0</v>
      </c>
      <c r="T1078" s="24">
        <v>678</v>
      </c>
    </row>
    <row r="1079" spans="1:20">
      <c r="A1079" s="9" t="s">
        <v>828</v>
      </c>
      <c r="B1079" s="30" t="s">
        <v>829</v>
      </c>
      <c r="C1079" s="30" t="str">
        <f>CONCATENATE(VOL_VOLUMEN_SUMINISTROS[[#This Row],[Proyecto]],VOL_VOLUMEN_SUMINISTROS[[#This Row],[J]],VOL_VOLUMEN_SUMINISTROS[[#This Row],[FIN DE SEMANA]])</f>
        <v>1052-1MNO</v>
      </c>
      <c r="D1079" s="360" t="str">
        <f>CONCATENATE(VOL_VOLUMEN_SUMINISTROS[[#This Row],[Grupo]],VOL_VOLUMEN_SUMINISTROS[[#This Row],[Proyecto]],VOL_VOLUMEN_SUMINISTROS[[#This Row],[FIN DE SEMANA]])</f>
        <v>171052-1NO</v>
      </c>
      <c r="E1079" s="30" t="s">
        <v>146</v>
      </c>
      <c r="F1079" s="30" t="s">
        <v>147</v>
      </c>
      <c r="G1079" s="360">
        <v>17</v>
      </c>
      <c r="H1079" s="30">
        <v>10</v>
      </c>
      <c r="I1079" s="9" t="s">
        <v>330</v>
      </c>
      <c r="J1079" s="9" t="s">
        <v>830</v>
      </c>
      <c r="K1079" s="30">
        <v>2</v>
      </c>
      <c r="L1079" s="9" t="s">
        <v>832</v>
      </c>
      <c r="M1079" s="30" t="s">
        <v>84</v>
      </c>
      <c r="N1079" s="30" t="s">
        <v>151</v>
      </c>
      <c r="O1079" s="24">
        <v>366</v>
      </c>
      <c r="P1079" s="24">
        <v>287</v>
      </c>
      <c r="Q1079" s="24">
        <v>51</v>
      </c>
      <c r="R1079" s="24">
        <v>0</v>
      </c>
      <c r="S1079" s="24">
        <v>0</v>
      </c>
      <c r="T1079" s="24">
        <v>704</v>
      </c>
    </row>
    <row r="1080" spans="1:20">
      <c r="A1080" s="9" t="s">
        <v>828</v>
      </c>
      <c r="B1080" s="30" t="s">
        <v>829</v>
      </c>
      <c r="C1080" s="30" t="str">
        <f>CONCATENATE(VOL_VOLUMEN_SUMINISTROS[[#This Row],[Proyecto]],VOL_VOLUMEN_SUMINISTROS[[#This Row],[J]],VOL_VOLUMEN_SUMINISTROS[[#This Row],[FIN DE SEMANA]])</f>
        <v>1052-1TNO</v>
      </c>
      <c r="D1080" s="360" t="str">
        <f>CONCATENATE(VOL_VOLUMEN_SUMINISTROS[[#This Row],[Grupo]],VOL_VOLUMEN_SUMINISTROS[[#This Row],[Proyecto]],VOL_VOLUMEN_SUMINISTROS[[#This Row],[FIN DE SEMANA]])</f>
        <v>171052-1NO</v>
      </c>
      <c r="E1080" s="30" t="s">
        <v>146</v>
      </c>
      <c r="F1080" s="30" t="s">
        <v>147</v>
      </c>
      <c r="G1080" s="360">
        <v>17</v>
      </c>
      <c r="H1080" s="30">
        <v>10</v>
      </c>
      <c r="I1080" s="9" t="s">
        <v>330</v>
      </c>
      <c r="J1080" s="9" t="s">
        <v>830</v>
      </c>
      <c r="K1080" s="30">
        <v>2</v>
      </c>
      <c r="L1080" s="9" t="s">
        <v>832</v>
      </c>
      <c r="M1080" s="30" t="s">
        <v>84</v>
      </c>
      <c r="N1080" s="30" t="s">
        <v>154</v>
      </c>
      <c r="O1080" s="24">
        <v>338</v>
      </c>
      <c r="P1080" s="24">
        <v>287</v>
      </c>
      <c r="Q1080" s="24">
        <v>60</v>
      </c>
      <c r="R1080" s="24">
        <v>0</v>
      </c>
      <c r="S1080" s="24">
        <v>0</v>
      </c>
      <c r="T1080" s="24">
        <v>685</v>
      </c>
    </row>
    <row r="1081" spans="1:20">
      <c r="A1081" s="9" t="s">
        <v>828</v>
      </c>
      <c r="B1081" s="30" t="s">
        <v>829</v>
      </c>
      <c r="C1081" s="30" t="str">
        <f>CONCATENATE(VOL_VOLUMEN_SUMINISTROS[[#This Row],[Proyecto]],VOL_VOLUMEN_SUMINISTROS[[#This Row],[J]],VOL_VOLUMEN_SUMINISTROS[[#This Row],[FIN DE SEMANA]])</f>
        <v>1052-1MNO</v>
      </c>
      <c r="D1081" s="360" t="str">
        <f>CONCATENATE(VOL_VOLUMEN_SUMINISTROS[[#This Row],[Grupo]],VOL_VOLUMEN_SUMINISTROS[[#This Row],[Proyecto]],VOL_VOLUMEN_SUMINISTROS[[#This Row],[FIN DE SEMANA]])</f>
        <v>171052-1NO</v>
      </c>
      <c r="E1081" s="30" t="s">
        <v>146</v>
      </c>
      <c r="F1081" s="30" t="s">
        <v>147</v>
      </c>
      <c r="G1081" s="360">
        <v>17</v>
      </c>
      <c r="H1081" s="30">
        <v>10</v>
      </c>
      <c r="I1081" s="9" t="s">
        <v>330</v>
      </c>
      <c r="J1081" s="9" t="s">
        <v>833</v>
      </c>
      <c r="K1081" s="30">
        <v>1</v>
      </c>
      <c r="L1081" s="9" t="s">
        <v>834</v>
      </c>
      <c r="M1081" s="30" t="s">
        <v>84</v>
      </c>
      <c r="N1081" s="30" t="s">
        <v>151</v>
      </c>
      <c r="O1081" s="24">
        <v>88</v>
      </c>
      <c r="P1081" s="24">
        <v>350</v>
      </c>
      <c r="Q1081" s="24">
        <v>417</v>
      </c>
      <c r="R1081" s="24">
        <v>0</v>
      </c>
      <c r="S1081" s="24">
        <v>0</v>
      </c>
      <c r="T1081" s="24">
        <v>855</v>
      </c>
    </row>
    <row r="1082" spans="1:20">
      <c r="A1082" s="9" t="s">
        <v>828</v>
      </c>
      <c r="B1082" s="30" t="s">
        <v>829</v>
      </c>
      <c r="C1082" s="30" t="str">
        <f>CONCATENATE(VOL_VOLUMEN_SUMINISTROS[[#This Row],[Proyecto]],VOL_VOLUMEN_SUMINISTROS[[#This Row],[J]],VOL_VOLUMEN_SUMINISTROS[[#This Row],[FIN DE SEMANA]])</f>
        <v>1052-1MNO</v>
      </c>
      <c r="D1082" s="360" t="str">
        <f>CONCATENATE(VOL_VOLUMEN_SUMINISTROS[[#This Row],[Grupo]],VOL_VOLUMEN_SUMINISTROS[[#This Row],[Proyecto]],VOL_VOLUMEN_SUMINISTROS[[#This Row],[FIN DE SEMANA]])</f>
        <v>171052-1NO</v>
      </c>
      <c r="E1082" s="30" t="s">
        <v>146</v>
      </c>
      <c r="F1082" s="30" t="s">
        <v>147</v>
      </c>
      <c r="G1082" s="360">
        <v>17</v>
      </c>
      <c r="H1082" s="30">
        <v>10</v>
      </c>
      <c r="I1082" s="9" t="s">
        <v>330</v>
      </c>
      <c r="J1082" s="9" t="s">
        <v>833</v>
      </c>
      <c r="K1082" s="30">
        <v>2</v>
      </c>
      <c r="L1082" s="9" t="s">
        <v>164</v>
      </c>
      <c r="M1082" s="30" t="s">
        <v>84</v>
      </c>
      <c r="N1082" s="30" t="s">
        <v>151</v>
      </c>
      <c r="O1082" s="24">
        <v>202</v>
      </c>
      <c r="P1082" s="24">
        <v>21</v>
      </c>
      <c r="Q1082" s="24">
        <v>0</v>
      </c>
      <c r="R1082" s="24">
        <v>0</v>
      </c>
      <c r="S1082" s="24">
        <v>0</v>
      </c>
      <c r="T1082" s="24">
        <v>223</v>
      </c>
    </row>
    <row r="1083" spans="1:20">
      <c r="A1083" s="9" t="s">
        <v>828</v>
      </c>
      <c r="B1083" s="30" t="s">
        <v>829</v>
      </c>
      <c r="C1083" s="30" t="str">
        <f>CONCATENATE(VOL_VOLUMEN_SUMINISTROS[[#This Row],[Proyecto]],VOL_VOLUMEN_SUMINISTROS[[#This Row],[J]],VOL_VOLUMEN_SUMINISTROS[[#This Row],[FIN DE SEMANA]])</f>
        <v>1052-1MNO</v>
      </c>
      <c r="D1083" s="360" t="str">
        <f>CONCATENATE(VOL_VOLUMEN_SUMINISTROS[[#This Row],[Grupo]],VOL_VOLUMEN_SUMINISTROS[[#This Row],[Proyecto]],VOL_VOLUMEN_SUMINISTROS[[#This Row],[FIN DE SEMANA]])</f>
        <v>171052-1NO</v>
      </c>
      <c r="E1083" s="30" t="s">
        <v>146</v>
      </c>
      <c r="F1083" s="30" t="s">
        <v>147</v>
      </c>
      <c r="G1083" s="360">
        <v>17</v>
      </c>
      <c r="H1083" s="30">
        <v>10</v>
      </c>
      <c r="I1083" s="9" t="s">
        <v>330</v>
      </c>
      <c r="J1083" s="9" t="s">
        <v>835</v>
      </c>
      <c r="K1083" s="30">
        <v>1</v>
      </c>
      <c r="L1083" s="9" t="s">
        <v>836</v>
      </c>
      <c r="M1083" s="30" t="s">
        <v>84</v>
      </c>
      <c r="N1083" s="30" t="s">
        <v>151</v>
      </c>
      <c r="O1083" s="24">
        <v>143</v>
      </c>
      <c r="P1083" s="24">
        <v>82</v>
      </c>
      <c r="Q1083" s="24">
        <v>16</v>
      </c>
      <c r="R1083" s="24">
        <v>0</v>
      </c>
      <c r="S1083" s="24">
        <v>0</v>
      </c>
      <c r="T1083" s="24">
        <v>241</v>
      </c>
    </row>
    <row r="1084" spans="1:20">
      <c r="A1084" s="9" t="s">
        <v>828</v>
      </c>
      <c r="B1084" s="30" t="s">
        <v>829</v>
      </c>
      <c r="C1084" s="30" t="str">
        <f>CONCATENATE(VOL_VOLUMEN_SUMINISTROS[[#This Row],[Proyecto]],VOL_VOLUMEN_SUMINISTROS[[#This Row],[J]],VOL_VOLUMEN_SUMINISTROS[[#This Row],[FIN DE SEMANA]])</f>
        <v>1052-1TNO</v>
      </c>
      <c r="D1084" s="360" t="str">
        <f>CONCATENATE(VOL_VOLUMEN_SUMINISTROS[[#This Row],[Grupo]],VOL_VOLUMEN_SUMINISTROS[[#This Row],[Proyecto]],VOL_VOLUMEN_SUMINISTROS[[#This Row],[FIN DE SEMANA]])</f>
        <v>171052-1NO</v>
      </c>
      <c r="E1084" s="30" t="s">
        <v>146</v>
      </c>
      <c r="F1084" s="30" t="s">
        <v>147</v>
      </c>
      <c r="G1084" s="360">
        <v>17</v>
      </c>
      <c r="H1084" s="30">
        <v>10</v>
      </c>
      <c r="I1084" s="9" t="s">
        <v>330</v>
      </c>
      <c r="J1084" s="9" t="s">
        <v>835</v>
      </c>
      <c r="K1084" s="30">
        <v>1</v>
      </c>
      <c r="L1084" s="9" t="s">
        <v>836</v>
      </c>
      <c r="M1084" s="30" t="s">
        <v>84</v>
      </c>
      <c r="N1084" s="30" t="s">
        <v>154</v>
      </c>
      <c r="O1084" s="24">
        <v>96</v>
      </c>
      <c r="P1084" s="24">
        <v>76</v>
      </c>
      <c r="Q1084" s="24">
        <v>15</v>
      </c>
      <c r="R1084" s="24">
        <v>0</v>
      </c>
      <c r="S1084" s="24">
        <v>0</v>
      </c>
      <c r="T1084" s="24">
        <v>187</v>
      </c>
    </row>
    <row r="1085" spans="1:20">
      <c r="A1085" s="9" t="s">
        <v>828</v>
      </c>
      <c r="B1085" s="30" t="s">
        <v>829</v>
      </c>
      <c r="C1085" s="30" t="str">
        <f>CONCATENATE(VOL_VOLUMEN_SUMINISTROS[[#This Row],[Proyecto]],VOL_VOLUMEN_SUMINISTROS[[#This Row],[J]],VOL_VOLUMEN_SUMINISTROS[[#This Row],[FIN DE SEMANA]])</f>
        <v>1052-1MNO</v>
      </c>
      <c r="D1085" s="360" t="str">
        <f>CONCATENATE(VOL_VOLUMEN_SUMINISTROS[[#This Row],[Grupo]],VOL_VOLUMEN_SUMINISTROS[[#This Row],[Proyecto]],VOL_VOLUMEN_SUMINISTROS[[#This Row],[FIN DE SEMANA]])</f>
        <v>171052-1NO</v>
      </c>
      <c r="E1085" s="30" t="s">
        <v>146</v>
      </c>
      <c r="F1085" s="30" t="s">
        <v>147</v>
      </c>
      <c r="G1085" s="360">
        <v>17</v>
      </c>
      <c r="H1085" s="30">
        <v>10</v>
      </c>
      <c r="I1085" s="9" t="s">
        <v>330</v>
      </c>
      <c r="J1085" s="9" t="s">
        <v>835</v>
      </c>
      <c r="K1085" s="30">
        <v>2</v>
      </c>
      <c r="L1085" s="9" t="s">
        <v>836</v>
      </c>
      <c r="M1085" s="30" t="s">
        <v>84</v>
      </c>
      <c r="N1085" s="30" t="s">
        <v>151</v>
      </c>
      <c r="O1085" s="24">
        <v>91</v>
      </c>
      <c r="P1085" s="24">
        <v>81</v>
      </c>
      <c r="Q1085" s="24">
        <v>16</v>
      </c>
      <c r="R1085" s="24">
        <v>0</v>
      </c>
      <c r="S1085" s="24">
        <v>0</v>
      </c>
      <c r="T1085" s="24">
        <v>188</v>
      </c>
    </row>
    <row r="1086" spans="1:20">
      <c r="A1086" s="9" t="s">
        <v>828</v>
      </c>
      <c r="B1086" s="30" t="s">
        <v>829</v>
      </c>
      <c r="C1086" s="30" t="str">
        <f>CONCATENATE(VOL_VOLUMEN_SUMINISTROS[[#This Row],[Proyecto]],VOL_VOLUMEN_SUMINISTROS[[#This Row],[J]],VOL_VOLUMEN_SUMINISTROS[[#This Row],[FIN DE SEMANA]])</f>
        <v>1052-1TNO</v>
      </c>
      <c r="D1086" s="360" t="str">
        <f>CONCATENATE(VOL_VOLUMEN_SUMINISTROS[[#This Row],[Grupo]],VOL_VOLUMEN_SUMINISTROS[[#This Row],[Proyecto]],VOL_VOLUMEN_SUMINISTROS[[#This Row],[FIN DE SEMANA]])</f>
        <v>171052-1NO</v>
      </c>
      <c r="E1086" s="30" t="s">
        <v>146</v>
      </c>
      <c r="F1086" s="30" t="s">
        <v>147</v>
      </c>
      <c r="G1086" s="360">
        <v>17</v>
      </c>
      <c r="H1086" s="30">
        <v>10</v>
      </c>
      <c r="I1086" s="9" t="s">
        <v>330</v>
      </c>
      <c r="J1086" s="9" t="s">
        <v>835</v>
      </c>
      <c r="K1086" s="30">
        <v>2</v>
      </c>
      <c r="L1086" s="9" t="s">
        <v>836</v>
      </c>
      <c r="M1086" s="30" t="s">
        <v>84</v>
      </c>
      <c r="N1086" s="30" t="s">
        <v>154</v>
      </c>
      <c r="O1086" s="24">
        <v>60</v>
      </c>
      <c r="P1086" s="24">
        <v>72</v>
      </c>
      <c r="Q1086" s="24">
        <v>14</v>
      </c>
      <c r="R1086" s="24">
        <v>0</v>
      </c>
      <c r="S1086" s="24">
        <v>0</v>
      </c>
      <c r="T1086" s="24">
        <v>146</v>
      </c>
    </row>
    <row r="1087" spans="1:20">
      <c r="A1087" s="9" t="s">
        <v>828</v>
      </c>
      <c r="B1087" s="30" t="s">
        <v>829</v>
      </c>
      <c r="C1087" s="30" t="str">
        <f>CONCATENATE(VOL_VOLUMEN_SUMINISTROS[[#This Row],[Proyecto]],VOL_VOLUMEN_SUMINISTROS[[#This Row],[J]],VOL_VOLUMEN_SUMINISTROS[[#This Row],[FIN DE SEMANA]])</f>
        <v>1052-1MNO</v>
      </c>
      <c r="D1087" s="360" t="str">
        <f>CONCATENATE(VOL_VOLUMEN_SUMINISTROS[[#This Row],[Grupo]],VOL_VOLUMEN_SUMINISTROS[[#This Row],[Proyecto]],VOL_VOLUMEN_SUMINISTROS[[#This Row],[FIN DE SEMANA]])</f>
        <v>171052-1NO</v>
      </c>
      <c r="E1087" s="30" t="s">
        <v>146</v>
      </c>
      <c r="F1087" s="30" t="s">
        <v>147</v>
      </c>
      <c r="G1087" s="360">
        <v>17</v>
      </c>
      <c r="H1087" s="30">
        <v>10</v>
      </c>
      <c r="I1087" s="9" t="s">
        <v>330</v>
      </c>
      <c r="J1087" s="9" t="s">
        <v>835</v>
      </c>
      <c r="K1087" s="30">
        <v>3</v>
      </c>
      <c r="L1087" s="9" t="s">
        <v>836</v>
      </c>
      <c r="M1087" s="30" t="s">
        <v>84</v>
      </c>
      <c r="N1087" s="30" t="s">
        <v>151</v>
      </c>
      <c r="O1087" s="24">
        <v>0</v>
      </c>
      <c r="P1087" s="24">
        <v>105</v>
      </c>
      <c r="Q1087" s="24">
        <v>304</v>
      </c>
      <c r="R1087" s="24">
        <v>0</v>
      </c>
      <c r="S1087" s="24">
        <v>0</v>
      </c>
      <c r="T1087" s="24">
        <v>409</v>
      </c>
    </row>
    <row r="1088" spans="1:20">
      <c r="A1088" s="9" t="s">
        <v>828</v>
      </c>
      <c r="B1088" s="30" t="s">
        <v>829</v>
      </c>
      <c r="C1088" s="30" t="str">
        <f>CONCATENATE(VOL_VOLUMEN_SUMINISTROS[[#This Row],[Proyecto]],VOL_VOLUMEN_SUMINISTROS[[#This Row],[J]],VOL_VOLUMEN_SUMINISTROS[[#This Row],[FIN DE SEMANA]])</f>
        <v>1052-1TNO</v>
      </c>
      <c r="D1088" s="360" t="str">
        <f>CONCATENATE(VOL_VOLUMEN_SUMINISTROS[[#This Row],[Grupo]],VOL_VOLUMEN_SUMINISTROS[[#This Row],[Proyecto]],VOL_VOLUMEN_SUMINISTROS[[#This Row],[FIN DE SEMANA]])</f>
        <v>171052-1NO</v>
      </c>
      <c r="E1088" s="30" t="s">
        <v>146</v>
      </c>
      <c r="F1088" s="30" t="s">
        <v>147</v>
      </c>
      <c r="G1088" s="360">
        <v>17</v>
      </c>
      <c r="H1088" s="30">
        <v>10</v>
      </c>
      <c r="I1088" s="9" t="s">
        <v>330</v>
      </c>
      <c r="J1088" s="9" t="s">
        <v>835</v>
      </c>
      <c r="K1088" s="30">
        <v>3</v>
      </c>
      <c r="L1088" s="9" t="s">
        <v>836</v>
      </c>
      <c r="M1088" s="30" t="s">
        <v>84</v>
      </c>
      <c r="N1088" s="30" t="s">
        <v>154</v>
      </c>
      <c r="O1088" s="24">
        <v>0</v>
      </c>
      <c r="P1088" s="24">
        <v>96</v>
      </c>
      <c r="Q1088" s="24">
        <v>231</v>
      </c>
      <c r="R1088" s="24">
        <v>0</v>
      </c>
      <c r="S1088" s="24">
        <v>0</v>
      </c>
      <c r="T1088" s="24">
        <v>327</v>
      </c>
    </row>
    <row r="1089" spans="1:20">
      <c r="A1089" s="9" t="s">
        <v>828</v>
      </c>
      <c r="B1089" s="30" t="s">
        <v>829</v>
      </c>
      <c r="C1089" s="30" t="str">
        <f>CONCATENATE(VOL_VOLUMEN_SUMINISTROS[[#This Row],[Proyecto]],VOL_VOLUMEN_SUMINISTROS[[#This Row],[J]],VOL_VOLUMEN_SUMINISTROS[[#This Row],[FIN DE SEMANA]])</f>
        <v>1052-1MNO</v>
      </c>
      <c r="D1089" s="360" t="str">
        <f>CONCATENATE(VOL_VOLUMEN_SUMINISTROS[[#This Row],[Grupo]],VOL_VOLUMEN_SUMINISTROS[[#This Row],[Proyecto]],VOL_VOLUMEN_SUMINISTROS[[#This Row],[FIN DE SEMANA]])</f>
        <v>171052-1NO</v>
      </c>
      <c r="E1089" s="30" t="s">
        <v>146</v>
      </c>
      <c r="F1089" s="30" t="s">
        <v>147</v>
      </c>
      <c r="G1089" s="360">
        <v>17</v>
      </c>
      <c r="H1089" s="30">
        <v>10</v>
      </c>
      <c r="I1089" s="9" t="s">
        <v>330</v>
      </c>
      <c r="J1089" s="9" t="s">
        <v>837</v>
      </c>
      <c r="K1089" s="30">
        <v>1</v>
      </c>
      <c r="L1089" s="9" t="s">
        <v>838</v>
      </c>
      <c r="M1089" s="30" t="s">
        <v>84</v>
      </c>
      <c r="N1089" s="30" t="s">
        <v>151</v>
      </c>
      <c r="O1089" s="24">
        <v>0</v>
      </c>
      <c r="P1089" s="24">
        <v>210</v>
      </c>
      <c r="Q1089" s="24">
        <v>192</v>
      </c>
      <c r="R1089" s="24">
        <v>0</v>
      </c>
      <c r="S1089" s="24">
        <v>0</v>
      </c>
      <c r="T1089" s="24">
        <v>402</v>
      </c>
    </row>
    <row r="1090" spans="1:20">
      <c r="A1090" s="9" t="s">
        <v>828</v>
      </c>
      <c r="B1090" s="30" t="s">
        <v>829</v>
      </c>
      <c r="C1090" s="30" t="str">
        <f>CONCATENATE(VOL_VOLUMEN_SUMINISTROS[[#This Row],[Proyecto]],VOL_VOLUMEN_SUMINISTROS[[#This Row],[J]],VOL_VOLUMEN_SUMINISTROS[[#This Row],[FIN DE SEMANA]])</f>
        <v>1052-1NNO</v>
      </c>
      <c r="D1090" s="360" t="str">
        <f>CONCATENATE(VOL_VOLUMEN_SUMINISTROS[[#This Row],[Grupo]],VOL_VOLUMEN_SUMINISTROS[[#This Row],[Proyecto]],VOL_VOLUMEN_SUMINISTROS[[#This Row],[FIN DE SEMANA]])</f>
        <v>171052-1NO</v>
      </c>
      <c r="E1090" s="30" t="s">
        <v>146</v>
      </c>
      <c r="F1090" s="30" t="s">
        <v>147</v>
      </c>
      <c r="G1090" s="360">
        <v>17</v>
      </c>
      <c r="H1090" s="30">
        <v>10</v>
      </c>
      <c r="I1090" s="9" t="s">
        <v>330</v>
      </c>
      <c r="J1090" s="9" t="s">
        <v>837</v>
      </c>
      <c r="K1090" s="30">
        <v>1</v>
      </c>
      <c r="L1090" s="9" t="s">
        <v>838</v>
      </c>
      <c r="M1090" s="30" t="s">
        <v>84</v>
      </c>
      <c r="N1090" s="30" t="s">
        <v>153</v>
      </c>
      <c r="O1090" s="24">
        <v>0</v>
      </c>
      <c r="P1090" s="24">
        <v>0</v>
      </c>
      <c r="Q1090" s="24">
        <v>0</v>
      </c>
      <c r="R1090" s="24">
        <v>133</v>
      </c>
      <c r="S1090" s="24">
        <v>111</v>
      </c>
      <c r="T1090" s="24">
        <v>244</v>
      </c>
    </row>
    <row r="1091" spans="1:20">
      <c r="A1091" s="9" t="s">
        <v>828</v>
      </c>
      <c r="B1091" s="30" t="s">
        <v>829</v>
      </c>
      <c r="C1091" s="30" t="str">
        <f>CONCATENATE(VOL_VOLUMEN_SUMINISTROS[[#This Row],[Proyecto]],VOL_VOLUMEN_SUMINISTROS[[#This Row],[J]],VOL_VOLUMEN_SUMINISTROS[[#This Row],[FIN DE SEMANA]])</f>
        <v>1052-1TNO</v>
      </c>
      <c r="D1091" s="360" t="str">
        <f>CONCATENATE(VOL_VOLUMEN_SUMINISTROS[[#This Row],[Grupo]],VOL_VOLUMEN_SUMINISTROS[[#This Row],[Proyecto]],VOL_VOLUMEN_SUMINISTROS[[#This Row],[FIN DE SEMANA]])</f>
        <v>171052-1NO</v>
      </c>
      <c r="E1091" s="30" t="s">
        <v>146</v>
      </c>
      <c r="F1091" s="30" t="s">
        <v>147</v>
      </c>
      <c r="G1091" s="360">
        <v>17</v>
      </c>
      <c r="H1091" s="30">
        <v>10</v>
      </c>
      <c r="I1091" s="9" t="s">
        <v>330</v>
      </c>
      <c r="J1091" s="9" t="s">
        <v>837</v>
      </c>
      <c r="K1091" s="30">
        <v>1</v>
      </c>
      <c r="L1091" s="9" t="s">
        <v>838</v>
      </c>
      <c r="M1091" s="30" t="s">
        <v>84</v>
      </c>
      <c r="N1091" s="30" t="s">
        <v>154</v>
      </c>
      <c r="O1091" s="24">
        <v>0</v>
      </c>
      <c r="P1091" s="24">
        <v>204</v>
      </c>
      <c r="Q1091" s="24">
        <v>148</v>
      </c>
      <c r="R1091" s="24">
        <v>0</v>
      </c>
      <c r="S1091" s="24">
        <v>0</v>
      </c>
      <c r="T1091" s="24">
        <v>352</v>
      </c>
    </row>
    <row r="1092" spans="1:20">
      <c r="A1092" s="9" t="s">
        <v>828</v>
      </c>
      <c r="B1092" s="30" t="s">
        <v>829</v>
      </c>
      <c r="C1092" s="30" t="str">
        <f>CONCATENATE(VOL_VOLUMEN_SUMINISTROS[[#This Row],[Proyecto]],VOL_VOLUMEN_SUMINISTROS[[#This Row],[J]],VOL_VOLUMEN_SUMINISTROS[[#This Row],[FIN DE SEMANA]])</f>
        <v>1052-1MNO</v>
      </c>
      <c r="D1092" s="360" t="str">
        <f>CONCATENATE(VOL_VOLUMEN_SUMINISTROS[[#This Row],[Grupo]],VOL_VOLUMEN_SUMINISTROS[[#This Row],[Proyecto]],VOL_VOLUMEN_SUMINISTROS[[#This Row],[FIN DE SEMANA]])</f>
        <v>171052-1NO</v>
      </c>
      <c r="E1092" s="30" t="s">
        <v>146</v>
      </c>
      <c r="F1092" s="30" t="s">
        <v>147</v>
      </c>
      <c r="G1092" s="360">
        <v>17</v>
      </c>
      <c r="H1092" s="30">
        <v>10</v>
      </c>
      <c r="I1092" s="9" t="s">
        <v>330</v>
      </c>
      <c r="J1092" s="9" t="s">
        <v>837</v>
      </c>
      <c r="K1092" s="30">
        <v>2</v>
      </c>
      <c r="L1092" s="9" t="s">
        <v>229</v>
      </c>
      <c r="M1092" s="30" t="s">
        <v>84</v>
      </c>
      <c r="N1092" s="30" t="s">
        <v>151</v>
      </c>
      <c r="O1092" s="24">
        <v>197</v>
      </c>
      <c r="P1092" s="24">
        <v>62</v>
      </c>
      <c r="Q1092" s="24">
        <v>0</v>
      </c>
      <c r="R1092" s="24">
        <v>0</v>
      </c>
      <c r="S1092" s="24">
        <v>0</v>
      </c>
      <c r="T1092" s="24">
        <v>259</v>
      </c>
    </row>
    <row r="1093" spans="1:20">
      <c r="A1093" s="9" t="s">
        <v>828</v>
      </c>
      <c r="B1093" s="30" t="s">
        <v>829</v>
      </c>
      <c r="C1093" s="30" t="str">
        <f>CONCATENATE(VOL_VOLUMEN_SUMINISTROS[[#This Row],[Proyecto]],VOL_VOLUMEN_SUMINISTROS[[#This Row],[J]],VOL_VOLUMEN_SUMINISTROS[[#This Row],[FIN DE SEMANA]])</f>
        <v>1052-1TNO</v>
      </c>
      <c r="D1093" s="360" t="str">
        <f>CONCATENATE(VOL_VOLUMEN_SUMINISTROS[[#This Row],[Grupo]],VOL_VOLUMEN_SUMINISTROS[[#This Row],[Proyecto]],VOL_VOLUMEN_SUMINISTROS[[#This Row],[FIN DE SEMANA]])</f>
        <v>171052-1NO</v>
      </c>
      <c r="E1093" s="30" t="s">
        <v>146</v>
      </c>
      <c r="F1093" s="30" t="s">
        <v>147</v>
      </c>
      <c r="G1093" s="360">
        <v>17</v>
      </c>
      <c r="H1093" s="30">
        <v>10</v>
      </c>
      <c r="I1093" s="9" t="s">
        <v>330</v>
      </c>
      <c r="J1093" s="9" t="s">
        <v>837</v>
      </c>
      <c r="K1093" s="30">
        <v>2</v>
      </c>
      <c r="L1093" s="9" t="s">
        <v>229</v>
      </c>
      <c r="M1093" s="30" t="s">
        <v>84</v>
      </c>
      <c r="N1093" s="30" t="s">
        <v>154</v>
      </c>
      <c r="O1093" s="24">
        <v>194</v>
      </c>
      <c r="P1093" s="24">
        <v>62</v>
      </c>
      <c r="Q1093" s="24">
        <v>0</v>
      </c>
      <c r="R1093" s="24">
        <v>0</v>
      </c>
      <c r="S1093" s="24">
        <v>0</v>
      </c>
      <c r="T1093" s="24">
        <v>256</v>
      </c>
    </row>
    <row r="1094" spans="1:20">
      <c r="A1094" s="9" t="s">
        <v>828</v>
      </c>
      <c r="B1094" s="30" t="s">
        <v>829</v>
      </c>
      <c r="C1094" s="30" t="str">
        <f>CONCATENATE(VOL_VOLUMEN_SUMINISTROS[[#This Row],[Proyecto]],VOL_VOLUMEN_SUMINISTROS[[#This Row],[J]],VOL_VOLUMEN_SUMINISTROS[[#This Row],[FIN DE SEMANA]])</f>
        <v>1052-1MNO</v>
      </c>
      <c r="D1094" s="360" t="str">
        <f>CONCATENATE(VOL_VOLUMEN_SUMINISTROS[[#This Row],[Grupo]],VOL_VOLUMEN_SUMINISTROS[[#This Row],[Proyecto]],VOL_VOLUMEN_SUMINISTROS[[#This Row],[FIN DE SEMANA]])</f>
        <v>171052-1NO</v>
      </c>
      <c r="E1094" s="30" t="s">
        <v>146</v>
      </c>
      <c r="F1094" s="30" t="s">
        <v>147</v>
      </c>
      <c r="G1094" s="360">
        <v>17</v>
      </c>
      <c r="H1094" s="30">
        <v>10</v>
      </c>
      <c r="I1094" s="9" t="s">
        <v>330</v>
      </c>
      <c r="J1094" s="9" t="s">
        <v>839</v>
      </c>
      <c r="K1094" s="30">
        <v>1</v>
      </c>
      <c r="L1094" s="9" t="s">
        <v>840</v>
      </c>
      <c r="M1094" s="30" t="s">
        <v>84</v>
      </c>
      <c r="N1094" s="30" t="s">
        <v>151</v>
      </c>
      <c r="O1094" s="24">
        <v>36</v>
      </c>
      <c r="P1094" s="24">
        <v>288</v>
      </c>
      <c r="Q1094" s="24">
        <v>610</v>
      </c>
      <c r="R1094" s="24">
        <v>0</v>
      </c>
      <c r="S1094" s="24">
        <v>0</v>
      </c>
      <c r="T1094" s="24">
        <v>934</v>
      </c>
    </row>
    <row r="1095" spans="1:20">
      <c r="A1095" s="9" t="s">
        <v>828</v>
      </c>
      <c r="B1095" s="30" t="s">
        <v>829</v>
      </c>
      <c r="C1095" s="30" t="str">
        <f>CONCATENATE(VOL_VOLUMEN_SUMINISTROS[[#This Row],[Proyecto]],VOL_VOLUMEN_SUMINISTROS[[#This Row],[J]],VOL_VOLUMEN_SUMINISTROS[[#This Row],[FIN DE SEMANA]])</f>
        <v>1052-1TNO</v>
      </c>
      <c r="D1095" s="360" t="str">
        <f>CONCATENATE(VOL_VOLUMEN_SUMINISTROS[[#This Row],[Grupo]],VOL_VOLUMEN_SUMINISTROS[[#This Row],[Proyecto]],VOL_VOLUMEN_SUMINISTROS[[#This Row],[FIN DE SEMANA]])</f>
        <v>171052-1NO</v>
      </c>
      <c r="E1095" s="30" t="s">
        <v>146</v>
      </c>
      <c r="F1095" s="30" t="s">
        <v>147</v>
      </c>
      <c r="G1095" s="360">
        <v>17</v>
      </c>
      <c r="H1095" s="30">
        <v>10</v>
      </c>
      <c r="I1095" s="9" t="s">
        <v>330</v>
      </c>
      <c r="J1095" s="9" t="s">
        <v>839</v>
      </c>
      <c r="K1095" s="30">
        <v>1</v>
      </c>
      <c r="L1095" s="9" t="s">
        <v>840</v>
      </c>
      <c r="M1095" s="30" t="s">
        <v>84</v>
      </c>
      <c r="N1095" s="30" t="s">
        <v>154</v>
      </c>
      <c r="O1095" s="24">
        <v>20</v>
      </c>
      <c r="P1095" s="24">
        <v>184</v>
      </c>
      <c r="Q1095" s="24">
        <v>325</v>
      </c>
      <c r="R1095" s="24">
        <v>0</v>
      </c>
      <c r="S1095" s="24">
        <v>0</v>
      </c>
      <c r="T1095" s="24">
        <v>529</v>
      </c>
    </row>
    <row r="1096" spans="1:20">
      <c r="A1096" s="9" t="s">
        <v>828</v>
      </c>
      <c r="B1096" s="30" t="s">
        <v>829</v>
      </c>
      <c r="C1096" s="30" t="str">
        <f>CONCATENATE(VOL_VOLUMEN_SUMINISTROS[[#This Row],[Proyecto]],VOL_VOLUMEN_SUMINISTROS[[#This Row],[J]],VOL_VOLUMEN_SUMINISTROS[[#This Row],[FIN DE SEMANA]])</f>
        <v>1052-1MNO</v>
      </c>
      <c r="D1096" s="360" t="str">
        <f>CONCATENATE(VOL_VOLUMEN_SUMINISTROS[[#This Row],[Grupo]],VOL_VOLUMEN_SUMINISTROS[[#This Row],[Proyecto]],VOL_VOLUMEN_SUMINISTROS[[#This Row],[FIN DE SEMANA]])</f>
        <v>171052-1NO</v>
      </c>
      <c r="E1096" s="30" t="s">
        <v>146</v>
      </c>
      <c r="F1096" s="30" t="s">
        <v>147</v>
      </c>
      <c r="G1096" s="360">
        <v>17</v>
      </c>
      <c r="H1096" s="30">
        <v>10</v>
      </c>
      <c r="I1096" s="9" t="s">
        <v>330</v>
      </c>
      <c r="J1096" s="9" t="s">
        <v>839</v>
      </c>
      <c r="K1096" s="30">
        <v>2</v>
      </c>
      <c r="L1096" s="9" t="s">
        <v>841</v>
      </c>
      <c r="M1096" s="30" t="s">
        <v>84</v>
      </c>
      <c r="N1096" s="30" t="s">
        <v>151</v>
      </c>
      <c r="O1096" s="24">
        <v>123</v>
      </c>
      <c r="P1096" s="24">
        <v>41</v>
      </c>
      <c r="Q1096" s="24">
        <v>0</v>
      </c>
      <c r="R1096" s="24">
        <v>0</v>
      </c>
      <c r="S1096" s="24">
        <v>0</v>
      </c>
      <c r="T1096" s="24">
        <v>164</v>
      </c>
    </row>
    <row r="1097" spans="1:20">
      <c r="A1097" s="9" t="s">
        <v>828</v>
      </c>
      <c r="B1097" s="30" t="s">
        <v>829</v>
      </c>
      <c r="C1097" s="30" t="str">
        <f>CONCATENATE(VOL_VOLUMEN_SUMINISTROS[[#This Row],[Proyecto]],VOL_VOLUMEN_SUMINISTROS[[#This Row],[J]],VOL_VOLUMEN_SUMINISTROS[[#This Row],[FIN DE SEMANA]])</f>
        <v>1052-1TNO</v>
      </c>
      <c r="D1097" s="360" t="str">
        <f>CONCATENATE(VOL_VOLUMEN_SUMINISTROS[[#This Row],[Grupo]],VOL_VOLUMEN_SUMINISTROS[[#This Row],[Proyecto]],VOL_VOLUMEN_SUMINISTROS[[#This Row],[FIN DE SEMANA]])</f>
        <v>171052-1NO</v>
      </c>
      <c r="E1097" s="30" t="s">
        <v>146</v>
      </c>
      <c r="F1097" s="30" t="s">
        <v>147</v>
      </c>
      <c r="G1097" s="360">
        <v>17</v>
      </c>
      <c r="H1097" s="30">
        <v>10</v>
      </c>
      <c r="I1097" s="9" t="s">
        <v>330</v>
      </c>
      <c r="J1097" s="9" t="s">
        <v>839</v>
      </c>
      <c r="K1097" s="30">
        <v>2</v>
      </c>
      <c r="L1097" s="9" t="s">
        <v>841</v>
      </c>
      <c r="M1097" s="30" t="s">
        <v>84</v>
      </c>
      <c r="N1097" s="30" t="s">
        <v>154</v>
      </c>
      <c r="O1097" s="24">
        <v>105</v>
      </c>
      <c r="P1097" s="24">
        <v>20</v>
      </c>
      <c r="Q1097" s="24">
        <v>0</v>
      </c>
      <c r="R1097" s="24">
        <v>0</v>
      </c>
      <c r="S1097" s="24">
        <v>0</v>
      </c>
      <c r="T1097" s="24">
        <v>125</v>
      </c>
    </row>
    <row r="1098" spans="1:20">
      <c r="A1098" s="9" t="s">
        <v>828</v>
      </c>
      <c r="B1098" s="30" t="s">
        <v>829</v>
      </c>
      <c r="C1098" s="30" t="str">
        <f>CONCATENATE(VOL_VOLUMEN_SUMINISTROS[[#This Row],[Proyecto]],VOL_VOLUMEN_SUMINISTROS[[#This Row],[J]],VOL_VOLUMEN_SUMINISTROS[[#This Row],[FIN DE SEMANA]])</f>
        <v>1052-1MNO</v>
      </c>
      <c r="D1098" s="360" t="str">
        <f>CONCATENATE(VOL_VOLUMEN_SUMINISTROS[[#This Row],[Grupo]],VOL_VOLUMEN_SUMINISTROS[[#This Row],[Proyecto]],VOL_VOLUMEN_SUMINISTROS[[#This Row],[FIN DE SEMANA]])</f>
        <v>171052-1NO</v>
      </c>
      <c r="E1098" s="30" t="s">
        <v>146</v>
      </c>
      <c r="F1098" s="30" t="s">
        <v>147</v>
      </c>
      <c r="G1098" s="360">
        <v>17</v>
      </c>
      <c r="H1098" s="30">
        <v>11</v>
      </c>
      <c r="I1098" s="9" t="s">
        <v>802</v>
      </c>
      <c r="J1098" s="9" t="s">
        <v>842</v>
      </c>
      <c r="K1098" s="30">
        <v>1</v>
      </c>
      <c r="L1098" s="9" t="s">
        <v>843</v>
      </c>
      <c r="M1098" s="30" t="s">
        <v>84</v>
      </c>
      <c r="N1098" s="30" t="s">
        <v>151</v>
      </c>
      <c r="O1098" s="24">
        <v>0</v>
      </c>
      <c r="P1098" s="24">
        <v>150</v>
      </c>
      <c r="Q1098" s="24">
        <v>479</v>
      </c>
      <c r="R1098" s="24">
        <v>0</v>
      </c>
      <c r="S1098" s="24">
        <v>0</v>
      </c>
      <c r="T1098" s="24">
        <v>629</v>
      </c>
    </row>
    <row r="1099" spans="1:20">
      <c r="A1099" s="9" t="s">
        <v>828</v>
      </c>
      <c r="B1099" s="30" t="s">
        <v>829</v>
      </c>
      <c r="C1099" s="30" t="str">
        <f>CONCATENATE(VOL_VOLUMEN_SUMINISTROS[[#This Row],[Proyecto]],VOL_VOLUMEN_SUMINISTROS[[#This Row],[J]],VOL_VOLUMEN_SUMINISTROS[[#This Row],[FIN DE SEMANA]])</f>
        <v>1052-1TNO</v>
      </c>
      <c r="D1099" s="360" t="str">
        <f>CONCATENATE(VOL_VOLUMEN_SUMINISTROS[[#This Row],[Grupo]],VOL_VOLUMEN_SUMINISTROS[[#This Row],[Proyecto]],VOL_VOLUMEN_SUMINISTROS[[#This Row],[FIN DE SEMANA]])</f>
        <v>171052-1NO</v>
      </c>
      <c r="E1099" s="30" t="s">
        <v>146</v>
      </c>
      <c r="F1099" s="30" t="s">
        <v>147</v>
      </c>
      <c r="G1099" s="360">
        <v>17</v>
      </c>
      <c r="H1099" s="30">
        <v>11</v>
      </c>
      <c r="I1099" s="9" t="s">
        <v>802</v>
      </c>
      <c r="J1099" s="9" t="s">
        <v>842</v>
      </c>
      <c r="K1099" s="30">
        <v>1</v>
      </c>
      <c r="L1099" s="9" t="s">
        <v>843</v>
      </c>
      <c r="M1099" s="30" t="s">
        <v>84</v>
      </c>
      <c r="N1099" s="30" t="s">
        <v>154</v>
      </c>
      <c r="O1099" s="24">
        <v>0</v>
      </c>
      <c r="P1099" s="24">
        <v>150</v>
      </c>
      <c r="Q1099" s="24">
        <v>446</v>
      </c>
      <c r="R1099" s="24">
        <v>0</v>
      </c>
      <c r="S1099" s="24">
        <v>0</v>
      </c>
      <c r="T1099" s="24">
        <v>596</v>
      </c>
    </row>
    <row r="1100" spans="1:20">
      <c r="A1100" s="9" t="s">
        <v>828</v>
      </c>
      <c r="B1100" s="30" t="s">
        <v>829</v>
      </c>
      <c r="C1100" s="30" t="str">
        <f>CONCATENATE(VOL_VOLUMEN_SUMINISTROS[[#This Row],[Proyecto]],VOL_VOLUMEN_SUMINISTROS[[#This Row],[J]],VOL_VOLUMEN_SUMINISTROS[[#This Row],[FIN DE SEMANA]])</f>
        <v>1052-1MNO</v>
      </c>
      <c r="D1100" s="360" t="str">
        <f>CONCATENATE(VOL_VOLUMEN_SUMINISTROS[[#This Row],[Grupo]],VOL_VOLUMEN_SUMINISTROS[[#This Row],[Proyecto]],VOL_VOLUMEN_SUMINISTROS[[#This Row],[FIN DE SEMANA]])</f>
        <v>171052-1NO</v>
      </c>
      <c r="E1100" s="30" t="s">
        <v>146</v>
      </c>
      <c r="F1100" s="30" t="s">
        <v>147</v>
      </c>
      <c r="G1100" s="360">
        <v>17</v>
      </c>
      <c r="H1100" s="30">
        <v>11</v>
      </c>
      <c r="I1100" s="9" t="s">
        <v>802</v>
      </c>
      <c r="J1100" s="9" t="s">
        <v>842</v>
      </c>
      <c r="K1100" s="30">
        <v>2</v>
      </c>
      <c r="L1100" s="9" t="s">
        <v>844</v>
      </c>
      <c r="M1100" s="30" t="s">
        <v>84</v>
      </c>
      <c r="N1100" s="30" t="s">
        <v>151</v>
      </c>
      <c r="O1100" s="24">
        <v>252</v>
      </c>
      <c r="P1100" s="24">
        <v>200</v>
      </c>
      <c r="Q1100" s="24">
        <v>40</v>
      </c>
      <c r="R1100" s="24">
        <v>0</v>
      </c>
      <c r="S1100" s="24">
        <v>0</v>
      </c>
      <c r="T1100" s="24">
        <v>492</v>
      </c>
    </row>
    <row r="1101" spans="1:20">
      <c r="A1101" s="9" t="s">
        <v>828</v>
      </c>
      <c r="B1101" s="30" t="s">
        <v>829</v>
      </c>
      <c r="C1101" s="30" t="str">
        <f>CONCATENATE(VOL_VOLUMEN_SUMINISTROS[[#This Row],[Proyecto]],VOL_VOLUMEN_SUMINISTROS[[#This Row],[J]],VOL_VOLUMEN_SUMINISTROS[[#This Row],[FIN DE SEMANA]])</f>
        <v>1052-1TNO</v>
      </c>
      <c r="D1101" s="360" t="str">
        <f>CONCATENATE(VOL_VOLUMEN_SUMINISTROS[[#This Row],[Grupo]],VOL_VOLUMEN_SUMINISTROS[[#This Row],[Proyecto]],VOL_VOLUMEN_SUMINISTROS[[#This Row],[FIN DE SEMANA]])</f>
        <v>171052-1NO</v>
      </c>
      <c r="E1101" s="30" t="s">
        <v>146</v>
      </c>
      <c r="F1101" s="30" t="s">
        <v>147</v>
      </c>
      <c r="G1101" s="360">
        <v>17</v>
      </c>
      <c r="H1101" s="30">
        <v>11</v>
      </c>
      <c r="I1101" s="9" t="s">
        <v>802</v>
      </c>
      <c r="J1101" s="9" t="s">
        <v>842</v>
      </c>
      <c r="K1101" s="30">
        <v>2</v>
      </c>
      <c r="L1101" s="9" t="s">
        <v>844</v>
      </c>
      <c r="M1101" s="30" t="s">
        <v>84</v>
      </c>
      <c r="N1101" s="30" t="s">
        <v>154</v>
      </c>
      <c r="O1101" s="24">
        <v>240</v>
      </c>
      <c r="P1101" s="24">
        <v>210</v>
      </c>
      <c r="Q1101" s="24">
        <v>40</v>
      </c>
      <c r="R1101" s="24">
        <v>0</v>
      </c>
      <c r="S1101" s="24">
        <v>0</v>
      </c>
      <c r="T1101" s="24">
        <v>490</v>
      </c>
    </row>
    <row r="1102" spans="1:20">
      <c r="A1102" s="9" t="s">
        <v>828</v>
      </c>
      <c r="B1102" s="30" t="s">
        <v>829</v>
      </c>
      <c r="C1102" s="30" t="str">
        <f>CONCATENATE(VOL_VOLUMEN_SUMINISTROS[[#This Row],[Proyecto]],VOL_VOLUMEN_SUMINISTROS[[#This Row],[J]],VOL_VOLUMEN_SUMINISTROS[[#This Row],[FIN DE SEMANA]])</f>
        <v>1052-1MNO</v>
      </c>
      <c r="D1102" s="360" t="str">
        <f>CONCATENATE(VOL_VOLUMEN_SUMINISTROS[[#This Row],[Grupo]],VOL_VOLUMEN_SUMINISTROS[[#This Row],[Proyecto]],VOL_VOLUMEN_SUMINISTROS[[#This Row],[FIN DE SEMANA]])</f>
        <v>171052-1NO</v>
      </c>
      <c r="E1102" s="30" t="s">
        <v>146</v>
      </c>
      <c r="F1102" s="30" t="s">
        <v>147</v>
      </c>
      <c r="G1102" s="360">
        <v>17</v>
      </c>
      <c r="H1102" s="30">
        <v>11</v>
      </c>
      <c r="I1102" s="9" t="s">
        <v>802</v>
      </c>
      <c r="J1102" s="9" t="s">
        <v>845</v>
      </c>
      <c r="K1102" s="30">
        <v>1</v>
      </c>
      <c r="L1102" s="9" t="s">
        <v>846</v>
      </c>
      <c r="M1102" s="30" t="s">
        <v>84</v>
      </c>
      <c r="N1102" s="30" t="s">
        <v>151</v>
      </c>
      <c r="O1102" s="24">
        <v>0</v>
      </c>
      <c r="P1102" s="24">
        <v>141</v>
      </c>
      <c r="Q1102" s="24">
        <v>272</v>
      </c>
      <c r="R1102" s="24">
        <v>0</v>
      </c>
      <c r="S1102" s="24">
        <v>0</v>
      </c>
      <c r="T1102" s="24">
        <v>413</v>
      </c>
    </row>
    <row r="1103" spans="1:20">
      <c r="A1103" s="9" t="s">
        <v>828</v>
      </c>
      <c r="B1103" s="30" t="s">
        <v>829</v>
      </c>
      <c r="C1103" s="30" t="str">
        <f>CONCATENATE(VOL_VOLUMEN_SUMINISTROS[[#This Row],[Proyecto]],VOL_VOLUMEN_SUMINISTROS[[#This Row],[J]],VOL_VOLUMEN_SUMINISTROS[[#This Row],[FIN DE SEMANA]])</f>
        <v>1052-1TNO</v>
      </c>
      <c r="D1103" s="360" t="str">
        <f>CONCATENATE(VOL_VOLUMEN_SUMINISTROS[[#This Row],[Grupo]],VOL_VOLUMEN_SUMINISTROS[[#This Row],[Proyecto]],VOL_VOLUMEN_SUMINISTROS[[#This Row],[FIN DE SEMANA]])</f>
        <v>171052-1NO</v>
      </c>
      <c r="E1103" s="30" t="s">
        <v>146</v>
      </c>
      <c r="F1103" s="30" t="s">
        <v>147</v>
      </c>
      <c r="G1103" s="360">
        <v>17</v>
      </c>
      <c r="H1103" s="30">
        <v>11</v>
      </c>
      <c r="I1103" s="9" t="s">
        <v>802</v>
      </c>
      <c r="J1103" s="9" t="s">
        <v>845</v>
      </c>
      <c r="K1103" s="30">
        <v>1</v>
      </c>
      <c r="L1103" s="9" t="s">
        <v>846</v>
      </c>
      <c r="M1103" s="30" t="s">
        <v>84</v>
      </c>
      <c r="N1103" s="30" t="s">
        <v>154</v>
      </c>
      <c r="O1103" s="24">
        <v>0</v>
      </c>
      <c r="P1103" s="24">
        <v>135</v>
      </c>
      <c r="Q1103" s="24">
        <v>262</v>
      </c>
      <c r="R1103" s="24">
        <v>0</v>
      </c>
      <c r="S1103" s="24">
        <v>0</v>
      </c>
      <c r="T1103" s="24">
        <v>397</v>
      </c>
    </row>
    <row r="1104" spans="1:20">
      <c r="A1104" s="9" t="s">
        <v>828</v>
      </c>
      <c r="B1104" s="30" t="s">
        <v>829</v>
      </c>
      <c r="C1104" s="30" t="str">
        <f>CONCATENATE(VOL_VOLUMEN_SUMINISTROS[[#This Row],[Proyecto]],VOL_VOLUMEN_SUMINISTROS[[#This Row],[J]],VOL_VOLUMEN_SUMINISTROS[[#This Row],[FIN DE SEMANA]])</f>
        <v>1052-1MNO</v>
      </c>
      <c r="D1104" s="360" t="str">
        <f>CONCATENATE(VOL_VOLUMEN_SUMINISTROS[[#This Row],[Grupo]],VOL_VOLUMEN_SUMINISTROS[[#This Row],[Proyecto]],VOL_VOLUMEN_SUMINISTROS[[#This Row],[FIN DE SEMANA]])</f>
        <v>171052-1NO</v>
      </c>
      <c r="E1104" s="30" t="s">
        <v>146</v>
      </c>
      <c r="F1104" s="30" t="s">
        <v>147</v>
      </c>
      <c r="G1104" s="360">
        <v>17</v>
      </c>
      <c r="H1104" s="30">
        <v>11</v>
      </c>
      <c r="I1104" s="9" t="s">
        <v>802</v>
      </c>
      <c r="J1104" s="9" t="s">
        <v>845</v>
      </c>
      <c r="K1104" s="30">
        <v>2</v>
      </c>
      <c r="L1104" s="9" t="s">
        <v>847</v>
      </c>
      <c r="M1104" s="30" t="s">
        <v>84</v>
      </c>
      <c r="N1104" s="30" t="s">
        <v>151</v>
      </c>
      <c r="O1104" s="24">
        <v>175</v>
      </c>
      <c r="P1104" s="24">
        <v>141</v>
      </c>
      <c r="Q1104" s="24">
        <v>27</v>
      </c>
      <c r="R1104" s="24">
        <v>0</v>
      </c>
      <c r="S1104" s="24">
        <v>0</v>
      </c>
      <c r="T1104" s="24">
        <v>343</v>
      </c>
    </row>
    <row r="1105" spans="1:20">
      <c r="A1105" s="9" t="s">
        <v>828</v>
      </c>
      <c r="B1105" s="30" t="s">
        <v>829</v>
      </c>
      <c r="C1105" s="30" t="str">
        <f>CONCATENATE(VOL_VOLUMEN_SUMINISTROS[[#This Row],[Proyecto]],VOL_VOLUMEN_SUMINISTROS[[#This Row],[J]],VOL_VOLUMEN_SUMINISTROS[[#This Row],[FIN DE SEMANA]])</f>
        <v>1052-1TNO</v>
      </c>
      <c r="D1105" s="360" t="str">
        <f>CONCATENATE(VOL_VOLUMEN_SUMINISTROS[[#This Row],[Grupo]],VOL_VOLUMEN_SUMINISTROS[[#This Row],[Proyecto]],VOL_VOLUMEN_SUMINISTROS[[#This Row],[FIN DE SEMANA]])</f>
        <v>171052-1NO</v>
      </c>
      <c r="E1105" s="30" t="s">
        <v>146</v>
      </c>
      <c r="F1105" s="30" t="s">
        <v>147</v>
      </c>
      <c r="G1105" s="360">
        <v>17</v>
      </c>
      <c r="H1105" s="30">
        <v>11</v>
      </c>
      <c r="I1105" s="9" t="s">
        <v>802</v>
      </c>
      <c r="J1105" s="9" t="s">
        <v>845</v>
      </c>
      <c r="K1105" s="30">
        <v>2</v>
      </c>
      <c r="L1105" s="9" t="s">
        <v>847</v>
      </c>
      <c r="M1105" s="30" t="s">
        <v>84</v>
      </c>
      <c r="N1105" s="30" t="s">
        <v>154</v>
      </c>
      <c r="O1105" s="24">
        <v>142</v>
      </c>
      <c r="P1105" s="24">
        <v>156</v>
      </c>
      <c r="Q1105" s="24">
        <v>33</v>
      </c>
      <c r="R1105" s="24">
        <v>0</v>
      </c>
      <c r="S1105" s="24">
        <v>0</v>
      </c>
      <c r="T1105" s="24">
        <v>331</v>
      </c>
    </row>
    <row r="1106" spans="1:20">
      <c r="A1106" s="9" t="s">
        <v>828</v>
      </c>
      <c r="B1106" s="30" t="s">
        <v>829</v>
      </c>
      <c r="C1106" s="30" t="str">
        <f>CONCATENATE(VOL_VOLUMEN_SUMINISTROS[[#This Row],[Proyecto]],VOL_VOLUMEN_SUMINISTROS[[#This Row],[J]],VOL_VOLUMEN_SUMINISTROS[[#This Row],[FIN DE SEMANA]])</f>
        <v>1052-1TNO</v>
      </c>
      <c r="D1106" s="360" t="str">
        <f>CONCATENATE(VOL_VOLUMEN_SUMINISTROS[[#This Row],[Grupo]],VOL_VOLUMEN_SUMINISTROS[[#This Row],[Proyecto]],VOL_VOLUMEN_SUMINISTROS[[#This Row],[FIN DE SEMANA]])</f>
        <v>171052-1NO</v>
      </c>
      <c r="E1106" s="30" t="s">
        <v>146</v>
      </c>
      <c r="F1106" s="30" t="s">
        <v>147</v>
      </c>
      <c r="G1106" s="360">
        <v>17</v>
      </c>
      <c r="H1106" s="30">
        <v>11</v>
      </c>
      <c r="I1106" s="9" t="s">
        <v>802</v>
      </c>
      <c r="J1106" s="9" t="s">
        <v>845</v>
      </c>
      <c r="K1106" s="30">
        <v>3</v>
      </c>
      <c r="L1106" s="9" t="s">
        <v>848</v>
      </c>
      <c r="M1106" s="30" t="s">
        <v>84</v>
      </c>
      <c r="N1106" s="30" t="s">
        <v>154</v>
      </c>
      <c r="O1106" s="24">
        <v>318</v>
      </c>
      <c r="P1106" s="24">
        <v>276</v>
      </c>
      <c r="Q1106" s="24">
        <v>53</v>
      </c>
      <c r="R1106" s="24">
        <v>0</v>
      </c>
      <c r="S1106" s="24">
        <v>0</v>
      </c>
      <c r="T1106" s="24">
        <v>647</v>
      </c>
    </row>
    <row r="1107" spans="1:20">
      <c r="A1107" s="9" t="s">
        <v>828</v>
      </c>
      <c r="B1107" s="30" t="s">
        <v>829</v>
      </c>
      <c r="C1107" s="30" t="str">
        <f>CONCATENATE(VOL_VOLUMEN_SUMINISTROS[[#This Row],[Proyecto]],VOL_VOLUMEN_SUMINISTROS[[#This Row],[J]],VOL_VOLUMEN_SUMINISTROS[[#This Row],[FIN DE SEMANA]])</f>
        <v>1052-1MNO</v>
      </c>
      <c r="D1107" s="360" t="str">
        <f>CONCATENATE(VOL_VOLUMEN_SUMINISTROS[[#This Row],[Grupo]],VOL_VOLUMEN_SUMINISTROS[[#This Row],[Proyecto]],VOL_VOLUMEN_SUMINISTROS[[#This Row],[FIN DE SEMANA]])</f>
        <v>171052-1NO</v>
      </c>
      <c r="E1107" s="30" t="s">
        <v>146</v>
      </c>
      <c r="F1107" s="30" t="s">
        <v>147</v>
      </c>
      <c r="G1107" s="360">
        <v>17</v>
      </c>
      <c r="H1107" s="30">
        <v>11</v>
      </c>
      <c r="I1107" s="9" t="s">
        <v>802</v>
      </c>
      <c r="J1107" s="9" t="s">
        <v>849</v>
      </c>
      <c r="K1107" s="30">
        <v>2</v>
      </c>
      <c r="L1107" s="9" t="s">
        <v>850</v>
      </c>
      <c r="M1107" s="30" t="s">
        <v>84</v>
      </c>
      <c r="N1107" s="30" t="s">
        <v>151</v>
      </c>
      <c r="O1107" s="24">
        <v>79</v>
      </c>
      <c r="P1107" s="24">
        <v>80</v>
      </c>
      <c r="Q1107" s="24">
        <v>16</v>
      </c>
      <c r="R1107" s="24">
        <v>0</v>
      </c>
      <c r="S1107" s="24">
        <v>0</v>
      </c>
      <c r="T1107" s="24">
        <v>175</v>
      </c>
    </row>
    <row r="1108" spans="1:20">
      <c r="A1108" s="9" t="s">
        <v>828</v>
      </c>
      <c r="B1108" s="30" t="s">
        <v>829</v>
      </c>
      <c r="C1108" s="30" t="str">
        <f>CONCATENATE(VOL_VOLUMEN_SUMINISTROS[[#This Row],[Proyecto]],VOL_VOLUMEN_SUMINISTROS[[#This Row],[J]],VOL_VOLUMEN_SUMINISTROS[[#This Row],[FIN DE SEMANA]])</f>
        <v>1052-1TNO</v>
      </c>
      <c r="D1108" s="360" t="str">
        <f>CONCATENATE(VOL_VOLUMEN_SUMINISTROS[[#This Row],[Grupo]],VOL_VOLUMEN_SUMINISTROS[[#This Row],[Proyecto]],VOL_VOLUMEN_SUMINISTROS[[#This Row],[FIN DE SEMANA]])</f>
        <v>171052-1NO</v>
      </c>
      <c r="E1108" s="30" t="s">
        <v>146</v>
      </c>
      <c r="F1108" s="30" t="s">
        <v>147</v>
      </c>
      <c r="G1108" s="360">
        <v>17</v>
      </c>
      <c r="H1108" s="30">
        <v>11</v>
      </c>
      <c r="I1108" s="9" t="s">
        <v>802</v>
      </c>
      <c r="J1108" s="9" t="s">
        <v>849</v>
      </c>
      <c r="K1108" s="30">
        <v>2</v>
      </c>
      <c r="L1108" s="9" t="s">
        <v>850</v>
      </c>
      <c r="M1108" s="30" t="s">
        <v>84</v>
      </c>
      <c r="N1108" s="30" t="s">
        <v>154</v>
      </c>
      <c r="O1108" s="24">
        <v>58</v>
      </c>
      <c r="P1108" s="24">
        <v>71</v>
      </c>
      <c r="Q1108" s="24">
        <v>14</v>
      </c>
      <c r="R1108" s="24">
        <v>0</v>
      </c>
      <c r="S1108" s="24">
        <v>0</v>
      </c>
      <c r="T1108" s="24">
        <v>143</v>
      </c>
    </row>
    <row r="1109" spans="1:20">
      <c r="A1109" s="9" t="s">
        <v>828</v>
      </c>
      <c r="B1109" s="30" t="s">
        <v>829</v>
      </c>
      <c r="C1109" s="30" t="str">
        <f>CONCATENATE(VOL_VOLUMEN_SUMINISTROS[[#This Row],[Proyecto]],VOL_VOLUMEN_SUMINISTROS[[#This Row],[J]],VOL_VOLUMEN_SUMINISTROS[[#This Row],[FIN DE SEMANA]])</f>
        <v>1052-1MNO</v>
      </c>
      <c r="D1109" s="360" t="str">
        <f>CONCATENATE(VOL_VOLUMEN_SUMINISTROS[[#This Row],[Grupo]],VOL_VOLUMEN_SUMINISTROS[[#This Row],[Proyecto]],VOL_VOLUMEN_SUMINISTROS[[#This Row],[FIN DE SEMANA]])</f>
        <v>171052-1NO</v>
      </c>
      <c r="E1109" s="30" t="s">
        <v>146</v>
      </c>
      <c r="F1109" s="30" t="s">
        <v>147</v>
      </c>
      <c r="G1109" s="360">
        <v>17</v>
      </c>
      <c r="H1109" s="30">
        <v>11</v>
      </c>
      <c r="I1109" s="9" t="s">
        <v>802</v>
      </c>
      <c r="J1109" s="9" t="s">
        <v>849</v>
      </c>
      <c r="K1109" s="30">
        <v>3</v>
      </c>
      <c r="L1109" s="9" t="s">
        <v>851</v>
      </c>
      <c r="M1109" s="30" t="s">
        <v>84</v>
      </c>
      <c r="N1109" s="30" t="s">
        <v>151</v>
      </c>
      <c r="O1109" s="24">
        <v>90</v>
      </c>
      <c r="P1109" s="24">
        <v>79</v>
      </c>
      <c r="Q1109" s="24">
        <v>16</v>
      </c>
      <c r="R1109" s="24">
        <v>0</v>
      </c>
      <c r="S1109" s="24">
        <v>0</v>
      </c>
      <c r="T1109" s="24">
        <v>185</v>
      </c>
    </row>
    <row r="1110" spans="1:20">
      <c r="A1110" s="9" t="s">
        <v>828</v>
      </c>
      <c r="B1110" s="30" t="s">
        <v>829</v>
      </c>
      <c r="C1110" s="30" t="str">
        <f>CONCATENATE(VOL_VOLUMEN_SUMINISTROS[[#This Row],[Proyecto]],VOL_VOLUMEN_SUMINISTROS[[#This Row],[J]],VOL_VOLUMEN_SUMINISTROS[[#This Row],[FIN DE SEMANA]])</f>
        <v>1052-1TNO</v>
      </c>
      <c r="D1110" s="360" t="str">
        <f>CONCATENATE(VOL_VOLUMEN_SUMINISTROS[[#This Row],[Grupo]],VOL_VOLUMEN_SUMINISTROS[[#This Row],[Proyecto]],VOL_VOLUMEN_SUMINISTROS[[#This Row],[FIN DE SEMANA]])</f>
        <v>171052-1NO</v>
      </c>
      <c r="E1110" s="30" t="s">
        <v>146</v>
      </c>
      <c r="F1110" s="30" t="s">
        <v>147</v>
      </c>
      <c r="G1110" s="360">
        <v>17</v>
      </c>
      <c r="H1110" s="30">
        <v>11</v>
      </c>
      <c r="I1110" s="9" t="s">
        <v>802</v>
      </c>
      <c r="J1110" s="9" t="s">
        <v>849</v>
      </c>
      <c r="K1110" s="30">
        <v>3</v>
      </c>
      <c r="L1110" s="9" t="s">
        <v>851</v>
      </c>
      <c r="M1110" s="30" t="s">
        <v>84</v>
      </c>
      <c r="N1110" s="30" t="s">
        <v>154</v>
      </c>
      <c r="O1110" s="24">
        <v>88</v>
      </c>
      <c r="P1110" s="24">
        <v>75</v>
      </c>
      <c r="Q1110" s="24">
        <v>15</v>
      </c>
      <c r="R1110" s="24">
        <v>0</v>
      </c>
      <c r="S1110" s="24">
        <v>0</v>
      </c>
      <c r="T1110" s="24">
        <v>178</v>
      </c>
    </row>
    <row r="1111" spans="1:20">
      <c r="A1111" s="9" t="s">
        <v>828</v>
      </c>
      <c r="B1111" s="30" t="s">
        <v>829</v>
      </c>
      <c r="C1111" s="30" t="str">
        <f>CONCATENATE(VOL_VOLUMEN_SUMINISTROS[[#This Row],[Proyecto]],VOL_VOLUMEN_SUMINISTROS[[#This Row],[J]],VOL_VOLUMEN_SUMINISTROS[[#This Row],[FIN DE SEMANA]])</f>
        <v>1052-1MNO</v>
      </c>
      <c r="D1111" s="360" t="str">
        <f>CONCATENATE(VOL_VOLUMEN_SUMINISTROS[[#This Row],[Grupo]],VOL_VOLUMEN_SUMINISTROS[[#This Row],[Proyecto]],VOL_VOLUMEN_SUMINISTROS[[#This Row],[FIN DE SEMANA]])</f>
        <v>171052-1NO</v>
      </c>
      <c r="E1111" s="30" t="s">
        <v>146</v>
      </c>
      <c r="F1111" s="30" t="s">
        <v>147</v>
      </c>
      <c r="G1111" s="360">
        <v>17</v>
      </c>
      <c r="H1111" s="30">
        <v>11</v>
      </c>
      <c r="I1111" s="9" t="s">
        <v>802</v>
      </c>
      <c r="J1111" s="9" t="s">
        <v>849</v>
      </c>
      <c r="K1111" s="30">
        <v>4</v>
      </c>
      <c r="L1111" s="9" t="s">
        <v>852</v>
      </c>
      <c r="M1111" s="30" t="s">
        <v>84</v>
      </c>
      <c r="N1111" s="30" t="s">
        <v>151</v>
      </c>
      <c r="O1111" s="24">
        <v>150</v>
      </c>
      <c r="P1111" s="24">
        <v>0</v>
      </c>
      <c r="Q1111" s="24">
        <v>0</v>
      </c>
      <c r="R1111" s="24">
        <v>0</v>
      </c>
      <c r="S1111" s="24">
        <v>0</v>
      </c>
      <c r="T1111" s="24">
        <v>150</v>
      </c>
    </row>
    <row r="1112" spans="1:20">
      <c r="A1112" s="9" t="s">
        <v>828</v>
      </c>
      <c r="B1112" s="30" t="s">
        <v>829</v>
      </c>
      <c r="C1112" s="30" t="str">
        <f>CONCATENATE(VOL_VOLUMEN_SUMINISTROS[[#This Row],[Proyecto]],VOL_VOLUMEN_SUMINISTROS[[#This Row],[J]],VOL_VOLUMEN_SUMINISTROS[[#This Row],[FIN DE SEMANA]])</f>
        <v>1052-1MNO</v>
      </c>
      <c r="D1112" s="360" t="str">
        <f>CONCATENATE(VOL_VOLUMEN_SUMINISTROS[[#This Row],[Grupo]],VOL_VOLUMEN_SUMINISTROS[[#This Row],[Proyecto]],VOL_VOLUMEN_SUMINISTROS[[#This Row],[FIN DE SEMANA]])</f>
        <v>171052-1NO</v>
      </c>
      <c r="E1112" s="30" t="s">
        <v>146</v>
      </c>
      <c r="F1112" s="30" t="s">
        <v>147</v>
      </c>
      <c r="G1112" s="360">
        <v>17</v>
      </c>
      <c r="H1112" s="30">
        <v>11</v>
      </c>
      <c r="I1112" s="9" t="s">
        <v>802</v>
      </c>
      <c r="J1112" s="9" t="s">
        <v>853</v>
      </c>
      <c r="K1112" s="30">
        <v>1</v>
      </c>
      <c r="L1112" s="9" t="s">
        <v>854</v>
      </c>
      <c r="M1112" s="30" t="s">
        <v>84</v>
      </c>
      <c r="N1112" s="30" t="s">
        <v>151</v>
      </c>
      <c r="O1112" s="24">
        <v>0</v>
      </c>
      <c r="P1112" s="24">
        <v>369</v>
      </c>
      <c r="Q1112" s="24">
        <v>828</v>
      </c>
      <c r="R1112" s="24">
        <v>0</v>
      </c>
      <c r="S1112" s="24">
        <v>0</v>
      </c>
      <c r="T1112" s="24">
        <v>1197</v>
      </c>
    </row>
    <row r="1113" spans="1:20">
      <c r="A1113" s="9" t="s">
        <v>828</v>
      </c>
      <c r="B1113" s="30" t="s">
        <v>829</v>
      </c>
      <c r="C1113" s="30" t="str">
        <f>CONCATENATE(VOL_VOLUMEN_SUMINISTROS[[#This Row],[Proyecto]],VOL_VOLUMEN_SUMINISTROS[[#This Row],[J]],VOL_VOLUMEN_SUMINISTROS[[#This Row],[FIN DE SEMANA]])</f>
        <v>1052-1NNO</v>
      </c>
      <c r="D1113" s="360" t="str">
        <f>CONCATENATE(VOL_VOLUMEN_SUMINISTROS[[#This Row],[Grupo]],VOL_VOLUMEN_SUMINISTROS[[#This Row],[Proyecto]],VOL_VOLUMEN_SUMINISTROS[[#This Row],[FIN DE SEMANA]])</f>
        <v>171052-1NO</v>
      </c>
      <c r="E1113" s="30" t="s">
        <v>146</v>
      </c>
      <c r="F1113" s="30" t="s">
        <v>147</v>
      </c>
      <c r="G1113" s="360">
        <v>17</v>
      </c>
      <c r="H1113" s="30">
        <v>11</v>
      </c>
      <c r="I1113" s="9" t="s">
        <v>802</v>
      </c>
      <c r="J1113" s="9" t="s">
        <v>853</v>
      </c>
      <c r="K1113" s="30">
        <v>1</v>
      </c>
      <c r="L1113" s="9" t="s">
        <v>855</v>
      </c>
      <c r="M1113" s="30" t="s">
        <v>84</v>
      </c>
      <c r="N1113" s="30" t="s">
        <v>153</v>
      </c>
      <c r="O1113" s="24">
        <v>0</v>
      </c>
      <c r="P1113" s="24">
        <v>0</v>
      </c>
      <c r="Q1113" s="24">
        <v>0</v>
      </c>
      <c r="R1113" s="24">
        <v>152</v>
      </c>
      <c r="S1113" s="24">
        <v>183</v>
      </c>
      <c r="T1113" s="24">
        <v>335</v>
      </c>
    </row>
    <row r="1114" spans="1:20">
      <c r="A1114" s="9" t="s">
        <v>828</v>
      </c>
      <c r="B1114" s="30" t="s">
        <v>829</v>
      </c>
      <c r="C1114" s="30" t="str">
        <f>CONCATENATE(VOL_VOLUMEN_SUMINISTROS[[#This Row],[Proyecto]],VOL_VOLUMEN_SUMINISTROS[[#This Row],[J]],VOL_VOLUMEN_SUMINISTROS[[#This Row],[FIN DE SEMANA]])</f>
        <v>1052-1TNO</v>
      </c>
      <c r="D1114" s="360" t="str">
        <f>CONCATENATE(VOL_VOLUMEN_SUMINISTROS[[#This Row],[Grupo]],VOL_VOLUMEN_SUMINISTROS[[#This Row],[Proyecto]],VOL_VOLUMEN_SUMINISTROS[[#This Row],[FIN DE SEMANA]])</f>
        <v>171052-1NO</v>
      </c>
      <c r="E1114" s="30" t="s">
        <v>146</v>
      </c>
      <c r="F1114" s="30" t="s">
        <v>147</v>
      </c>
      <c r="G1114" s="360">
        <v>17</v>
      </c>
      <c r="H1114" s="30">
        <v>11</v>
      </c>
      <c r="I1114" s="9" t="s">
        <v>802</v>
      </c>
      <c r="J1114" s="9" t="s">
        <v>853</v>
      </c>
      <c r="K1114" s="30">
        <v>1</v>
      </c>
      <c r="L1114" s="9" t="s">
        <v>855</v>
      </c>
      <c r="M1114" s="30" t="s">
        <v>84</v>
      </c>
      <c r="N1114" s="30" t="s">
        <v>154</v>
      </c>
      <c r="O1114" s="24">
        <v>48</v>
      </c>
      <c r="P1114" s="24">
        <v>732</v>
      </c>
      <c r="Q1114" s="24">
        <v>236</v>
      </c>
      <c r="R1114" s="24">
        <v>0</v>
      </c>
      <c r="S1114" s="24">
        <v>0</v>
      </c>
      <c r="T1114" s="24">
        <v>1016</v>
      </c>
    </row>
    <row r="1115" spans="1:20">
      <c r="A1115" s="9" t="s">
        <v>828</v>
      </c>
      <c r="B1115" s="30" t="s">
        <v>829</v>
      </c>
      <c r="C1115" s="30" t="str">
        <f>CONCATENATE(VOL_VOLUMEN_SUMINISTROS[[#This Row],[Proyecto]],VOL_VOLUMEN_SUMINISTROS[[#This Row],[J]],VOL_VOLUMEN_SUMINISTROS[[#This Row],[FIN DE SEMANA]])</f>
        <v>1052-1MNO</v>
      </c>
      <c r="D1115" s="360" t="str">
        <f>CONCATENATE(VOL_VOLUMEN_SUMINISTROS[[#This Row],[Grupo]],VOL_VOLUMEN_SUMINISTROS[[#This Row],[Proyecto]],VOL_VOLUMEN_SUMINISTROS[[#This Row],[FIN DE SEMANA]])</f>
        <v>171052-1NO</v>
      </c>
      <c r="E1115" s="30" t="s">
        <v>146</v>
      </c>
      <c r="F1115" s="30" t="s">
        <v>147</v>
      </c>
      <c r="G1115" s="360">
        <v>17</v>
      </c>
      <c r="H1115" s="30">
        <v>11</v>
      </c>
      <c r="I1115" s="9" t="s">
        <v>802</v>
      </c>
      <c r="J1115" s="9" t="s">
        <v>853</v>
      </c>
      <c r="K1115" s="30">
        <v>2</v>
      </c>
      <c r="L1115" s="9" t="s">
        <v>856</v>
      </c>
      <c r="M1115" s="30" t="s">
        <v>84</v>
      </c>
      <c r="N1115" s="30" t="s">
        <v>151</v>
      </c>
      <c r="O1115" s="24">
        <v>174</v>
      </c>
      <c r="P1115" s="24">
        <v>61</v>
      </c>
      <c r="Q1115" s="24">
        <v>0</v>
      </c>
      <c r="R1115" s="24">
        <v>0</v>
      </c>
      <c r="S1115" s="24">
        <v>0</v>
      </c>
      <c r="T1115" s="24">
        <v>235</v>
      </c>
    </row>
    <row r="1116" spans="1:20">
      <c r="A1116" s="9" t="s">
        <v>828</v>
      </c>
      <c r="B1116" s="30" t="s">
        <v>829</v>
      </c>
      <c r="C1116" s="30" t="str">
        <f>CONCATENATE(VOL_VOLUMEN_SUMINISTROS[[#This Row],[Proyecto]],VOL_VOLUMEN_SUMINISTROS[[#This Row],[J]],VOL_VOLUMEN_SUMINISTROS[[#This Row],[FIN DE SEMANA]])</f>
        <v>1052-1TNO</v>
      </c>
      <c r="D1116" s="360" t="str">
        <f>CONCATENATE(VOL_VOLUMEN_SUMINISTROS[[#This Row],[Grupo]],VOL_VOLUMEN_SUMINISTROS[[#This Row],[Proyecto]],VOL_VOLUMEN_SUMINISTROS[[#This Row],[FIN DE SEMANA]])</f>
        <v>171052-1NO</v>
      </c>
      <c r="E1116" s="30" t="s">
        <v>146</v>
      </c>
      <c r="F1116" s="30" t="s">
        <v>147</v>
      </c>
      <c r="G1116" s="360">
        <v>17</v>
      </c>
      <c r="H1116" s="30">
        <v>11</v>
      </c>
      <c r="I1116" s="9" t="s">
        <v>802</v>
      </c>
      <c r="J1116" s="9" t="s">
        <v>853</v>
      </c>
      <c r="K1116" s="30">
        <v>2</v>
      </c>
      <c r="L1116" s="9" t="s">
        <v>857</v>
      </c>
      <c r="M1116" s="30" t="s">
        <v>84</v>
      </c>
      <c r="N1116" s="30" t="s">
        <v>154</v>
      </c>
      <c r="O1116" s="24">
        <v>168</v>
      </c>
      <c r="P1116" s="24">
        <v>58</v>
      </c>
      <c r="Q1116" s="24">
        <v>0</v>
      </c>
      <c r="R1116" s="24">
        <v>0</v>
      </c>
      <c r="S1116" s="24">
        <v>0</v>
      </c>
      <c r="T1116" s="24">
        <v>226</v>
      </c>
    </row>
    <row r="1117" spans="1:20">
      <c r="A1117" s="9" t="s">
        <v>828</v>
      </c>
      <c r="B1117" s="30" t="s">
        <v>829</v>
      </c>
      <c r="C1117" s="30" t="str">
        <f>CONCATENATE(VOL_VOLUMEN_SUMINISTROS[[#This Row],[Proyecto]],VOL_VOLUMEN_SUMINISTROS[[#This Row],[J]],VOL_VOLUMEN_SUMINISTROS[[#This Row],[FIN DE SEMANA]])</f>
        <v>1052-1MNO</v>
      </c>
      <c r="D1117" s="360" t="str">
        <f>CONCATENATE(VOL_VOLUMEN_SUMINISTROS[[#This Row],[Grupo]],VOL_VOLUMEN_SUMINISTROS[[#This Row],[Proyecto]],VOL_VOLUMEN_SUMINISTROS[[#This Row],[FIN DE SEMANA]])</f>
        <v>171052-1NO</v>
      </c>
      <c r="E1117" s="30" t="s">
        <v>146</v>
      </c>
      <c r="F1117" s="30" t="s">
        <v>147</v>
      </c>
      <c r="G1117" s="360">
        <v>17</v>
      </c>
      <c r="H1117" s="30">
        <v>11</v>
      </c>
      <c r="I1117" s="9" t="s">
        <v>802</v>
      </c>
      <c r="J1117" s="9" t="s">
        <v>853</v>
      </c>
      <c r="K1117" s="30">
        <v>3</v>
      </c>
      <c r="L1117" s="9" t="s">
        <v>858</v>
      </c>
      <c r="M1117" s="30" t="s">
        <v>84</v>
      </c>
      <c r="N1117" s="30" t="s">
        <v>151</v>
      </c>
      <c r="O1117" s="24">
        <v>150</v>
      </c>
      <c r="P1117" s="24">
        <v>0</v>
      </c>
      <c r="Q1117" s="24">
        <v>0</v>
      </c>
      <c r="R1117" s="24">
        <v>0</v>
      </c>
      <c r="S1117" s="24">
        <v>0</v>
      </c>
      <c r="T1117" s="24">
        <v>150</v>
      </c>
    </row>
    <row r="1118" spans="1:20">
      <c r="A1118" s="9" t="s">
        <v>828</v>
      </c>
      <c r="B1118" s="30" t="s">
        <v>829</v>
      </c>
      <c r="C1118" s="30" t="str">
        <f>CONCATENATE(VOL_VOLUMEN_SUMINISTROS[[#This Row],[Proyecto]],VOL_VOLUMEN_SUMINISTROS[[#This Row],[J]],VOL_VOLUMEN_SUMINISTROS[[#This Row],[FIN DE SEMANA]])</f>
        <v>1052-1TNO</v>
      </c>
      <c r="D1118" s="360" t="str">
        <f>CONCATENATE(VOL_VOLUMEN_SUMINISTROS[[#This Row],[Grupo]],VOL_VOLUMEN_SUMINISTROS[[#This Row],[Proyecto]],VOL_VOLUMEN_SUMINISTROS[[#This Row],[FIN DE SEMANA]])</f>
        <v>171052-1NO</v>
      </c>
      <c r="E1118" s="30" t="s">
        <v>146</v>
      </c>
      <c r="F1118" s="30" t="s">
        <v>147</v>
      </c>
      <c r="G1118" s="360">
        <v>17</v>
      </c>
      <c r="H1118" s="30">
        <v>11</v>
      </c>
      <c r="I1118" s="9" t="s">
        <v>802</v>
      </c>
      <c r="J1118" s="9" t="s">
        <v>853</v>
      </c>
      <c r="K1118" s="30">
        <v>3</v>
      </c>
      <c r="L1118" s="9" t="s">
        <v>858</v>
      </c>
      <c r="M1118" s="30" t="s">
        <v>84</v>
      </c>
      <c r="N1118" s="30" t="s">
        <v>154</v>
      </c>
      <c r="O1118" s="24">
        <v>150</v>
      </c>
      <c r="P1118" s="24">
        <v>0</v>
      </c>
      <c r="Q1118" s="24">
        <v>0</v>
      </c>
      <c r="R1118" s="24">
        <v>0</v>
      </c>
      <c r="S1118" s="24">
        <v>0</v>
      </c>
      <c r="T1118" s="24">
        <v>150</v>
      </c>
    </row>
    <row r="1119" spans="1:20">
      <c r="A1119" s="9" t="s">
        <v>828</v>
      </c>
      <c r="B1119" s="30" t="s">
        <v>829</v>
      </c>
      <c r="C1119" s="30" t="str">
        <f>CONCATENATE(VOL_VOLUMEN_SUMINISTROS[[#This Row],[Proyecto]],VOL_VOLUMEN_SUMINISTROS[[#This Row],[J]],VOL_VOLUMEN_SUMINISTROS[[#This Row],[FIN DE SEMANA]])</f>
        <v>1052-1MNO</v>
      </c>
      <c r="D1119" s="360" t="str">
        <f>CONCATENATE(VOL_VOLUMEN_SUMINISTROS[[#This Row],[Grupo]],VOL_VOLUMEN_SUMINISTROS[[#This Row],[Proyecto]],VOL_VOLUMEN_SUMINISTROS[[#This Row],[FIN DE SEMANA]])</f>
        <v>171052-1NO</v>
      </c>
      <c r="E1119" s="30" t="s">
        <v>146</v>
      </c>
      <c r="F1119" s="30" t="s">
        <v>147</v>
      </c>
      <c r="G1119" s="360">
        <v>17</v>
      </c>
      <c r="H1119" s="30">
        <v>11</v>
      </c>
      <c r="I1119" s="9" t="s">
        <v>802</v>
      </c>
      <c r="J1119" s="9" t="s">
        <v>853</v>
      </c>
      <c r="K1119" s="30">
        <v>4</v>
      </c>
      <c r="L1119" s="9" t="s">
        <v>859</v>
      </c>
      <c r="M1119" s="30" t="s">
        <v>84</v>
      </c>
      <c r="N1119" s="30" t="s">
        <v>151</v>
      </c>
      <c r="O1119" s="24">
        <v>326</v>
      </c>
      <c r="P1119" s="24">
        <v>127</v>
      </c>
      <c r="Q1119" s="24">
        <v>0</v>
      </c>
      <c r="R1119" s="24">
        <v>0</v>
      </c>
      <c r="S1119" s="24">
        <v>0</v>
      </c>
      <c r="T1119" s="24">
        <v>453</v>
      </c>
    </row>
    <row r="1120" spans="1:20">
      <c r="A1120" s="9" t="s">
        <v>828</v>
      </c>
      <c r="B1120" s="30" t="s">
        <v>829</v>
      </c>
      <c r="C1120" s="30" t="str">
        <f>CONCATENATE(VOL_VOLUMEN_SUMINISTROS[[#This Row],[Proyecto]],VOL_VOLUMEN_SUMINISTROS[[#This Row],[J]],VOL_VOLUMEN_SUMINISTROS[[#This Row],[FIN DE SEMANA]])</f>
        <v>1052-1TNO</v>
      </c>
      <c r="D1120" s="360" t="str">
        <f>CONCATENATE(VOL_VOLUMEN_SUMINISTROS[[#This Row],[Grupo]],VOL_VOLUMEN_SUMINISTROS[[#This Row],[Proyecto]],VOL_VOLUMEN_SUMINISTROS[[#This Row],[FIN DE SEMANA]])</f>
        <v>171052-1NO</v>
      </c>
      <c r="E1120" s="30" t="s">
        <v>146</v>
      </c>
      <c r="F1120" s="30" t="s">
        <v>147</v>
      </c>
      <c r="G1120" s="360">
        <v>17</v>
      </c>
      <c r="H1120" s="30">
        <v>11</v>
      </c>
      <c r="I1120" s="9" t="s">
        <v>802</v>
      </c>
      <c r="J1120" s="9" t="s">
        <v>853</v>
      </c>
      <c r="K1120" s="30">
        <v>4</v>
      </c>
      <c r="L1120" s="9" t="s">
        <v>859</v>
      </c>
      <c r="M1120" s="30" t="s">
        <v>84</v>
      </c>
      <c r="N1120" s="30" t="s">
        <v>154</v>
      </c>
      <c r="O1120" s="24">
        <v>340</v>
      </c>
      <c r="P1120" s="24">
        <v>135</v>
      </c>
      <c r="Q1120" s="24">
        <v>0</v>
      </c>
      <c r="R1120" s="24">
        <v>0</v>
      </c>
      <c r="S1120" s="24">
        <v>0</v>
      </c>
      <c r="T1120" s="24">
        <v>475</v>
      </c>
    </row>
    <row r="1121" spans="1:20">
      <c r="A1121" s="9" t="s">
        <v>828</v>
      </c>
      <c r="B1121" s="30" t="s">
        <v>829</v>
      </c>
      <c r="C1121" s="30" t="str">
        <f>CONCATENATE(VOL_VOLUMEN_SUMINISTROS[[#This Row],[Proyecto]],VOL_VOLUMEN_SUMINISTROS[[#This Row],[J]],VOL_VOLUMEN_SUMINISTROS[[#This Row],[FIN DE SEMANA]])</f>
        <v>1052-1MNO</v>
      </c>
      <c r="D1121" s="360" t="str">
        <f>CONCATENATE(VOL_VOLUMEN_SUMINISTROS[[#This Row],[Grupo]],VOL_VOLUMEN_SUMINISTROS[[#This Row],[Proyecto]],VOL_VOLUMEN_SUMINISTROS[[#This Row],[FIN DE SEMANA]])</f>
        <v>171052-1NO</v>
      </c>
      <c r="E1121" s="30" t="s">
        <v>146</v>
      </c>
      <c r="F1121" s="30" t="s">
        <v>147</v>
      </c>
      <c r="G1121" s="360">
        <v>17</v>
      </c>
      <c r="H1121" s="30">
        <v>11</v>
      </c>
      <c r="I1121" s="9" t="s">
        <v>802</v>
      </c>
      <c r="J1121" s="9" t="s">
        <v>860</v>
      </c>
      <c r="K1121" s="30">
        <v>2</v>
      </c>
      <c r="L1121" s="9" t="s">
        <v>861</v>
      </c>
      <c r="M1121" s="30" t="s">
        <v>84</v>
      </c>
      <c r="N1121" s="30" t="s">
        <v>151</v>
      </c>
      <c r="O1121" s="24">
        <v>93</v>
      </c>
      <c r="P1121" s="24">
        <v>85</v>
      </c>
      <c r="Q1121" s="24">
        <v>17</v>
      </c>
      <c r="R1121" s="24">
        <v>0</v>
      </c>
      <c r="S1121" s="24">
        <v>0</v>
      </c>
      <c r="T1121" s="24">
        <v>195</v>
      </c>
    </row>
    <row r="1122" spans="1:20">
      <c r="A1122" s="9" t="s">
        <v>828</v>
      </c>
      <c r="B1122" s="30" t="s">
        <v>829</v>
      </c>
      <c r="C1122" s="30" t="str">
        <f>CONCATENATE(VOL_VOLUMEN_SUMINISTROS[[#This Row],[Proyecto]],VOL_VOLUMEN_SUMINISTROS[[#This Row],[J]],VOL_VOLUMEN_SUMINISTROS[[#This Row],[FIN DE SEMANA]])</f>
        <v>1052-1TNO</v>
      </c>
      <c r="D1122" s="360" t="str">
        <f>CONCATENATE(VOL_VOLUMEN_SUMINISTROS[[#This Row],[Grupo]],VOL_VOLUMEN_SUMINISTROS[[#This Row],[Proyecto]],VOL_VOLUMEN_SUMINISTROS[[#This Row],[FIN DE SEMANA]])</f>
        <v>171052-1NO</v>
      </c>
      <c r="E1122" s="30" t="s">
        <v>146</v>
      </c>
      <c r="F1122" s="30" t="s">
        <v>147</v>
      </c>
      <c r="G1122" s="360">
        <v>17</v>
      </c>
      <c r="H1122" s="30">
        <v>11</v>
      </c>
      <c r="I1122" s="9" t="s">
        <v>802</v>
      </c>
      <c r="J1122" s="9" t="s">
        <v>860</v>
      </c>
      <c r="K1122" s="30">
        <v>2</v>
      </c>
      <c r="L1122" s="9" t="s">
        <v>861</v>
      </c>
      <c r="M1122" s="30" t="s">
        <v>84</v>
      </c>
      <c r="N1122" s="30" t="s">
        <v>154</v>
      </c>
      <c r="O1122" s="24">
        <v>97</v>
      </c>
      <c r="P1122" s="24">
        <v>83</v>
      </c>
      <c r="Q1122" s="24">
        <v>16</v>
      </c>
      <c r="R1122" s="24">
        <v>0</v>
      </c>
      <c r="S1122" s="24">
        <v>0</v>
      </c>
      <c r="T1122" s="24">
        <v>196</v>
      </c>
    </row>
    <row r="1123" spans="1:20">
      <c r="A1123" s="9" t="s">
        <v>828</v>
      </c>
      <c r="B1123" s="30" t="s">
        <v>862</v>
      </c>
      <c r="C1123" s="30" t="str">
        <f>CONCATENATE(VOL_VOLUMEN_SUMINISTROS[[#This Row],[Proyecto]],VOL_VOLUMEN_SUMINISTROS[[#This Row],[J]],VOL_VOLUMEN_SUMINISTROS[[#This Row],[FIN DE SEMANA]])</f>
        <v>1052-2M1NO</v>
      </c>
      <c r="D1123" s="360" t="str">
        <f>CONCATENATE(VOL_VOLUMEN_SUMINISTROS[[#This Row],[Grupo]],VOL_VOLUMEN_SUMINISTROS[[#This Row],[Proyecto]],VOL_VOLUMEN_SUMINISTROS[[#This Row],[FIN DE SEMANA]])</f>
        <v>51052-2NO</v>
      </c>
      <c r="E1123" s="30" t="s">
        <v>182</v>
      </c>
      <c r="F1123" s="30" t="s">
        <v>147</v>
      </c>
      <c r="G1123" s="360">
        <v>5</v>
      </c>
      <c r="H1123" s="30">
        <v>10</v>
      </c>
      <c r="I1123" s="9" t="s">
        <v>330</v>
      </c>
      <c r="J1123" s="9" t="s">
        <v>863</v>
      </c>
      <c r="K1123" s="30">
        <v>1</v>
      </c>
      <c r="L1123" s="9" t="s">
        <v>864</v>
      </c>
      <c r="M1123" s="30" t="s">
        <v>84</v>
      </c>
      <c r="N1123" s="30" t="s">
        <v>215</v>
      </c>
      <c r="O1123" s="24">
        <v>0</v>
      </c>
      <c r="P1123" s="24">
        <v>279</v>
      </c>
      <c r="Q1123" s="24">
        <v>463</v>
      </c>
      <c r="R1123" s="24">
        <v>0</v>
      </c>
      <c r="S1123" s="24">
        <v>0</v>
      </c>
      <c r="T1123" s="24">
        <v>742</v>
      </c>
    </row>
    <row r="1124" spans="1:20">
      <c r="A1124" s="9" t="s">
        <v>828</v>
      </c>
      <c r="B1124" s="30" t="s">
        <v>862</v>
      </c>
      <c r="C1124" s="30" t="str">
        <f>CONCATENATE(VOL_VOLUMEN_SUMINISTROS[[#This Row],[Proyecto]],VOL_VOLUMEN_SUMINISTROS[[#This Row],[J]],VOL_VOLUMEN_SUMINISTROS[[#This Row],[FIN DE SEMANA]])</f>
        <v>1052-2M1NO</v>
      </c>
      <c r="D1124" s="360" t="str">
        <f>CONCATENATE(VOL_VOLUMEN_SUMINISTROS[[#This Row],[Grupo]],VOL_VOLUMEN_SUMINISTROS[[#This Row],[Proyecto]],VOL_VOLUMEN_SUMINISTROS[[#This Row],[FIN DE SEMANA]])</f>
        <v>51052-2NO</v>
      </c>
      <c r="E1124" s="30" t="s">
        <v>182</v>
      </c>
      <c r="F1124" s="30" t="s">
        <v>147</v>
      </c>
      <c r="G1124" s="360">
        <v>5</v>
      </c>
      <c r="H1124" s="30">
        <v>10</v>
      </c>
      <c r="I1124" s="9" t="s">
        <v>330</v>
      </c>
      <c r="J1124" s="9" t="s">
        <v>863</v>
      </c>
      <c r="K1124" s="30">
        <v>2</v>
      </c>
      <c r="L1124" s="9" t="s">
        <v>865</v>
      </c>
      <c r="M1124" s="30" t="s">
        <v>84</v>
      </c>
      <c r="N1124" s="30" t="s">
        <v>215</v>
      </c>
      <c r="O1124" s="24">
        <v>140</v>
      </c>
      <c r="P1124" s="24">
        <v>175</v>
      </c>
      <c r="Q1124" s="24">
        <v>35</v>
      </c>
      <c r="R1124" s="24">
        <v>0</v>
      </c>
      <c r="S1124" s="24">
        <v>0</v>
      </c>
      <c r="T1124" s="24">
        <v>350</v>
      </c>
    </row>
    <row r="1125" spans="1:20">
      <c r="A1125" s="9" t="s">
        <v>828</v>
      </c>
      <c r="B1125" s="30" t="s">
        <v>862</v>
      </c>
      <c r="C1125" s="30" t="str">
        <f>CONCATENATE(VOL_VOLUMEN_SUMINISTROS[[#This Row],[Proyecto]],VOL_VOLUMEN_SUMINISTROS[[#This Row],[J]],VOL_VOLUMEN_SUMINISTROS[[#This Row],[FIN DE SEMANA]])</f>
        <v>1052-2TNO</v>
      </c>
      <c r="D1125" s="360" t="str">
        <f>CONCATENATE(VOL_VOLUMEN_SUMINISTROS[[#This Row],[Grupo]],VOL_VOLUMEN_SUMINISTROS[[#This Row],[Proyecto]],VOL_VOLUMEN_SUMINISTROS[[#This Row],[FIN DE SEMANA]])</f>
        <v>51052-2NO</v>
      </c>
      <c r="E1125" s="30" t="s">
        <v>182</v>
      </c>
      <c r="F1125" s="30" t="s">
        <v>147</v>
      </c>
      <c r="G1125" s="360">
        <v>5</v>
      </c>
      <c r="H1125" s="30">
        <v>10</v>
      </c>
      <c r="I1125" s="9" t="s">
        <v>330</v>
      </c>
      <c r="J1125" s="9" t="s">
        <v>863</v>
      </c>
      <c r="K1125" s="30">
        <v>2</v>
      </c>
      <c r="L1125" s="9" t="s">
        <v>865</v>
      </c>
      <c r="M1125" s="30" t="s">
        <v>84</v>
      </c>
      <c r="N1125" s="30" t="s">
        <v>154</v>
      </c>
      <c r="O1125" s="24">
        <v>122</v>
      </c>
      <c r="P1125" s="24">
        <v>166</v>
      </c>
      <c r="Q1125" s="24">
        <v>35</v>
      </c>
      <c r="R1125" s="24">
        <v>0</v>
      </c>
      <c r="S1125" s="24">
        <v>0</v>
      </c>
      <c r="T1125" s="24">
        <v>323</v>
      </c>
    </row>
    <row r="1126" spans="1:20">
      <c r="A1126" s="9" t="s">
        <v>828</v>
      </c>
      <c r="B1126" s="30" t="s">
        <v>862</v>
      </c>
      <c r="C1126" s="30" t="str">
        <f>CONCATENATE(VOL_VOLUMEN_SUMINISTROS[[#This Row],[Proyecto]],VOL_VOLUMEN_SUMINISTROS[[#This Row],[J]],VOL_VOLUMEN_SUMINISTROS[[#This Row],[FIN DE SEMANA]])</f>
        <v>1052-2MNO</v>
      </c>
      <c r="D1126" s="360" t="str">
        <f>CONCATENATE(VOL_VOLUMEN_SUMINISTROS[[#This Row],[Grupo]],VOL_VOLUMEN_SUMINISTROS[[#This Row],[Proyecto]],VOL_VOLUMEN_SUMINISTROS[[#This Row],[FIN DE SEMANA]])</f>
        <v>51052-2NO</v>
      </c>
      <c r="E1126" s="30" t="s">
        <v>182</v>
      </c>
      <c r="F1126" s="30" t="s">
        <v>147</v>
      </c>
      <c r="G1126" s="360">
        <v>5</v>
      </c>
      <c r="H1126" s="30">
        <v>10</v>
      </c>
      <c r="I1126" s="9" t="s">
        <v>330</v>
      </c>
      <c r="J1126" s="9" t="s">
        <v>866</v>
      </c>
      <c r="K1126" s="30">
        <v>1</v>
      </c>
      <c r="L1126" s="9" t="s">
        <v>867</v>
      </c>
      <c r="M1126" s="30" t="s">
        <v>84</v>
      </c>
      <c r="N1126" s="30" t="s">
        <v>151</v>
      </c>
      <c r="O1126" s="24">
        <v>54</v>
      </c>
      <c r="P1126" s="24">
        <v>69</v>
      </c>
      <c r="Q1126" s="24">
        <v>14</v>
      </c>
      <c r="R1126" s="24">
        <v>0</v>
      </c>
      <c r="S1126" s="24">
        <v>0</v>
      </c>
      <c r="T1126" s="24">
        <v>137</v>
      </c>
    </row>
    <row r="1127" spans="1:20">
      <c r="A1127" s="9" t="s">
        <v>828</v>
      </c>
      <c r="B1127" s="30" t="s">
        <v>862</v>
      </c>
      <c r="C1127" s="30" t="str">
        <f>CONCATENATE(VOL_VOLUMEN_SUMINISTROS[[#This Row],[Proyecto]],VOL_VOLUMEN_SUMINISTROS[[#This Row],[J]],VOL_VOLUMEN_SUMINISTROS[[#This Row],[FIN DE SEMANA]])</f>
        <v>1052-2TNO</v>
      </c>
      <c r="D1127" s="360" t="str">
        <f>CONCATENATE(VOL_VOLUMEN_SUMINISTROS[[#This Row],[Grupo]],VOL_VOLUMEN_SUMINISTROS[[#This Row],[Proyecto]],VOL_VOLUMEN_SUMINISTROS[[#This Row],[FIN DE SEMANA]])</f>
        <v>51052-2NO</v>
      </c>
      <c r="E1127" s="30" t="s">
        <v>182</v>
      </c>
      <c r="F1127" s="30" t="s">
        <v>147</v>
      </c>
      <c r="G1127" s="360">
        <v>5</v>
      </c>
      <c r="H1127" s="30">
        <v>10</v>
      </c>
      <c r="I1127" s="9" t="s">
        <v>330</v>
      </c>
      <c r="J1127" s="9" t="s">
        <v>866</v>
      </c>
      <c r="K1127" s="30">
        <v>1</v>
      </c>
      <c r="L1127" s="9" t="s">
        <v>867</v>
      </c>
      <c r="M1127" s="30" t="s">
        <v>84</v>
      </c>
      <c r="N1127" s="30" t="s">
        <v>154</v>
      </c>
      <c r="O1127" s="24">
        <v>88</v>
      </c>
      <c r="P1127" s="24">
        <v>95</v>
      </c>
      <c r="Q1127" s="24">
        <v>17</v>
      </c>
      <c r="R1127" s="24">
        <v>0</v>
      </c>
      <c r="S1127" s="24">
        <v>0</v>
      </c>
      <c r="T1127" s="24">
        <v>200</v>
      </c>
    </row>
    <row r="1128" spans="1:20">
      <c r="A1128" s="9" t="s">
        <v>828</v>
      </c>
      <c r="B1128" s="30" t="s">
        <v>862</v>
      </c>
      <c r="C1128" s="30" t="str">
        <f>CONCATENATE(VOL_VOLUMEN_SUMINISTROS[[#This Row],[Proyecto]],VOL_VOLUMEN_SUMINISTROS[[#This Row],[J]],VOL_VOLUMEN_SUMINISTROS[[#This Row],[FIN DE SEMANA]])</f>
        <v>1052-2M1NO</v>
      </c>
      <c r="D1128" s="360" t="str">
        <f>CONCATENATE(VOL_VOLUMEN_SUMINISTROS[[#This Row],[Grupo]],VOL_VOLUMEN_SUMINISTROS[[#This Row],[Proyecto]],VOL_VOLUMEN_SUMINISTROS[[#This Row],[FIN DE SEMANA]])</f>
        <v>51052-2NO</v>
      </c>
      <c r="E1128" s="30" t="s">
        <v>182</v>
      </c>
      <c r="F1128" s="30" t="s">
        <v>147</v>
      </c>
      <c r="G1128" s="360">
        <v>5</v>
      </c>
      <c r="H1128" s="30">
        <v>10</v>
      </c>
      <c r="I1128" s="9" t="s">
        <v>330</v>
      </c>
      <c r="J1128" s="9" t="s">
        <v>866</v>
      </c>
      <c r="K1128" s="30">
        <v>2</v>
      </c>
      <c r="L1128" s="9" t="s">
        <v>868</v>
      </c>
      <c r="M1128" s="30" t="s">
        <v>84</v>
      </c>
      <c r="N1128" s="30" t="s">
        <v>215</v>
      </c>
      <c r="O1128" s="24">
        <v>0</v>
      </c>
      <c r="P1128" s="24">
        <v>42</v>
      </c>
      <c r="Q1128" s="24">
        <v>89</v>
      </c>
      <c r="R1128" s="24">
        <v>0</v>
      </c>
      <c r="S1128" s="24">
        <v>0</v>
      </c>
      <c r="T1128" s="24">
        <v>131</v>
      </c>
    </row>
    <row r="1129" spans="1:20">
      <c r="A1129" s="9" t="s">
        <v>828</v>
      </c>
      <c r="B1129" s="30" t="s">
        <v>862</v>
      </c>
      <c r="C1129" s="30" t="str">
        <f>CONCATENATE(VOL_VOLUMEN_SUMINISTROS[[#This Row],[Proyecto]],VOL_VOLUMEN_SUMINISTROS[[#This Row],[J]],VOL_VOLUMEN_SUMINISTROS[[#This Row],[FIN DE SEMANA]])</f>
        <v>1052-2TNO</v>
      </c>
      <c r="D1129" s="360" t="str">
        <f>CONCATENATE(VOL_VOLUMEN_SUMINISTROS[[#This Row],[Grupo]],VOL_VOLUMEN_SUMINISTROS[[#This Row],[Proyecto]],VOL_VOLUMEN_SUMINISTROS[[#This Row],[FIN DE SEMANA]])</f>
        <v>51052-2NO</v>
      </c>
      <c r="E1129" s="30" t="s">
        <v>182</v>
      </c>
      <c r="F1129" s="30" t="s">
        <v>147</v>
      </c>
      <c r="G1129" s="360">
        <v>5</v>
      </c>
      <c r="H1129" s="30">
        <v>10</v>
      </c>
      <c r="I1129" s="9" t="s">
        <v>330</v>
      </c>
      <c r="J1129" s="9" t="s">
        <v>866</v>
      </c>
      <c r="K1129" s="30">
        <v>2</v>
      </c>
      <c r="L1129" s="9" t="s">
        <v>868</v>
      </c>
      <c r="M1129" s="30" t="s">
        <v>84</v>
      </c>
      <c r="N1129" s="30" t="s">
        <v>154</v>
      </c>
      <c r="O1129" s="24">
        <v>0</v>
      </c>
      <c r="P1129" s="24">
        <v>78</v>
      </c>
      <c r="Q1129" s="24">
        <v>108</v>
      </c>
      <c r="R1129" s="24">
        <v>0</v>
      </c>
      <c r="S1129" s="24">
        <v>0</v>
      </c>
      <c r="T1129" s="24">
        <v>186</v>
      </c>
    </row>
    <row r="1130" spans="1:20">
      <c r="A1130" s="9" t="s">
        <v>828</v>
      </c>
      <c r="B1130" s="30" t="s">
        <v>862</v>
      </c>
      <c r="C1130" s="30" t="str">
        <f>CONCATENATE(VOL_VOLUMEN_SUMINISTROS[[#This Row],[Proyecto]],VOL_VOLUMEN_SUMINISTROS[[#This Row],[J]],VOL_VOLUMEN_SUMINISTROS[[#This Row],[FIN DE SEMANA]])</f>
        <v>1052-2MNO</v>
      </c>
      <c r="D1130" s="360" t="str">
        <f>CONCATENATE(VOL_VOLUMEN_SUMINISTROS[[#This Row],[Grupo]],VOL_VOLUMEN_SUMINISTROS[[#This Row],[Proyecto]],VOL_VOLUMEN_SUMINISTROS[[#This Row],[FIN DE SEMANA]])</f>
        <v>171052-2NO</v>
      </c>
      <c r="E1130" s="30" t="s">
        <v>182</v>
      </c>
      <c r="F1130" s="30" t="s">
        <v>147</v>
      </c>
      <c r="G1130" s="360">
        <v>17</v>
      </c>
      <c r="H1130" s="30">
        <v>11</v>
      </c>
      <c r="I1130" s="9" t="s">
        <v>802</v>
      </c>
      <c r="J1130" s="9" t="s">
        <v>842</v>
      </c>
      <c r="K1130" s="30">
        <v>1</v>
      </c>
      <c r="L1130" s="9" t="s">
        <v>843</v>
      </c>
      <c r="M1130" s="30" t="s">
        <v>84</v>
      </c>
      <c r="N1130" s="30" t="s">
        <v>151</v>
      </c>
      <c r="O1130" s="24">
        <v>0</v>
      </c>
      <c r="P1130" s="24">
        <v>84</v>
      </c>
      <c r="Q1130" s="24">
        <v>28</v>
      </c>
      <c r="R1130" s="24">
        <v>0</v>
      </c>
      <c r="S1130" s="24">
        <v>0</v>
      </c>
      <c r="T1130" s="24">
        <v>112</v>
      </c>
    </row>
    <row r="1131" spans="1:20">
      <c r="A1131" s="9" t="s">
        <v>828</v>
      </c>
      <c r="B1131" s="30" t="s">
        <v>862</v>
      </c>
      <c r="C1131" s="30" t="str">
        <f>CONCATENATE(VOL_VOLUMEN_SUMINISTROS[[#This Row],[Proyecto]],VOL_VOLUMEN_SUMINISTROS[[#This Row],[J]],VOL_VOLUMEN_SUMINISTROS[[#This Row],[FIN DE SEMANA]])</f>
        <v>1052-2TNO</v>
      </c>
      <c r="D1131" s="360" t="str">
        <f>CONCATENATE(VOL_VOLUMEN_SUMINISTROS[[#This Row],[Grupo]],VOL_VOLUMEN_SUMINISTROS[[#This Row],[Proyecto]],VOL_VOLUMEN_SUMINISTROS[[#This Row],[FIN DE SEMANA]])</f>
        <v>171052-2NO</v>
      </c>
      <c r="E1131" s="30" t="s">
        <v>182</v>
      </c>
      <c r="F1131" s="30" t="s">
        <v>147</v>
      </c>
      <c r="G1131" s="360">
        <v>17</v>
      </c>
      <c r="H1131" s="30">
        <v>11</v>
      </c>
      <c r="I1131" s="9" t="s">
        <v>802</v>
      </c>
      <c r="J1131" s="9" t="s">
        <v>842</v>
      </c>
      <c r="K1131" s="30">
        <v>1</v>
      </c>
      <c r="L1131" s="9" t="s">
        <v>843</v>
      </c>
      <c r="M1131" s="30" t="s">
        <v>84</v>
      </c>
      <c r="N1131" s="30" t="s">
        <v>154</v>
      </c>
      <c r="O1131" s="24">
        <v>0</v>
      </c>
      <c r="P1131" s="24">
        <v>108</v>
      </c>
      <c r="Q1131" s="24">
        <v>105</v>
      </c>
      <c r="R1131" s="24">
        <v>0</v>
      </c>
      <c r="S1131" s="24">
        <v>0</v>
      </c>
      <c r="T1131" s="24">
        <v>213</v>
      </c>
    </row>
    <row r="1132" spans="1:20">
      <c r="A1132" s="9" t="s">
        <v>828</v>
      </c>
      <c r="B1132" s="30" t="s">
        <v>862</v>
      </c>
      <c r="C1132" s="30" t="str">
        <f>CONCATENATE(VOL_VOLUMEN_SUMINISTROS[[#This Row],[Proyecto]],VOL_VOLUMEN_SUMINISTROS[[#This Row],[J]],VOL_VOLUMEN_SUMINISTROS[[#This Row],[FIN DE SEMANA]])</f>
        <v>1052-2M1NO</v>
      </c>
      <c r="D1132" s="360" t="str">
        <f>CONCATENATE(VOL_VOLUMEN_SUMINISTROS[[#This Row],[Grupo]],VOL_VOLUMEN_SUMINISTROS[[#This Row],[Proyecto]],VOL_VOLUMEN_SUMINISTROS[[#This Row],[FIN DE SEMANA]])</f>
        <v>171052-2NO</v>
      </c>
      <c r="E1132" s="30" t="s">
        <v>182</v>
      </c>
      <c r="F1132" s="30" t="s">
        <v>147</v>
      </c>
      <c r="G1132" s="360">
        <v>17</v>
      </c>
      <c r="H1132" s="30">
        <v>11</v>
      </c>
      <c r="I1132" s="9" t="s">
        <v>802</v>
      </c>
      <c r="J1132" s="9" t="s">
        <v>845</v>
      </c>
      <c r="K1132" s="30">
        <v>1</v>
      </c>
      <c r="L1132" s="9" t="s">
        <v>846</v>
      </c>
      <c r="M1132" s="30" t="s">
        <v>84</v>
      </c>
      <c r="N1132" s="30" t="s">
        <v>215</v>
      </c>
      <c r="O1132" s="24">
        <v>0</v>
      </c>
      <c r="P1132" s="24">
        <v>141</v>
      </c>
      <c r="Q1132" s="24">
        <v>198</v>
      </c>
      <c r="R1132" s="24">
        <v>0</v>
      </c>
      <c r="S1132" s="24">
        <v>0</v>
      </c>
      <c r="T1132" s="24">
        <v>339</v>
      </c>
    </row>
    <row r="1133" spans="1:20">
      <c r="A1133" s="9" t="s">
        <v>828</v>
      </c>
      <c r="B1133" s="30" t="s">
        <v>862</v>
      </c>
      <c r="C1133" s="30" t="str">
        <f>CONCATENATE(VOL_VOLUMEN_SUMINISTROS[[#This Row],[Proyecto]],VOL_VOLUMEN_SUMINISTROS[[#This Row],[J]],VOL_VOLUMEN_SUMINISTROS[[#This Row],[FIN DE SEMANA]])</f>
        <v>1052-2M1NO</v>
      </c>
      <c r="D1133" s="360" t="str">
        <f>CONCATENATE(VOL_VOLUMEN_SUMINISTROS[[#This Row],[Grupo]],VOL_VOLUMEN_SUMINISTROS[[#This Row],[Proyecto]],VOL_VOLUMEN_SUMINISTROS[[#This Row],[FIN DE SEMANA]])</f>
        <v>171052-2NO</v>
      </c>
      <c r="E1133" s="30" t="s">
        <v>182</v>
      </c>
      <c r="F1133" s="30" t="s">
        <v>147</v>
      </c>
      <c r="G1133" s="360">
        <v>17</v>
      </c>
      <c r="H1133" s="30">
        <v>11</v>
      </c>
      <c r="I1133" s="9" t="s">
        <v>802</v>
      </c>
      <c r="J1133" s="9" t="s">
        <v>845</v>
      </c>
      <c r="K1133" s="30">
        <v>2</v>
      </c>
      <c r="L1133" s="9" t="s">
        <v>847</v>
      </c>
      <c r="M1133" s="30" t="s">
        <v>84</v>
      </c>
      <c r="N1133" s="30" t="s">
        <v>215</v>
      </c>
      <c r="O1133" s="24">
        <v>40</v>
      </c>
      <c r="P1133" s="24">
        <v>20</v>
      </c>
      <c r="Q1133" s="24">
        <v>0</v>
      </c>
      <c r="R1133" s="24">
        <v>0</v>
      </c>
      <c r="S1133" s="24">
        <v>0</v>
      </c>
      <c r="T1133" s="24">
        <v>60</v>
      </c>
    </row>
    <row r="1134" spans="1:20">
      <c r="A1134" s="9" t="s">
        <v>828</v>
      </c>
      <c r="B1134" s="30" t="s">
        <v>862</v>
      </c>
      <c r="C1134" s="30" t="str">
        <f>CONCATENATE(VOL_VOLUMEN_SUMINISTROS[[#This Row],[Proyecto]],VOL_VOLUMEN_SUMINISTROS[[#This Row],[J]],VOL_VOLUMEN_SUMINISTROS[[#This Row],[FIN DE SEMANA]])</f>
        <v>1052-2TNO</v>
      </c>
      <c r="D1134" s="360" t="str">
        <f>CONCATENATE(VOL_VOLUMEN_SUMINISTROS[[#This Row],[Grupo]],VOL_VOLUMEN_SUMINISTROS[[#This Row],[Proyecto]],VOL_VOLUMEN_SUMINISTROS[[#This Row],[FIN DE SEMANA]])</f>
        <v>171052-2NO</v>
      </c>
      <c r="E1134" s="30" t="s">
        <v>182</v>
      </c>
      <c r="F1134" s="30" t="s">
        <v>147</v>
      </c>
      <c r="G1134" s="360">
        <v>17</v>
      </c>
      <c r="H1134" s="30">
        <v>11</v>
      </c>
      <c r="I1134" s="9" t="s">
        <v>802</v>
      </c>
      <c r="J1134" s="9" t="s">
        <v>845</v>
      </c>
      <c r="K1134" s="30">
        <v>2</v>
      </c>
      <c r="L1134" s="9" t="s">
        <v>847</v>
      </c>
      <c r="M1134" s="30" t="s">
        <v>84</v>
      </c>
      <c r="N1134" s="30" t="s">
        <v>154</v>
      </c>
      <c r="O1134" s="24">
        <v>74</v>
      </c>
      <c r="P1134" s="24">
        <v>142</v>
      </c>
      <c r="Q1134" s="24">
        <v>35</v>
      </c>
      <c r="R1134" s="24">
        <v>0</v>
      </c>
      <c r="S1134" s="24">
        <v>0</v>
      </c>
      <c r="T1134" s="24">
        <v>251</v>
      </c>
    </row>
    <row r="1135" spans="1:20">
      <c r="A1135" s="9" t="s">
        <v>828</v>
      </c>
      <c r="B1135" s="30" t="s">
        <v>862</v>
      </c>
      <c r="C1135" s="30" t="str">
        <f>CONCATENATE(VOL_VOLUMEN_SUMINISTROS[[#This Row],[Proyecto]],VOL_VOLUMEN_SUMINISTROS[[#This Row],[J]],VOL_VOLUMEN_SUMINISTROS[[#This Row],[FIN DE SEMANA]])</f>
        <v>1052-2TNO</v>
      </c>
      <c r="D1135" s="360" t="str">
        <f>CONCATENATE(VOL_VOLUMEN_SUMINISTROS[[#This Row],[Grupo]],VOL_VOLUMEN_SUMINISTROS[[#This Row],[Proyecto]],VOL_VOLUMEN_SUMINISTROS[[#This Row],[FIN DE SEMANA]])</f>
        <v>171052-2NO</v>
      </c>
      <c r="E1135" s="30" t="s">
        <v>182</v>
      </c>
      <c r="F1135" s="30" t="s">
        <v>147</v>
      </c>
      <c r="G1135" s="360">
        <v>17</v>
      </c>
      <c r="H1135" s="30">
        <v>11</v>
      </c>
      <c r="I1135" s="9" t="s">
        <v>802</v>
      </c>
      <c r="J1135" s="9" t="s">
        <v>845</v>
      </c>
      <c r="K1135" s="30">
        <v>3</v>
      </c>
      <c r="L1135" s="9" t="s">
        <v>848</v>
      </c>
      <c r="M1135" s="30" t="s">
        <v>84</v>
      </c>
      <c r="N1135" s="30" t="s">
        <v>154</v>
      </c>
      <c r="O1135" s="24">
        <v>186</v>
      </c>
      <c r="P1135" s="24">
        <v>249</v>
      </c>
      <c r="Q1135" s="24">
        <v>52</v>
      </c>
      <c r="R1135" s="24">
        <v>0</v>
      </c>
      <c r="S1135" s="24">
        <v>0</v>
      </c>
      <c r="T1135" s="24">
        <v>487</v>
      </c>
    </row>
    <row r="1136" spans="1:20">
      <c r="A1136" s="9" t="s">
        <v>828</v>
      </c>
      <c r="B1136" s="30" t="s">
        <v>869</v>
      </c>
      <c r="C1136" s="30" t="str">
        <f>CONCATENATE(VOL_VOLUMEN_SUMINISTROS[[#This Row],[Proyecto]],VOL_VOLUMEN_SUMINISTROS[[#This Row],[J]],VOL_VOLUMEN_SUMINISTROS[[#This Row],[FIN DE SEMANA]])</f>
        <v>1052-2M1NO</v>
      </c>
      <c r="D1136" s="360" t="str">
        <f>CONCATENATE(VOL_VOLUMEN_SUMINISTROS[[#This Row],[Grupo]],VOL_VOLUMEN_SUMINISTROS[[#This Row],[Proyecto]],VOL_VOLUMEN_SUMINISTROS[[#This Row],[FIN DE SEMANA]])</f>
        <v>51052-2NO</v>
      </c>
      <c r="E1136" s="30" t="s">
        <v>182</v>
      </c>
      <c r="F1136" s="30" t="s">
        <v>147</v>
      </c>
      <c r="G1136" s="360">
        <v>5</v>
      </c>
      <c r="H1136" s="30">
        <v>10</v>
      </c>
      <c r="I1136" s="9" t="s">
        <v>330</v>
      </c>
      <c r="J1136" s="9" t="s">
        <v>866</v>
      </c>
      <c r="K1136" s="30">
        <v>2</v>
      </c>
      <c r="L1136" s="9" t="s">
        <v>868</v>
      </c>
      <c r="M1136" s="30" t="s">
        <v>84</v>
      </c>
      <c r="N1136" s="30" t="s">
        <v>215</v>
      </c>
      <c r="O1136" s="24">
        <v>0</v>
      </c>
      <c r="P1136" s="24">
        <v>0</v>
      </c>
      <c r="Q1136" s="24">
        <v>36</v>
      </c>
      <c r="R1136" s="24">
        <v>0</v>
      </c>
      <c r="S1136" s="24">
        <v>0</v>
      </c>
      <c r="T1136" s="24">
        <v>36</v>
      </c>
    </row>
    <row r="1137" spans="1:20">
      <c r="A1137" s="9" t="s">
        <v>828</v>
      </c>
      <c r="B1137" s="30" t="s">
        <v>869</v>
      </c>
      <c r="C1137" s="30" t="str">
        <f>CONCATENATE(VOL_VOLUMEN_SUMINISTROS[[#This Row],[Proyecto]],VOL_VOLUMEN_SUMINISTROS[[#This Row],[J]],VOL_VOLUMEN_SUMINISTROS[[#This Row],[FIN DE SEMANA]])</f>
        <v>1052-2TNO</v>
      </c>
      <c r="D1137" s="360" t="str">
        <f>CONCATENATE(VOL_VOLUMEN_SUMINISTROS[[#This Row],[Grupo]],VOL_VOLUMEN_SUMINISTROS[[#This Row],[Proyecto]],VOL_VOLUMEN_SUMINISTROS[[#This Row],[FIN DE SEMANA]])</f>
        <v>51052-2NO</v>
      </c>
      <c r="E1137" s="30" t="s">
        <v>182</v>
      </c>
      <c r="F1137" s="30" t="s">
        <v>147</v>
      </c>
      <c r="G1137" s="360">
        <v>5</v>
      </c>
      <c r="H1137" s="30">
        <v>10</v>
      </c>
      <c r="I1137" s="9" t="s">
        <v>330</v>
      </c>
      <c r="J1137" s="9" t="s">
        <v>866</v>
      </c>
      <c r="K1137" s="30">
        <v>2</v>
      </c>
      <c r="L1137" s="9" t="s">
        <v>868</v>
      </c>
      <c r="M1137" s="30" t="s">
        <v>84</v>
      </c>
      <c r="N1137" s="30" t="s">
        <v>154</v>
      </c>
      <c r="O1137" s="24">
        <v>0</v>
      </c>
      <c r="P1137" s="24">
        <v>0</v>
      </c>
      <c r="Q1137" s="24">
        <v>64</v>
      </c>
      <c r="R1137" s="24">
        <v>0</v>
      </c>
      <c r="S1137" s="24">
        <v>0</v>
      </c>
      <c r="T1137" s="24">
        <v>64</v>
      </c>
    </row>
    <row r="1138" spans="1:20">
      <c r="A1138" s="9" t="s">
        <v>828</v>
      </c>
      <c r="B1138" s="30" t="s">
        <v>869</v>
      </c>
      <c r="C1138" s="30" t="str">
        <f>CONCATENATE(VOL_VOLUMEN_SUMINISTROS[[#This Row],[Proyecto]],VOL_VOLUMEN_SUMINISTROS[[#This Row],[J]],VOL_VOLUMEN_SUMINISTROS[[#This Row],[FIN DE SEMANA]])</f>
        <v>1052-2MNO</v>
      </c>
      <c r="D1138" s="360" t="str">
        <f>CONCATENATE(VOL_VOLUMEN_SUMINISTROS[[#This Row],[Grupo]],VOL_VOLUMEN_SUMINISTROS[[#This Row],[Proyecto]],VOL_VOLUMEN_SUMINISTROS[[#This Row],[FIN DE SEMANA]])</f>
        <v>171052-2NO</v>
      </c>
      <c r="E1138" s="30" t="s">
        <v>182</v>
      </c>
      <c r="F1138" s="30" t="s">
        <v>147</v>
      </c>
      <c r="G1138" s="360">
        <v>17</v>
      </c>
      <c r="H1138" s="30">
        <v>10</v>
      </c>
      <c r="I1138" s="9" t="s">
        <v>330</v>
      </c>
      <c r="J1138" s="9" t="s">
        <v>835</v>
      </c>
      <c r="K1138" s="30">
        <v>3</v>
      </c>
      <c r="L1138" s="9" t="s">
        <v>836</v>
      </c>
      <c r="M1138" s="30" t="s">
        <v>84</v>
      </c>
      <c r="N1138" s="30" t="s">
        <v>151</v>
      </c>
      <c r="O1138" s="24">
        <v>0</v>
      </c>
      <c r="P1138" s="24">
        <v>0</v>
      </c>
      <c r="Q1138" s="24">
        <v>45</v>
      </c>
      <c r="R1138" s="24">
        <v>0</v>
      </c>
      <c r="S1138" s="24">
        <v>0</v>
      </c>
      <c r="T1138" s="24">
        <v>45</v>
      </c>
    </row>
    <row r="1139" spans="1:20">
      <c r="A1139" s="9" t="s">
        <v>828</v>
      </c>
      <c r="B1139" s="30" t="s">
        <v>869</v>
      </c>
      <c r="C1139" s="30" t="str">
        <f>CONCATENATE(VOL_VOLUMEN_SUMINISTROS[[#This Row],[Proyecto]],VOL_VOLUMEN_SUMINISTROS[[#This Row],[J]],VOL_VOLUMEN_SUMINISTROS[[#This Row],[FIN DE SEMANA]])</f>
        <v>1052-2TNO</v>
      </c>
      <c r="D1139" s="360" t="str">
        <f>CONCATENATE(VOL_VOLUMEN_SUMINISTROS[[#This Row],[Grupo]],VOL_VOLUMEN_SUMINISTROS[[#This Row],[Proyecto]],VOL_VOLUMEN_SUMINISTROS[[#This Row],[FIN DE SEMANA]])</f>
        <v>171052-2NO</v>
      </c>
      <c r="E1139" s="30" t="s">
        <v>182</v>
      </c>
      <c r="F1139" s="30" t="s">
        <v>147</v>
      </c>
      <c r="G1139" s="360">
        <v>17</v>
      </c>
      <c r="H1139" s="30">
        <v>10</v>
      </c>
      <c r="I1139" s="9" t="s">
        <v>330</v>
      </c>
      <c r="J1139" s="9" t="s">
        <v>835</v>
      </c>
      <c r="K1139" s="30">
        <v>3</v>
      </c>
      <c r="L1139" s="9" t="s">
        <v>836</v>
      </c>
      <c r="M1139" s="30" t="s">
        <v>84</v>
      </c>
      <c r="N1139" s="30" t="s">
        <v>154</v>
      </c>
      <c r="O1139" s="24">
        <v>0</v>
      </c>
      <c r="P1139" s="24">
        <v>0</v>
      </c>
      <c r="Q1139" s="24">
        <v>66</v>
      </c>
      <c r="R1139" s="24">
        <v>0</v>
      </c>
      <c r="S1139" s="24">
        <v>0</v>
      </c>
      <c r="T1139" s="24">
        <v>66</v>
      </c>
    </row>
    <row r="1140" spans="1:20">
      <c r="A1140" s="9" t="s">
        <v>828</v>
      </c>
      <c r="B1140" s="30" t="s">
        <v>869</v>
      </c>
      <c r="C1140" s="30" t="str">
        <f>CONCATENATE(VOL_VOLUMEN_SUMINISTROS[[#This Row],[Proyecto]],VOL_VOLUMEN_SUMINISTROS[[#This Row],[J]],VOL_VOLUMEN_SUMINISTROS[[#This Row],[FIN DE SEMANA]])</f>
        <v>1052-2MNO</v>
      </c>
      <c r="D1140" s="360" t="str">
        <f>CONCATENATE(VOL_VOLUMEN_SUMINISTROS[[#This Row],[Grupo]],VOL_VOLUMEN_SUMINISTROS[[#This Row],[Proyecto]],VOL_VOLUMEN_SUMINISTROS[[#This Row],[FIN DE SEMANA]])</f>
        <v>171052-2NO</v>
      </c>
      <c r="E1140" s="30" t="s">
        <v>182</v>
      </c>
      <c r="F1140" s="30" t="s">
        <v>147</v>
      </c>
      <c r="G1140" s="360">
        <v>17</v>
      </c>
      <c r="H1140" s="30">
        <v>11</v>
      </c>
      <c r="I1140" s="9" t="s">
        <v>802</v>
      </c>
      <c r="J1140" s="9" t="s">
        <v>845</v>
      </c>
      <c r="K1140" s="30">
        <v>1</v>
      </c>
      <c r="L1140" s="9" t="s">
        <v>846</v>
      </c>
      <c r="M1140" s="30" t="s">
        <v>84</v>
      </c>
      <c r="N1140" s="30" t="s">
        <v>151</v>
      </c>
      <c r="O1140" s="24">
        <v>0</v>
      </c>
      <c r="P1140" s="24">
        <v>0</v>
      </c>
      <c r="Q1140" s="24">
        <v>78</v>
      </c>
      <c r="R1140" s="24">
        <v>0</v>
      </c>
      <c r="S1140" s="24">
        <v>0</v>
      </c>
      <c r="T1140" s="24">
        <v>78</v>
      </c>
    </row>
    <row r="1141" spans="1:20">
      <c r="A1141" s="9" t="s">
        <v>828</v>
      </c>
      <c r="B1141" s="30" t="s">
        <v>869</v>
      </c>
      <c r="C1141" s="30" t="str">
        <f>CONCATENATE(VOL_VOLUMEN_SUMINISTROS[[#This Row],[Proyecto]],VOL_VOLUMEN_SUMINISTROS[[#This Row],[J]],VOL_VOLUMEN_SUMINISTROS[[#This Row],[FIN DE SEMANA]])</f>
        <v>1052-2TNO</v>
      </c>
      <c r="D1141" s="360" t="str">
        <f>CONCATENATE(VOL_VOLUMEN_SUMINISTROS[[#This Row],[Grupo]],VOL_VOLUMEN_SUMINISTROS[[#This Row],[Proyecto]],VOL_VOLUMEN_SUMINISTROS[[#This Row],[FIN DE SEMANA]])</f>
        <v>171052-2NO</v>
      </c>
      <c r="E1141" s="30" t="s">
        <v>182</v>
      </c>
      <c r="F1141" s="30" t="s">
        <v>147</v>
      </c>
      <c r="G1141" s="360">
        <v>17</v>
      </c>
      <c r="H1141" s="30">
        <v>11</v>
      </c>
      <c r="I1141" s="9" t="s">
        <v>802</v>
      </c>
      <c r="J1141" s="9" t="s">
        <v>845</v>
      </c>
      <c r="K1141" s="30">
        <v>1</v>
      </c>
      <c r="L1141" s="9" t="s">
        <v>846</v>
      </c>
      <c r="M1141" s="30" t="s">
        <v>84</v>
      </c>
      <c r="N1141" s="30" t="s">
        <v>154</v>
      </c>
      <c r="O1141" s="24">
        <v>0</v>
      </c>
      <c r="P1141" s="24">
        <v>0</v>
      </c>
      <c r="Q1141" s="24">
        <v>78</v>
      </c>
      <c r="R1141" s="24">
        <v>0</v>
      </c>
      <c r="S1141" s="24">
        <v>0</v>
      </c>
      <c r="T1141" s="24">
        <v>78</v>
      </c>
    </row>
    <row r="1142" spans="1:20">
      <c r="A1142" s="9" t="s">
        <v>828</v>
      </c>
      <c r="B1142" s="30" t="s">
        <v>870</v>
      </c>
      <c r="C1142" s="30" t="str">
        <f>CONCATENATE(VOL_VOLUMEN_SUMINISTROS[[#This Row],[Proyecto]],VOL_VOLUMEN_SUMINISTROS[[#This Row],[J]],VOL_VOLUMEN_SUMINISTROS[[#This Row],[FIN DE SEMANA]])</f>
        <v>1052-2MNO</v>
      </c>
      <c r="D1142" s="360" t="str">
        <f>CONCATENATE(VOL_VOLUMEN_SUMINISTROS[[#This Row],[Grupo]],VOL_VOLUMEN_SUMINISTROS[[#This Row],[Proyecto]],VOL_VOLUMEN_SUMINISTROS[[#This Row],[FIN DE SEMANA]])</f>
        <v>171052-2NO</v>
      </c>
      <c r="E1142" s="30" t="s">
        <v>182</v>
      </c>
      <c r="F1142" s="30" t="s">
        <v>147</v>
      </c>
      <c r="G1142" s="360">
        <v>17</v>
      </c>
      <c r="H1142" s="30">
        <v>11</v>
      </c>
      <c r="I1142" s="9" t="s">
        <v>802</v>
      </c>
      <c r="J1142" s="9" t="s">
        <v>845</v>
      </c>
      <c r="K1142" s="30">
        <v>2</v>
      </c>
      <c r="L1142" s="9" t="s">
        <v>847</v>
      </c>
      <c r="M1142" s="30" t="s">
        <v>84</v>
      </c>
      <c r="N1142" s="30" t="s">
        <v>151</v>
      </c>
      <c r="O1142" s="24">
        <v>60</v>
      </c>
      <c r="P1142" s="24">
        <v>0</v>
      </c>
      <c r="Q1142" s="24">
        <v>0</v>
      </c>
      <c r="R1142" s="24">
        <v>0</v>
      </c>
      <c r="S1142" s="24">
        <v>0</v>
      </c>
      <c r="T1142" s="24">
        <v>60</v>
      </c>
    </row>
    <row r="1143" spans="1:20">
      <c r="A1143" s="9" t="s">
        <v>828</v>
      </c>
      <c r="B1143" s="30" t="s">
        <v>870</v>
      </c>
      <c r="C1143" s="30" t="str">
        <f>CONCATENATE(VOL_VOLUMEN_SUMINISTROS[[#This Row],[Proyecto]],VOL_VOLUMEN_SUMINISTROS[[#This Row],[J]],VOL_VOLUMEN_SUMINISTROS[[#This Row],[FIN DE SEMANA]])</f>
        <v>1052-2TNO</v>
      </c>
      <c r="D1143" s="360" t="str">
        <f>CONCATENATE(VOL_VOLUMEN_SUMINISTROS[[#This Row],[Grupo]],VOL_VOLUMEN_SUMINISTROS[[#This Row],[Proyecto]],VOL_VOLUMEN_SUMINISTROS[[#This Row],[FIN DE SEMANA]])</f>
        <v>171052-2NO</v>
      </c>
      <c r="E1143" s="30" t="s">
        <v>182</v>
      </c>
      <c r="F1143" s="30" t="s">
        <v>147</v>
      </c>
      <c r="G1143" s="360">
        <v>17</v>
      </c>
      <c r="H1143" s="30">
        <v>11</v>
      </c>
      <c r="I1143" s="9" t="s">
        <v>802</v>
      </c>
      <c r="J1143" s="9" t="s">
        <v>845</v>
      </c>
      <c r="K1143" s="30">
        <v>3</v>
      </c>
      <c r="L1143" s="9" t="s">
        <v>848</v>
      </c>
      <c r="M1143" s="30" t="s">
        <v>84</v>
      </c>
      <c r="N1143" s="30" t="s">
        <v>154</v>
      </c>
      <c r="O1143" s="24">
        <v>75</v>
      </c>
      <c r="P1143" s="24">
        <v>0</v>
      </c>
      <c r="Q1143" s="24">
        <v>0</v>
      </c>
      <c r="R1143" s="24">
        <v>0</v>
      </c>
      <c r="S1143" s="24">
        <v>0</v>
      </c>
      <c r="T1143" s="24">
        <v>75</v>
      </c>
    </row>
    <row r="1144" spans="1:20">
      <c r="A1144" s="9" t="s">
        <v>828</v>
      </c>
      <c r="B1144" s="30" t="s">
        <v>871</v>
      </c>
      <c r="C1144" s="30" t="str">
        <f>CONCATENATE(VOL_VOLUMEN_SUMINISTROS[[#This Row],[Proyecto]],VOL_VOLUMEN_SUMINISTROS[[#This Row],[J]],VOL_VOLUMEN_SUMINISTROS[[#This Row],[FIN DE SEMANA]])</f>
        <v>1052-1MNO</v>
      </c>
      <c r="D1144" s="360" t="str">
        <f>CONCATENATE(VOL_VOLUMEN_SUMINISTROS[[#This Row],[Grupo]],VOL_VOLUMEN_SUMINISTROS[[#This Row],[Proyecto]],VOL_VOLUMEN_SUMINISTROS[[#This Row],[FIN DE SEMANA]])</f>
        <v>191052-1NO</v>
      </c>
      <c r="E1144" s="30" t="s">
        <v>146</v>
      </c>
      <c r="F1144" s="30" t="s">
        <v>147</v>
      </c>
      <c r="G1144" s="360">
        <v>19</v>
      </c>
      <c r="H1144" s="30">
        <v>11</v>
      </c>
      <c r="I1144" s="9" t="s">
        <v>802</v>
      </c>
      <c r="J1144" s="9" t="s">
        <v>872</v>
      </c>
      <c r="K1144" s="30">
        <v>1</v>
      </c>
      <c r="L1144" s="9" t="s">
        <v>873</v>
      </c>
      <c r="M1144" s="30" t="s">
        <v>84</v>
      </c>
      <c r="N1144" s="30" t="s">
        <v>151</v>
      </c>
      <c r="O1144" s="24">
        <v>290</v>
      </c>
      <c r="P1144" s="24">
        <v>270</v>
      </c>
      <c r="Q1144" s="24">
        <v>55</v>
      </c>
      <c r="R1144" s="24">
        <v>0</v>
      </c>
      <c r="S1144" s="24">
        <v>0</v>
      </c>
      <c r="T1144" s="24">
        <v>615</v>
      </c>
    </row>
    <row r="1145" spans="1:20">
      <c r="A1145" s="9" t="s">
        <v>828</v>
      </c>
      <c r="B1145" s="30" t="s">
        <v>871</v>
      </c>
      <c r="C1145" s="30" t="str">
        <f>CONCATENATE(VOL_VOLUMEN_SUMINISTROS[[#This Row],[Proyecto]],VOL_VOLUMEN_SUMINISTROS[[#This Row],[J]],VOL_VOLUMEN_SUMINISTROS[[#This Row],[FIN DE SEMANA]])</f>
        <v>1052-1MNO</v>
      </c>
      <c r="D1145" s="360" t="str">
        <f>CONCATENATE(VOL_VOLUMEN_SUMINISTROS[[#This Row],[Grupo]],VOL_VOLUMEN_SUMINISTROS[[#This Row],[Proyecto]],VOL_VOLUMEN_SUMINISTROS[[#This Row],[FIN DE SEMANA]])</f>
        <v>191052-1NO</v>
      </c>
      <c r="E1145" s="30" t="s">
        <v>146</v>
      </c>
      <c r="F1145" s="30" t="s">
        <v>147</v>
      </c>
      <c r="G1145" s="360">
        <v>19</v>
      </c>
      <c r="H1145" s="30">
        <v>11</v>
      </c>
      <c r="I1145" s="9" t="s">
        <v>802</v>
      </c>
      <c r="J1145" s="9" t="s">
        <v>872</v>
      </c>
      <c r="K1145" s="30">
        <v>2</v>
      </c>
      <c r="L1145" s="9" t="s">
        <v>874</v>
      </c>
      <c r="M1145" s="30" t="s">
        <v>84</v>
      </c>
      <c r="N1145" s="30" t="s">
        <v>151</v>
      </c>
      <c r="O1145" s="24">
        <v>0</v>
      </c>
      <c r="P1145" s="24">
        <v>102</v>
      </c>
      <c r="Q1145" s="24">
        <v>332</v>
      </c>
      <c r="R1145" s="24">
        <v>0</v>
      </c>
      <c r="S1145" s="24">
        <v>0</v>
      </c>
      <c r="T1145" s="24">
        <v>434</v>
      </c>
    </row>
    <row r="1146" spans="1:20">
      <c r="A1146" s="9" t="s">
        <v>828</v>
      </c>
      <c r="B1146" s="30" t="s">
        <v>871</v>
      </c>
      <c r="C1146" s="30" t="str">
        <f>CONCATENATE(VOL_VOLUMEN_SUMINISTROS[[#This Row],[Proyecto]],VOL_VOLUMEN_SUMINISTROS[[#This Row],[J]],VOL_VOLUMEN_SUMINISTROS[[#This Row],[FIN DE SEMANA]])</f>
        <v>1052-1TNO</v>
      </c>
      <c r="D1146" s="360" t="str">
        <f>CONCATENATE(VOL_VOLUMEN_SUMINISTROS[[#This Row],[Grupo]],VOL_VOLUMEN_SUMINISTROS[[#This Row],[Proyecto]],VOL_VOLUMEN_SUMINISTROS[[#This Row],[FIN DE SEMANA]])</f>
        <v>191052-1NO</v>
      </c>
      <c r="E1146" s="30" t="s">
        <v>146</v>
      </c>
      <c r="F1146" s="30" t="s">
        <v>147</v>
      </c>
      <c r="G1146" s="360">
        <v>19</v>
      </c>
      <c r="H1146" s="30">
        <v>11</v>
      </c>
      <c r="I1146" s="9" t="s">
        <v>802</v>
      </c>
      <c r="J1146" s="9" t="s">
        <v>872</v>
      </c>
      <c r="K1146" s="30">
        <v>2</v>
      </c>
      <c r="L1146" s="9" t="s">
        <v>874</v>
      </c>
      <c r="M1146" s="30" t="s">
        <v>84</v>
      </c>
      <c r="N1146" s="30" t="s">
        <v>154</v>
      </c>
      <c r="O1146" s="24">
        <v>0</v>
      </c>
      <c r="P1146" s="24">
        <v>96</v>
      </c>
      <c r="Q1146" s="24">
        <v>288</v>
      </c>
      <c r="R1146" s="24">
        <v>0</v>
      </c>
      <c r="S1146" s="24">
        <v>0</v>
      </c>
      <c r="T1146" s="24">
        <v>384</v>
      </c>
    </row>
    <row r="1147" spans="1:20">
      <c r="A1147" s="9" t="s">
        <v>828</v>
      </c>
      <c r="B1147" s="30" t="s">
        <v>871</v>
      </c>
      <c r="C1147" s="30" t="str">
        <f>CONCATENATE(VOL_VOLUMEN_SUMINISTROS[[#This Row],[Proyecto]],VOL_VOLUMEN_SUMINISTROS[[#This Row],[J]],VOL_VOLUMEN_SUMINISTROS[[#This Row],[FIN DE SEMANA]])</f>
        <v>1052-1MNO</v>
      </c>
      <c r="D1147" s="360" t="str">
        <f>CONCATENATE(VOL_VOLUMEN_SUMINISTROS[[#This Row],[Grupo]],VOL_VOLUMEN_SUMINISTROS[[#This Row],[Proyecto]],VOL_VOLUMEN_SUMINISTROS[[#This Row],[FIN DE SEMANA]])</f>
        <v>191052-1NO</v>
      </c>
      <c r="E1147" s="30" t="s">
        <v>146</v>
      </c>
      <c r="F1147" s="30" t="s">
        <v>147</v>
      </c>
      <c r="G1147" s="360">
        <v>19</v>
      </c>
      <c r="H1147" s="30">
        <v>11</v>
      </c>
      <c r="I1147" s="9" t="s">
        <v>802</v>
      </c>
      <c r="J1147" s="9" t="s">
        <v>875</v>
      </c>
      <c r="K1147" s="30">
        <v>1</v>
      </c>
      <c r="L1147" s="9" t="s">
        <v>876</v>
      </c>
      <c r="M1147" s="30" t="s">
        <v>84</v>
      </c>
      <c r="N1147" s="30" t="s">
        <v>151</v>
      </c>
      <c r="O1147" s="24">
        <v>154</v>
      </c>
      <c r="P1147" s="24">
        <v>329</v>
      </c>
      <c r="Q1147" s="24">
        <v>394</v>
      </c>
      <c r="R1147" s="24">
        <v>0</v>
      </c>
      <c r="S1147" s="24">
        <v>0</v>
      </c>
      <c r="T1147" s="24">
        <v>877</v>
      </c>
    </row>
    <row r="1148" spans="1:20">
      <c r="A1148" s="9" t="s">
        <v>828</v>
      </c>
      <c r="B1148" s="30" t="s">
        <v>871</v>
      </c>
      <c r="C1148" s="30" t="str">
        <f>CONCATENATE(VOL_VOLUMEN_SUMINISTROS[[#This Row],[Proyecto]],VOL_VOLUMEN_SUMINISTROS[[#This Row],[J]],VOL_VOLUMEN_SUMINISTROS[[#This Row],[FIN DE SEMANA]])</f>
        <v>1052-1TNO</v>
      </c>
      <c r="D1148" s="360" t="str">
        <f>CONCATENATE(VOL_VOLUMEN_SUMINISTROS[[#This Row],[Grupo]],VOL_VOLUMEN_SUMINISTROS[[#This Row],[Proyecto]],VOL_VOLUMEN_SUMINISTROS[[#This Row],[FIN DE SEMANA]])</f>
        <v>191052-1NO</v>
      </c>
      <c r="E1148" s="30" t="s">
        <v>146</v>
      </c>
      <c r="F1148" s="30" t="s">
        <v>147</v>
      </c>
      <c r="G1148" s="360">
        <v>19</v>
      </c>
      <c r="H1148" s="30">
        <v>11</v>
      </c>
      <c r="I1148" s="9" t="s">
        <v>802</v>
      </c>
      <c r="J1148" s="9" t="s">
        <v>875</v>
      </c>
      <c r="K1148" s="30">
        <v>1</v>
      </c>
      <c r="L1148" s="9" t="s">
        <v>877</v>
      </c>
      <c r="M1148" s="30" t="s">
        <v>84</v>
      </c>
      <c r="N1148" s="30" t="s">
        <v>154</v>
      </c>
      <c r="O1148" s="24">
        <v>159</v>
      </c>
      <c r="P1148" s="24">
        <v>284</v>
      </c>
      <c r="Q1148" s="24">
        <v>401</v>
      </c>
      <c r="R1148" s="24">
        <v>0</v>
      </c>
      <c r="S1148" s="24">
        <v>0</v>
      </c>
      <c r="T1148" s="24">
        <v>844</v>
      </c>
    </row>
    <row r="1149" spans="1:20">
      <c r="A1149" s="9" t="s">
        <v>828</v>
      </c>
      <c r="B1149" s="30" t="s">
        <v>871</v>
      </c>
      <c r="C1149" s="30" t="str">
        <f>CONCATENATE(VOL_VOLUMEN_SUMINISTROS[[#This Row],[Proyecto]],VOL_VOLUMEN_SUMINISTROS[[#This Row],[J]],VOL_VOLUMEN_SUMINISTROS[[#This Row],[FIN DE SEMANA]])</f>
        <v>1052-1MNO</v>
      </c>
      <c r="D1149" s="360" t="str">
        <f>CONCATENATE(VOL_VOLUMEN_SUMINISTROS[[#This Row],[Grupo]],VOL_VOLUMEN_SUMINISTROS[[#This Row],[Proyecto]],VOL_VOLUMEN_SUMINISTROS[[#This Row],[FIN DE SEMANA]])</f>
        <v>191052-1NO</v>
      </c>
      <c r="E1149" s="30" t="s">
        <v>146</v>
      </c>
      <c r="F1149" s="30" t="s">
        <v>147</v>
      </c>
      <c r="G1149" s="360">
        <v>19</v>
      </c>
      <c r="H1149" s="30">
        <v>11</v>
      </c>
      <c r="I1149" s="9" t="s">
        <v>802</v>
      </c>
      <c r="J1149" s="9" t="s">
        <v>875</v>
      </c>
      <c r="K1149" s="30">
        <v>2</v>
      </c>
      <c r="L1149" s="9" t="s">
        <v>878</v>
      </c>
      <c r="M1149" s="30" t="s">
        <v>84</v>
      </c>
      <c r="N1149" s="30" t="s">
        <v>151</v>
      </c>
      <c r="O1149" s="24">
        <v>183</v>
      </c>
      <c r="P1149" s="24">
        <v>153</v>
      </c>
      <c r="Q1149" s="24">
        <v>151</v>
      </c>
      <c r="R1149" s="24">
        <v>0</v>
      </c>
      <c r="S1149" s="24">
        <v>0</v>
      </c>
      <c r="T1149" s="24">
        <v>487</v>
      </c>
    </row>
    <row r="1150" spans="1:20">
      <c r="A1150" s="9" t="s">
        <v>828</v>
      </c>
      <c r="B1150" s="30" t="s">
        <v>871</v>
      </c>
      <c r="C1150" s="30" t="str">
        <f>CONCATENATE(VOL_VOLUMEN_SUMINISTROS[[#This Row],[Proyecto]],VOL_VOLUMEN_SUMINISTROS[[#This Row],[J]],VOL_VOLUMEN_SUMINISTROS[[#This Row],[FIN DE SEMANA]])</f>
        <v>1052-1TNO</v>
      </c>
      <c r="D1150" s="360" t="str">
        <f>CONCATENATE(VOL_VOLUMEN_SUMINISTROS[[#This Row],[Grupo]],VOL_VOLUMEN_SUMINISTROS[[#This Row],[Proyecto]],VOL_VOLUMEN_SUMINISTROS[[#This Row],[FIN DE SEMANA]])</f>
        <v>191052-1NO</v>
      </c>
      <c r="E1150" s="30" t="s">
        <v>146</v>
      </c>
      <c r="F1150" s="30" t="s">
        <v>147</v>
      </c>
      <c r="G1150" s="360">
        <v>19</v>
      </c>
      <c r="H1150" s="30">
        <v>11</v>
      </c>
      <c r="I1150" s="9" t="s">
        <v>802</v>
      </c>
      <c r="J1150" s="9" t="s">
        <v>875</v>
      </c>
      <c r="K1150" s="30">
        <v>2</v>
      </c>
      <c r="L1150" s="9" t="s">
        <v>878</v>
      </c>
      <c r="M1150" s="30" t="s">
        <v>84</v>
      </c>
      <c r="N1150" s="30" t="s">
        <v>154</v>
      </c>
      <c r="O1150" s="24">
        <v>235</v>
      </c>
      <c r="P1150" s="24">
        <v>145</v>
      </c>
      <c r="Q1150" s="24">
        <v>107</v>
      </c>
      <c r="R1150" s="24">
        <v>0</v>
      </c>
      <c r="S1150" s="24">
        <v>0</v>
      </c>
      <c r="T1150" s="24">
        <v>487</v>
      </c>
    </row>
    <row r="1151" spans="1:20">
      <c r="A1151" s="9" t="s">
        <v>828</v>
      </c>
      <c r="B1151" s="30" t="s">
        <v>871</v>
      </c>
      <c r="C1151" s="30" t="str">
        <f>CONCATENATE(VOL_VOLUMEN_SUMINISTROS[[#This Row],[Proyecto]],VOL_VOLUMEN_SUMINISTROS[[#This Row],[J]],VOL_VOLUMEN_SUMINISTROS[[#This Row],[FIN DE SEMANA]])</f>
        <v>1052-1MNO</v>
      </c>
      <c r="D1151" s="360" t="str">
        <f>CONCATENATE(VOL_VOLUMEN_SUMINISTROS[[#This Row],[Grupo]],VOL_VOLUMEN_SUMINISTROS[[#This Row],[Proyecto]],VOL_VOLUMEN_SUMINISTROS[[#This Row],[FIN DE SEMANA]])</f>
        <v>191052-1NO</v>
      </c>
      <c r="E1151" s="30" t="s">
        <v>146</v>
      </c>
      <c r="F1151" s="30" t="s">
        <v>147</v>
      </c>
      <c r="G1151" s="360">
        <v>19</v>
      </c>
      <c r="H1151" s="30">
        <v>11</v>
      </c>
      <c r="I1151" s="9" t="s">
        <v>802</v>
      </c>
      <c r="J1151" s="9" t="s">
        <v>875</v>
      </c>
      <c r="K1151" s="30">
        <v>3</v>
      </c>
      <c r="L1151" s="9" t="s">
        <v>457</v>
      </c>
      <c r="M1151" s="30" t="s">
        <v>84</v>
      </c>
      <c r="N1151" s="30" t="s">
        <v>151</v>
      </c>
      <c r="O1151" s="24">
        <v>229</v>
      </c>
      <c r="P1151" s="24">
        <v>242</v>
      </c>
      <c r="Q1151" s="24">
        <v>231</v>
      </c>
      <c r="R1151" s="24">
        <v>0</v>
      </c>
      <c r="S1151" s="24">
        <v>0</v>
      </c>
      <c r="T1151" s="24">
        <v>702</v>
      </c>
    </row>
    <row r="1152" spans="1:20">
      <c r="A1152" s="9" t="s">
        <v>828</v>
      </c>
      <c r="B1152" s="30" t="s">
        <v>871</v>
      </c>
      <c r="C1152" s="30" t="str">
        <f>CONCATENATE(VOL_VOLUMEN_SUMINISTROS[[#This Row],[Proyecto]],VOL_VOLUMEN_SUMINISTROS[[#This Row],[J]],VOL_VOLUMEN_SUMINISTROS[[#This Row],[FIN DE SEMANA]])</f>
        <v>1052-1TNO</v>
      </c>
      <c r="D1152" s="360" t="str">
        <f>CONCATENATE(VOL_VOLUMEN_SUMINISTROS[[#This Row],[Grupo]],VOL_VOLUMEN_SUMINISTROS[[#This Row],[Proyecto]],VOL_VOLUMEN_SUMINISTROS[[#This Row],[FIN DE SEMANA]])</f>
        <v>191052-1NO</v>
      </c>
      <c r="E1152" s="30" t="s">
        <v>146</v>
      </c>
      <c r="F1152" s="30" t="s">
        <v>147</v>
      </c>
      <c r="G1152" s="360">
        <v>19</v>
      </c>
      <c r="H1152" s="30">
        <v>11</v>
      </c>
      <c r="I1152" s="9" t="s">
        <v>802</v>
      </c>
      <c r="J1152" s="9" t="s">
        <v>875</v>
      </c>
      <c r="K1152" s="30">
        <v>3</v>
      </c>
      <c r="L1152" s="9" t="s">
        <v>457</v>
      </c>
      <c r="M1152" s="30" t="s">
        <v>84</v>
      </c>
      <c r="N1152" s="30" t="s">
        <v>154</v>
      </c>
      <c r="O1152" s="24">
        <v>216</v>
      </c>
      <c r="P1152" s="24">
        <v>240</v>
      </c>
      <c r="Q1152" s="24">
        <v>100</v>
      </c>
      <c r="R1152" s="24">
        <v>0</v>
      </c>
      <c r="S1152" s="24">
        <v>0</v>
      </c>
      <c r="T1152" s="24">
        <v>556</v>
      </c>
    </row>
    <row r="1153" spans="1:20">
      <c r="A1153" s="9" t="s">
        <v>828</v>
      </c>
      <c r="B1153" s="30" t="s">
        <v>871</v>
      </c>
      <c r="C1153" s="30" t="str">
        <f>CONCATENATE(VOL_VOLUMEN_SUMINISTROS[[#This Row],[Proyecto]],VOL_VOLUMEN_SUMINISTROS[[#This Row],[J]],VOL_VOLUMEN_SUMINISTROS[[#This Row],[FIN DE SEMANA]])</f>
        <v>1052-1MNO</v>
      </c>
      <c r="D1153" s="360" t="str">
        <f>CONCATENATE(VOL_VOLUMEN_SUMINISTROS[[#This Row],[Grupo]],VOL_VOLUMEN_SUMINISTROS[[#This Row],[Proyecto]],VOL_VOLUMEN_SUMINISTROS[[#This Row],[FIN DE SEMANA]])</f>
        <v>191052-1NO</v>
      </c>
      <c r="E1153" s="30" t="s">
        <v>146</v>
      </c>
      <c r="F1153" s="30" t="s">
        <v>147</v>
      </c>
      <c r="G1153" s="360">
        <v>19</v>
      </c>
      <c r="H1153" s="30">
        <v>11</v>
      </c>
      <c r="I1153" s="9" t="s">
        <v>802</v>
      </c>
      <c r="J1153" s="9" t="s">
        <v>879</v>
      </c>
      <c r="K1153" s="30">
        <v>1</v>
      </c>
      <c r="L1153" s="9" t="s">
        <v>880</v>
      </c>
      <c r="M1153" s="30" t="s">
        <v>84</v>
      </c>
      <c r="N1153" s="30" t="s">
        <v>151</v>
      </c>
      <c r="O1153" s="24">
        <v>0</v>
      </c>
      <c r="P1153" s="24">
        <v>96</v>
      </c>
      <c r="Q1153" s="24">
        <v>965</v>
      </c>
      <c r="R1153" s="24">
        <v>0</v>
      </c>
      <c r="S1153" s="24">
        <v>0</v>
      </c>
      <c r="T1153" s="24">
        <v>1061</v>
      </c>
    </row>
    <row r="1154" spans="1:20">
      <c r="A1154" s="9" t="s">
        <v>828</v>
      </c>
      <c r="B1154" s="30" t="s">
        <v>871</v>
      </c>
      <c r="C1154" s="30" t="str">
        <f>CONCATENATE(VOL_VOLUMEN_SUMINISTROS[[#This Row],[Proyecto]],VOL_VOLUMEN_SUMINISTROS[[#This Row],[J]],VOL_VOLUMEN_SUMINISTROS[[#This Row],[FIN DE SEMANA]])</f>
        <v>1052-1TNO</v>
      </c>
      <c r="D1154" s="360" t="str">
        <f>CONCATENATE(VOL_VOLUMEN_SUMINISTROS[[#This Row],[Grupo]],VOL_VOLUMEN_SUMINISTROS[[#This Row],[Proyecto]],VOL_VOLUMEN_SUMINISTROS[[#This Row],[FIN DE SEMANA]])</f>
        <v>191052-1NO</v>
      </c>
      <c r="E1154" s="30" t="s">
        <v>146</v>
      </c>
      <c r="F1154" s="30" t="s">
        <v>147</v>
      </c>
      <c r="G1154" s="360">
        <v>19</v>
      </c>
      <c r="H1154" s="30">
        <v>11</v>
      </c>
      <c r="I1154" s="9" t="s">
        <v>802</v>
      </c>
      <c r="J1154" s="9" t="s">
        <v>879</v>
      </c>
      <c r="K1154" s="30">
        <v>1</v>
      </c>
      <c r="L1154" s="9" t="s">
        <v>880</v>
      </c>
      <c r="M1154" s="30" t="s">
        <v>84</v>
      </c>
      <c r="N1154" s="30" t="s">
        <v>154</v>
      </c>
      <c r="O1154" s="24">
        <v>230</v>
      </c>
      <c r="P1154" s="24">
        <v>652</v>
      </c>
      <c r="Q1154" s="24">
        <v>179</v>
      </c>
      <c r="R1154" s="24">
        <v>0</v>
      </c>
      <c r="S1154" s="24">
        <v>0</v>
      </c>
      <c r="T1154" s="24">
        <v>1061</v>
      </c>
    </row>
    <row r="1155" spans="1:20">
      <c r="A1155" s="9" t="s">
        <v>828</v>
      </c>
      <c r="B1155" s="30" t="s">
        <v>871</v>
      </c>
      <c r="C1155" s="30" t="str">
        <f>CONCATENATE(VOL_VOLUMEN_SUMINISTROS[[#This Row],[Proyecto]],VOL_VOLUMEN_SUMINISTROS[[#This Row],[J]],VOL_VOLUMEN_SUMINISTROS[[#This Row],[FIN DE SEMANA]])</f>
        <v>1052-1MNO</v>
      </c>
      <c r="D1155" s="360" t="str">
        <f>CONCATENATE(VOL_VOLUMEN_SUMINISTROS[[#This Row],[Grupo]],VOL_VOLUMEN_SUMINISTROS[[#This Row],[Proyecto]],VOL_VOLUMEN_SUMINISTROS[[#This Row],[FIN DE SEMANA]])</f>
        <v>191052-1NO</v>
      </c>
      <c r="E1155" s="30" t="s">
        <v>146</v>
      </c>
      <c r="F1155" s="30" t="s">
        <v>147</v>
      </c>
      <c r="G1155" s="360">
        <v>19</v>
      </c>
      <c r="H1155" s="30">
        <v>11</v>
      </c>
      <c r="I1155" s="9" t="s">
        <v>802</v>
      </c>
      <c r="J1155" s="9" t="s">
        <v>879</v>
      </c>
      <c r="K1155" s="30">
        <v>2</v>
      </c>
      <c r="L1155" s="9" t="s">
        <v>881</v>
      </c>
      <c r="M1155" s="30" t="s">
        <v>84</v>
      </c>
      <c r="N1155" s="30" t="s">
        <v>151</v>
      </c>
      <c r="O1155" s="24">
        <v>176</v>
      </c>
      <c r="P1155" s="24">
        <v>0</v>
      </c>
      <c r="Q1155" s="24">
        <v>0</v>
      </c>
      <c r="R1155" s="24">
        <v>0</v>
      </c>
      <c r="S1155" s="24">
        <v>0</v>
      </c>
      <c r="T1155" s="24">
        <v>176</v>
      </c>
    </row>
    <row r="1156" spans="1:20">
      <c r="A1156" s="9" t="s">
        <v>828</v>
      </c>
      <c r="B1156" s="30" t="s">
        <v>871</v>
      </c>
      <c r="C1156" s="30" t="str">
        <f>CONCATENATE(VOL_VOLUMEN_SUMINISTROS[[#This Row],[Proyecto]],VOL_VOLUMEN_SUMINISTROS[[#This Row],[J]],VOL_VOLUMEN_SUMINISTROS[[#This Row],[FIN DE SEMANA]])</f>
        <v>1052-1TNO</v>
      </c>
      <c r="D1156" s="360" t="str">
        <f>CONCATENATE(VOL_VOLUMEN_SUMINISTROS[[#This Row],[Grupo]],VOL_VOLUMEN_SUMINISTROS[[#This Row],[Proyecto]],VOL_VOLUMEN_SUMINISTROS[[#This Row],[FIN DE SEMANA]])</f>
        <v>191052-1NO</v>
      </c>
      <c r="E1156" s="30" t="s">
        <v>146</v>
      </c>
      <c r="F1156" s="30" t="s">
        <v>147</v>
      </c>
      <c r="G1156" s="360">
        <v>19</v>
      </c>
      <c r="H1156" s="30">
        <v>11</v>
      </c>
      <c r="I1156" s="9" t="s">
        <v>802</v>
      </c>
      <c r="J1156" s="9" t="s">
        <v>879</v>
      </c>
      <c r="K1156" s="30">
        <v>2</v>
      </c>
      <c r="L1156" s="9" t="s">
        <v>881</v>
      </c>
      <c r="M1156" s="30" t="s">
        <v>84</v>
      </c>
      <c r="N1156" s="30" t="s">
        <v>154</v>
      </c>
      <c r="O1156" s="24">
        <v>124</v>
      </c>
      <c r="P1156" s="24">
        <v>62</v>
      </c>
      <c r="Q1156" s="24">
        <v>0</v>
      </c>
      <c r="R1156" s="24">
        <v>0</v>
      </c>
      <c r="S1156" s="24">
        <v>0</v>
      </c>
      <c r="T1156" s="24">
        <v>186</v>
      </c>
    </row>
    <row r="1157" spans="1:20">
      <c r="A1157" s="9" t="s">
        <v>828</v>
      </c>
      <c r="B1157" s="30" t="s">
        <v>871</v>
      </c>
      <c r="C1157" s="30" t="str">
        <f>CONCATENATE(VOL_VOLUMEN_SUMINISTROS[[#This Row],[Proyecto]],VOL_VOLUMEN_SUMINISTROS[[#This Row],[J]],VOL_VOLUMEN_SUMINISTROS[[#This Row],[FIN DE SEMANA]])</f>
        <v>1052-1MNO</v>
      </c>
      <c r="D1157" s="360" t="str">
        <f>CONCATENATE(VOL_VOLUMEN_SUMINISTROS[[#This Row],[Grupo]],VOL_VOLUMEN_SUMINISTROS[[#This Row],[Proyecto]],VOL_VOLUMEN_SUMINISTROS[[#This Row],[FIN DE SEMANA]])</f>
        <v>191052-1NO</v>
      </c>
      <c r="E1157" s="30" t="s">
        <v>146</v>
      </c>
      <c r="F1157" s="30" t="s">
        <v>147</v>
      </c>
      <c r="G1157" s="360">
        <v>19</v>
      </c>
      <c r="H1157" s="30">
        <v>11</v>
      </c>
      <c r="I1157" s="9" t="s">
        <v>802</v>
      </c>
      <c r="J1157" s="9" t="s">
        <v>882</v>
      </c>
      <c r="K1157" s="30">
        <v>1</v>
      </c>
      <c r="L1157" s="9" t="s">
        <v>883</v>
      </c>
      <c r="M1157" s="30" t="s">
        <v>84</v>
      </c>
      <c r="N1157" s="30" t="s">
        <v>151</v>
      </c>
      <c r="O1157" s="24">
        <v>60</v>
      </c>
      <c r="P1157" s="24">
        <v>327</v>
      </c>
      <c r="Q1157" s="24">
        <v>522</v>
      </c>
      <c r="R1157" s="24">
        <v>0</v>
      </c>
      <c r="S1157" s="24">
        <v>0</v>
      </c>
      <c r="T1157" s="24">
        <v>909</v>
      </c>
    </row>
    <row r="1158" spans="1:20">
      <c r="A1158" s="9" t="s">
        <v>828</v>
      </c>
      <c r="B1158" s="30" t="s">
        <v>871</v>
      </c>
      <c r="C1158" s="30" t="str">
        <f>CONCATENATE(VOL_VOLUMEN_SUMINISTROS[[#This Row],[Proyecto]],VOL_VOLUMEN_SUMINISTROS[[#This Row],[J]],VOL_VOLUMEN_SUMINISTROS[[#This Row],[FIN DE SEMANA]])</f>
        <v>1052-1TNO</v>
      </c>
      <c r="D1158" s="360" t="str">
        <f>CONCATENATE(VOL_VOLUMEN_SUMINISTROS[[#This Row],[Grupo]],VOL_VOLUMEN_SUMINISTROS[[#This Row],[Proyecto]],VOL_VOLUMEN_SUMINISTROS[[#This Row],[FIN DE SEMANA]])</f>
        <v>191052-1NO</v>
      </c>
      <c r="E1158" s="30" t="s">
        <v>146</v>
      </c>
      <c r="F1158" s="30" t="s">
        <v>147</v>
      </c>
      <c r="G1158" s="360">
        <v>19</v>
      </c>
      <c r="H1158" s="30">
        <v>11</v>
      </c>
      <c r="I1158" s="9" t="s">
        <v>802</v>
      </c>
      <c r="J1158" s="9" t="s">
        <v>882</v>
      </c>
      <c r="K1158" s="30">
        <v>1</v>
      </c>
      <c r="L1158" s="9" t="s">
        <v>883</v>
      </c>
      <c r="M1158" s="30" t="s">
        <v>84</v>
      </c>
      <c r="N1158" s="30" t="s">
        <v>154</v>
      </c>
      <c r="O1158" s="24">
        <v>64</v>
      </c>
      <c r="P1158" s="24">
        <v>290</v>
      </c>
      <c r="Q1158" s="24">
        <v>371</v>
      </c>
      <c r="R1158" s="24">
        <v>0</v>
      </c>
      <c r="S1158" s="24">
        <v>0</v>
      </c>
      <c r="T1158" s="24">
        <v>725</v>
      </c>
    </row>
    <row r="1159" spans="1:20">
      <c r="A1159" s="9" t="s">
        <v>828</v>
      </c>
      <c r="B1159" s="30" t="s">
        <v>871</v>
      </c>
      <c r="C1159" s="30" t="str">
        <f>CONCATENATE(VOL_VOLUMEN_SUMINISTROS[[#This Row],[Proyecto]],VOL_VOLUMEN_SUMINISTROS[[#This Row],[J]],VOL_VOLUMEN_SUMINISTROS[[#This Row],[FIN DE SEMANA]])</f>
        <v>1052-1MNO</v>
      </c>
      <c r="D1159" s="360" t="str">
        <f>CONCATENATE(VOL_VOLUMEN_SUMINISTROS[[#This Row],[Grupo]],VOL_VOLUMEN_SUMINISTROS[[#This Row],[Proyecto]],VOL_VOLUMEN_SUMINISTROS[[#This Row],[FIN DE SEMANA]])</f>
        <v>191052-1NO</v>
      </c>
      <c r="E1159" s="30" t="s">
        <v>146</v>
      </c>
      <c r="F1159" s="30" t="s">
        <v>147</v>
      </c>
      <c r="G1159" s="360">
        <v>19</v>
      </c>
      <c r="H1159" s="30">
        <v>11</v>
      </c>
      <c r="I1159" s="9" t="s">
        <v>802</v>
      </c>
      <c r="J1159" s="9" t="s">
        <v>882</v>
      </c>
      <c r="K1159" s="30">
        <v>2</v>
      </c>
      <c r="L1159" s="9" t="s">
        <v>883</v>
      </c>
      <c r="M1159" s="30" t="s">
        <v>84</v>
      </c>
      <c r="N1159" s="30" t="s">
        <v>151</v>
      </c>
      <c r="O1159" s="24">
        <v>216</v>
      </c>
      <c r="P1159" s="24">
        <v>63</v>
      </c>
      <c r="Q1159" s="24">
        <v>0</v>
      </c>
      <c r="R1159" s="24">
        <v>0</v>
      </c>
      <c r="S1159" s="24">
        <v>0</v>
      </c>
      <c r="T1159" s="24">
        <v>279</v>
      </c>
    </row>
    <row r="1160" spans="1:20">
      <c r="A1160" s="9" t="s">
        <v>828</v>
      </c>
      <c r="B1160" s="30" t="s">
        <v>871</v>
      </c>
      <c r="C1160" s="30" t="str">
        <f>CONCATENATE(VOL_VOLUMEN_SUMINISTROS[[#This Row],[Proyecto]],VOL_VOLUMEN_SUMINISTROS[[#This Row],[J]],VOL_VOLUMEN_SUMINISTROS[[#This Row],[FIN DE SEMANA]])</f>
        <v>1052-1TNO</v>
      </c>
      <c r="D1160" s="360" t="str">
        <f>CONCATENATE(VOL_VOLUMEN_SUMINISTROS[[#This Row],[Grupo]],VOL_VOLUMEN_SUMINISTROS[[#This Row],[Proyecto]],VOL_VOLUMEN_SUMINISTROS[[#This Row],[FIN DE SEMANA]])</f>
        <v>191052-1NO</v>
      </c>
      <c r="E1160" s="30" t="s">
        <v>146</v>
      </c>
      <c r="F1160" s="30" t="s">
        <v>147</v>
      </c>
      <c r="G1160" s="360">
        <v>19</v>
      </c>
      <c r="H1160" s="30">
        <v>11</v>
      </c>
      <c r="I1160" s="9" t="s">
        <v>802</v>
      </c>
      <c r="J1160" s="9" t="s">
        <v>882</v>
      </c>
      <c r="K1160" s="30">
        <v>2</v>
      </c>
      <c r="L1160" s="9" t="s">
        <v>883</v>
      </c>
      <c r="M1160" s="30" t="s">
        <v>84</v>
      </c>
      <c r="N1160" s="30" t="s">
        <v>154</v>
      </c>
      <c r="O1160" s="24">
        <v>217</v>
      </c>
      <c r="P1160" s="24">
        <v>64</v>
      </c>
      <c r="Q1160" s="24">
        <v>0</v>
      </c>
      <c r="R1160" s="24">
        <v>0</v>
      </c>
      <c r="S1160" s="24">
        <v>0</v>
      </c>
      <c r="T1160" s="24">
        <v>281</v>
      </c>
    </row>
    <row r="1161" spans="1:20">
      <c r="A1161" s="9" t="s">
        <v>828</v>
      </c>
      <c r="B1161" s="30" t="s">
        <v>871</v>
      </c>
      <c r="C1161" s="30" t="str">
        <f>CONCATENATE(VOL_VOLUMEN_SUMINISTROS[[#This Row],[Proyecto]],VOL_VOLUMEN_SUMINISTROS[[#This Row],[J]],VOL_VOLUMEN_SUMINISTROS[[#This Row],[FIN DE SEMANA]])</f>
        <v>1052-1MNO</v>
      </c>
      <c r="D1161" s="360" t="str">
        <f>CONCATENATE(VOL_VOLUMEN_SUMINISTROS[[#This Row],[Grupo]],VOL_VOLUMEN_SUMINISTROS[[#This Row],[Proyecto]],VOL_VOLUMEN_SUMINISTROS[[#This Row],[FIN DE SEMANA]])</f>
        <v>191052-1NO</v>
      </c>
      <c r="E1161" s="30" t="s">
        <v>146</v>
      </c>
      <c r="F1161" s="30" t="s">
        <v>147</v>
      </c>
      <c r="G1161" s="360">
        <v>19</v>
      </c>
      <c r="H1161" s="30">
        <v>11</v>
      </c>
      <c r="I1161" s="9" t="s">
        <v>802</v>
      </c>
      <c r="J1161" s="9" t="s">
        <v>884</v>
      </c>
      <c r="K1161" s="30">
        <v>1</v>
      </c>
      <c r="L1161" s="9" t="s">
        <v>150</v>
      </c>
      <c r="M1161" s="30" t="s">
        <v>84</v>
      </c>
      <c r="N1161" s="30" t="s">
        <v>151</v>
      </c>
      <c r="O1161" s="24">
        <v>0</v>
      </c>
      <c r="P1161" s="24">
        <v>270</v>
      </c>
      <c r="Q1161" s="24">
        <v>552</v>
      </c>
      <c r="R1161" s="24">
        <v>0</v>
      </c>
      <c r="S1161" s="24">
        <v>0</v>
      </c>
      <c r="T1161" s="24">
        <v>822</v>
      </c>
    </row>
    <row r="1162" spans="1:20">
      <c r="A1162" s="9" t="s">
        <v>828</v>
      </c>
      <c r="B1162" s="30" t="s">
        <v>871</v>
      </c>
      <c r="C1162" s="30" t="str">
        <f>CONCATENATE(VOL_VOLUMEN_SUMINISTROS[[#This Row],[Proyecto]],VOL_VOLUMEN_SUMINISTROS[[#This Row],[J]],VOL_VOLUMEN_SUMINISTROS[[#This Row],[FIN DE SEMANA]])</f>
        <v>1052-1TNO</v>
      </c>
      <c r="D1162" s="360" t="str">
        <f>CONCATENATE(VOL_VOLUMEN_SUMINISTROS[[#This Row],[Grupo]],VOL_VOLUMEN_SUMINISTROS[[#This Row],[Proyecto]],VOL_VOLUMEN_SUMINISTROS[[#This Row],[FIN DE SEMANA]])</f>
        <v>191052-1NO</v>
      </c>
      <c r="E1162" s="30" t="s">
        <v>146</v>
      </c>
      <c r="F1162" s="30" t="s">
        <v>147</v>
      </c>
      <c r="G1162" s="360">
        <v>19</v>
      </c>
      <c r="H1162" s="30">
        <v>11</v>
      </c>
      <c r="I1162" s="9" t="s">
        <v>802</v>
      </c>
      <c r="J1162" s="9" t="s">
        <v>884</v>
      </c>
      <c r="K1162" s="30">
        <v>1</v>
      </c>
      <c r="L1162" s="9" t="s">
        <v>150</v>
      </c>
      <c r="M1162" s="30" t="s">
        <v>84</v>
      </c>
      <c r="N1162" s="30" t="s">
        <v>154</v>
      </c>
      <c r="O1162" s="24">
        <v>0</v>
      </c>
      <c r="P1162" s="24">
        <v>252</v>
      </c>
      <c r="Q1162" s="24">
        <v>469</v>
      </c>
      <c r="R1162" s="24">
        <v>0</v>
      </c>
      <c r="S1162" s="24">
        <v>0</v>
      </c>
      <c r="T1162" s="24">
        <v>721</v>
      </c>
    </row>
    <row r="1163" spans="1:20">
      <c r="A1163" s="9" t="s">
        <v>828</v>
      </c>
      <c r="B1163" s="30" t="s">
        <v>871</v>
      </c>
      <c r="C1163" s="30" t="str">
        <f>CONCATENATE(VOL_VOLUMEN_SUMINISTROS[[#This Row],[Proyecto]],VOL_VOLUMEN_SUMINISTROS[[#This Row],[J]],VOL_VOLUMEN_SUMINISTROS[[#This Row],[FIN DE SEMANA]])</f>
        <v>1052-1MNO</v>
      </c>
      <c r="D1163" s="360" t="str">
        <f>CONCATENATE(VOL_VOLUMEN_SUMINISTROS[[#This Row],[Grupo]],VOL_VOLUMEN_SUMINISTROS[[#This Row],[Proyecto]],VOL_VOLUMEN_SUMINISTROS[[#This Row],[FIN DE SEMANA]])</f>
        <v>191052-1NO</v>
      </c>
      <c r="E1163" s="30" t="s">
        <v>146</v>
      </c>
      <c r="F1163" s="30" t="s">
        <v>147</v>
      </c>
      <c r="G1163" s="360">
        <v>19</v>
      </c>
      <c r="H1163" s="30">
        <v>11</v>
      </c>
      <c r="I1163" s="9" t="s">
        <v>802</v>
      </c>
      <c r="J1163" s="9" t="s">
        <v>884</v>
      </c>
      <c r="K1163" s="30">
        <v>2</v>
      </c>
      <c r="L1163" s="9" t="s">
        <v>885</v>
      </c>
      <c r="M1163" s="30" t="s">
        <v>84</v>
      </c>
      <c r="N1163" s="30" t="s">
        <v>151</v>
      </c>
      <c r="O1163" s="24">
        <v>319</v>
      </c>
      <c r="P1163" s="24">
        <v>195</v>
      </c>
      <c r="Q1163" s="24">
        <v>26</v>
      </c>
      <c r="R1163" s="24">
        <v>0</v>
      </c>
      <c r="S1163" s="24">
        <v>0</v>
      </c>
      <c r="T1163" s="24">
        <v>540</v>
      </c>
    </row>
    <row r="1164" spans="1:20">
      <c r="A1164" s="9" t="s">
        <v>828</v>
      </c>
      <c r="B1164" s="30" t="s">
        <v>871</v>
      </c>
      <c r="C1164" s="30" t="str">
        <f>CONCATENATE(VOL_VOLUMEN_SUMINISTROS[[#This Row],[Proyecto]],VOL_VOLUMEN_SUMINISTROS[[#This Row],[J]],VOL_VOLUMEN_SUMINISTROS[[#This Row],[FIN DE SEMANA]])</f>
        <v>1052-1TNO</v>
      </c>
      <c r="D1164" s="360" t="str">
        <f>CONCATENATE(VOL_VOLUMEN_SUMINISTROS[[#This Row],[Grupo]],VOL_VOLUMEN_SUMINISTROS[[#This Row],[Proyecto]],VOL_VOLUMEN_SUMINISTROS[[#This Row],[FIN DE SEMANA]])</f>
        <v>191052-1NO</v>
      </c>
      <c r="E1164" s="30" t="s">
        <v>146</v>
      </c>
      <c r="F1164" s="30" t="s">
        <v>147</v>
      </c>
      <c r="G1164" s="360">
        <v>19</v>
      </c>
      <c r="H1164" s="30">
        <v>11</v>
      </c>
      <c r="I1164" s="9" t="s">
        <v>802</v>
      </c>
      <c r="J1164" s="9" t="s">
        <v>884</v>
      </c>
      <c r="K1164" s="30">
        <v>2</v>
      </c>
      <c r="L1164" s="9" t="s">
        <v>885</v>
      </c>
      <c r="M1164" s="30" t="s">
        <v>84</v>
      </c>
      <c r="N1164" s="30" t="s">
        <v>154</v>
      </c>
      <c r="O1164" s="24">
        <v>321</v>
      </c>
      <c r="P1164" s="24">
        <v>196</v>
      </c>
      <c r="Q1164" s="24">
        <v>26</v>
      </c>
      <c r="R1164" s="24">
        <v>0</v>
      </c>
      <c r="S1164" s="24">
        <v>0</v>
      </c>
      <c r="T1164" s="24">
        <v>543</v>
      </c>
    </row>
    <row r="1165" spans="1:20">
      <c r="A1165" s="9" t="s">
        <v>828</v>
      </c>
      <c r="B1165" s="30" t="s">
        <v>871</v>
      </c>
      <c r="C1165" s="30" t="str">
        <f>CONCATENATE(VOL_VOLUMEN_SUMINISTROS[[#This Row],[Proyecto]],VOL_VOLUMEN_SUMINISTROS[[#This Row],[J]],VOL_VOLUMEN_SUMINISTROS[[#This Row],[FIN DE SEMANA]])</f>
        <v>1052-1MNO</v>
      </c>
      <c r="D1165" s="360" t="str">
        <f>CONCATENATE(VOL_VOLUMEN_SUMINISTROS[[#This Row],[Grupo]],VOL_VOLUMEN_SUMINISTROS[[#This Row],[Proyecto]],VOL_VOLUMEN_SUMINISTROS[[#This Row],[FIN DE SEMANA]])</f>
        <v>191052-1NO</v>
      </c>
      <c r="E1165" s="30" t="s">
        <v>146</v>
      </c>
      <c r="F1165" s="30" t="s">
        <v>147</v>
      </c>
      <c r="G1165" s="360">
        <v>19</v>
      </c>
      <c r="H1165" s="30">
        <v>11</v>
      </c>
      <c r="I1165" s="9" t="s">
        <v>802</v>
      </c>
      <c r="J1165" s="9" t="s">
        <v>884</v>
      </c>
      <c r="K1165" s="30">
        <v>3</v>
      </c>
      <c r="L1165" s="9" t="s">
        <v>457</v>
      </c>
      <c r="M1165" s="30" t="s">
        <v>84</v>
      </c>
      <c r="N1165" s="30" t="s">
        <v>151</v>
      </c>
      <c r="O1165" s="24">
        <v>120</v>
      </c>
      <c r="P1165" s="24">
        <v>84</v>
      </c>
      <c r="Q1165" s="24">
        <v>8</v>
      </c>
      <c r="R1165" s="24">
        <v>0</v>
      </c>
      <c r="S1165" s="24">
        <v>0</v>
      </c>
      <c r="T1165" s="24">
        <v>212</v>
      </c>
    </row>
    <row r="1166" spans="1:20">
      <c r="A1166" s="9" t="s">
        <v>828</v>
      </c>
      <c r="B1166" s="30" t="s">
        <v>871</v>
      </c>
      <c r="C1166" s="30" t="str">
        <f>CONCATENATE(VOL_VOLUMEN_SUMINISTROS[[#This Row],[Proyecto]],VOL_VOLUMEN_SUMINISTROS[[#This Row],[J]],VOL_VOLUMEN_SUMINISTROS[[#This Row],[FIN DE SEMANA]])</f>
        <v>1052-1TNO</v>
      </c>
      <c r="D1166" s="360" t="str">
        <f>CONCATENATE(VOL_VOLUMEN_SUMINISTROS[[#This Row],[Grupo]],VOL_VOLUMEN_SUMINISTROS[[#This Row],[Proyecto]],VOL_VOLUMEN_SUMINISTROS[[#This Row],[FIN DE SEMANA]])</f>
        <v>191052-1NO</v>
      </c>
      <c r="E1166" s="30" t="s">
        <v>146</v>
      </c>
      <c r="F1166" s="30" t="s">
        <v>147</v>
      </c>
      <c r="G1166" s="360">
        <v>19</v>
      </c>
      <c r="H1166" s="30">
        <v>11</v>
      </c>
      <c r="I1166" s="9" t="s">
        <v>802</v>
      </c>
      <c r="J1166" s="9" t="s">
        <v>884</v>
      </c>
      <c r="K1166" s="30">
        <v>3</v>
      </c>
      <c r="L1166" s="9" t="s">
        <v>457</v>
      </c>
      <c r="M1166" s="30" t="s">
        <v>84</v>
      </c>
      <c r="N1166" s="30" t="s">
        <v>154</v>
      </c>
      <c r="O1166" s="24">
        <v>112</v>
      </c>
      <c r="P1166" s="24">
        <v>80</v>
      </c>
      <c r="Q1166" s="24">
        <v>8</v>
      </c>
      <c r="R1166" s="24">
        <v>0</v>
      </c>
      <c r="S1166" s="24">
        <v>0</v>
      </c>
      <c r="T1166" s="24">
        <v>200</v>
      </c>
    </row>
    <row r="1167" spans="1:20">
      <c r="A1167" s="9" t="s">
        <v>828</v>
      </c>
      <c r="B1167" s="30" t="s">
        <v>871</v>
      </c>
      <c r="C1167" s="30" t="str">
        <f>CONCATENATE(VOL_VOLUMEN_SUMINISTROS[[#This Row],[Proyecto]],VOL_VOLUMEN_SUMINISTROS[[#This Row],[J]],VOL_VOLUMEN_SUMINISTROS[[#This Row],[FIN DE SEMANA]])</f>
        <v>1052-1MNO</v>
      </c>
      <c r="D1167" s="360" t="str">
        <f>CONCATENATE(VOL_VOLUMEN_SUMINISTROS[[#This Row],[Grupo]],VOL_VOLUMEN_SUMINISTROS[[#This Row],[Proyecto]],VOL_VOLUMEN_SUMINISTROS[[#This Row],[FIN DE SEMANA]])</f>
        <v>191052-1NO</v>
      </c>
      <c r="E1167" s="30" t="s">
        <v>146</v>
      </c>
      <c r="F1167" s="30" t="s">
        <v>147</v>
      </c>
      <c r="G1167" s="360">
        <v>19</v>
      </c>
      <c r="H1167" s="30">
        <v>11</v>
      </c>
      <c r="I1167" s="9" t="s">
        <v>802</v>
      </c>
      <c r="J1167" s="9" t="s">
        <v>884</v>
      </c>
      <c r="K1167" s="30">
        <v>4</v>
      </c>
      <c r="L1167" s="9" t="s">
        <v>225</v>
      </c>
      <c r="M1167" s="30" t="s">
        <v>84</v>
      </c>
      <c r="N1167" s="30" t="s">
        <v>151</v>
      </c>
      <c r="O1167" s="24">
        <v>117</v>
      </c>
      <c r="P1167" s="24">
        <v>0</v>
      </c>
      <c r="Q1167" s="24">
        <v>0</v>
      </c>
      <c r="R1167" s="24">
        <v>0</v>
      </c>
      <c r="S1167" s="24">
        <v>0</v>
      </c>
      <c r="T1167" s="24">
        <v>117</v>
      </c>
    </row>
    <row r="1168" spans="1:20">
      <c r="A1168" s="9" t="s">
        <v>828</v>
      </c>
      <c r="B1168" s="30" t="s">
        <v>871</v>
      </c>
      <c r="C1168" s="30" t="str">
        <f>CONCATENATE(VOL_VOLUMEN_SUMINISTROS[[#This Row],[Proyecto]],VOL_VOLUMEN_SUMINISTROS[[#This Row],[J]],VOL_VOLUMEN_SUMINISTROS[[#This Row],[FIN DE SEMANA]])</f>
        <v>1052-1TNO</v>
      </c>
      <c r="D1168" s="360" t="str">
        <f>CONCATENATE(VOL_VOLUMEN_SUMINISTROS[[#This Row],[Grupo]],VOL_VOLUMEN_SUMINISTROS[[#This Row],[Proyecto]],VOL_VOLUMEN_SUMINISTROS[[#This Row],[FIN DE SEMANA]])</f>
        <v>191052-1NO</v>
      </c>
      <c r="E1168" s="30" t="s">
        <v>146</v>
      </c>
      <c r="F1168" s="30" t="s">
        <v>147</v>
      </c>
      <c r="G1168" s="360">
        <v>19</v>
      </c>
      <c r="H1168" s="30">
        <v>11</v>
      </c>
      <c r="I1168" s="9" t="s">
        <v>802</v>
      </c>
      <c r="J1168" s="9" t="s">
        <v>884</v>
      </c>
      <c r="K1168" s="30">
        <v>4</v>
      </c>
      <c r="L1168" s="9" t="s">
        <v>225</v>
      </c>
      <c r="M1168" s="30" t="s">
        <v>84</v>
      </c>
      <c r="N1168" s="30" t="s">
        <v>154</v>
      </c>
      <c r="O1168" s="24">
        <v>120</v>
      </c>
      <c r="P1168" s="24">
        <v>0</v>
      </c>
      <c r="Q1168" s="24">
        <v>0</v>
      </c>
      <c r="R1168" s="24">
        <v>0</v>
      </c>
      <c r="S1168" s="24">
        <v>0</v>
      </c>
      <c r="T1168" s="24">
        <v>120</v>
      </c>
    </row>
    <row r="1169" spans="1:20">
      <c r="A1169" s="9" t="s">
        <v>828</v>
      </c>
      <c r="B1169" s="30" t="s">
        <v>871</v>
      </c>
      <c r="C1169" s="30" t="str">
        <f>CONCATENATE(VOL_VOLUMEN_SUMINISTROS[[#This Row],[Proyecto]],VOL_VOLUMEN_SUMINISTROS[[#This Row],[J]],VOL_VOLUMEN_SUMINISTROS[[#This Row],[FIN DE SEMANA]])</f>
        <v>1052-1MNO</v>
      </c>
      <c r="D1169" s="360" t="str">
        <f>CONCATENATE(VOL_VOLUMEN_SUMINISTROS[[#This Row],[Grupo]],VOL_VOLUMEN_SUMINISTROS[[#This Row],[Proyecto]],VOL_VOLUMEN_SUMINISTROS[[#This Row],[FIN DE SEMANA]])</f>
        <v>191052-1NO</v>
      </c>
      <c r="E1169" s="30" t="s">
        <v>146</v>
      </c>
      <c r="F1169" s="30" t="s">
        <v>147</v>
      </c>
      <c r="G1169" s="360">
        <v>19</v>
      </c>
      <c r="H1169" s="30">
        <v>11</v>
      </c>
      <c r="I1169" s="9" t="s">
        <v>802</v>
      </c>
      <c r="J1169" s="9" t="s">
        <v>886</v>
      </c>
      <c r="K1169" s="30">
        <v>2</v>
      </c>
      <c r="L1169" s="9" t="s">
        <v>887</v>
      </c>
      <c r="M1169" s="30" t="s">
        <v>84</v>
      </c>
      <c r="N1169" s="30" t="s">
        <v>151</v>
      </c>
      <c r="O1169" s="24">
        <v>102</v>
      </c>
      <c r="P1169" s="24">
        <v>0</v>
      </c>
      <c r="Q1169" s="24">
        <v>0</v>
      </c>
      <c r="R1169" s="24">
        <v>0</v>
      </c>
      <c r="S1169" s="24">
        <v>0</v>
      </c>
      <c r="T1169" s="24">
        <v>102</v>
      </c>
    </row>
    <row r="1170" spans="1:20">
      <c r="A1170" s="9" t="s">
        <v>828</v>
      </c>
      <c r="B1170" s="30" t="s">
        <v>871</v>
      </c>
      <c r="C1170" s="30" t="str">
        <f>CONCATENATE(VOL_VOLUMEN_SUMINISTROS[[#This Row],[Proyecto]],VOL_VOLUMEN_SUMINISTROS[[#This Row],[J]],VOL_VOLUMEN_SUMINISTROS[[#This Row],[FIN DE SEMANA]])</f>
        <v>1052-1TNO</v>
      </c>
      <c r="D1170" s="360" t="str">
        <f>CONCATENATE(VOL_VOLUMEN_SUMINISTROS[[#This Row],[Grupo]],VOL_VOLUMEN_SUMINISTROS[[#This Row],[Proyecto]],VOL_VOLUMEN_SUMINISTROS[[#This Row],[FIN DE SEMANA]])</f>
        <v>191052-1NO</v>
      </c>
      <c r="E1170" s="30" t="s">
        <v>146</v>
      </c>
      <c r="F1170" s="30" t="s">
        <v>147</v>
      </c>
      <c r="G1170" s="360">
        <v>19</v>
      </c>
      <c r="H1170" s="30">
        <v>11</v>
      </c>
      <c r="I1170" s="9" t="s">
        <v>802</v>
      </c>
      <c r="J1170" s="9" t="s">
        <v>886</v>
      </c>
      <c r="K1170" s="30">
        <v>2</v>
      </c>
      <c r="L1170" s="9" t="s">
        <v>887</v>
      </c>
      <c r="M1170" s="30" t="s">
        <v>84</v>
      </c>
      <c r="N1170" s="30" t="s">
        <v>154</v>
      </c>
      <c r="O1170" s="24">
        <v>102</v>
      </c>
      <c r="P1170" s="24">
        <v>0</v>
      </c>
      <c r="Q1170" s="24">
        <v>0</v>
      </c>
      <c r="R1170" s="24">
        <v>0</v>
      </c>
      <c r="S1170" s="24">
        <v>0</v>
      </c>
      <c r="T1170" s="24">
        <v>102</v>
      </c>
    </row>
    <row r="1171" spans="1:20">
      <c r="A1171" s="9" t="s">
        <v>828</v>
      </c>
      <c r="B1171" s="30" t="s">
        <v>871</v>
      </c>
      <c r="C1171" s="30" t="str">
        <f>CONCATENATE(VOL_VOLUMEN_SUMINISTROS[[#This Row],[Proyecto]],VOL_VOLUMEN_SUMINISTROS[[#This Row],[J]],VOL_VOLUMEN_SUMINISTROS[[#This Row],[FIN DE SEMANA]])</f>
        <v>1052-1MNO</v>
      </c>
      <c r="D1171" s="360" t="str">
        <f>CONCATENATE(VOL_VOLUMEN_SUMINISTROS[[#This Row],[Grupo]],VOL_VOLUMEN_SUMINISTROS[[#This Row],[Proyecto]],VOL_VOLUMEN_SUMINISTROS[[#This Row],[FIN DE SEMANA]])</f>
        <v>191052-1NO</v>
      </c>
      <c r="E1171" s="30" t="s">
        <v>146</v>
      </c>
      <c r="F1171" s="30" t="s">
        <v>147</v>
      </c>
      <c r="G1171" s="360">
        <v>19</v>
      </c>
      <c r="H1171" s="30">
        <v>11</v>
      </c>
      <c r="I1171" s="9" t="s">
        <v>802</v>
      </c>
      <c r="J1171" s="9" t="s">
        <v>888</v>
      </c>
      <c r="K1171" s="30">
        <v>1</v>
      </c>
      <c r="L1171" s="9" t="s">
        <v>889</v>
      </c>
      <c r="M1171" s="30" t="s">
        <v>84</v>
      </c>
      <c r="N1171" s="30" t="s">
        <v>151</v>
      </c>
      <c r="O1171" s="24">
        <v>267</v>
      </c>
      <c r="P1171" s="24">
        <v>277</v>
      </c>
      <c r="Q1171" s="24">
        <v>56</v>
      </c>
      <c r="R1171" s="24">
        <v>0</v>
      </c>
      <c r="S1171" s="24">
        <v>0</v>
      </c>
      <c r="T1171" s="24">
        <v>600</v>
      </c>
    </row>
    <row r="1172" spans="1:20">
      <c r="A1172" s="9" t="s">
        <v>828</v>
      </c>
      <c r="B1172" s="30" t="s">
        <v>871</v>
      </c>
      <c r="C1172" s="30" t="str">
        <f>CONCATENATE(VOL_VOLUMEN_SUMINISTROS[[#This Row],[Proyecto]],VOL_VOLUMEN_SUMINISTROS[[#This Row],[J]],VOL_VOLUMEN_SUMINISTROS[[#This Row],[FIN DE SEMANA]])</f>
        <v>1052-1NNO</v>
      </c>
      <c r="D1172" s="360" t="str">
        <f>CONCATENATE(VOL_VOLUMEN_SUMINISTROS[[#This Row],[Grupo]],VOL_VOLUMEN_SUMINISTROS[[#This Row],[Proyecto]],VOL_VOLUMEN_SUMINISTROS[[#This Row],[FIN DE SEMANA]])</f>
        <v>191052-1NO</v>
      </c>
      <c r="E1172" s="30" t="s">
        <v>146</v>
      </c>
      <c r="F1172" s="30" t="s">
        <v>147</v>
      </c>
      <c r="G1172" s="360">
        <v>19</v>
      </c>
      <c r="H1172" s="30">
        <v>11</v>
      </c>
      <c r="I1172" s="9" t="s">
        <v>802</v>
      </c>
      <c r="J1172" s="9" t="s">
        <v>888</v>
      </c>
      <c r="K1172" s="30">
        <v>1</v>
      </c>
      <c r="L1172" s="9" t="s">
        <v>889</v>
      </c>
      <c r="M1172" s="30" t="s">
        <v>84</v>
      </c>
      <c r="N1172" s="30" t="s">
        <v>153</v>
      </c>
      <c r="O1172" s="24">
        <v>0</v>
      </c>
      <c r="P1172" s="24">
        <v>0</v>
      </c>
      <c r="Q1172" s="24">
        <v>0</v>
      </c>
      <c r="R1172" s="24">
        <v>188</v>
      </c>
      <c r="S1172" s="24">
        <v>183</v>
      </c>
      <c r="T1172" s="24">
        <v>371</v>
      </c>
    </row>
    <row r="1173" spans="1:20">
      <c r="A1173" s="9" t="s">
        <v>828</v>
      </c>
      <c r="B1173" s="30" t="s">
        <v>871</v>
      </c>
      <c r="C1173" s="30" t="str">
        <f>CONCATENATE(VOL_VOLUMEN_SUMINISTROS[[#This Row],[Proyecto]],VOL_VOLUMEN_SUMINISTROS[[#This Row],[J]],VOL_VOLUMEN_SUMINISTROS[[#This Row],[FIN DE SEMANA]])</f>
        <v>1052-1TNO</v>
      </c>
      <c r="D1173" s="360" t="str">
        <f>CONCATENATE(VOL_VOLUMEN_SUMINISTROS[[#This Row],[Grupo]],VOL_VOLUMEN_SUMINISTROS[[#This Row],[Proyecto]],VOL_VOLUMEN_SUMINISTROS[[#This Row],[FIN DE SEMANA]])</f>
        <v>191052-1NO</v>
      </c>
      <c r="E1173" s="30" t="s">
        <v>146</v>
      </c>
      <c r="F1173" s="30" t="s">
        <v>147</v>
      </c>
      <c r="G1173" s="360">
        <v>19</v>
      </c>
      <c r="H1173" s="30">
        <v>11</v>
      </c>
      <c r="I1173" s="9" t="s">
        <v>802</v>
      </c>
      <c r="J1173" s="9" t="s">
        <v>888</v>
      </c>
      <c r="K1173" s="30">
        <v>1</v>
      </c>
      <c r="L1173" s="9" t="s">
        <v>889</v>
      </c>
      <c r="M1173" s="30" t="s">
        <v>84</v>
      </c>
      <c r="N1173" s="30" t="s">
        <v>154</v>
      </c>
      <c r="O1173" s="24">
        <v>48</v>
      </c>
      <c r="P1173" s="24">
        <v>177</v>
      </c>
      <c r="Q1173" s="24">
        <v>443</v>
      </c>
      <c r="R1173" s="24">
        <v>0</v>
      </c>
      <c r="S1173" s="24">
        <v>0</v>
      </c>
      <c r="T1173" s="24">
        <v>668</v>
      </c>
    </row>
    <row r="1174" spans="1:20">
      <c r="A1174" s="9" t="s">
        <v>828</v>
      </c>
      <c r="B1174" s="30" t="s">
        <v>871</v>
      </c>
      <c r="C1174" s="30" t="str">
        <f>CONCATENATE(VOL_VOLUMEN_SUMINISTROS[[#This Row],[Proyecto]],VOL_VOLUMEN_SUMINISTROS[[#This Row],[J]],VOL_VOLUMEN_SUMINISTROS[[#This Row],[FIN DE SEMANA]])</f>
        <v>1052-1MNO</v>
      </c>
      <c r="D1174" s="360" t="str">
        <f>CONCATENATE(VOL_VOLUMEN_SUMINISTROS[[#This Row],[Grupo]],VOL_VOLUMEN_SUMINISTROS[[#This Row],[Proyecto]],VOL_VOLUMEN_SUMINISTROS[[#This Row],[FIN DE SEMANA]])</f>
        <v>191052-1NO</v>
      </c>
      <c r="E1174" s="30" t="s">
        <v>146</v>
      </c>
      <c r="F1174" s="30" t="s">
        <v>147</v>
      </c>
      <c r="G1174" s="360">
        <v>19</v>
      </c>
      <c r="H1174" s="30">
        <v>11</v>
      </c>
      <c r="I1174" s="9" t="s">
        <v>802</v>
      </c>
      <c r="J1174" s="9" t="s">
        <v>888</v>
      </c>
      <c r="K1174" s="30">
        <v>2</v>
      </c>
      <c r="L1174" s="9" t="s">
        <v>164</v>
      </c>
      <c r="M1174" s="30" t="s">
        <v>84</v>
      </c>
      <c r="N1174" s="30" t="s">
        <v>151</v>
      </c>
      <c r="O1174" s="24">
        <v>0</v>
      </c>
      <c r="P1174" s="24">
        <v>99</v>
      </c>
      <c r="Q1174" s="24">
        <v>33</v>
      </c>
      <c r="R1174" s="24">
        <v>0</v>
      </c>
      <c r="S1174" s="24">
        <v>0</v>
      </c>
      <c r="T1174" s="24">
        <v>132</v>
      </c>
    </row>
    <row r="1175" spans="1:20">
      <c r="A1175" s="9" t="s">
        <v>828</v>
      </c>
      <c r="B1175" s="30" t="s">
        <v>871</v>
      </c>
      <c r="C1175" s="30" t="str">
        <f>CONCATENATE(VOL_VOLUMEN_SUMINISTROS[[#This Row],[Proyecto]],VOL_VOLUMEN_SUMINISTROS[[#This Row],[J]],VOL_VOLUMEN_SUMINISTROS[[#This Row],[FIN DE SEMANA]])</f>
        <v>1052-1TNO</v>
      </c>
      <c r="D1175" s="360" t="str">
        <f>CONCATENATE(VOL_VOLUMEN_SUMINISTROS[[#This Row],[Grupo]],VOL_VOLUMEN_SUMINISTROS[[#This Row],[Proyecto]],VOL_VOLUMEN_SUMINISTROS[[#This Row],[FIN DE SEMANA]])</f>
        <v>191052-1NO</v>
      </c>
      <c r="E1175" s="30" t="s">
        <v>146</v>
      </c>
      <c r="F1175" s="30" t="s">
        <v>147</v>
      </c>
      <c r="G1175" s="360">
        <v>19</v>
      </c>
      <c r="H1175" s="30">
        <v>11</v>
      </c>
      <c r="I1175" s="9" t="s">
        <v>802</v>
      </c>
      <c r="J1175" s="9" t="s">
        <v>888</v>
      </c>
      <c r="K1175" s="30">
        <v>2</v>
      </c>
      <c r="L1175" s="9" t="s">
        <v>164</v>
      </c>
      <c r="M1175" s="30" t="s">
        <v>84</v>
      </c>
      <c r="N1175" s="30" t="s">
        <v>154</v>
      </c>
      <c r="O1175" s="24">
        <v>0</v>
      </c>
      <c r="P1175" s="24">
        <v>99</v>
      </c>
      <c r="Q1175" s="24">
        <v>33</v>
      </c>
      <c r="R1175" s="24">
        <v>0</v>
      </c>
      <c r="S1175" s="24">
        <v>0</v>
      </c>
      <c r="T1175" s="24">
        <v>132</v>
      </c>
    </row>
    <row r="1176" spans="1:20">
      <c r="A1176" s="9" t="s">
        <v>828</v>
      </c>
      <c r="B1176" s="30" t="s">
        <v>871</v>
      </c>
      <c r="C1176" s="30" t="str">
        <f>CONCATENATE(VOL_VOLUMEN_SUMINISTROS[[#This Row],[Proyecto]],VOL_VOLUMEN_SUMINISTROS[[#This Row],[J]],VOL_VOLUMEN_SUMINISTROS[[#This Row],[FIN DE SEMANA]])</f>
        <v>1052-1MNO</v>
      </c>
      <c r="D1176" s="360" t="str">
        <f>CONCATENATE(VOL_VOLUMEN_SUMINISTROS[[#This Row],[Grupo]],VOL_VOLUMEN_SUMINISTROS[[#This Row],[Proyecto]],VOL_VOLUMEN_SUMINISTROS[[#This Row],[FIN DE SEMANA]])</f>
        <v>191052-1NO</v>
      </c>
      <c r="E1176" s="30" t="s">
        <v>146</v>
      </c>
      <c r="F1176" s="30" t="s">
        <v>147</v>
      </c>
      <c r="G1176" s="360">
        <v>19</v>
      </c>
      <c r="H1176" s="30">
        <v>11</v>
      </c>
      <c r="I1176" s="9" t="s">
        <v>802</v>
      </c>
      <c r="J1176" s="9" t="s">
        <v>890</v>
      </c>
      <c r="K1176" s="30">
        <v>1</v>
      </c>
      <c r="L1176" s="9" t="s">
        <v>891</v>
      </c>
      <c r="M1176" s="30" t="s">
        <v>84</v>
      </c>
      <c r="N1176" s="30" t="s">
        <v>151</v>
      </c>
      <c r="O1176" s="24">
        <v>0</v>
      </c>
      <c r="P1176" s="24">
        <v>0</v>
      </c>
      <c r="Q1176" s="24">
        <v>538</v>
      </c>
      <c r="R1176" s="24">
        <v>0</v>
      </c>
      <c r="S1176" s="24">
        <v>0</v>
      </c>
      <c r="T1176" s="24">
        <v>538</v>
      </c>
    </row>
    <row r="1177" spans="1:20">
      <c r="A1177" s="9" t="s">
        <v>828</v>
      </c>
      <c r="B1177" s="30" t="s">
        <v>871</v>
      </c>
      <c r="C1177" s="30" t="str">
        <f>CONCATENATE(VOL_VOLUMEN_SUMINISTROS[[#This Row],[Proyecto]],VOL_VOLUMEN_SUMINISTROS[[#This Row],[J]],VOL_VOLUMEN_SUMINISTROS[[#This Row],[FIN DE SEMANA]])</f>
        <v>1052-1TNO</v>
      </c>
      <c r="D1177" s="360" t="str">
        <f>CONCATENATE(VOL_VOLUMEN_SUMINISTROS[[#This Row],[Grupo]],VOL_VOLUMEN_SUMINISTROS[[#This Row],[Proyecto]],VOL_VOLUMEN_SUMINISTROS[[#This Row],[FIN DE SEMANA]])</f>
        <v>191052-1NO</v>
      </c>
      <c r="E1177" s="30" t="s">
        <v>146</v>
      </c>
      <c r="F1177" s="30" t="s">
        <v>147</v>
      </c>
      <c r="G1177" s="360">
        <v>19</v>
      </c>
      <c r="H1177" s="30">
        <v>11</v>
      </c>
      <c r="I1177" s="9" t="s">
        <v>802</v>
      </c>
      <c r="J1177" s="9" t="s">
        <v>890</v>
      </c>
      <c r="K1177" s="30">
        <v>1</v>
      </c>
      <c r="L1177" s="9" t="s">
        <v>891</v>
      </c>
      <c r="M1177" s="30" t="s">
        <v>84</v>
      </c>
      <c r="N1177" s="30" t="s">
        <v>154</v>
      </c>
      <c r="O1177" s="24">
        <v>0</v>
      </c>
      <c r="P1177" s="24">
        <v>0</v>
      </c>
      <c r="Q1177" s="24">
        <v>425</v>
      </c>
      <c r="R1177" s="24">
        <v>0</v>
      </c>
      <c r="S1177" s="24">
        <v>0</v>
      </c>
      <c r="T1177" s="24">
        <v>425</v>
      </c>
    </row>
    <row r="1178" spans="1:20">
      <c r="A1178" s="9" t="s">
        <v>828</v>
      </c>
      <c r="B1178" s="30" t="s">
        <v>871</v>
      </c>
      <c r="C1178" s="30" t="str">
        <f>CONCATENATE(VOL_VOLUMEN_SUMINISTROS[[#This Row],[Proyecto]],VOL_VOLUMEN_SUMINISTROS[[#This Row],[J]],VOL_VOLUMEN_SUMINISTROS[[#This Row],[FIN DE SEMANA]])</f>
        <v>1052-1MNO</v>
      </c>
      <c r="D1178" s="360" t="str">
        <f>CONCATENATE(VOL_VOLUMEN_SUMINISTROS[[#This Row],[Grupo]],VOL_VOLUMEN_SUMINISTROS[[#This Row],[Proyecto]],VOL_VOLUMEN_SUMINISTROS[[#This Row],[FIN DE SEMANA]])</f>
        <v>191052-1NO</v>
      </c>
      <c r="E1178" s="30" t="s">
        <v>146</v>
      </c>
      <c r="F1178" s="30" t="s">
        <v>147</v>
      </c>
      <c r="G1178" s="360">
        <v>19</v>
      </c>
      <c r="H1178" s="30">
        <v>11</v>
      </c>
      <c r="I1178" s="9" t="s">
        <v>802</v>
      </c>
      <c r="J1178" s="9" t="s">
        <v>890</v>
      </c>
      <c r="K1178" s="30">
        <v>2</v>
      </c>
      <c r="L1178" s="9" t="s">
        <v>892</v>
      </c>
      <c r="M1178" s="30" t="s">
        <v>84</v>
      </c>
      <c r="N1178" s="30" t="s">
        <v>151</v>
      </c>
      <c r="O1178" s="24">
        <v>369</v>
      </c>
      <c r="P1178" s="24">
        <v>91</v>
      </c>
      <c r="Q1178" s="24">
        <v>0</v>
      </c>
      <c r="R1178" s="24">
        <v>0</v>
      </c>
      <c r="S1178" s="24">
        <v>0</v>
      </c>
      <c r="T1178" s="24">
        <v>460</v>
      </c>
    </row>
    <row r="1179" spans="1:20">
      <c r="A1179" s="9" t="s">
        <v>828</v>
      </c>
      <c r="B1179" s="30" t="s">
        <v>871</v>
      </c>
      <c r="C1179" s="30" t="str">
        <f>CONCATENATE(VOL_VOLUMEN_SUMINISTROS[[#This Row],[Proyecto]],VOL_VOLUMEN_SUMINISTROS[[#This Row],[J]],VOL_VOLUMEN_SUMINISTROS[[#This Row],[FIN DE SEMANA]])</f>
        <v>1052-1TNO</v>
      </c>
      <c r="D1179" s="360" t="str">
        <f>CONCATENATE(VOL_VOLUMEN_SUMINISTROS[[#This Row],[Grupo]],VOL_VOLUMEN_SUMINISTROS[[#This Row],[Proyecto]],VOL_VOLUMEN_SUMINISTROS[[#This Row],[FIN DE SEMANA]])</f>
        <v>191052-1NO</v>
      </c>
      <c r="E1179" s="30" t="s">
        <v>146</v>
      </c>
      <c r="F1179" s="30" t="s">
        <v>147</v>
      </c>
      <c r="G1179" s="360">
        <v>19</v>
      </c>
      <c r="H1179" s="30">
        <v>11</v>
      </c>
      <c r="I1179" s="9" t="s">
        <v>802</v>
      </c>
      <c r="J1179" s="9" t="s">
        <v>890</v>
      </c>
      <c r="K1179" s="30">
        <v>2</v>
      </c>
      <c r="L1179" s="9" t="s">
        <v>892</v>
      </c>
      <c r="M1179" s="30" t="s">
        <v>84</v>
      </c>
      <c r="N1179" s="30" t="s">
        <v>154</v>
      </c>
      <c r="O1179" s="24">
        <v>359</v>
      </c>
      <c r="P1179" s="24">
        <v>91</v>
      </c>
      <c r="Q1179" s="24">
        <v>0</v>
      </c>
      <c r="R1179" s="24">
        <v>0</v>
      </c>
      <c r="S1179" s="24">
        <v>0</v>
      </c>
      <c r="T1179" s="24">
        <v>450</v>
      </c>
    </row>
    <row r="1180" spans="1:20">
      <c r="A1180" s="9" t="s">
        <v>828</v>
      </c>
      <c r="B1180" s="30" t="s">
        <v>871</v>
      </c>
      <c r="C1180" s="30" t="str">
        <f>CONCATENATE(VOL_VOLUMEN_SUMINISTROS[[#This Row],[Proyecto]],VOL_VOLUMEN_SUMINISTROS[[#This Row],[J]],VOL_VOLUMEN_SUMINISTROS[[#This Row],[FIN DE SEMANA]])</f>
        <v>1052-1MNO</v>
      </c>
      <c r="D1180" s="360" t="str">
        <f>CONCATENATE(VOL_VOLUMEN_SUMINISTROS[[#This Row],[Grupo]],VOL_VOLUMEN_SUMINISTROS[[#This Row],[Proyecto]],VOL_VOLUMEN_SUMINISTROS[[#This Row],[FIN DE SEMANA]])</f>
        <v>191052-1NO</v>
      </c>
      <c r="E1180" s="30" t="s">
        <v>146</v>
      </c>
      <c r="F1180" s="30" t="s">
        <v>147</v>
      </c>
      <c r="G1180" s="360">
        <v>19</v>
      </c>
      <c r="H1180" s="30">
        <v>11</v>
      </c>
      <c r="I1180" s="9" t="s">
        <v>802</v>
      </c>
      <c r="J1180" s="9" t="s">
        <v>890</v>
      </c>
      <c r="K1180" s="30">
        <v>3</v>
      </c>
      <c r="L1180" s="9" t="s">
        <v>893</v>
      </c>
      <c r="M1180" s="30" t="s">
        <v>84</v>
      </c>
      <c r="N1180" s="30" t="s">
        <v>151</v>
      </c>
      <c r="O1180" s="24">
        <v>88</v>
      </c>
      <c r="P1180" s="24">
        <v>461</v>
      </c>
      <c r="Q1180" s="24">
        <v>139</v>
      </c>
      <c r="R1180" s="24">
        <v>0</v>
      </c>
      <c r="S1180" s="24">
        <v>0</v>
      </c>
      <c r="T1180" s="24">
        <v>688</v>
      </c>
    </row>
    <row r="1181" spans="1:20">
      <c r="A1181" s="9" t="s">
        <v>828</v>
      </c>
      <c r="B1181" s="30" t="s">
        <v>871</v>
      </c>
      <c r="C1181" s="30" t="str">
        <f>CONCATENATE(VOL_VOLUMEN_SUMINISTROS[[#This Row],[Proyecto]],VOL_VOLUMEN_SUMINISTROS[[#This Row],[J]],VOL_VOLUMEN_SUMINISTROS[[#This Row],[FIN DE SEMANA]])</f>
        <v>1052-1TNO</v>
      </c>
      <c r="D1181" s="360" t="str">
        <f>CONCATENATE(VOL_VOLUMEN_SUMINISTROS[[#This Row],[Grupo]],VOL_VOLUMEN_SUMINISTROS[[#This Row],[Proyecto]],VOL_VOLUMEN_SUMINISTROS[[#This Row],[FIN DE SEMANA]])</f>
        <v>191052-1NO</v>
      </c>
      <c r="E1181" s="30" t="s">
        <v>146</v>
      </c>
      <c r="F1181" s="30" t="s">
        <v>147</v>
      </c>
      <c r="G1181" s="360">
        <v>19</v>
      </c>
      <c r="H1181" s="30">
        <v>11</v>
      </c>
      <c r="I1181" s="9" t="s">
        <v>802</v>
      </c>
      <c r="J1181" s="9" t="s">
        <v>890</v>
      </c>
      <c r="K1181" s="30">
        <v>3</v>
      </c>
      <c r="L1181" s="9" t="s">
        <v>893</v>
      </c>
      <c r="M1181" s="30" t="s">
        <v>84</v>
      </c>
      <c r="N1181" s="30" t="s">
        <v>154</v>
      </c>
      <c r="O1181" s="24">
        <v>88</v>
      </c>
      <c r="P1181" s="24">
        <v>461</v>
      </c>
      <c r="Q1181" s="24">
        <v>139</v>
      </c>
      <c r="R1181" s="24">
        <v>0</v>
      </c>
      <c r="S1181" s="24">
        <v>0</v>
      </c>
      <c r="T1181" s="24">
        <v>688</v>
      </c>
    </row>
    <row r="1182" spans="1:20">
      <c r="A1182" s="9" t="s">
        <v>828</v>
      </c>
      <c r="B1182" s="30" t="s">
        <v>871</v>
      </c>
      <c r="C1182" s="30" t="str">
        <f>CONCATENATE(VOL_VOLUMEN_SUMINISTROS[[#This Row],[Proyecto]],VOL_VOLUMEN_SUMINISTROS[[#This Row],[J]],VOL_VOLUMEN_SUMINISTROS[[#This Row],[FIN DE SEMANA]])</f>
        <v>1052-1MNO</v>
      </c>
      <c r="D1182" s="360" t="str">
        <f>CONCATENATE(VOL_VOLUMEN_SUMINISTROS[[#This Row],[Grupo]],VOL_VOLUMEN_SUMINISTROS[[#This Row],[Proyecto]],VOL_VOLUMEN_SUMINISTROS[[#This Row],[FIN DE SEMANA]])</f>
        <v>191052-1NO</v>
      </c>
      <c r="E1182" s="30" t="s">
        <v>146</v>
      </c>
      <c r="F1182" s="30" t="s">
        <v>147</v>
      </c>
      <c r="G1182" s="360">
        <v>19</v>
      </c>
      <c r="H1182" s="30">
        <v>11</v>
      </c>
      <c r="I1182" s="9" t="s">
        <v>802</v>
      </c>
      <c r="J1182" s="9" t="s">
        <v>894</v>
      </c>
      <c r="K1182" s="30">
        <v>1</v>
      </c>
      <c r="L1182" s="9" t="s">
        <v>895</v>
      </c>
      <c r="M1182" s="30" t="s">
        <v>84</v>
      </c>
      <c r="N1182" s="30" t="s">
        <v>151</v>
      </c>
      <c r="O1182" s="24">
        <v>188</v>
      </c>
      <c r="P1182" s="24">
        <v>300</v>
      </c>
      <c r="Q1182" s="24">
        <v>77</v>
      </c>
      <c r="R1182" s="24">
        <v>0</v>
      </c>
      <c r="S1182" s="24">
        <v>0</v>
      </c>
      <c r="T1182" s="24">
        <v>565</v>
      </c>
    </row>
    <row r="1183" spans="1:20">
      <c r="A1183" s="9" t="s">
        <v>828</v>
      </c>
      <c r="B1183" s="30" t="s">
        <v>871</v>
      </c>
      <c r="C1183" s="30" t="str">
        <f>CONCATENATE(VOL_VOLUMEN_SUMINISTROS[[#This Row],[Proyecto]],VOL_VOLUMEN_SUMINISTROS[[#This Row],[J]],VOL_VOLUMEN_SUMINISTROS[[#This Row],[FIN DE SEMANA]])</f>
        <v>1052-1TNO</v>
      </c>
      <c r="D1183" s="360" t="str">
        <f>CONCATENATE(VOL_VOLUMEN_SUMINISTROS[[#This Row],[Grupo]],VOL_VOLUMEN_SUMINISTROS[[#This Row],[Proyecto]],VOL_VOLUMEN_SUMINISTROS[[#This Row],[FIN DE SEMANA]])</f>
        <v>191052-1NO</v>
      </c>
      <c r="E1183" s="30" t="s">
        <v>146</v>
      </c>
      <c r="F1183" s="30" t="s">
        <v>147</v>
      </c>
      <c r="G1183" s="360">
        <v>19</v>
      </c>
      <c r="H1183" s="30">
        <v>11</v>
      </c>
      <c r="I1183" s="9" t="s">
        <v>802</v>
      </c>
      <c r="J1183" s="9" t="s">
        <v>894</v>
      </c>
      <c r="K1183" s="30">
        <v>1</v>
      </c>
      <c r="L1183" s="9" t="s">
        <v>895</v>
      </c>
      <c r="M1183" s="30" t="s">
        <v>84</v>
      </c>
      <c r="N1183" s="30" t="s">
        <v>154</v>
      </c>
      <c r="O1183" s="24">
        <v>70</v>
      </c>
      <c r="P1183" s="24">
        <v>90</v>
      </c>
      <c r="Q1183" s="24">
        <v>320</v>
      </c>
      <c r="R1183" s="24">
        <v>0</v>
      </c>
      <c r="S1183" s="24">
        <v>0</v>
      </c>
      <c r="T1183" s="24">
        <v>480</v>
      </c>
    </row>
    <row r="1184" spans="1:20">
      <c r="A1184" s="9" t="s">
        <v>828</v>
      </c>
      <c r="B1184" s="30" t="s">
        <v>871</v>
      </c>
      <c r="C1184" s="30" t="str">
        <f>CONCATENATE(VOL_VOLUMEN_SUMINISTROS[[#This Row],[Proyecto]],VOL_VOLUMEN_SUMINISTROS[[#This Row],[J]],VOL_VOLUMEN_SUMINISTROS[[#This Row],[FIN DE SEMANA]])</f>
        <v>1052-1MNO</v>
      </c>
      <c r="D1184" s="360" t="str">
        <f>CONCATENATE(VOL_VOLUMEN_SUMINISTROS[[#This Row],[Grupo]],VOL_VOLUMEN_SUMINISTROS[[#This Row],[Proyecto]],VOL_VOLUMEN_SUMINISTROS[[#This Row],[FIN DE SEMANA]])</f>
        <v>191052-1NO</v>
      </c>
      <c r="E1184" s="30" t="s">
        <v>146</v>
      </c>
      <c r="F1184" s="30" t="s">
        <v>147</v>
      </c>
      <c r="G1184" s="360">
        <v>19</v>
      </c>
      <c r="H1184" s="30">
        <v>11</v>
      </c>
      <c r="I1184" s="9" t="s">
        <v>802</v>
      </c>
      <c r="J1184" s="9" t="s">
        <v>894</v>
      </c>
      <c r="K1184" s="30">
        <v>2</v>
      </c>
      <c r="L1184" s="9" t="s">
        <v>896</v>
      </c>
      <c r="M1184" s="30" t="s">
        <v>84</v>
      </c>
      <c r="N1184" s="30" t="s">
        <v>151</v>
      </c>
      <c r="O1184" s="24">
        <v>106</v>
      </c>
      <c r="P1184" s="24">
        <v>83</v>
      </c>
      <c r="Q1184" s="24">
        <v>18</v>
      </c>
      <c r="R1184" s="24">
        <v>0</v>
      </c>
      <c r="S1184" s="24">
        <v>0</v>
      </c>
      <c r="T1184" s="24">
        <v>207</v>
      </c>
    </row>
    <row r="1185" spans="1:20">
      <c r="A1185" s="9" t="s">
        <v>828</v>
      </c>
      <c r="B1185" s="30" t="s">
        <v>871</v>
      </c>
      <c r="C1185" s="30" t="str">
        <f>CONCATENATE(VOL_VOLUMEN_SUMINISTROS[[#This Row],[Proyecto]],VOL_VOLUMEN_SUMINISTROS[[#This Row],[J]],VOL_VOLUMEN_SUMINISTROS[[#This Row],[FIN DE SEMANA]])</f>
        <v>1052-1TNO</v>
      </c>
      <c r="D1185" s="360" t="str">
        <f>CONCATENATE(VOL_VOLUMEN_SUMINISTROS[[#This Row],[Grupo]],VOL_VOLUMEN_SUMINISTROS[[#This Row],[Proyecto]],VOL_VOLUMEN_SUMINISTROS[[#This Row],[FIN DE SEMANA]])</f>
        <v>191052-1NO</v>
      </c>
      <c r="E1185" s="30" t="s">
        <v>146</v>
      </c>
      <c r="F1185" s="30" t="s">
        <v>147</v>
      </c>
      <c r="G1185" s="360">
        <v>19</v>
      </c>
      <c r="H1185" s="30">
        <v>11</v>
      </c>
      <c r="I1185" s="9" t="s">
        <v>802</v>
      </c>
      <c r="J1185" s="9" t="s">
        <v>894</v>
      </c>
      <c r="K1185" s="30">
        <v>2</v>
      </c>
      <c r="L1185" s="9" t="s">
        <v>896</v>
      </c>
      <c r="M1185" s="30" t="s">
        <v>84</v>
      </c>
      <c r="N1185" s="30" t="s">
        <v>154</v>
      </c>
      <c r="O1185" s="24">
        <v>107</v>
      </c>
      <c r="P1185" s="24">
        <v>79</v>
      </c>
      <c r="Q1185" s="24">
        <v>16</v>
      </c>
      <c r="R1185" s="24">
        <v>0</v>
      </c>
      <c r="S1185" s="24">
        <v>0</v>
      </c>
      <c r="T1185" s="24">
        <v>202</v>
      </c>
    </row>
    <row r="1186" spans="1:20">
      <c r="A1186" s="9" t="s">
        <v>828</v>
      </c>
      <c r="B1186" s="30" t="s">
        <v>897</v>
      </c>
      <c r="C1186" s="30" t="str">
        <f>CONCATENATE(VOL_VOLUMEN_SUMINISTROS[[#This Row],[Proyecto]],VOL_VOLUMEN_SUMINISTROS[[#This Row],[J]],VOL_VOLUMEN_SUMINISTROS[[#This Row],[FIN DE SEMANA]])</f>
        <v>1052-2M1NO</v>
      </c>
      <c r="D1186" s="360" t="str">
        <f>CONCATENATE(VOL_VOLUMEN_SUMINISTROS[[#This Row],[Grupo]],VOL_VOLUMEN_SUMINISTROS[[#This Row],[Proyecto]],VOL_VOLUMEN_SUMINISTROS[[#This Row],[FIN DE SEMANA]])</f>
        <v>191052-2NO</v>
      </c>
      <c r="E1186" s="30" t="s">
        <v>182</v>
      </c>
      <c r="F1186" s="30" t="s">
        <v>147</v>
      </c>
      <c r="G1186" s="360">
        <v>19</v>
      </c>
      <c r="H1186" s="30">
        <v>11</v>
      </c>
      <c r="I1186" s="9" t="s">
        <v>802</v>
      </c>
      <c r="J1186" s="9" t="s">
        <v>872</v>
      </c>
      <c r="K1186" s="30">
        <v>1</v>
      </c>
      <c r="L1186" s="9" t="s">
        <v>873</v>
      </c>
      <c r="M1186" s="30" t="s">
        <v>84</v>
      </c>
      <c r="N1186" s="30" t="s">
        <v>215</v>
      </c>
      <c r="O1186" s="24">
        <v>174</v>
      </c>
      <c r="P1186" s="24">
        <v>237</v>
      </c>
      <c r="Q1186" s="24">
        <v>50</v>
      </c>
      <c r="R1186" s="24">
        <v>0</v>
      </c>
      <c r="S1186" s="24">
        <v>0</v>
      </c>
      <c r="T1186" s="24">
        <v>461</v>
      </c>
    </row>
    <row r="1187" spans="1:20">
      <c r="A1187" s="9" t="s">
        <v>828</v>
      </c>
      <c r="B1187" s="30" t="s">
        <v>897</v>
      </c>
      <c r="C1187" s="30" t="str">
        <f>CONCATENATE(VOL_VOLUMEN_SUMINISTROS[[#This Row],[Proyecto]],VOL_VOLUMEN_SUMINISTROS[[#This Row],[J]],VOL_VOLUMEN_SUMINISTROS[[#This Row],[FIN DE SEMANA]])</f>
        <v>1052-2TNO</v>
      </c>
      <c r="D1187" s="360" t="str">
        <f>CONCATENATE(VOL_VOLUMEN_SUMINISTROS[[#This Row],[Grupo]],VOL_VOLUMEN_SUMINISTROS[[#This Row],[Proyecto]],VOL_VOLUMEN_SUMINISTROS[[#This Row],[FIN DE SEMANA]])</f>
        <v>191052-2NO</v>
      </c>
      <c r="E1187" s="30" t="s">
        <v>182</v>
      </c>
      <c r="F1187" s="30" t="s">
        <v>147</v>
      </c>
      <c r="G1187" s="360">
        <v>19</v>
      </c>
      <c r="H1187" s="30">
        <v>11</v>
      </c>
      <c r="I1187" s="9" t="s">
        <v>802</v>
      </c>
      <c r="J1187" s="9" t="s">
        <v>872</v>
      </c>
      <c r="K1187" s="30">
        <v>2</v>
      </c>
      <c r="L1187" s="9" t="s">
        <v>874</v>
      </c>
      <c r="M1187" s="30" t="s">
        <v>84</v>
      </c>
      <c r="N1187" s="30" t="s">
        <v>154</v>
      </c>
      <c r="O1187" s="24">
        <v>0</v>
      </c>
      <c r="P1187" s="24">
        <v>195</v>
      </c>
      <c r="Q1187" s="24">
        <v>335</v>
      </c>
      <c r="R1187" s="24">
        <v>0</v>
      </c>
      <c r="S1187" s="24">
        <v>0</v>
      </c>
      <c r="T1187" s="24">
        <v>530</v>
      </c>
    </row>
    <row r="1188" spans="1:20">
      <c r="A1188" s="9" t="s">
        <v>828</v>
      </c>
      <c r="B1188" s="30" t="s">
        <v>897</v>
      </c>
      <c r="C1188" s="30" t="str">
        <f>CONCATENATE(VOL_VOLUMEN_SUMINISTROS[[#This Row],[Proyecto]],VOL_VOLUMEN_SUMINISTROS[[#This Row],[J]],VOL_VOLUMEN_SUMINISTROS[[#This Row],[FIN DE SEMANA]])</f>
        <v>1052-2M1NO</v>
      </c>
      <c r="D1188" s="360" t="str">
        <f>CONCATENATE(VOL_VOLUMEN_SUMINISTROS[[#This Row],[Grupo]],VOL_VOLUMEN_SUMINISTROS[[#This Row],[Proyecto]],VOL_VOLUMEN_SUMINISTROS[[#This Row],[FIN DE SEMANA]])</f>
        <v>191052-2NO</v>
      </c>
      <c r="E1188" s="30" t="s">
        <v>182</v>
      </c>
      <c r="F1188" s="30" t="s">
        <v>147</v>
      </c>
      <c r="G1188" s="360">
        <v>19</v>
      </c>
      <c r="H1188" s="30">
        <v>11</v>
      </c>
      <c r="I1188" s="9" t="s">
        <v>802</v>
      </c>
      <c r="J1188" s="9" t="s">
        <v>888</v>
      </c>
      <c r="K1188" s="30">
        <v>1</v>
      </c>
      <c r="L1188" s="9" t="s">
        <v>889</v>
      </c>
      <c r="M1188" s="30" t="s">
        <v>84</v>
      </c>
      <c r="N1188" s="30" t="s">
        <v>215</v>
      </c>
      <c r="O1188" s="24">
        <v>222</v>
      </c>
      <c r="P1188" s="24">
        <v>279</v>
      </c>
      <c r="Q1188" s="24">
        <v>56</v>
      </c>
      <c r="R1188" s="24">
        <v>0</v>
      </c>
      <c r="S1188" s="24">
        <v>0</v>
      </c>
      <c r="T1188" s="24">
        <v>557</v>
      </c>
    </row>
    <row r="1189" spans="1:20">
      <c r="A1189" s="9" t="s">
        <v>828</v>
      </c>
      <c r="B1189" s="30" t="s">
        <v>897</v>
      </c>
      <c r="C1189" s="30" t="str">
        <f>CONCATENATE(VOL_VOLUMEN_SUMINISTROS[[#This Row],[Proyecto]],VOL_VOLUMEN_SUMINISTROS[[#This Row],[J]],VOL_VOLUMEN_SUMINISTROS[[#This Row],[FIN DE SEMANA]])</f>
        <v>1052-2TNO</v>
      </c>
      <c r="D1189" s="360" t="str">
        <f>CONCATENATE(VOL_VOLUMEN_SUMINISTROS[[#This Row],[Grupo]],VOL_VOLUMEN_SUMINISTROS[[#This Row],[Proyecto]],VOL_VOLUMEN_SUMINISTROS[[#This Row],[FIN DE SEMANA]])</f>
        <v>191052-2NO</v>
      </c>
      <c r="E1189" s="30" t="s">
        <v>182</v>
      </c>
      <c r="F1189" s="30" t="s">
        <v>147</v>
      </c>
      <c r="G1189" s="360">
        <v>19</v>
      </c>
      <c r="H1189" s="30">
        <v>11</v>
      </c>
      <c r="I1189" s="9" t="s">
        <v>802</v>
      </c>
      <c r="J1189" s="9" t="s">
        <v>888</v>
      </c>
      <c r="K1189" s="30">
        <v>1</v>
      </c>
      <c r="L1189" s="9" t="s">
        <v>889</v>
      </c>
      <c r="M1189" s="30" t="s">
        <v>84</v>
      </c>
      <c r="N1189" s="30" t="s">
        <v>154</v>
      </c>
      <c r="O1189" s="24">
        <v>0</v>
      </c>
      <c r="P1189" s="24">
        <v>180</v>
      </c>
      <c r="Q1189" s="24">
        <v>300</v>
      </c>
      <c r="R1189" s="24">
        <v>0</v>
      </c>
      <c r="S1189" s="24">
        <v>0</v>
      </c>
      <c r="T1189" s="24">
        <v>480</v>
      </c>
    </row>
    <row r="1190" spans="1:20">
      <c r="A1190" s="9" t="s">
        <v>828</v>
      </c>
      <c r="B1190" s="30" t="s">
        <v>897</v>
      </c>
      <c r="C1190" s="30" t="str">
        <f>CONCATENATE(VOL_VOLUMEN_SUMINISTROS[[#This Row],[Proyecto]],VOL_VOLUMEN_SUMINISTROS[[#This Row],[J]],VOL_VOLUMEN_SUMINISTROS[[#This Row],[FIN DE SEMANA]])</f>
        <v>1052-2MNO</v>
      </c>
      <c r="D1190" s="360" t="str">
        <f>CONCATENATE(VOL_VOLUMEN_SUMINISTROS[[#This Row],[Grupo]],VOL_VOLUMEN_SUMINISTROS[[#This Row],[Proyecto]],VOL_VOLUMEN_SUMINISTROS[[#This Row],[FIN DE SEMANA]])</f>
        <v>201052-2NO</v>
      </c>
      <c r="E1190" s="30" t="s">
        <v>182</v>
      </c>
      <c r="F1190" s="30" t="s">
        <v>147</v>
      </c>
      <c r="G1190" s="360">
        <v>20</v>
      </c>
      <c r="H1190" s="30">
        <v>11</v>
      </c>
      <c r="I1190" s="9" t="s">
        <v>802</v>
      </c>
      <c r="J1190" s="9" t="s">
        <v>898</v>
      </c>
      <c r="K1190" s="30">
        <v>2</v>
      </c>
      <c r="L1190" s="9" t="s">
        <v>899</v>
      </c>
      <c r="M1190" s="30" t="s">
        <v>84</v>
      </c>
      <c r="N1190" s="30" t="s">
        <v>151</v>
      </c>
      <c r="O1190" s="24">
        <v>0</v>
      </c>
      <c r="P1190" s="24">
        <v>105</v>
      </c>
      <c r="Q1190" s="24">
        <v>95</v>
      </c>
      <c r="R1190" s="24">
        <v>0</v>
      </c>
      <c r="S1190" s="24">
        <v>0</v>
      </c>
      <c r="T1190" s="24">
        <v>200</v>
      </c>
    </row>
    <row r="1191" spans="1:20">
      <c r="A1191" s="9" t="s">
        <v>828</v>
      </c>
      <c r="B1191" s="30" t="s">
        <v>897</v>
      </c>
      <c r="C1191" s="30" t="str">
        <f>CONCATENATE(VOL_VOLUMEN_SUMINISTROS[[#This Row],[Proyecto]],VOL_VOLUMEN_SUMINISTROS[[#This Row],[J]],VOL_VOLUMEN_SUMINISTROS[[#This Row],[FIN DE SEMANA]])</f>
        <v>1052-2TNO</v>
      </c>
      <c r="D1191" s="360" t="str">
        <f>CONCATENATE(VOL_VOLUMEN_SUMINISTROS[[#This Row],[Grupo]],VOL_VOLUMEN_SUMINISTROS[[#This Row],[Proyecto]],VOL_VOLUMEN_SUMINISTROS[[#This Row],[FIN DE SEMANA]])</f>
        <v>201052-2NO</v>
      </c>
      <c r="E1191" s="30" t="s">
        <v>182</v>
      </c>
      <c r="F1191" s="30" t="s">
        <v>147</v>
      </c>
      <c r="G1191" s="360">
        <v>20</v>
      </c>
      <c r="H1191" s="30">
        <v>11</v>
      </c>
      <c r="I1191" s="9" t="s">
        <v>802</v>
      </c>
      <c r="J1191" s="9" t="s">
        <v>898</v>
      </c>
      <c r="K1191" s="30">
        <v>2</v>
      </c>
      <c r="L1191" s="9" t="s">
        <v>899</v>
      </c>
      <c r="M1191" s="30" t="s">
        <v>84</v>
      </c>
      <c r="N1191" s="30" t="s">
        <v>154</v>
      </c>
      <c r="O1191" s="24">
        <v>0</v>
      </c>
      <c r="P1191" s="24">
        <v>102</v>
      </c>
      <c r="Q1191" s="24">
        <v>99</v>
      </c>
      <c r="R1191" s="24">
        <v>0</v>
      </c>
      <c r="S1191" s="24">
        <v>0</v>
      </c>
      <c r="T1191" s="24">
        <v>201</v>
      </c>
    </row>
    <row r="1192" spans="1:20">
      <c r="A1192" s="9" t="s">
        <v>828</v>
      </c>
      <c r="B1192" s="30" t="s">
        <v>900</v>
      </c>
      <c r="C1192" s="30" t="str">
        <f>CONCATENATE(VOL_VOLUMEN_SUMINISTROS[[#This Row],[Proyecto]],VOL_VOLUMEN_SUMINISTROS[[#This Row],[J]],VOL_VOLUMEN_SUMINISTROS[[#This Row],[FIN DE SEMANA]])</f>
        <v>1052-2MNO</v>
      </c>
      <c r="D1192" s="360" t="str">
        <f>CONCATENATE(VOL_VOLUMEN_SUMINISTROS[[#This Row],[Grupo]],VOL_VOLUMEN_SUMINISTROS[[#This Row],[Proyecto]],VOL_VOLUMEN_SUMINISTROS[[#This Row],[FIN DE SEMANA]])</f>
        <v>171052-2NO</v>
      </c>
      <c r="E1192" s="30" t="s">
        <v>182</v>
      </c>
      <c r="F1192" s="30" t="s">
        <v>147</v>
      </c>
      <c r="G1192" s="360">
        <v>17</v>
      </c>
      <c r="H1192" s="30">
        <v>10</v>
      </c>
      <c r="I1192" s="9" t="s">
        <v>330</v>
      </c>
      <c r="J1192" s="9" t="s">
        <v>830</v>
      </c>
      <c r="K1192" s="30">
        <v>1</v>
      </c>
      <c r="L1192" s="9" t="s">
        <v>831</v>
      </c>
      <c r="M1192" s="30" t="s">
        <v>84</v>
      </c>
      <c r="N1192" s="30" t="s">
        <v>151</v>
      </c>
      <c r="O1192" s="24">
        <v>0</v>
      </c>
      <c r="P1192" s="24">
        <v>0</v>
      </c>
      <c r="Q1192" s="24">
        <v>138</v>
      </c>
      <c r="R1192" s="24">
        <v>0</v>
      </c>
      <c r="S1192" s="24">
        <v>0</v>
      </c>
      <c r="T1192" s="24">
        <v>138</v>
      </c>
    </row>
    <row r="1193" spans="1:20">
      <c r="A1193" s="9" t="s">
        <v>828</v>
      </c>
      <c r="B1193" s="30" t="s">
        <v>900</v>
      </c>
      <c r="C1193" s="30" t="str">
        <f>CONCATENATE(VOL_VOLUMEN_SUMINISTROS[[#This Row],[Proyecto]],VOL_VOLUMEN_SUMINISTROS[[#This Row],[J]],VOL_VOLUMEN_SUMINISTROS[[#This Row],[FIN DE SEMANA]])</f>
        <v>1052-2TNO</v>
      </c>
      <c r="D1193" s="360" t="str">
        <f>CONCATENATE(VOL_VOLUMEN_SUMINISTROS[[#This Row],[Grupo]],VOL_VOLUMEN_SUMINISTROS[[#This Row],[Proyecto]],VOL_VOLUMEN_SUMINISTROS[[#This Row],[FIN DE SEMANA]])</f>
        <v>171052-2NO</v>
      </c>
      <c r="E1193" s="30" t="s">
        <v>182</v>
      </c>
      <c r="F1193" s="30" t="s">
        <v>147</v>
      </c>
      <c r="G1193" s="360">
        <v>17</v>
      </c>
      <c r="H1193" s="30">
        <v>10</v>
      </c>
      <c r="I1193" s="9" t="s">
        <v>330</v>
      </c>
      <c r="J1193" s="9" t="s">
        <v>830</v>
      </c>
      <c r="K1193" s="30">
        <v>1</v>
      </c>
      <c r="L1193" s="9" t="s">
        <v>831</v>
      </c>
      <c r="M1193" s="30" t="s">
        <v>84</v>
      </c>
      <c r="N1193" s="30" t="s">
        <v>154</v>
      </c>
      <c r="O1193" s="24">
        <v>0</v>
      </c>
      <c r="P1193" s="24">
        <v>0</v>
      </c>
      <c r="Q1193" s="24">
        <v>152</v>
      </c>
      <c r="R1193" s="24">
        <v>0</v>
      </c>
      <c r="S1193" s="24">
        <v>0</v>
      </c>
      <c r="T1193" s="24">
        <v>152</v>
      </c>
    </row>
    <row r="1194" spans="1:20">
      <c r="A1194" s="9" t="s">
        <v>828</v>
      </c>
      <c r="B1194" s="30" t="s">
        <v>900</v>
      </c>
      <c r="C1194" s="30" t="str">
        <f>CONCATENATE(VOL_VOLUMEN_SUMINISTROS[[#This Row],[Proyecto]],VOL_VOLUMEN_SUMINISTROS[[#This Row],[J]],VOL_VOLUMEN_SUMINISTROS[[#This Row],[FIN DE SEMANA]])</f>
        <v>1052-2MNO</v>
      </c>
      <c r="D1194" s="360" t="str">
        <f>CONCATENATE(VOL_VOLUMEN_SUMINISTROS[[#This Row],[Grupo]],VOL_VOLUMEN_SUMINISTROS[[#This Row],[Proyecto]],VOL_VOLUMEN_SUMINISTROS[[#This Row],[FIN DE SEMANA]])</f>
        <v>51052-2NO</v>
      </c>
      <c r="E1194" s="30" t="s">
        <v>182</v>
      </c>
      <c r="F1194" s="30" t="s">
        <v>147</v>
      </c>
      <c r="G1194" s="360">
        <v>5</v>
      </c>
      <c r="H1194" s="30">
        <v>10</v>
      </c>
      <c r="I1194" s="9" t="s">
        <v>330</v>
      </c>
      <c r="J1194" s="9" t="s">
        <v>901</v>
      </c>
      <c r="K1194" s="30">
        <v>1</v>
      </c>
      <c r="L1194" s="9" t="s">
        <v>152</v>
      </c>
      <c r="M1194" s="30" t="s">
        <v>84</v>
      </c>
      <c r="N1194" s="30" t="s">
        <v>151</v>
      </c>
      <c r="O1194" s="24">
        <v>0</v>
      </c>
      <c r="P1194" s="24">
        <v>0</v>
      </c>
      <c r="Q1194" s="24">
        <v>60</v>
      </c>
      <c r="R1194" s="24">
        <v>0</v>
      </c>
      <c r="S1194" s="24">
        <v>0</v>
      </c>
      <c r="T1194" s="24">
        <v>60</v>
      </c>
    </row>
    <row r="1195" spans="1:20">
      <c r="A1195" s="9" t="s">
        <v>828</v>
      </c>
      <c r="B1195" s="30" t="s">
        <v>900</v>
      </c>
      <c r="C1195" s="30" t="str">
        <f>CONCATENATE(VOL_VOLUMEN_SUMINISTROS[[#This Row],[Proyecto]],VOL_VOLUMEN_SUMINISTROS[[#This Row],[J]],VOL_VOLUMEN_SUMINISTROS[[#This Row],[FIN DE SEMANA]])</f>
        <v>1052-2MNO</v>
      </c>
      <c r="D1195" s="360" t="str">
        <f>CONCATENATE(VOL_VOLUMEN_SUMINISTROS[[#This Row],[Grupo]],VOL_VOLUMEN_SUMINISTROS[[#This Row],[Proyecto]],VOL_VOLUMEN_SUMINISTROS[[#This Row],[FIN DE SEMANA]])</f>
        <v>51052-2NO</v>
      </c>
      <c r="E1195" s="30" t="s">
        <v>182</v>
      </c>
      <c r="F1195" s="30" t="s">
        <v>147</v>
      </c>
      <c r="G1195" s="360">
        <v>5</v>
      </c>
      <c r="H1195" s="30">
        <v>10</v>
      </c>
      <c r="I1195" s="9" t="s">
        <v>330</v>
      </c>
      <c r="J1195" s="9" t="s">
        <v>902</v>
      </c>
      <c r="K1195" s="30">
        <v>1</v>
      </c>
      <c r="L1195" s="9" t="s">
        <v>903</v>
      </c>
      <c r="M1195" s="30" t="s">
        <v>84</v>
      </c>
      <c r="N1195" s="30" t="s">
        <v>151</v>
      </c>
      <c r="O1195" s="24">
        <v>0</v>
      </c>
      <c r="P1195" s="24">
        <v>0</v>
      </c>
      <c r="Q1195" s="24">
        <v>83</v>
      </c>
      <c r="R1195" s="24">
        <v>0</v>
      </c>
      <c r="S1195" s="24">
        <v>0</v>
      </c>
      <c r="T1195" s="24">
        <v>83</v>
      </c>
    </row>
    <row r="1196" spans="1:20">
      <c r="A1196" s="9" t="s">
        <v>828</v>
      </c>
      <c r="B1196" s="30" t="s">
        <v>900</v>
      </c>
      <c r="C1196" s="30" t="str">
        <f>CONCATENATE(VOL_VOLUMEN_SUMINISTROS[[#This Row],[Proyecto]],VOL_VOLUMEN_SUMINISTROS[[#This Row],[J]],VOL_VOLUMEN_SUMINISTROS[[#This Row],[FIN DE SEMANA]])</f>
        <v>1052-2TNO</v>
      </c>
      <c r="D1196" s="360" t="str">
        <f>CONCATENATE(VOL_VOLUMEN_SUMINISTROS[[#This Row],[Grupo]],VOL_VOLUMEN_SUMINISTROS[[#This Row],[Proyecto]],VOL_VOLUMEN_SUMINISTROS[[#This Row],[FIN DE SEMANA]])</f>
        <v>191052-2NO</v>
      </c>
      <c r="E1196" s="30" t="s">
        <v>182</v>
      </c>
      <c r="F1196" s="30" t="s">
        <v>147</v>
      </c>
      <c r="G1196" s="360">
        <v>19</v>
      </c>
      <c r="H1196" s="30">
        <v>11</v>
      </c>
      <c r="I1196" s="9" t="s">
        <v>802</v>
      </c>
      <c r="J1196" s="9" t="s">
        <v>872</v>
      </c>
      <c r="K1196" s="30">
        <v>2</v>
      </c>
      <c r="L1196" s="9" t="s">
        <v>874</v>
      </c>
      <c r="M1196" s="30" t="s">
        <v>84</v>
      </c>
      <c r="N1196" s="30" t="s">
        <v>154</v>
      </c>
      <c r="O1196" s="24">
        <v>0</v>
      </c>
      <c r="P1196" s="24">
        <v>0</v>
      </c>
      <c r="Q1196" s="24">
        <v>160</v>
      </c>
      <c r="R1196" s="24">
        <v>0</v>
      </c>
      <c r="S1196" s="24">
        <v>0</v>
      </c>
      <c r="T1196" s="24">
        <v>160</v>
      </c>
    </row>
    <row r="1197" spans="1:20">
      <c r="A1197" s="9" t="s">
        <v>828</v>
      </c>
      <c r="B1197" s="30" t="s">
        <v>900</v>
      </c>
      <c r="C1197" s="30" t="str">
        <f>CONCATENATE(VOL_VOLUMEN_SUMINISTROS[[#This Row],[Proyecto]],VOL_VOLUMEN_SUMINISTROS[[#This Row],[J]],VOL_VOLUMEN_SUMINISTROS[[#This Row],[FIN DE SEMANA]])</f>
        <v>1052-2TNO</v>
      </c>
      <c r="D1197" s="360" t="str">
        <f>CONCATENATE(VOL_VOLUMEN_SUMINISTROS[[#This Row],[Grupo]],VOL_VOLUMEN_SUMINISTROS[[#This Row],[Proyecto]],VOL_VOLUMEN_SUMINISTROS[[#This Row],[FIN DE SEMANA]])</f>
        <v>201052-2NO</v>
      </c>
      <c r="E1197" s="30" t="s">
        <v>182</v>
      </c>
      <c r="F1197" s="30" t="s">
        <v>147</v>
      </c>
      <c r="G1197" s="360">
        <v>20</v>
      </c>
      <c r="H1197" s="30">
        <v>11</v>
      </c>
      <c r="I1197" s="9" t="s">
        <v>802</v>
      </c>
      <c r="J1197" s="9" t="s">
        <v>826</v>
      </c>
      <c r="K1197" s="30">
        <v>1</v>
      </c>
      <c r="L1197" s="9" t="s">
        <v>904</v>
      </c>
      <c r="M1197" s="30" t="s">
        <v>84</v>
      </c>
      <c r="N1197" s="30" t="s">
        <v>154</v>
      </c>
      <c r="O1197" s="24">
        <v>0</v>
      </c>
      <c r="P1197" s="24">
        <v>0</v>
      </c>
      <c r="Q1197" s="24">
        <v>100</v>
      </c>
      <c r="R1197" s="24">
        <v>0</v>
      </c>
      <c r="S1197" s="24">
        <v>0</v>
      </c>
      <c r="T1197" s="24">
        <v>100</v>
      </c>
    </row>
    <row r="1198" spans="1:20">
      <c r="A1198" s="9" t="s">
        <v>828</v>
      </c>
      <c r="B1198" s="30" t="s">
        <v>900</v>
      </c>
      <c r="C1198" s="30" t="str">
        <f>CONCATENATE(VOL_VOLUMEN_SUMINISTROS[[#This Row],[Proyecto]],VOL_VOLUMEN_SUMINISTROS[[#This Row],[J]],VOL_VOLUMEN_SUMINISTROS[[#This Row],[FIN DE SEMANA]])</f>
        <v>1052-2MNO</v>
      </c>
      <c r="D1198" s="360" t="str">
        <f>CONCATENATE(VOL_VOLUMEN_SUMINISTROS[[#This Row],[Grupo]],VOL_VOLUMEN_SUMINISTROS[[#This Row],[Proyecto]],VOL_VOLUMEN_SUMINISTROS[[#This Row],[FIN DE SEMANA]])</f>
        <v>191052-2NO</v>
      </c>
      <c r="E1198" s="30" t="s">
        <v>182</v>
      </c>
      <c r="F1198" s="30" t="s">
        <v>147</v>
      </c>
      <c r="G1198" s="360">
        <v>19</v>
      </c>
      <c r="H1198" s="30">
        <v>11</v>
      </c>
      <c r="I1198" s="9" t="s">
        <v>802</v>
      </c>
      <c r="J1198" s="9" t="s">
        <v>894</v>
      </c>
      <c r="K1198" s="30">
        <v>1</v>
      </c>
      <c r="L1198" s="9" t="s">
        <v>895</v>
      </c>
      <c r="M1198" s="30" t="s">
        <v>84</v>
      </c>
      <c r="N1198" s="30" t="s">
        <v>151</v>
      </c>
      <c r="O1198" s="24">
        <v>0</v>
      </c>
      <c r="P1198" s="24">
        <v>0</v>
      </c>
      <c r="Q1198" s="24">
        <v>154</v>
      </c>
      <c r="R1198" s="24">
        <v>0</v>
      </c>
      <c r="S1198" s="24">
        <v>0</v>
      </c>
      <c r="T1198" s="24">
        <v>154</v>
      </c>
    </row>
    <row r="1199" spans="1:20">
      <c r="A1199" s="9" t="s">
        <v>828</v>
      </c>
      <c r="B1199" s="30" t="s">
        <v>905</v>
      </c>
      <c r="C1199" s="30" t="str">
        <f>CONCATENATE(VOL_VOLUMEN_SUMINISTROS[[#This Row],[Proyecto]],VOL_VOLUMEN_SUMINISTROS[[#This Row],[J]],VOL_VOLUMEN_SUMINISTROS[[#This Row],[FIN DE SEMANA]])</f>
        <v>1052-1MNO</v>
      </c>
      <c r="D1199" s="360" t="str">
        <f>CONCATENATE(VOL_VOLUMEN_SUMINISTROS[[#This Row],[Grupo]],VOL_VOLUMEN_SUMINISTROS[[#This Row],[Proyecto]],VOL_VOLUMEN_SUMINISTROS[[#This Row],[FIN DE SEMANA]])</f>
        <v>201052-1NO</v>
      </c>
      <c r="E1199" s="30" t="s">
        <v>146</v>
      </c>
      <c r="F1199" s="30" t="s">
        <v>147</v>
      </c>
      <c r="G1199" s="360">
        <v>20</v>
      </c>
      <c r="H1199" s="30">
        <v>11</v>
      </c>
      <c r="I1199" s="9" t="s">
        <v>802</v>
      </c>
      <c r="J1199" s="9" t="s">
        <v>906</v>
      </c>
      <c r="K1199" s="30">
        <v>1</v>
      </c>
      <c r="L1199" s="9" t="s">
        <v>907</v>
      </c>
      <c r="M1199" s="30" t="s">
        <v>84</v>
      </c>
      <c r="N1199" s="30" t="s">
        <v>151</v>
      </c>
      <c r="O1199" s="24">
        <v>384</v>
      </c>
      <c r="P1199" s="24">
        <v>533</v>
      </c>
      <c r="Q1199" s="24">
        <v>688</v>
      </c>
      <c r="R1199" s="24">
        <v>0</v>
      </c>
      <c r="S1199" s="24">
        <v>0</v>
      </c>
      <c r="T1199" s="24">
        <v>1605</v>
      </c>
    </row>
    <row r="1200" spans="1:20">
      <c r="A1200" s="9" t="s">
        <v>828</v>
      </c>
      <c r="B1200" s="30" t="s">
        <v>905</v>
      </c>
      <c r="C1200" s="30" t="str">
        <f>CONCATENATE(VOL_VOLUMEN_SUMINISTROS[[#This Row],[Proyecto]],VOL_VOLUMEN_SUMINISTROS[[#This Row],[J]],VOL_VOLUMEN_SUMINISTROS[[#This Row],[FIN DE SEMANA]])</f>
        <v>1052-1TNO</v>
      </c>
      <c r="D1200" s="360" t="str">
        <f>CONCATENATE(VOL_VOLUMEN_SUMINISTROS[[#This Row],[Grupo]],VOL_VOLUMEN_SUMINISTROS[[#This Row],[Proyecto]],VOL_VOLUMEN_SUMINISTROS[[#This Row],[FIN DE SEMANA]])</f>
        <v>201052-1NO</v>
      </c>
      <c r="E1200" s="30" t="s">
        <v>146</v>
      </c>
      <c r="F1200" s="30" t="s">
        <v>147</v>
      </c>
      <c r="G1200" s="360">
        <v>20</v>
      </c>
      <c r="H1200" s="30">
        <v>11</v>
      </c>
      <c r="I1200" s="9" t="s">
        <v>802</v>
      </c>
      <c r="J1200" s="9" t="s">
        <v>906</v>
      </c>
      <c r="K1200" s="30">
        <v>1</v>
      </c>
      <c r="L1200" s="9" t="s">
        <v>907</v>
      </c>
      <c r="M1200" s="30" t="s">
        <v>84</v>
      </c>
      <c r="N1200" s="30" t="s">
        <v>154</v>
      </c>
      <c r="O1200" s="24">
        <v>360</v>
      </c>
      <c r="P1200" s="24">
        <v>518</v>
      </c>
      <c r="Q1200" s="24">
        <v>726</v>
      </c>
      <c r="R1200" s="24">
        <v>0</v>
      </c>
      <c r="S1200" s="24">
        <v>0</v>
      </c>
      <c r="T1200" s="24">
        <v>1604</v>
      </c>
    </row>
    <row r="1201" spans="1:20">
      <c r="A1201" s="9" t="s">
        <v>828</v>
      </c>
      <c r="B1201" s="30" t="s">
        <v>905</v>
      </c>
      <c r="C1201" s="30" t="str">
        <f>CONCATENATE(VOL_VOLUMEN_SUMINISTROS[[#This Row],[Proyecto]],VOL_VOLUMEN_SUMINISTROS[[#This Row],[J]],VOL_VOLUMEN_SUMINISTROS[[#This Row],[FIN DE SEMANA]])</f>
        <v>1052-1MNO</v>
      </c>
      <c r="D1201" s="360" t="str">
        <f>CONCATENATE(VOL_VOLUMEN_SUMINISTROS[[#This Row],[Grupo]],VOL_VOLUMEN_SUMINISTROS[[#This Row],[Proyecto]],VOL_VOLUMEN_SUMINISTROS[[#This Row],[FIN DE SEMANA]])</f>
        <v>201052-1NO</v>
      </c>
      <c r="E1201" s="30" t="s">
        <v>146</v>
      </c>
      <c r="F1201" s="30" t="s">
        <v>147</v>
      </c>
      <c r="G1201" s="360">
        <v>20</v>
      </c>
      <c r="H1201" s="30">
        <v>11</v>
      </c>
      <c r="I1201" s="9" t="s">
        <v>802</v>
      </c>
      <c r="J1201" s="9" t="s">
        <v>826</v>
      </c>
      <c r="K1201" s="30">
        <v>1</v>
      </c>
      <c r="L1201" s="9" t="s">
        <v>904</v>
      </c>
      <c r="M1201" s="30" t="s">
        <v>84</v>
      </c>
      <c r="N1201" s="30" t="s">
        <v>151</v>
      </c>
      <c r="O1201" s="24">
        <v>0</v>
      </c>
      <c r="P1201" s="24">
        <v>0</v>
      </c>
      <c r="Q1201" s="24">
        <v>553</v>
      </c>
      <c r="R1201" s="24">
        <v>0</v>
      </c>
      <c r="S1201" s="24">
        <v>0</v>
      </c>
      <c r="T1201" s="24">
        <v>553</v>
      </c>
    </row>
    <row r="1202" spans="1:20">
      <c r="A1202" s="9" t="s">
        <v>828</v>
      </c>
      <c r="B1202" s="30" t="s">
        <v>905</v>
      </c>
      <c r="C1202" s="30" t="str">
        <f>CONCATENATE(VOL_VOLUMEN_SUMINISTROS[[#This Row],[Proyecto]],VOL_VOLUMEN_SUMINISTROS[[#This Row],[J]],VOL_VOLUMEN_SUMINISTROS[[#This Row],[FIN DE SEMANA]])</f>
        <v>1052-1TNO</v>
      </c>
      <c r="D1202" s="360" t="str">
        <f>CONCATENATE(VOL_VOLUMEN_SUMINISTROS[[#This Row],[Grupo]],VOL_VOLUMEN_SUMINISTROS[[#This Row],[Proyecto]],VOL_VOLUMEN_SUMINISTROS[[#This Row],[FIN DE SEMANA]])</f>
        <v>201052-1NO</v>
      </c>
      <c r="E1202" s="30" t="s">
        <v>146</v>
      </c>
      <c r="F1202" s="30" t="s">
        <v>147</v>
      </c>
      <c r="G1202" s="360">
        <v>20</v>
      </c>
      <c r="H1202" s="30">
        <v>11</v>
      </c>
      <c r="I1202" s="9" t="s">
        <v>802</v>
      </c>
      <c r="J1202" s="9" t="s">
        <v>826</v>
      </c>
      <c r="K1202" s="30">
        <v>1</v>
      </c>
      <c r="L1202" s="9" t="s">
        <v>904</v>
      </c>
      <c r="M1202" s="30" t="s">
        <v>84</v>
      </c>
      <c r="N1202" s="30" t="s">
        <v>154</v>
      </c>
      <c r="O1202" s="24">
        <v>0</v>
      </c>
      <c r="P1202" s="24">
        <v>300</v>
      </c>
      <c r="Q1202" s="24">
        <v>100</v>
      </c>
      <c r="R1202" s="24">
        <v>0</v>
      </c>
      <c r="S1202" s="24">
        <v>0</v>
      </c>
      <c r="T1202" s="24">
        <v>400</v>
      </c>
    </row>
    <row r="1203" spans="1:20">
      <c r="A1203" s="9" t="s">
        <v>828</v>
      </c>
      <c r="B1203" s="30" t="s">
        <v>905</v>
      </c>
      <c r="C1203" s="30" t="str">
        <f>CONCATENATE(VOL_VOLUMEN_SUMINISTROS[[#This Row],[Proyecto]],VOL_VOLUMEN_SUMINISTROS[[#This Row],[J]],VOL_VOLUMEN_SUMINISTROS[[#This Row],[FIN DE SEMANA]])</f>
        <v>1052-1MNO</v>
      </c>
      <c r="D1203" s="360" t="str">
        <f>CONCATENATE(VOL_VOLUMEN_SUMINISTROS[[#This Row],[Grupo]],VOL_VOLUMEN_SUMINISTROS[[#This Row],[Proyecto]],VOL_VOLUMEN_SUMINISTROS[[#This Row],[FIN DE SEMANA]])</f>
        <v>171052-1NO</v>
      </c>
      <c r="E1203" s="30" t="s">
        <v>146</v>
      </c>
      <c r="F1203" s="30" t="s">
        <v>147</v>
      </c>
      <c r="G1203" s="360">
        <v>17</v>
      </c>
      <c r="H1203" s="30">
        <v>11</v>
      </c>
      <c r="I1203" s="9" t="s">
        <v>802</v>
      </c>
      <c r="J1203" s="9" t="s">
        <v>908</v>
      </c>
      <c r="K1203" s="30">
        <v>1</v>
      </c>
      <c r="L1203" s="9" t="s">
        <v>909</v>
      </c>
      <c r="M1203" s="30" t="s">
        <v>84</v>
      </c>
      <c r="N1203" s="30" t="s">
        <v>151</v>
      </c>
      <c r="O1203" s="24">
        <v>214</v>
      </c>
      <c r="P1203" s="24">
        <v>365</v>
      </c>
      <c r="Q1203" s="24">
        <v>477</v>
      </c>
      <c r="R1203" s="24">
        <v>0</v>
      </c>
      <c r="S1203" s="24">
        <v>0</v>
      </c>
      <c r="T1203" s="24">
        <v>1056</v>
      </c>
    </row>
    <row r="1204" spans="1:20">
      <c r="A1204" s="9" t="s">
        <v>828</v>
      </c>
      <c r="B1204" s="30" t="s">
        <v>905</v>
      </c>
      <c r="C1204" s="30" t="str">
        <f>CONCATENATE(VOL_VOLUMEN_SUMINISTROS[[#This Row],[Proyecto]],VOL_VOLUMEN_SUMINISTROS[[#This Row],[J]],VOL_VOLUMEN_SUMINISTROS[[#This Row],[FIN DE SEMANA]])</f>
        <v>1052-1TNO</v>
      </c>
      <c r="D1204" s="360" t="str">
        <f>CONCATENATE(VOL_VOLUMEN_SUMINISTROS[[#This Row],[Grupo]],VOL_VOLUMEN_SUMINISTROS[[#This Row],[Proyecto]],VOL_VOLUMEN_SUMINISTROS[[#This Row],[FIN DE SEMANA]])</f>
        <v>171052-1NO</v>
      </c>
      <c r="E1204" s="30" t="s">
        <v>146</v>
      </c>
      <c r="F1204" s="30" t="s">
        <v>147</v>
      </c>
      <c r="G1204" s="360">
        <v>17</v>
      </c>
      <c r="H1204" s="30">
        <v>11</v>
      </c>
      <c r="I1204" s="9" t="s">
        <v>802</v>
      </c>
      <c r="J1204" s="9" t="s">
        <v>908</v>
      </c>
      <c r="K1204" s="30">
        <v>1</v>
      </c>
      <c r="L1204" s="9" t="s">
        <v>909</v>
      </c>
      <c r="M1204" s="30" t="s">
        <v>84</v>
      </c>
      <c r="N1204" s="30" t="s">
        <v>154</v>
      </c>
      <c r="O1204" s="24">
        <v>204</v>
      </c>
      <c r="P1204" s="24">
        <v>279</v>
      </c>
      <c r="Q1204" s="24">
        <v>374</v>
      </c>
      <c r="R1204" s="24">
        <v>0</v>
      </c>
      <c r="S1204" s="24">
        <v>0</v>
      </c>
      <c r="T1204" s="24">
        <v>857</v>
      </c>
    </row>
    <row r="1205" spans="1:20">
      <c r="A1205" s="9" t="s">
        <v>828</v>
      </c>
      <c r="B1205" s="30" t="s">
        <v>905</v>
      </c>
      <c r="C1205" s="30" t="str">
        <f>CONCATENATE(VOL_VOLUMEN_SUMINISTROS[[#This Row],[Proyecto]],VOL_VOLUMEN_SUMINISTROS[[#This Row],[J]],VOL_VOLUMEN_SUMINISTROS[[#This Row],[FIN DE SEMANA]])</f>
        <v>1052-1MNO</v>
      </c>
      <c r="D1205" s="360" t="str">
        <f>CONCATENATE(VOL_VOLUMEN_SUMINISTROS[[#This Row],[Grupo]],VOL_VOLUMEN_SUMINISTROS[[#This Row],[Proyecto]],VOL_VOLUMEN_SUMINISTROS[[#This Row],[FIN DE SEMANA]])</f>
        <v>201052-1NO</v>
      </c>
      <c r="E1205" s="30" t="s">
        <v>146</v>
      </c>
      <c r="F1205" s="30" t="s">
        <v>147</v>
      </c>
      <c r="G1205" s="360">
        <v>20</v>
      </c>
      <c r="H1205" s="30">
        <v>11</v>
      </c>
      <c r="I1205" s="9" t="s">
        <v>802</v>
      </c>
      <c r="J1205" s="9" t="s">
        <v>910</v>
      </c>
      <c r="K1205" s="30">
        <v>1</v>
      </c>
      <c r="L1205" s="9" t="s">
        <v>911</v>
      </c>
      <c r="M1205" s="30" t="s">
        <v>84</v>
      </c>
      <c r="N1205" s="30" t="s">
        <v>151</v>
      </c>
      <c r="O1205" s="24">
        <v>0</v>
      </c>
      <c r="P1205" s="24">
        <v>132</v>
      </c>
      <c r="Q1205" s="24">
        <v>278</v>
      </c>
      <c r="R1205" s="24">
        <v>0</v>
      </c>
      <c r="S1205" s="24">
        <v>0</v>
      </c>
      <c r="T1205" s="24">
        <v>410</v>
      </c>
    </row>
    <row r="1206" spans="1:20">
      <c r="A1206" s="9" t="s">
        <v>828</v>
      </c>
      <c r="B1206" s="30" t="s">
        <v>905</v>
      </c>
      <c r="C1206" s="30" t="str">
        <f>CONCATENATE(VOL_VOLUMEN_SUMINISTROS[[#This Row],[Proyecto]],VOL_VOLUMEN_SUMINISTROS[[#This Row],[J]],VOL_VOLUMEN_SUMINISTROS[[#This Row],[FIN DE SEMANA]])</f>
        <v>1052-1TNO</v>
      </c>
      <c r="D1206" s="360" t="str">
        <f>CONCATENATE(VOL_VOLUMEN_SUMINISTROS[[#This Row],[Grupo]],VOL_VOLUMEN_SUMINISTROS[[#This Row],[Proyecto]],VOL_VOLUMEN_SUMINISTROS[[#This Row],[FIN DE SEMANA]])</f>
        <v>201052-1NO</v>
      </c>
      <c r="E1206" s="30" t="s">
        <v>146</v>
      </c>
      <c r="F1206" s="30" t="s">
        <v>147</v>
      </c>
      <c r="G1206" s="360">
        <v>20</v>
      </c>
      <c r="H1206" s="30">
        <v>11</v>
      </c>
      <c r="I1206" s="9" t="s">
        <v>802</v>
      </c>
      <c r="J1206" s="9" t="s">
        <v>910</v>
      </c>
      <c r="K1206" s="30">
        <v>1</v>
      </c>
      <c r="L1206" s="9" t="s">
        <v>911</v>
      </c>
      <c r="M1206" s="30" t="s">
        <v>84</v>
      </c>
      <c r="N1206" s="30" t="s">
        <v>154</v>
      </c>
      <c r="O1206" s="24">
        <v>0</v>
      </c>
      <c r="P1206" s="24">
        <v>153</v>
      </c>
      <c r="Q1206" s="24">
        <v>307</v>
      </c>
      <c r="R1206" s="24">
        <v>0</v>
      </c>
      <c r="S1206" s="24">
        <v>0</v>
      </c>
      <c r="T1206" s="24">
        <v>460</v>
      </c>
    </row>
    <row r="1207" spans="1:20">
      <c r="A1207" s="9" t="s">
        <v>828</v>
      </c>
      <c r="B1207" s="30" t="s">
        <v>905</v>
      </c>
      <c r="C1207" s="30" t="str">
        <f>CONCATENATE(VOL_VOLUMEN_SUMINISTROS[[#This Row],[Proyecto]],VOL_VOLUMEN_SUMINISTROS[[#This Row],[J]],VOL_VOLUMEN_SUMINISTROS[[#This Row],[FIN DE SEMANA]])</f>
        <v>1052-1MNO</v>
      </c>
      <c r="D1207" s="360" t="str">
        <f>CONCATENATE(VOL_VOLUMEN_SUMINISTROS[[#This Row],[Grupo]],VOL_VOLUMEN_SUMINISTROS[[#This Row],[Proyecto]],VOL_VOLUMEN_SUMINISTROS[[#This Row],[FIN DE SEMANA]])</f>
        <v>201052-1NO</v>
      </c>
      <c r="E1207" s="30" t="s">
        <v>146</v>
      </c>
      <c r="F1207" s="30" t="s">
        <v>147</v>
      </c>
      <c r="G1207" s="360">
        <v>20</v>
      </c>
      <c r="H1207" s="30">
        <v>11</v>
      </c>
      <c r="I1207" s="9" t="s">
        <v>802</v>
      </c>
      <c r="J1207" s="9" t="s">
        <v>910</v>
      </c>
      <c r="K1207" s="30">
        <v>2</v>
      </c>
      <c r="L1207" s="9" t="s">
        <v>911</v>
      </c>
      <c r="M1207" s="30" t="s">
        <v>84</v>
      </c>
      <c r="N1207" s="30" t="s">
        <v>151</v>
      </c>
      <c r="O1207" s="24">
        <v>212</v>
      </c>
      <c r="P1207" s="24">
        <v>119</v>
      </c>
      <c r="Q1207" s="24">
        <v>17</v>
      </c>
      <c r="R1207" s="24">
        <v>0</v>
      </c>
      <c r="S1207" s="24">
        <v>0</v>
      </c>
      <c r="T1207" s="24">
        <v>348</v>
      </c>
    </row>
    <row r="1208" spans="1:20">
      <c r="A1208" s="9" t="s">
        <v>828</v>
      </c>
      <c r="B1208" s="30" t="s">
        <v>905</v>
      </c>
      <c r="C1208" s="30" t="str">
        <f>CONCATENATE(VOL_VOLUMEN_SUMINISTROS[[#This Row],[Proyecto]],VOL_VOLUMEN_SUMINISTROS[[#This Row],[J]],VOL_VOLUMEN_SUMINISTROS[[#This Row],[FIN DE SEMANA]])</f>
        <v>1052-1TNO</v>
      </c>
      <c r="D1208" s="360" t="str">
        <f>CONCATENATE(VOL_VOLUMEN_SUMINISTROS[[#This Row],[Grupo]],VOL_VOLUMEN_SUMINISTROS[[#This Row],[Proyecto]],VOL_VOLUMEN_SUMINISTROS[[#This Row],[FIN DE SEMANA]])</f>
        <v>201052-1NO</v>
      </c>
      <c r="E1208" s="30" t="s">
        <v>146</v>
      </c>
      <c r="F1208" s="30" t="s">
        <v>147</v>
      </c>
      <c r="G1208" s="360">
        <v>20</v>
      </c>
      <c r="H1208" s="30">
        <v>11</v>
      </c>
      <c r="I1208" s="9" t="s">
        <v>802</v>
      </c>
      <c r="J1208" s="9" t="s">
        <v>910</v>
      </c>
      <c r="K1208" s="30">
        <v>2</v>
      </c>
      <c r="L1208" s="9" t="s">
        <v>912</v>
      </c>
      <c r="M1208" s="30" t="s">
        <v>84</v>
      </c>
      <c r="N1208" s="30" t="s">
        <v>154</v>
      </c>
      <c r="O1208" s="24">
        <v>206</v>
      </c>
      <c r="P1208" s="24">
        <v>118</v>
      </c>
      <c r="Q1208" s="24">
        <v>17</v>
      </c>
      <c r="R1208" s="24">
        <v>0</v>
      </c>
      <c r="S1208" s="24">
        <v>0</v>
      </c>
      <c r="T1208" s="24">
        <v>341</v>
      </c>
    </row>
    <row r="1209" spans="1:20">
      <c r="A1209" s="9" t="s">
        <v>828</v>
      </c>
      <c r="B1209" s="30" t="s">
        <v>905</v>
      </c>
      <c r="C1209" s="30" t="str">
        <f>CONCATENATE(VOL_VOLUMEN_SUMINISTROS[[#This Row],[Proyecto]],VOL_VOLUMEN_SUMINISTROS[[#This Row],[J]],VOL_VOLUMEN_SUMINISTROS[[#This Row],[FIN DE SEMANA]])</f>
        <v>1052-1MNO</v>
      </c>
      <c r="D1209" s="360" t="str">
        <f>CONCATENATE(VOL_VOLUMEN_SUMINISTROS[[#This Row],[Grupo]],VOL_VOLUMEN_SUMINISTROS[[#This Row],[Proyecto]],VOL_VOLUMEN_SUMINISTROS[[#This Row],[FIN DE SEMANA]])</f>
        <v>201052-1NO</v>
      </c>
      <c r="E1209" s="30" t="s">
        <v>146</v>
      </c>
      <c r="F1209" s="30" t="s">
        <v>147</v>
      </c>
      <c r="G1209" s="360">
        <v>20</v>
      </c>
      <c r="H1209" s="30">
        <v>11</v>
      </c>
      <c r="I1209" s="9" t="s">
        <v>802</v>
      </c>
      <c r="J1209" s="9" t="s">
        <v>913</v>
      </c>
      <c r="K1209" s="30">
        <v>1</v>
      </c>
      <c r="L1209" s="9" t="s">
        <v>914</v>
      </c>
      <c r="M1209" s="30" t="s">
        <v>84</v>
      </c>
      <c r="N1209" s="30" t="s">
        <v>151</v>
      </c>
      <c r="O1209" s="24">
        <v>0</v>
      </c>
      <c r="P1209" s="24">
        <v>120</v>
      </c>
      <c r="Q1209" s="24">
        <v>350</v>
      </c>
      <c r="R1209" s="24">
        <v>0</v>
      </c>
      <c r="S1209" s="24">
        <v>0</v>
      </c>
      <c r="T1209" s="24">
        <v>470</v>
      </c>
    </row>
    <row r="1210" spans="1:20">
      <c r="A1210" s="9" t="s">
        <v>828</v>
      </c>
      <c r="B1210" s="30" t="s">
        <v>905</v>
      </c>
      <c r="C1210" s="30" t="str">
        <f>CONCATENATE(VOL_VOLUMEN_SUMINISTROS[[#This Row],[Proyecto]],VOL_VOLUMEN_SUMINISTROS[[#This Row],[J]],VOL_VOLUMEN_SUMINISTROS[[#This Row],[FIN DE SEMANA]])</f>
        <v>1052-1TNO</v>
      </c>
      <c r="D1210" s="360" t="str">
        <f>CONCATENATE(VOL_VOLUMEN_SUMINISTROS[[#This Row],[Grupo]],VOL_VOLUMEN_SUMINISTROS[[#This Row],[Proyecto]],VOL_VOLUMEN_SUMINISTROS[[#This Row],[FIN DE SEMANA]])</f>
        <v>201052-1NO</v>
      </c>
      <c r="E1210" s="30" t="s">
        <v>146</v>
      </c>
      <c r="F1210" s="30" t="s">
        <v>147</v>
      </c>
      <c r="G1210" s="360">
        <v>20</v>
      </c>
      <c r="H1210" s="30">
        <v>11</v>
      </c>
      <c r="I1210" s="9" t="s">
        <v>802</v>
      </c>
      <c r="J1210" s="9" t="s">
        <v>913</v>
      </c>
      <c r="K1210" s="30">
        <v>1</v>
      </c>
      <c r="L1210" s="9" t="s">
        <v>914</v>
      </c>
      <c r="M1210" s="30" t="s">
        <v>84</v>
      </c>
      <c r="N1210" s="30" t="s">
        <v>154</v>
      </c>
      <c r="O1210" s="24">
        <v>0</v>
      </c>
      <c r="P1210" s="24">
        <v>114</v>
      </c>
      <c r="Q1210" s="24">
        <v>290</v>
      </c>
      <c r="R1210" s="24">
        <v>0</v>
      </c>
      <c r="S1210" s="24">
        <v>0</v>
      </c>
      <c r="T1210" s="24">
        <v>404</v>
      </c>
    </row>
    <row r="1211" spans="1:20">
      <c r="A1211" s="9" t="s">
        <v>828</v>
      </c>
      <c r="B1211" s="30" t="s">
        <v>905</v>
      </c>
      <c r="C1211" s="30" t="str">
        <f>CONCATENATE(VOL_VOLUMEN_SUMINISTROS[[#This Row],[Proyecto]],VOL_VOLUMEN_SUMINISTROS[[#This Row],[J]],VOL_VOLUMEN_SUMINISTROS[[#This Row],[FIN DE SEMANA]])</f>
        <v>1052-1MNO</v>
      </c>
      <c r="D1211" s="360" t="str">
        <f>CONCATENATE(VOL_VOLUMEN_SUMINISTROS[[#This Row],[Grupo]],VOL_VOLUMEN_SUMINISTROS[[#This Row],[Proyecto]],VOL_VOLUMEN_SUMINISTROS[[#This Row],[FIN DE SEMANA]])</f>
        <v>201052-1NO</v>
      </c>
      <c r="E1211" s="30" t="s">
        <v>146</v>
      </c>
      <c r="F1211" s="30" t="s">
        <v>147</v>
      </c>
      <c r="G1211" s="360">
        <v>20</v>
      </c>
      <c r="H1211" s="30">
        <v>11</v>
      </c>
      <c r="I1211" s="9" t="s">
        <v>802</v>
      </c>
      <c r="J1211" s="9" t="s">
        <v>913</v>
      </c>
      <c r="K1211" s="30">
        <v>2</v>
      </c>
      <c r="L1211" s="9" t="s">
        <v>915</v>
      </c>
      <c r="M1211" s="30" t="s">
        <v>84</v>
      </c>
      <c r="N1211" s="30" t="s">
        <v>151</v>
      </c>
      <c r="O1211" s="24">
        <v>140</v>
      </c>
      <c r="P1211" s="24">
        <v>148</v>
      </c>
      <c r="Q1211" s="24">
        <v>34</v>
      </c>
      <c r="R1211" s="24">
        <v>0</v>
      </c>
      <c r="S1211" s="24">
        <v>0</v>
      </c>
      <c r="T1211" s="24">
        <v>322</v>
      </c>
    </row>
    <row r="1212" spans="1:20">
      <c r="A1212" s="9" t="s">
        <v>828</v>
      </c>
      <c r="B1212" s="30" t="s">
        <v>905</v>
      </c>
      <c r="C1212" s="30" t="str">
        <f>CONCATENATE(VOL_VOLUMEN_SUMINISTROS[[#This Row],[Proyecto]],VOL_VOLUMEN_SUMINISTROS[[#This Row],[J]],VOL_VOLUMEN_SUMINISTROS[[#This Row],[FIN DE SEMANA]])</f>
        <v>1052-1TNO</v>
      </c>
      <c r="D1212" s="360" t="str">
        <f>CONCATENATE(VOL_VOLUMEN_SUMINISTROS[[#This Row],[Grupo]],VOL_VOLUMEN_SUMINISTROS[[#This Row],[Proyecto]],VOL_VOLUMEN_SUMINISTROS[[#This Row],[FIN DE SEMANA]])</f>
        <v>201052-1NO</v>
      </c>
      <c r="E1212" s="30" t="s">
        <v>146</v>
      </c>
      <c r="F1212" s="30" t="s">
        <v>147</v>
      </c>
      <c r="G1212" s="360">
        <v>20</v>
      </c>
      <c r="H1212" s="30">
        <v>11</v>
      </c>
      <c r="I1212" s="9" t="s">
        <v>802</v>
      </c>
      <c r="J1212" s="9" t="s">
        <v>913</v>
      </c>
      <c r="K1212" s="30">
        <v>2</v>
      </c>
      <c r="L1212" s="9" t="s">
        <v>915</v>
      </c>
      <c r="M1212" s="30" t="s">
        <v>84</v>
      </c>
      <c r="N1212" s="30" t="s">
        <v>154</v>
      </c>
      <c r="O1212" s="24">
        <v>138</v>
      </c>
      <c r="P1212" s="24">
        <v>147</v>
      </c>
      <c r="Q1212" s="24">
        <v>34</v>
      </c>
      <c r="R1212" s="24">
        <v>0</v>
      </c>
      <c r="S1212" s="24">
        <v>0</v>
      </c>
      <c r="T1212" s="24">
        <v>319</v>
      </c>
    </row>
    <row r="1213" spans="1:20">
      <c r="A1213" s="9" t="s">
        <v>828</v>
      </c>
      <c r="B1213" s="30" t="s">
        <v>905</v>
      </c>
      <c r="C1213" s="30" t="str">
        <f>CONCATENATE(VOL_VOLUMEN_SUMINISTROS[[#This Row],[Proyecto]],VOL_VOLUMEN_SUMINISTROS[[#This Row],[J]],VOL_VOLUMEN_SUMINISTROS[[#This Row],[FIN DE SEMANA]])</f>
        <v>1052-1MNO</v>
      </c>
      <c r="D1213" s="360" t="str">
        <f>CONCATENATE(VOL_VOLUMEN_SUMINISTROS[[#This Row],[Grupo]],VOL_VOLUMEN_SUMINISTROS[[#This Row],[Proyecto]],VOL_VOLUMEN_SUMINISTROS[[#This Row],[FIN DE SEMANA]])</f>
        <v>201052-1NO</v>
      </c>
      <c r="E1213" s="30" t="s">
        <v>146</v>
      </c>
      <c r="F1213" s="30" t="s">
        <v>147</v>
      </c>
      <c r="G1213" s="360">
        <v>20</v>
      </c>
      <c r="H1213" s="30">
        <v>11</v>
      </c>
      <c r="I1213" s="9" t="s">
        <v>802</v>
      </c>
      <c r="J1213" s="9" t="s">
        <v>916</v>
      </c>
      <c r="K1213" s="30">
        <v>1</v>
      </c>
      <c r="L1213" s="9" t="s">
        <v>917</v>
      </c>
      <c r="M1213" s="30" t="s">
        <v>84</v>
      </c>
      <c r="N1213" s="30" t="s">
        <v>151</v>
      </c>
      <c r="O1213" s="24">
        <v>22</v>
      </c>
      <c r="P1213" s="24">
        <v>170</v>
      </c>
      <c r="Q1213" s="24">
        <v>53</v>
      </c>
      <c r="R1213" s="24">
        <v>0</v>
      </c>
      <c r="S1213" s="24">
        <v>0</v>
      </c>
      <c r="T1213" s="24">
        <v>245</v>
      </c>
    </row>
    <row r="1214" spans="1:20">
      <c r="A1214" s="9" t="s">
        <v>828</v>
      </c>
      <c r="B1214" s="30" t="s">
        <v>905</v>
      </c>
      <c r="C1214" s="30" t="str">
        <f>CONCATENATE(VOL_VOLUMEN_SUMINISTROS[[#This Row],[Proyecto]],VOL_VOLUMEN_SUMINISTROS[[#This Row],[J]],VOL_VOLUMEN_SUMINISTROS[[#This Row],[FIN DE SEMANA]])</f>
        <v>1052-1TNO</v>
      </c>
      <c r="D1214" s="360" t="str">
        <f>CONCATENATE(VOL_VOLUMEN_SUMINISTROS[[#This Row],[Grupo]],VOL_VOLUMEN_SUMINISTROS[[#This Row],[Proyecto]],VOL_VOLUMEN_SUMINISTROS[[#This Row],[FIN DE SEMANA]])</f>
        <v>201052-1NO</v>
      </c>
      <c r="E1214" s="30" t="s">
        <v>146</v>
      </c>
      <c r="F1214" s="30" t="s">
        <v>147</v>
      </c>
      <c r="G1214" s="360">
        <v>20</v>
      </c>
      <c r="H1214" s="30">
        <v>11</v>
      </c>
      <c r="I1214" s="9" t="s">
        <v>802</v>
      </c>
      <c r="J1214" s="9" t="s">
        <v>916</v>
      </c>
      <c r="K1214" s="30">
        <v>1</v>
      </c>
      <c r="L1214" s="9" t="s">
        <v>917</v>
      </c>
      <c r="M1214" s="30" t="s">
        <v>84</v>
      </c>
      <c r="N1214" s="30" t="s">
        <v>154</v>
      </c>
      <c r="O1214" s="24">
        <v>0</v>
      </c>
      <c r="P1214" s="24">
        <v>99</v>
      </c>
      <c r="Q1214" s="24">
        <v>146</v>
      </c>
      <c r="R1214" s="24">
        <v>0</v>
      </c>
      <c r="S1214" s="24">
        <v>0</v>
      </c>
      <c r="T1214" s="24">
        <v>245</v>
      </c>
    </row>
    <row r="1215" spans="1:20">
      <c r="A1215" s="9" t="s">
        <v>828</v>
      </c>
      <c r="B1215" s="30" t="s">
        <v>905</v>
      </c>
      <c r="C1215" s="30" t="str">
        <f>CONCATENATE(VOL_VOLUMEN_SUMINISTROS[[#This Row],[Proyecto]],VOL_VOLUMEN_SUMINISTROS[[#This Row],[J]],VOL_VOLUMEN_SUMINISTROS[[#This Row],[FIN DE SEMANA]])</f>
        <v>1052-1MNO</v>
      </c>
      <c r="D1215" s="360" t="str">
        <f>CONCATENATE(VOL_VOLUMEN_SUMINISTROS[[#This Row],[Grupo]],VOL_VOLUMEN_SUMINISTROS[[#This Row],[Proyecto]],VOL_VOLUMEN_SUMINISTROS[[#This Row],[FIN DE SEMANA]])</f>
        <v>201052-1NO</v>
      </c>
      <c r="E1215" s="30" t="s">
        <v>146</v>
      </c>
      <c r="F1215" s="30" t="s">
        <v>147</v>
      </c>
      <c r="G1215" s="360">
        <v>20</v>
      </c>
      <c r="H1215" s="30">
        <v>11</v>
      </c>
      <c r="I1215" s="9" t="s">
        <v>802</v>
      </c>
      <c r="J1215" s="9" t="s">
        <v>916</v>
      </c>
      <c r="K1215" s="30">
        <v>2</v>
      </c>
      <c r="L1215" s="9" t="s">
        <v>918</v>
      </c>
      <c r="M1215" s="30" t="s">
        <v>84</v>
      </c>
      <c r="N1215" s="30" t="s">
        <v>151</v>
      </c>
      <c r="O1215" s="24">
        <v>0</v>
      </c>
      <c r="P1215" s="24">
        <v>27</v>
      </c>
      <c r="Q1215" s="24">
        <v>278</v>
      </c>
      <c r="R1215" s="24">
        <v>0</v>
      </c>
      <c r="S1215" s="24">
        <v>0</v>
      </c>
      <c r="T1215" s="24">
        <v>305</v>
      </c>
    </row>
    <row r="1216" spans="1:20">
      <c r="A1216" s="9" t="s">
        <v>828</v>
      </c>
      <c r="B1216" s="30" t="s">
        <v>905</v>
      </c>
      <c r="C1216" s="30" t="str">
        <f>CONCATENATE(VOL_VOLUMEN_SUMINISTROS[[#This Row],[Proyecto]],VOL_VOLUMEN_SUMINISTROS[[#This Row],[J]],VOL_VOLUMEN_SUMINISTROS[[#This Row],[FIN DE SEMANA]])</f>
        <v>1052-1TNO</v>
      </c>
      <c r="D1216" s="360" t="str">
        <f>CONCATENATE(VOL_VOLUMEN_SUMINISTROS[[#This Row],[Grupo]],VOL_VOLUMEN_SUMINISTROS[[#This Row],[Proyecto]],VOL_VOLUMEN_SUMINISTROS[[#This Row],[FIN DE SEMANA]])</f>
        <v>201052-1NO</v>
      </c>
      <c r="E1216" s="30" t="s">
        <v>146</v>
      </c>
      <c r="F1216" s="30" t="s">
        <v>147</v>
      </c>
      <c r="G1216" s="360">
        <v>20</v>
      </c>
      <c r="H1216" s="30">
        <v>11</v>
      </c>
      <c r="I1216" s="9" t="s">
        <v>802</v>
      </c>
      <c r="J1216" s="9" t="s">
        <v>916</v>
      </c>
      <c r="K1216" s="30">
        <v>2</v>
      </c>
      <c r="L1216" s="9" t="s">
        <v>918</v>
      </c>
      <c r="M1216" s="30" t="s">
        <v>84</v>
      </c>
      <c r="N1216" s="30" t="s">
        <v>154</v>
      </c>
      <c r="O1216" s="24">
        <v>0</v>
      </c>
      <c r="P1216" s="24">
        <v>120</v>
      </c>
      <c r="Q1216" s="24">
        <v>196</v>
      </c>
      <c r="R1216" s="24">
        <v>0</v>
      </c>
      <c r="S1216" s="24">
        <v>0</v>
      </c>
      <c r="T1216" s="24">
        <v>316</v>
      </c>
    </row>
    <row r="1217" spans="1:20">
      <c r="A1217" s="9" t="s">
        <v>828</v>
      </c>
      <c r="B1217" s="30" t="s">
        <v>905</v>
      </c>
      <c r="C1217" s="30" t="str">
        <f>CONCATENATE(VOL_VOLUMEN_SUMINISTROS[[#This Row],[Proyecto]],VOL_VOLUMEN_SUMINISTROS[[#This Row],[J]],VOL_VOLUMEN_SUMINISTROS[[#This Row],[FIN DE SEMANA]])</f>
        <v>1052-1MNO</v>
      </c>
      <c r="D1217" s="360" t="str">
        <f>CONCATENATE(VOL_VOLUMEN_SUMINISTROS[[#This Row],[Grupo]],VOL_VOLUMEN_SUMINISTROS[[#This Row],[Proyecto]],VOL_VOLUMEN_SUMINISTROS[[#This Row],[FIN DE SEMANA]])</f>
        <v>201052-1NO</v>
      </c>
      <c r="E1217" s="30" t="s">
        <v>146</v>
      </c>
      <c r="F1217" s="30" t="s">
        <v>147</v>
      </c>
      <c r="G1217" s="360">
        <v>20</v>
      </c>
      <c r="H1217" s="30">
        <v>11</v>
      </c>
      <c r="I1217" s="9" t="s">
        <v>802</v>
      </c>
      <c r="J1217" s="9" t="s">
        <v>916</v>
      </c>
      <c r="K1217" s="30">
        <v>3</v>
      </c>
      <c r="L1217" s="9" t="s">
        <v>919</v>
      </c>
      <c r="M1217" s="30" t="s">
        <v>84</v>
      </c>
      <c r="N1217" s="30" t="s">
        <v>151</v>
      </c>
      <c r="O1217" s="24">
        <v>166</v>
      </c>
      <c r="P1217" s="24">
        <v>57</v>
      </c>
      <c r="Q1217" s="24">
        <v>0</v>
      </c>
      <c r="R1217" s="24">
        <v>0</v>
      </c>
      <c r="S1217" s="24">
        <v>0</v>
      </c>
      <c r="T1217" s="24">
        <v>223</v>
      </c>
    </row>
    <row r="1218" spans="1:20">
      <c r="A1218" s="9" t="s">
        <v>828</v>
      </c>
      <c r="B1218" s="30" t="s">
        <v>905</v>
      </c>
      <c r="C1218" s="30" t="str">
        <f>CONCATENATE(VOL_VOLUMEN_SUMINISTROS[[#This Row],[Proyecto]],VOL_VOLUMEN_SUMINISTROS[[#This Row],[J]],VOL_VOLUMEN_SUMINISTROS[[#This Row],[FIN DE SEMANA]])</f>
        <v>1052-1TNO</v>
      </c>
      <c r="D1218" s="360" t="str">
        <f>CONCATENATE(VOL_VOLUMEN_SUMINISTROS[[#This Row],[Grupo]],VOL_VOLUMEN_SUMINISTROS[[#This Row],[Proyecto]],VOL_VOLUMEN_SUMINISTROS[[#This Row],[FIN DE SEMANA]])</f>
        <v>201052-1NO</v>
      </c>
      <c r="E1218" s="30" t="s">
        <v>146</v>
      </c>
      <c r="F1218" s="30" t="s">
        <v>147</v>
      </c>
      <c r="G1218" s="360">
        <v>20</v>
      </c>
      <c r="H1218" s="30">
        <v>11</v>
      </c>
      <c r="I1218" s="9" t="s">
        <v>802</v>
      </c>
      <c r="J1218" s="9" t="s">
        <v>916</v>
      </c>
      <c r="K1218" s="30">
        <v>3</v>
      </c>
      <c r="L1218" s="9" t="s">
        <v>919</v>
      </c>
      <c r="M1218" s="30" t="s">
        <v>84</v>
      </c>
      <c r="N1218" s="30" t="s">
        <v>154</v>
      </c>
      <c r="O1218" s="24">
        <v>158</v>
      </c>
      <c r="P1218" s="24">
        <v>56</v>
      </c>
      <c r="Q1218" s="24">
        <v>0</v>
      </c>
      <c r="R1218" s="24">
        <v>0</v>
      </c>
      <c r="S1218" s="24">
        <v>0</v>
      </c>
      <c r="T1218" s="24">
        <v>214</v>
      </c>
    </row>
    <row r="1219" spans="1:20">
      <c r="A1219" s="9" t="s">
        <v>828</v>
      </c>
      <c r="B1219" s="30" t="s">
        <v>905</v>
      </c>
      <c r="C1219" s="30" t="str">
        <f>CONCATENATE(VOL_VOLUMEN_SUMINISTROS[[#This Row],[Proyecto]],VOL_VOLUMEN_SUMINISTROS[[#This Row],[J]],VOL_VOLUMEN_SUMINISTROS[[#This Row],[FIN DE SEMANA]])</f>
        <v>1052-1TNO</v>
      </c>
      <c r="D1219" s="360" t="str">
        <f>CONCATENATE(VOL_VOLUMEN_SUMINISTROS[[#This Row],[Grupo]],VOL_VOLUMEN_SUMINISTROS[[#This Row],[Proyecto]],VOL_VOLUMEN_SUMINISTROS[[#This Row],[FIN DE SEMANA]])</f>
        <v>201052-1NO</v>
      </c>
      <c r="E1219" s="30" t="s">
        <v>146</v>
      </c>
      <c r="F1219" s="30" t="s">
        <v>147</v>
      </c>
      <c r="G1219" s="360">
        <v>20</v>
      </c>
      <c r="H1219" s="30">
        <v>11</v>
      </c>
      <c r="I1219" s="9" t="s">
        <v>802</v>
      </c>
      <c r="J1219" s="9" t="s">
        <v>920</v>
      </c>
      <c r="K1219" s="30">
        <v>1</v>
      </c>
      <c r="L1219" s="9" t="s">
        <v>921</v>
      </c>
      <c r="M1219" s="30" t="s">
        <v>84</v>
      </c>
      <c r="N1219" s="30" t="s">
        <v>154</v>
      </c>
      <c r="O1219" s="24">
        <v>0</v>
      </c>
      <c r="P1219" s="24">
        <v>108</v>
      </c>
      <c r="Q1219" s="24">
        <v>243</v>
      </c>
      <c r="R1219" s="24">
        <v>0</v>
      </c>
      <c r="S1219" s="24">
        <v>0</v>
      </c>
      <c r="T1219" s="24">
        <v>351</v>
      </c>
    </row>
    <row r="1220" spans="1:20">
      <c r="A1220" s="9" t="s">
        <v>828</v>
      </c>
      <c r="B1220" s="30" t="s">
        <v>905</v>
      </c>
      <c r="C1220" s="30" t="str">
        <f>CONCATENATE(VOL_VOLUMEN_SUMINISTROS[[#This Row],[Proyecto]],VOL_VOLUMEN_SUMINISTROS[[#This Row],[J]],VOL_VOLUMEN_SUMINISTROS[[#This Row],[FIN DE SEMANA]])</f>
        <v>1052-1MNO</v>
      </c>
      <c r="D1220" s="360" t="str">
        <f>CONCATENATE(VOL_VOLUMEN_SUMINISTROS[[#This Row],[Grupo]],VOL_VOLUMEN_SUMINISTROS[[#This Row],[Proyecto]],VOL_VOLUMEN_SUMINISTROS[[#This Row],[FIN DE SEMANA]])</f>
        <v>201052-1NO</v>
      </c>
      <c r="E1220" s="30" t="s">
        <v>146</v>
      </c>
      <c r="F1220" s="30" t="s">
        <v>147</v>
      </c>
      <c r="G1220" s="360">
        <v>20</v>
      </c>
      <c r="H1220" s="30">
        <v>11</v>
      </c>
      <c r="I1220" s="9" t="s">
        <v>802</v>
      </c>
      <c r="J1220" s="9" t="s">
        <v>920</v>
      </c>
      <c r="K1220" s="30">
        <v>2</v>
      </c>
      <c r="L1220" s="9" t="s">
        <v>164</v>
      </c>
      <c r="M1220" s="30" t="s">
        <v>84</v>
      </c>
      <c r="N1220" s="30" t="s">
        <v>151</v>
      </c>
      <c r="O1220" s="24">
        <v>94</v>
      </c>
      <c r="P1220" s="24">
        <v>112</v>
      </c>
      <c r="Q1220" s="24">
        <v>26</v>
      </c>
      <c r="R1220" s="24">
        <v>0</v>
      </c>
      <c r="S1220" s="24">
        <v>0</v>
      </c>
      <c r="T1220" s="24">
        <v>232</v>
      </c>
    </row>
    <row r="1221" spans="1:20">
      <c r="A1221" s="9" t="s">
        <v>828</v>
      </c>
      <c r="B1221" s="30" t="s">
        <v>905</v>
      </c>
      <c r="C1221" s="30" t="str">
        <f>CONCATENATE(VOL_VOLUMEN_SUMINISTROS[[#This Row],[Proyecto]],VOL_VOLUMEN_SUMINISTROS[[#This Row],[J]],VOL_VOLUMEN_SUMINISTROS[[#This Row],[FIN DE SEMANA]])</f>
        <v>1052-1TNO</v>
      </c>
      <c r="D1221" s="360" t="str">
        <f>CONCATENATE(VOL_VOLUMEN_SUMINISTROS[[#This Row],[Grupo]],VOL_VOLUMEN_SUMINISTROS[[#This Row],[Proyecto]],VOL_VOLUMEN_SUMINISTROS[[#This Row],[FIN DE SEMANA]])</f>
        <v>201052-1NO</v>
      </c>
      <c r="E1221" s="30" t="s">
        <v>146</v>
      </c>
      <c r="F1221" s="30" t="s">
        <v>147</v>
      </c>
      <c r="G1221" s="360">
        <v>20</v>
      </c>
      <c r="H1221" s="30">
        <v>11</v>
      </c>
      <c r="I1221" s="9" t="s">
        <v>802</v>
      </c>
      <c r="J1221" s="9" t="s">
        <v>920</v>
      </c>
      <c r="K1221" s="30">
        <v>2</v>
      </c>
      <c r="L1221" s="9" t="s">
        <v>164</v>
      </c>
      <c r="M1221" s="30" t="s">
        <v>84</v>
      </c>
      <c r="N1221" s="30" t="s">
        <v>154</v>
      </c>
      <c r="O1221" s="24">
        <v>118</v>
      </c>
      <c r="P1221" s="24">
        <v>87</v>
      </c>
      <c r="Q1221" s="24">
        <v>18</v>
      </c>
      <c r="R1221" s="24">
        <v>0</v>
      </c>
      <c r="S1221" s="24">
        <v>0</v>
      </c>
      <c r="T1221" s="24">
        <v>223</v>
      </c>
    </row>
    <row r="1222" spans="1:20">
      <c r="A1222" s="9" t="s">
        <v>828</v>
      </c>
      <c r="B1222" s="30" t="s">
        <v>905</v>
      </c>
      <c r="C1222" s="30" t="str">
        <f>CONCATENATE(VOL_VOLUMEN_SUMINISTROS[[#This Row],[Proyecto]],VOL_VOLUMEN_SUMINISTROS[[#This Row],[J]],VOL_VOLUMEN_SUMINISTROS[[#This Row],[FIN DE SEMANA]])</f>
        <v>1052-1MNO</v>
      </c>
      <c r="D1222" s="360" t="str">
        <f>CONCATENATE(VOL_VOLUMEN_SUMINISTROS[[#This Row],[Grupo]],VOL_VOLUMEN_SUMINISTROS[[#This Row],[Proyecto]],VOL_VOLUMEN_SUMINISTROS[[#This Row],[FIN DE SEMANA]])</f>
        <v>201052-1NO</v>
      </c>
      <c r="E1222" s="30" t="s">
        <v>146</v>
      </c>
      <c r="F1222" s="30" t="s">
        <v>147</v>
      </c>
      <c r="G1222" s="360">
        <v>20</v>
      </c>
      <c r="H1222" s="30">
        <v>11</v>
      </c>
      <c r="I1222" s="9" t="s">
        <v>802</v>
      </c>
      <c r="J1222" s="9" t="s">
        <v>920</v>
      </c>
      <c r="K1222" s="30">
        <v>3</v>
      </c>
      <c r="L1222" s="9" t="s">
        <v>922</v>
      </c>
      <c r="M1222" s="30" t="s">
        <v>84</v>
      </c>
      <c r="N1222" s="30" t="s">
        <v>151</v>
      </c>
      <c r="O1222" s="24">
        <v>112</v>
      </c>
      <c r="P1222" s="24">
        <v>188</v>
      </c>
      <c r="Q1222" s="24">
        <v>44</v>
      </c>
      <c r="R1222" s="24">
        <v>0</v>
      </c>
      <c r="S1222" s="24">
        <v>0</v>
      </c>
      <c r="T1222" s="24">
        <v>344</v>
      </c>
    </row>
    <row r="1223" spans="1:20">
      <c r="A1223" s="9" t="s">
        <v>828</v>
      </c>
      <c r="B1223" s="30" t="s">
        <v>905</v>
      </c>
      <c r="C1223" s="30" t="str">
        <f>CONCATENATE(VOL_VOLUMEN_SUMINISTROS[[#This Row],[Proyecto]],VOL_VOLUMEN_SUMINISTROS[[#This Row],[J]],VOL_VOLUMEN_SUMINISTROS[[#This Row],[FIN DE SEMANA]])</f>
        <v>1052-1TNO</v>
      </c>
      <c r="D1223" s="360" t="str">
        <f>CONCATENATE(VOL_VOLUMEN_SUMINISTROS[[#This Row],[Grupo]],VOL_VOLUMEN_SUMINISTROS[[#This Row],[Proyecto]],VOL_VOLUMEN_SUMINISTROS[[#This Row],[FIN DE SEMANA]])</f>
        <v>201052-1NO</v>
      </c>
      <c r="E1223" s="30" t="s">
        <v>146</v>
      </c>
      <c r="F1223" s="30" t="s">
        <v>147</v>
      </c>
      <c r="G1223" s="360">
        <v>20</v>
      </c>
      <c r="H1223" s="30">
        <v>11</v>
      </c>
      <c r="I1223" s="9" t="s">
        <v>802</v>
      </c>
      <c r="J1223" s="9" t="s">
        <v>920</v>
      </c>
      <c r="K1223" s="30">
        <v>3</v>
      </c>
      <c r="L1223" s="9" t="s">
        <v>922</v>
      </c>
      <c r="M1223" s="30" t="s">
        <v>84</v>
      </c>
      <c r="N1223" s="30" t="s">
        <v>154</v>
      </c>
      <c r="O1223" s="24">
        <v>0</v>
      </c>
      <c r="P1223" s="24">
        <v>252</v>
      </c>
      <c r="Q1223" s="24">
        <v>84</v>
      </c>
      <c r="R1223" s="24">
        <v>0</v>
      </c>
      <c r="S1223" s="24">
        <v>0</v>
      </c>
      <c r="T1223" s="24">
        <v>336</v>
      </c>
    </row>
    <row r="1224" spans="1:20">
      <c r="A1224" s="9" t="s">
        <v>828</v>
      </c>
      <c r="B1224" s="30" t="s">
        <v>905</v>
      </c>
      <c r="C1224" s="30" t="str">
        <f>CONCATENATE(VOL_VOLUMEN_SUMINISTROS[[#This Row],[Proyecto]],VOL_VOLUMEN_SUMINISTROS[[#This Row],[J]],VOL_VOLUMEN_SUMINISTROS[[#This Row],[FIN DE SEMANA]])</f>
        <v>1052-1MNO</v>
      </c>
      <c r="D1224" s="360" t="str">
        <f>CONCATENATE(VOL_VOLUMEN_SUMINISTROS[[#This Row],[Grupo]],VOL_VOLUMEN_SUMINISTROS[[#This Row],[Proyecto]],VOL_VOLUMEN_SUMINISTROS[[#This Row],[FIN DE SEMANA]])</f>
        <v>201052-1NO</v>
      </c>
      <c r="E1224" s="30" t="s">
        <v>146</v>
      </c>
      <c r="F1224" s="30" t="s">
        <v>147</v>
      </c>
      <c r="G1224" s="360">
        <v>20</v>
      </c>
      <c r="H1224" s="30">
        <v>11</v>
      </c>
      <c r="I1224" s="9" t="s">
        <v>802</v>
      </c>
      <c r="J1224" s="9" t="s">
        <v>920</v>
      </c>
      <c r="K1224" s="30">
        <v>4</v>
      </c>
      <c r="L1224" s="9" t="s">
        <v>923</v>
      </c>
      <c r="M1224" s="30" t="s">
        <v>84</v>
      </c>
      <c r="N1224" s="30" t="s">
        <v>151</v>
      </c>
      <c r="O1224" s="24">
        <v>93</v>
      </c>
      <c r="P1224" s="24">
        <v>34</v>
      </c>
      <c r="Q1224" s="24">
        <v>0</v>
      </c>
      <c r="R1224" s="24">
        <v>0</v>
      </c>
      <c r="S1224" s="24">
        <v>0</v>
      </c>
      <c r="T1224" s="24">
        <v>127</v>
      </c>
    </row>
    <row r="1225" spans="1:20">
      <c r="A1225" s="9" t="s">
        <v>828</v>
      </c>
      <c r="B1225" s="30" t="s">
        <v>905</v>
      </c>
      <c r="C1225" s="30" t="str">
        <f>CONCATENATE(VOL_VOLUMEN_SUMINISTROS[[#This Row],[Proyecto]],VOL_VOLUMEN_SUMINISTROS[[#This Row],[J]],VOL_VOLUMEN_SUMINISTROS[[#This Row],[FIN DE SEMANA]])</f>
        <v>1052-1TNO</v>
      </c>
      <c r="D1225" s="360" t="str">
        <f>CONCATENATE(VOL_VOLUMEN_SUMINISTROS[[#This Row],[Grupo]],VOL_VOLUMEN_SUMINISTROS[[#This Row],[Proyecto]],VOL_VOLUMEN_SUMINISTROS[[#This Row],[FIN DE SEMANA]])</f>
        <v>201052-1NO</v>
      </c>
      <c r="E1225" s="30" t="s">
        <v>146</v>
      </c>
      <c r="F1225" s="30" t="s">
        <v>147</v>
      </c>
      <c r="G1225" s="360">
        <v>20</v>
      </c>
      <c r="H1225" s="30">
        <v>11</v>
      </c>
      <c r="I1225" s="9" t="s">
        <v>802</v>
      </c>
      <c r="J1225" s="9" t="s">
        <v>920</v>
      </c>
      <c r="K1225" s="30">
        <v>4</v>
      </c>
      <c r="L1225" s="9" t="s">
        <v>923</v>
      </c>
      <c r="M1225" s="30" t="s">
        <v>84</v>
      </c>
      <c r="N1225" s="30" t="s">
        <v>154</v>
      </c>
      <c r="O1225" s="24">
        <v>89</v>
      </c>
      <c r="P1225" s="24">
        <v>33</v>
      </c>
      <c r="Q1225" s="24">
        <v>0</v>
      </c>
      <c r="R1225" s="24">
        <v>0</v>
      </c>
      <c r="S1225" s="24">
        <v>0</v>
      </c>
      <c r="T1225" s="24">
        <v>122</v>
      </c>
    </row>
    <row r="1226" spans="1:20">
      <c r="A1226" s="9" t="s">
        <v>828</v>
      </c>
      <c r="B1226" s="30" t="s">
        <v>905</v>
      </c>
      <c r="C1226" s="30" t="str">
        <f>CONCATENATE(VOL_VOLUMEN_SUMINISTROS[[#This Row],[Proyecto]],VOL_VOLUMEN_SUMINISTROS[[#This Row],[J]],VOL_VOLUMEN_SUMINISTROS[[#This Row],[FIN DE SEMANA]])</f>
        <v>1052-1MNO</v>
      </c>
      <c r="D1226" s="360" t="str">
        <f>CONCATENATE(VOL_VOLUMEN_SUMINISTROS[[#This Row],[Grupo]],VOL_VOLUMEN_SUMINISTROS[[#This Row],[Proyecto]],VOL_VOLUMEN_SUMINISTROS[[#This Row],[FIN DE SEMANA]])</f>
        <v>201052-1NO</v>
      </c>
      <c r="E1226" s="30" t="s">
        <v>146</v>
      </c>
      <c r="F1226" s="30" t="s">
        <v>147</v>
      </c>
      <c r="G1226" s="360">
        <v>20</v>
      </c>
      <c r="H1226" s="30">
        <v>11</v>
      </c>
      <c r="I1226" s="9" t="s">
        <v>802</v>
      </c>
      <c r="J1226" s="9" t="s">
        <v>924</v>
      </c>
      <c r="K1226" s="30">
        <v>2</v>
      </c>
      <c r="L1226" s="9" t="s">
        <v>925</v>
      </c>
      <c r="M1226" s="30" t="s">
        <v>84</v>
      </c>
      <c r="N1226" s="30" t="s">
        <v>151</v>
      </c>
      <c r="O1226" s="24">
        <v>381</v>
      </c>
      <c r="P1226" s="24">
        <v>257</v>
      </c>
      <c r="Q1226" s="24">
        <v>236</v>
      </c>
      <c r="R1226" s="24">
        <v>0</v>
      </c>
      <c r="S1226" s="24">
        <v>0</v>
      </c>
      <c r="T1226" s="24">
        <v>874</v>
      </c>
    </row>
    <row r="1227" spans="1:20">
      <c r="A1227" s="9" t="s">
        <v>828</v>
      </c>
      <c r="B1227" s="30" t="s">
        <v>905</v>
      </c>
      <c r="C1227" s="30" t="str">
        <f>CONCATENATE(VOL_VOLUMEN_SUMINISTROS[[#This Row],[Proyecto]],VOL_VOLUMEN_SUMINISTROS[[#This Row],[J]],VOL_VOLUMEN_SUMINISTROS[[#This Row],[FIN DE SEMANA]])</f>
        <v>1052-1TNO</v>
      </c>
      <c r="D1227" s="360" t="str">
        <f>CONCATENATE(VOL_VOLUMEN_SUMINISTROS[[#This Row],[Grupo]],VOL_VOLUMEN_SUMINISTROS[[#This Row],[Proyecto]],VOL_VOLUMEN_SUMINISTROS[[#This Row],[FIN DE SEMANA]])</f>
        <v>201052-1NO</v>
      </c>
      <c r="E1227" s="30" t="s">
        <v>146</v>
      </c>
      <c r="F1227" s="30" t="s">
        <v>147</v>
      </c>
      <c r="G1227" s="360">
        <v>20</v>
      </c>
      <c r="H1227" s="30">
        <v>11</v>
      </c>
      <c r="I1227" s="9" t="s">
        <v>802</v>
      </c>
      <c r="J1227" s="9" t="s">
        <v>924</v>
      </c>
      <c r="K1227" s="30">
        <v>2</v>
      </c>
      <c r="L1227" s="9" t="s">
        <v>925</v>
      </c>
      <c r="M1227" s="30" t="s">
        <v>84</v>
      </c>
      <c r="N1227" s="30" t="s">
        <v>154</v>
      </c>
      <c r="O1227" s="24">
        <v>328</v>
      </c>
      <c r="P1227" s="24">
        <v>299</v>
      </c>
      <c r="Q1227" s="24">
        <v>216</v>
      </c>
      <c r="R1227" s="24">
        <v>0</v>
      </c>
      <c r="S1227" s="24">
        <v>0</v>
      </c>
      <c r="T1227" s="24">
        <v>843</v>
      </c>
    </row>
    <row r="1228" spans="1:20">
      <c r="A1228" s="9" t="s">
        <v>828</v>
      </c>
      <c r="B1228" s="30" t="s">
        <v>905</v>
      </c>
      <c r="C1228" s="30" t="str">
        <f>CONCATENATE(VOL_VOLUMEN_SUMINISTROS[[#This Row],[Proyecto]],VOL_VOLUMEN_SUMINISTROS[[#This Row],[J]],VOL_VOLUMEN_SUMINISTROS[[#This Row],[FIN DE SEMANA]])</f>
        <v>1052-1MNO</v>
      </c>
      <c r="D1228" s="360" t="str">
        <f>CONCATENATE(VOL_VOLUMEN_SUMINISTROS[[#This Row],[Grupo]],VOL_VOLUMEN_SUMINISTROS[[#This Row],[Proyecto]],VOL_VOLUMEN_SUMINISTROS[[#This Row],[FIN DE SEMANA]])</f>
        <v>201052-1NO</v>
      </c>
      <c r="E1228" s="30" t="s">
        <v>146</v>
      </c>
      <c r="F1228" s="30" t="s">
        <v>147</v>
      </c>
      <c r="G1228" s="360">
        <v>20</v>
      </c>
      <c r="H1228" s="30">
        <v>11</v>
      </c>
      <c r="I1228" s="9" t="s">
        <v>802</v>
      </c>
      <c r="J1228" s="9" t="s">
        <v>898</v>
      </c>
      <c r="K1228" s="30">
        <v>1</v>
      </c>
      <c r="L1228" s="9" t="s">
        <v>926</v>
      </c>
      <c r="M1228" s="30" t="s">
        <v>84</v>
      </c>
      <c r="N1228" s="30" t="s">
        <v>151</v>
      </c>
      <c r="O1228" s="24">
        <v>0</v>
      </c>
      <c r="P1228" s="24">
        <v>114</v>
      </c>
      <c r="Q1228" s="24">
        <v>425</v>
      </c>
      <c r="R1228" s="24">
        <v>0</v>
      </c>
      <c r="S1228" s="24">
        <v>0</v>
      </c>
      <c r="T1228" s="24">
        <v>539</v>
      </c>
    </row>
    <row r="1229" spans="1:20">
      <c r="A1229" s="9" t="s">
        <v>828</v>
      </c>
      <c r="B1229" s="30" t="s">
        <v>905</v>
      </c>
      <c r="C1229" s="30" t="str">
        <f>CONCATENATE(VOL_VOLUMEN_SUMINISTROS[[#This Row],[Proyecto]],VOL_VOLUMEN_SUMINISTROS[[#This Row],[J]],VOL_VOLUMEN_SUMINISTROS[[#This Row],[FIN DE SEMANA]])</f>
        <v>1052-1NNO</v>
      </c>
      <c r="D1229" s="360" t="str">
        <f>CONCATENATE(VOL_VOLUMEN_SUMINISTROS[[#This Row],[Grupo]],VOL_VOLUMEN_SUMINISTROS[[#This Row],[Proyecto]],VOL_VOLUMEN_SUMINISTROS[[#This Row],[FIN DE SEMANA]])</f>
        <v>201052-1NO</v>
      </c>
      <c r="E1229" s="30" t="s">
        <v>146</v>
      </c>
      <c r="F1229" s="30" t="s">
        <v>147</v>
      </c>
      <c r="G1229" s="360">
        <v>20</v>
      </c>
      <c r="H1229" s="30">
        <v>11</v>
      </c>
      <c r="I1229" s="9" t="s">
        <v>802</v>
      </c>
      <c r="J1229" s="9" t="s">
        <v>898</v>
      </c>
      <c r="K1229" s="30">
        <v>1</v>
      </c>
      <c r="L1229" s="9" t="s">
        <v>926</v>
      </c>
      <c r="M1229" s="30" t="s">
        <v>84</v>
      </c>
      <c r="N1229" s="30" t="s">
        <v>153</v>
      </c>
      <c r="O1229" s="24">
        <v>0</v>
      </c>
      <c r="P1229" s="24">
        <v>0</v>
      </c>
      <c r="Q1229" s="24">
        <v>0</v>
      </c>
      <c r="R1229" s="24">
        <v>146</v>
      </c>
      <c r="S1229" s="24">
        <v>151</v>
      </c>
      <c r="T1229" s="24">
        <v>297</v>
      </c>
    </row>
    <row r="1230" spans="1:20">
      <c r="A1230" s="9" t="s">
        <v>828</v>
      </c>
      <c r="B1230" s="30" t="s">
        <v>905</v>
      </c>
      <c r="C1230" s="30" t="str">
        <f>CONCATENATE(VOL_VOLUMEN_SUMINISTROS[[#This Row],[Proyecto]],VOL_VOLUMEN_SUMINISTROS[[#This Row],[J]],VOL_VOLUMEN_SUMINISTROS[[#This Row],[FIN DE SEMANA]])</f>
        <v>1052-1TNO</v>
      </c>
      <c r="D1230" s="360" t="str">
        <f>CONCATENATE(VOL_VOLUMEN_SUMINISTROS[[#This Row],[Grupo]],VOL_VOLUMEN_SUMINISTROS[[#This Row],[Proyecto]],VOL_VOLUMEN_SUMINISTROS[[#This Row],[FIN DE SEMANA]])</f>
        <v>201052-1NO</v>
      </c>
      <c r="E1230" s="30" t="s">
        <v>146</v>
      </c>
      <c r="F1230" s="30" t="s">
        <v>147</v>
      </c>
      <c r="G1230" s="360">
        <v>20</v>
      </c>
      <c r="H1230" s="30">
        <v>11</v>
      </c>
      <c r="I1230" s="9" t="s">
        <v>802</v>
      </c>
      <c r="J1230" s="9" t="s">
        <v>898</v>
      </c>
      <c r="K1230" s="30">
        <v>1</v>
      </c>
      <c r="L1230" s="9" t="s">
        <v>926</v>
      </c>
      <c r="M1230" s="30" t="s">
        <v>84</v>
      </c>
      <c r="N1230" s="30" t="s">
        <v>154</v>
      </c>
      <c r="O1230" s="24">
        <v>0</v>
      </c>
      <c r="P1230" s="24">
        <v>132</v>
      </c>
      <c r="Q1230" s="24">
        <v>366</v>
      </c>
      <c r="R1230" s="24">
        <v>0</v>
      </c>
      <c r="S1230" s="24">
        <v>0</v>
      </c>
      <c r="T1230" s="24">
        <v>498</v>
      </c>
    </row>
    <row r="1231" spans="1:20">
      <c r="A1231" s="9" t="s">
        <v>828</v>
      </c>
      <c r="B1231" s="30" t="s">
        <v>905</v>
      </c>
      <c r="C1231" s="30" t="str">
        <f>CONCATENATE(VOL_VOLUMEN_SUMINISTROS[[#This Row],[Proyecto]],VOL_VOLUMEN_SUMINISTROS[[#This Row],[J]],VOL_VOLUMEN_SUMINISTROS[[#This Row],[FIN DE SEMANA]])</f>
        <v>1052-1MNO</v>
      </c>
      <c r="D1231" s="360" t="str">
        <f>CONCATENATE(VOL_VOLUMEN_SUMINISTROS[[#This Row],[Grupo]],VOL_VOLUMEN_SUMINISTROS[[#This Row],[Proyecto]],VOL_VOLUMEN_SUMINISTROS[[#This Row],[FIN DE SEMANA]])</f>
        <v>201052-1NO</v>
      </c>
      <c r="E1231" s="30" t="s">
        <v>146</v>
      </c>
      <c r="F1231" s="30" t="s">
        <v>147</v>
      </c>
      <c r="G1231" s="360">
        <v>20</v>
      </c>
      <c r="H1231" s="30">
        <v>11</v>
      </c>
      <c r="I1231" s="9" t="s">
        <v>802</v>
      </c>
      <c r="J1231" s="9" t="s">
        <v>898</v>
      </c>
      <c r="K1231" s="30">
        <v>2</v>
      </c>
      <c r="L1231" s="9" t="s">
        <v>899</v>
      </c>
      <c r="M1231" s="30" t="s">
        <v>84</v>
      </c>
      <c r="N1231" s="30" t="s">
        <v>151</v>
      </c>
      <c r="O1231" s="24">
        <v>412</v>
      </c>
      <c r="P1231" s="24">
        <v>355</v>
      </c>
      <c r="Q1231" s="24">
        <v>262</v>
      </c>
      <c r="R1231" s="24">
        <v>0</v>
      </c>
      <c r="S1231" s="24">
        <v>0</v>
      </c>
      <c r="T1231" s="24">
        <v>1029</v>
      </c>
    </row>
    <row r="1232" spans="1:20">
      <c r="A1232" s="9" t="s">
        <v>828</v>
      </c>
      <c r="B1232" s="30" t="s">
        <v>905</v>
      </c>
      <c r="C1232" s="30" t="str">
        <f>CONCATENATE(VOL_VOLUMEN_SUMINISTROS[[#This Row],[Proyecto]],VOL_VOLUMEN_SUMINISTROS[[#This Row],[J]],VOL_VOLUMEN_SUMINISTROS[[#This Row],[FIN DE SEMANA]])</f>
        <v>1052-1TNO</v>
      </c>
      <c r="D1232" s="360" t="str">
        <f>CONCATENATE(VOL_VOLUMEN_SUMINISTROS[[#This Row],[Grupo]],VOL_VOLUMEN_SUMINISTROS[[#This Row],[Proyecto]],VOL_VOLUMEN_SUMINISTROS[[#This Row],[FIN DE SEMANA]])</f>
        <v>201052-1NO</v>
      </c>
      <c r="E1232" s="30" t="s">
        <v>146</v>
      </c>
      <c r="F1232" s="30" t="s">
        <v>147</v>
      </c>
      <c r="G1232" s="360">
        <v>20</v>
      </c>
      <c r="H1232" s="30">
        <v>11</v>
      </c>
      <c r="I1232" s="9" t="s">
        <v>802</v>
      </c>
      <c r="J1232" s="9" t="s">
        <v>898</v>
      </c>
      <c r="K1232" s="30">
        <v>2</v>
      </c>
      <c r="L1232" s="9" t="s">
        <v>899</v>
      </c>
      <c r="M1232" s="30" t="s">
        <v>84</v>
      </c>
      <c r="N1232" s="30" t="s">
        <v>154</v>
      </c>
      <c r="O1232" s="24">
        <v>413</v>
      </c>
      <c r="P1232" s="24">
        <v>355</v>
      </c>
      <c r="Q1232" s="24">
        <v>297</v>
      </c>
      <c r="R1232" s="24">
        <v>0</v>
      </c>
      <c r="S1232" s="24">
        <v>0</v>
      </c>
      <c r="T1232" s="24">
        <v>1065</v>
      </c>
    </row>
    <row r="1233" spans="1:20">
      <c r="A1233" s="9" t="s">
        <v>828</v>
      </c>
      <c r="B1233" s="30" t="s">
        <v>905</v>
      </c>
      <c r="C1233" s="30" t="str">
        <f>CONCATENATE(VOL_VOLUMEN_SUMINISTROS[[#This Row],[Proyecto]],VOL_VOLUMEN_SUMINISTROS[[#This Row],[J]],VOL_VOLUMEN_SUMINISTROS[[#This Row],[FIN DE SEMANA]])</f>
        <v>1052-1MNO</v>
      </c>
      <c r="D1233" s="360" t="str">
        <f>CONCATENATE(VOL_VOLUMEN_SUMINISTROS[[#This Row],[Grupo]],VOL_VOLUMEN_SUMINISTROS[[#This Row],[Proyecto]],VOL_VOLUMEN_SUMINISTROS[[#This Row],[FIN DE SEMANA]])</f>
        <v>201052-1NO</v>
      </c>
      <c r="E1233" s="30" t="s">
        <v>146</v>
      </c>
      <c r="F1233" s="30" t="s">
        <v>147</v>
      </c>
      <c r="G1233" s="360">
        <v>20</v>
      </c>
      <c r="H1233" s="30">
        <v>11</v>
      </c>
      <c r="I1233" s="9" t="s">
        <v>802</v>
      </c>
      <c r="J1233" s="9" t="s">
        <v>927</v>
      </c>
      <c r="K1233" s="30">
        <v>1</v>
      </c>
      <c r="L1233" s="9" t="s">
        <v>928</v>
      </c>
      <c r="M1233" s="30" t="s">
        <v>84</v>
      </c>
      <c r="N1233" s="30" t="s">
        <v>151</v>
      </c>
      <c r="O1233" s="24">
        <v>0</v>
      </c>
      <c r="P1233" s="24">
        <v>150</v>
      </c>
      <c r="Q1233" s="24">
        <v>145</v>
      </c>
      <c r="R1233" s="24">
        <v>0</v>
      </c>
      <c r="S1233" s="24">
        <v>0</v>
      </c>
      <c r="T1233" s="24">
        <v>295</v>
      </c>
    </row>
    <row r="1234" spans="1:20">
      <c r="A1234" s="9" t="s">
        <v>828</v>
      </c>
      <c r="B1234" s="30" t="s">
        <v>905</v>
      </c>
      <c r="C1234" s="30" t="str">
        <f>CONCATENATE(VOL_VOLUMEN_SUMINISTROS[[#This Row],[Proyecto]],VOL_VOLUMEN_SUMINISTROS[[#This Row],[J]],VOL_VOLUMEN_SUMINISTROS[[#This Row],[FIN DE SEMANA]])</f>
        <v>1052-1TNO</v>
      </c>
      <c r="D1234" s="360" t="str">
        <f>CONCATENATE(VOL_VOLUMEN_SUMINISTROS[[#This Row],[Grupo]],VOL_VOLUMEN_SUMINISTROS[[#This Row],[Proyecto]],VOL_VOLUMEN_SUMINISTROS[[#This Row],[FIN DE SEMANA]])</f>
        <v>201052-1NO</v>
      </c>
      <c r="E1234" s="30" t="s">
        <v>146</v>
      </c>
      <c r="F1234" s="30" t="s">
        <v>147</v>
      </c>
      <c r="G1234" s="360">
        <v>20</v>
      </c>
      <c r="H1234" s="30">
        <v>11</v>
      </c>
      <c r="I1234" s="9" t="s">
        <v>802</v>
      </c>
      <c r="J1234" s="9" t="s">
        <v>927</v>
      </c>
      <c r="K1234" s="30">
        <v>1</v>
      </c>
      <c r="L1234" s="9" t="s">
        <v>928</v>
      </c>
      <c r="M1234" s="30" t="s">
        <v>84</v>
      </c>
      <c r="N1234" s="30" t="s">
        <v>154</v>
      </c>
      <c r="O1234" s="24">
        <v>0</v>
      </c>
      <c r="P1234" s="24">
        <v>168</v>
      </c>
      <c r="Q1234" s="24">
        <v>111</v>
      </c>
      <c r="R1234" s="24">
        <v>0</v>
      </c>
      <c r="S1234" s="24">
        <v>0</v>
      </c>
      <c r="T1234" s="24">
        <v>279</v>
      </c>
    </row>
    <row r="1235" spans="1:20">
      <c r="A1235" s="9" t="s">
        <v>828</v>
      </c>
      <c r="B1235" s="30" t="s">
        <v>905</v>
      </c>
      <c r="C1235" s="30" t="str">
        <f>CONCATENATE(VOL_VOLUMEN_SUMINISTROS[[#This Row],[Proyecto]],VOL_VOLUMEN_SUMINISTROS[[#This Row],[J]],VOL_VOLUMEN_SUMINISTROS[[#This Row],[FIN DE SEMANA]])</f>
        <v>1052-1MNO</v>
      </c>
      <c r="D1235" s="360" t="str">
        <f>CONCATENATE(VOL_VOLUMEN_SUMINISTROS[[#This Row],[Grupo]],VOL_VOLUMEN_SUMINISTROS[[#This Row],[Proyecto]],VOL_VOLUMEN_SUMINISTROS[[#This Row],[FIN DE SEMANA]])</f>
        <v>201052-1NO</v>
      </c>
      <c r="E1235" s="30" t="s">
        <v>146</v>
      </c>
      <c r="F1235" s="30" t="s">
        <v>147</v>
      </c>
      <c r="G1235" s="360">
        <v>20</v>
      </c>
      <c r="H1235" s="30">
        <v>11</v>
      </c>
      <c r="I1235" s="9" t="s">
        <v>802</v>
      </c>
      <c r="J1235" s="9" t="s">
        <v>927</v>
      </c>
      <c r="K1235" s="30">
        <v>2</v>
      </c>
      <c r="L1235" s="9" t="s">
        <v>929</v>
      </c>
      <c r="M1235" s="30" t="s">
        <v>84</v>
      </c>
      <c r="N1235" s="30" t="s">
        <v>151</v>
      </c>
      <c r="O1235" s="24">
        <v>72</v>
      </c>
      <c r="P1235" s="24">
        <v>12</v>
      </c>
      <c r="Q1235" s="24">
        <v>114</v>
      </c>
      <c r="R1235" s="24">
        <v>0</v>
      </c>
      <c r="S1235" s="24">
        <v>0</v>
      </c>
      <c r="T1235" s="24">
        <v>198</v>
      </c>
    </row>
    <row r="1236" spans="1:20">
      <c r="A1236" s="9" t="s">
        <v>828</v>
      </c>
      <c r="B1236" s="30" t="s">
        <v>905</v>
      </c>
      <c r="C1236" s="30" t="str">
        <f>CONCATENATE(VOL_VOLUMEN_SUMINISTROS[[#This Row],[Proyecto]],VOL_VOLUMEN_SUMINISTROS[[#This Row],[J]],VOL_VOLUMEN_SUMINISTROS[[#This Row],[FIN DE SEMANA]])</f>
        <v>1052-1TNO</v>
      </c>
      <c r="D1236" s="360" t="str">
        <f>CONCATENATE(VOL_VOLUMEN_SUMINISTROS[[#This Row],[Grupo]],VOL_VOLUMEN_SUMINISTROS[[#This Row],[Proyecto]],VOL_VOLUMEN_SUMINISTROS[[#This Row],[FIN DE SEMANA]])</f>
        <v>201052-1NO</v>
      </c>
      <c r="E1236" s="30" t="s">
        <v>146</v>
      </c>
      <c r="F1236" s="30" t="s">
        <v>147</v>
      </c>
      <c r="G1236" s="360">
        <v>20</v>
      </c>
      <c r="H1236" s="30">
        <v>11</v>
      </c>
      <c r="I1236" s="9" t="s">
        <v>802</v>
      </c>
      <c r="J1236" s="9" t="s">
        <v>927</v>
      </c>
      <c r="K1236" s="30">
        <v>2</v>
      </c>
      <c r="L1236" s="9" t="s">
        <v>929</v>
      </c>
      <c r="M1236" s="30" t="s">
        <v>84</v>
      </c>
      <c r="N1236" s="30" t="s">
        <v>154</v>
      </c>
      <c r="O1236" s="24">
        <v>73</v>
      </c>
      <c r="P1236" s="24">
        <v>12</v>
      </c>
      <c r="Q1236" s="24">
        <v>115</v>
      </c>
      <c r="R1236" s="24">
        <v>0</v>
      </c>
      <c r="S1236" s="24">
        <v>0</v>
      </c>
      <c r="T1236" s="24">
        <v>200</v>
      </c>
    </row>
    <row r="1237" spans="1:20">
      <c r="A1237" s="9" t="s">
        <v>828</v>
      </c>
      <c r="B1237" s="30" t="s">
        <v>905</v>
      </c>
      <c r="C1237" s="30" t="str">
        <f>CONCATENATE(VOL_VOLUMEN_SUMINISTROS[[#This Row],[Proyecto]],VOL_VOLUMEN_SUMINISTROS[[#This Row],[J]],VOL_VOLUMEN_SUMINISTROS[[#This Row],[FIN DE SEMANA]])</f>
        <v>1052-1MNO</v>
      </c>
      <c r="D1237" s="360" t="str">
        <f>CONCATENATE(VOL_VOLUMEN_SUMINISTROS[[#This Row],[Grupo]],VOL_VOLUMEN_SUMINISTROS[[#This Row],[Proyecto]],VOL_VOLUMEN_SUMINISTROS[[#This Row],[FIN DE SEMANA]])</f>
        <v>201052-1NO</v>
      </c>
      <c r="E1237" s="30" t="s">
        <v>146</v>
      </c>
      <c r="F1237" s="30" t="s">
        <v>147</v>
      </c>
      <c r="G1237" s="360">
        <v>20</v>
      </c>
      <c r="H1237" s="30">
        <v>11</v>
      </c>
      <c r="I1237" s="9" t="s">
        <v>802</v>
      </c>
      <c r="J1237" s="9" t="s">
        <v>927</v>
      </c>
      <c r="K1237" s="30">
        <v>3</v>
      </c>
      <c r="L1237" s="9" t="s">
        <v>930</v>
      </c>
      <c r="M1237" s="30" t="s">
        <v>84</v>
      </c>
      <c r="N1237" s="30" t="s">
        <v>151</v>
      </c>
      <c r="O1237" s="24">
        <v>154</v>
      </c>
      <c r="P1237" s="24">
        <v>119</v>
      </c>
      <c r="Q1237" s="24">
        <v>18</v>
      </c>
      <c r="R1237" s="24">
        <v>0</v>
      </c>
      <c r="S1237" s="24">
        <v>0</v>
      </c>
      <c r="T1237" s="24">
        <v>291</v>
      </c>
    </row>
    <row r="1238" spans="1:20">
      <c r="A1238" s="9" t="s">
        <v>828</v>
      </c>
      <c r="B1238" s="30" t="s">
        <v>905</v>
      </c>
      <c r="C1238" s="30" t="str">
        <f>CONCATENATE(VOL_VOLUMEN_SUMINISTROS[[#This Row],[Proyecto]],VOL_VOLUMEN_SUMINISTROS[[#This Row],[J]],VOL_VOLUMEN_SUMINISTROS[[#This Row],[FIN DE SEMANA]])</f>
        <v>1052-1TNO</v>
      </c>
      <c r="D1238" s="360" t="str">
        <f>CONCATENATE(VOL_VOLUMEN_SUMINISTROS[[#This Row],[Grupo]],VOL_VOLUMEN_SUMINISTROS[[#This Row],[Proyecto]],VOL_VOLUMEN_SUMINISTROS[[#This Row],[FIN DE SEMANA]])</f>
        <v>201052-1NO</v>
      </c>
      <c r="E1238" s="30" t="s">
        <v>146</v>
      </c>
      <c r="F1238" s="30" t="s">
        <v>147</v>
      </c>
      <c r="G1238" s="360">
        <v>20</v>
      </c>
      <c r="H1238" s="30">
        <v>11</v>
      </c>
      <c r="I1238" s="9" t="s">
        <v>802</v>
      </c>
      <c r="J1238" s="9" t="s">
        <v>927</v>
      </c>
      <c r="K1238" s="30">
        <v>3</v>
      </c>
      <c r="L1238" s="9" t="s">
        <v>930</v>
      </c>
      <c r="M1238" s="30" t="s">
        <v>84</v>
      </c>
      <c r="N1238" s="30" t="s">
        <v>154</v>
      </c>
      <c r="O1238" s="24">
        <v>128</v>
      </c>
      <c r="P1238" s="24">
        <v>113</v>
      </c>
      <c r="Q1238" s="24">
        <v>20</v>
      </c>
      <c r="R1238" s="24">
        <v>0</v>
      </c>
      <c r="S1238" s="24">
        <v>0</v>
      </c>
      <c r="T1238" s="24">
        <v>261</v>
      </c>
    </row>
    <row r="1239" spans="1:20">
      <c r="A1239" s="9" t="s">
        <v>828</v>
      </c>
      <c r="B1239" s="30" t="s">
        <v>905</v>
      </c>
      <c r="C1239" s="30" t="str">
        <f>CONCATENATE(VOL_VOLUMEN_SUMINISTROS[[#This Row],[Proyecto]],VOL_VOLUMEN_SUMINISTROS[[#This Row],[J]],VOL_VOLUMEN_SUMINISTROS[[#This Row],[FIN DE SEMANA]])</f>
        <v>1052-1MNO</v>
      </c>
      <c r="D1239" s="360" t="str">
        <f>CONCATENATE(VOL_VOLUMEN_SUMINISTROS[[#This Row],[Grupo]],VOL_VOLUMEN_SUMINISTROS[[#This Row],[Proyecto]],VOL_VOLUMEN_SUMINISTROS[[#This Row],[FIN DE SEMANA]])</f>
        <v>201052-1NO</v>
      </c>
      <c r="E1239" s="30" t="s">
        <v>146</v>
      </c>
      <c r="F1239" s="30" t="s">
        <v>147</v>
      </c>
      <c r="G1239" s="360">
        <v>20</v>
      </c>
      <c r="H1239" s="30">
        <v>11</v>
      </c>
      <c r="I1239" s="9" t="s">
        <v>802</v>
      </c>
      <c r="J1239" s="9" t="s">
        <v>927</v>
      </c>
      <c r="K1239" s="30">
        <v>4</v>
      </c>
      <c r="L1239" s="9" t="s">
        <v>930</v>
      </c>
      <c r="M1239" s="30" t="s">
        <v>84</v>
      </c>
      <c r="N1239" s="30" t="s">
        <v>151</v>
      </c>
      <c r="O1239" s="24">
        <v>74</v>
      </c>
      <c r="P1239" s="24">
        <v>0</v>
      </c>
      <c r="Q1239" s="24">
        <v>0</v>
      </c>
      <c r="R1239" s="24">
        <v>0</v>
      </c>
      <c r="S1239" s="24">
        <v>0</v>
      </c>
      <c r="T1239" s="24">
        <v>74</v>
      </c>
    </row>
    <row r="1240" spans="1:20">
      <c r="A1240" s="9" t="s">
        <v>828</v>
      </c>
      <c r="B1240" s="30" t="s">
        <v>905</v>
      </c>
      <c r="C1240" s="30" t="str">
        <f>CONCATENATE(VOL_VOLUMEN_SUMINISTROS[[#This Row],[Proyecto]],VOL_VOLUMEN_SUMINISTROS[[#This Row],[J]],VOL_VOLUMEN_SUMINISTROS[[#This Row],[FIN DE SEMANA]])</f>
        <v>1052-1TNO</v>
      </c>
      <c r="D1240" s="360" t="str">
        <f>CONCATENATE(VOL_VOLUMEN_SUMINISTROS[[#This Row],[Grupo]],VOL_VOLUMEN_SUMINISTROS[[#This Row],[Proyecto]],VOL_VOLUMEN_SUMINISTROS[[#This Row],[FIN DE SEMANA]])</f>
        <v>201052-1NO</v>
      </c>
      <c r="E1240" s="30" t="s">
        <v>146</v>
      </c>
      <c r="F1240" s="30" t="s">
        <v>147</v>
      </c>
      <c r="G1240" s="360">
        <v>20</v>
      </c>
      <c r="H1240" s="30">
        <v>11</v>
      </c>
      <c r="I1240" s="9" t="s">
        <v>802</v>
      </c>
      <c r="J1240" s="9" t="s">
        <v>927</v>
      </c>
      <c r="K1240" s="30">
        <v>4</v>
      </c>
      <c r="L1240" s="9" t="s">
        <v>930</v>
      </c>
      <c r="M1240" s="30" t="s">
        <v>84</v>
      </c>
      <c r="N1240" s="30" t="s">
        <v>154</v>
      </c>
      <c r="O1240" s="24">
        <v>68</v>
      </c>
      <c r="P1240" s="24">
        <v>0</v>
      </c>
      <c r="Q1240" s="24">
        <v>0</v>
      </c>
      <c r="R1240" s="24">
        <v>0</v>
      </c>
      <c r="S1240" s="24">
        <v>0</v>
      </c>
      <c r="T1240" s="24">
        <v>68</v>
      </c>
    </row>
    <row r="1241" spans="1:20">
      <c r="A1241" s="9" t="s">
        <v>828</v>
      </c>
      <c r="B1241" s="30" t="s">
        <v>931</v>
      </c>
      <c r="C1241" s="30" t="str">
        <f>CONCATENATE(VOL_VOLUMEN_SUMINISTROS[[#This Row],[Proyecto]],VOL_VOLUMEN_SUMINISTROS[[#This Row],[J]],VOL_VOLUMEN_SUMINISTROS[[#This Row],[FIN DE SEMANA]])</f>
        <v>1052-2M1NO</v>
      </c>
      <c r="D1241" s="360" t="str">
        <f>CONCATENATE(VOL_VOLUMEN_SUMINISTROS[[#This Row],[Grupo]],VOL_VOLUMEN_SUMINISTROS[[#This Row],[Proyecto]],VOL_VOLUMEN_SUMINISTROS[[#This Row],[FIN DE SEMANA]])</f>
        <v>51052-2NO</v>
      </c>
      <c r="E1241" s="30" t="s">
        <v>182</v>
      </c>
      <c r="F1241" s="30" t="s">
        <v>147</v>
      </c>
      <c r="G1241" s="360">
        <v>5</v>
      </c>
      <c r="H1241" s="30">
        <v>10</v>
      </c>
      <c r="I1241" s="9" t="s">
        <v>330</v>
      </c>
      <c r="J1241" s="9" t="s">
        <v>932</v>
      </c>
      <c r="K1241" s="30">
        <v>1</v>
      </c>
      <c r="L1241" s="9" t="s">
        <v>933</v>
      </c>
      <c r="M1241" s="30" t="s">
        <v>84</v>
      </c>
      <c r="N1241" s="30" t="s">
        <v>215</v>
      </c>
      <c r="O1241" s="24">
        <v>0</v>
      </c>
      <c r="P1241" s="24">
        <v>120</v>
      </c>
      <c r="Q1241" s="24">
        <v>175</v>
      </c>
      <c r="R1241" s="24">
        <v>0</v>
      </c>
      <c r="S1241" s="24">
        <v>0</v>
      </c>
      <c r="T1241" s="24">
        <v>295</v>
      </c>
    </row>
    <row r="1242" spans="1:20">
      <c r="A1242" s="9" t="s">
        <v>828</v>
      </c>
      <c r="B1242" s="30" t="s">
        <v>931</v>
      </c>
      <c r="C1242" s="30" t="str">
        <f>CONCATENATE(VOL_VOLUMEN_SUMINISTROS[[#This Row],[Proyecto]],VOL_VOLUMEN_SUMINISTROS[[#This Row],[J]],VOL_VOLUMEN_SUMINISTROS[[#This Row],[FIN DE SEMANA]])</f>
        <v>1052-2M1NO</v>
      </c>
      <c r="D1242" s="360" t="str">
        <f>CONCATENATE(VOL_VOLUMEN_SUMINISTROS[[#This Row],[Grupo]],VOL_VOLUMEN_SUMINISTROS[[#This Row],[Proyecto]],VOL_VOLUMEN_SUMINISTROS[[#This Row],[FIN DE SEMANA]])</f>
        <v>51052-2NO</v>
      </c>
      <c r="E1242" s="30" t="s">
        <v>182</v>
      </c>
      <c r="F1242" s="30" t="s">
        <v>147</v>
      </c>
      <c r="G1242" s="360">
        <v>5</v>
      </c>
      <c r="H1242" s="30">
        <v>10</v>
      </c>
      <c r="I1242" s="9" t="s">
        <v>330</v>
      </c>
      <c r="J1242" s="9" t="s">
        <v>932</v>
      </c>
      <c r="K1242" s="30">
        <v>2</v>
      </c>
      <c r="L1242" s="9" t="s">
        <v>934</v>
      </c>
      <c r="M1242" s="30" t="s">
        <v>84</v>
      </c>
      <c r="N1242" s="30" t="s">
        <v>215</v>
      </c>
      <c r="O1242" s="24">
        <v>86</v>
      </c>
      <c r="P1242" s="24">
        <v>43</v>
      </c>
      <c r="Q1242" s="24">
        <v>0</v>
      </c>
      <c r="R1242" s="24">
        <v>0</v>
      </c>
      <c r="S1242" s="24">
        <v>0</v>
      </c>
      <c r="T1242" s="24">
        <v>129</v>
      </c>
    </row>
    <row r="1243" spans="1:20">
      <c r="A1243" s="9" t="s">
        <v>828</v>
      </c>
      <c r="B1243" s="30" t="s">
        <v>931</v>
      </c>
      <c r="C1243" s="30" t="str">
        <f>CONCATENATE(VOL_VOLUMEN_SUMINISTROS[[#This Row],[Proyecto]],VOL_VOLUMEN_SUMINISTROS[[#This Row],[J]],VOL_VOLUMEN_SUMINISTROS[[#This Row],[FIN DE SEMANA]])</f>
        <v>1052-2M1NO</v>
      </c>
      <c r="D1243" s="360" t="str">
        <f>CONCATENATE(VOL_VOLUMEN_SUMINISTROS[[#This Row],[Grupo]],VOL_VOLUMEN_SUMINISTROS[[#This Row],[Proyecto]],VOL_VOLUMEN_SUMINISTROS[[#This Row],[FIN DE SEMANA]])</f>
        <v>51052-2NO</v>
      </c>
      <c r="E1243" s="30" t="s">
        <v>182</v>
      </c>
      <c r="F1243" s="30" t="s">
        <v>147</v>
      </c>
      <c r="G1243" s="360">
        <v>5</v>
      </c>
      <c r="H1243" s="30">
        <v>10</v>
      </c>
      <c r="I1243" s="9" t="s">
        <v>330</v>
      </c>
      <c r="J1243" s="9" t="s">
        <v>932</v>
      </c>
      <c r="K1243" s="30">
        <v>3</v>
      </c>
      <c r="L1243" s="9" t="s">
        <v>935</v>
      </c>
      <c r="M1243" s="30" t="s">
        <v>84</v>
      </c>
      <c r="N1243" s="30" t="s">
        <v>215</v>
      </c>
      <c r="O1243" s="24">
        <v>56</v>
      </c>
      <c r="P1243" s="24">
        <v>148</v>
      </c>
      <c r="Q1243" s="24">
        <v>40</v>
      </c>
      <c r="R1243" s="24">
        <v>0</v>
      </c>
      <c r="S1243" s="24">
        <v>0</v>
      </c>
      <c r="T1243" s="24">
        <v>244</v>
      </c>
    </row>
    <row r="1244" spans="1:20">
      <c r="A1244" s="9" t="s">
        <v>828</v>
      </c>
      <c r="B1244" s="30" t="s">
        <v>931</v>
      </c>
      <c r="C1244" s="30" t="str">
        <f>CONCATENATE(VOL_VOLUMEN_SUMINISTROS[[#This Row],[Proyecto]],VOL_VOLUMEN_SUMINISTROS[[#This Row],[J]],VOL_VOLUMEN_SUMINISTROS[[#This Row],[FIN DE SEMANA]])</f>
        <v>1052-2M1NO</v>
      </c>
      <c r="D1244" s="360" t="str">
        <f>CONCATENATE(VOL_VOLUMEN_SUMINISTROS[[#This Row],[Grupo]],VOL_VOLUMEN_SUMINISTROS[[#This Row],[Proyecto]],VOL_VOLUMEN_SUMINISTROS[[#This Row],[FIN DE SEMANA]])</f>
        <v>51052-2NO</v>
      </c>
      <c r="E1244" s="30" t="s">
        <v>182</v>
      </c>
      <c r="F1244" s="30" t="s">
        <v>147</v>
      </c>
      <c r="G1244" s="360">
        <v>5</v>
      </c>
      <c r="H1244" s="30">
        <v>10</v>
      </c>
      <c r="I1244" s="9" t="s">
        <v>330</v>
      </c>
      <c r="J1244" s="9" t="s">
        <v>932</v>
      </c>
      <c r="K1244" s="30">
        <v>4</v>
      </c>
      <c r="L1244" s="9" t="s">
        <v>936</v>
      </c>
      <c r="M1244" s="30" t="s">
        <v>84</v>
      </c>
      <c r="N1244" s="30" t="s">
        <v>215</v>
      </c>
      <c r="O1244" s="24">
        <v>66</v>
      </c>
      <c r="P1244" s="24">
        <v>81</v>
      </c>
      <c r="Q1244" s="24">
        <v>16</v>
      </c>
      <c r="R1244" s="24">
        <v>0</v>
      </c>
      <c r="S1244" s="24">
        <v>0</v>
      </c>
      <c r="T1244" s="24">
        <v>163</v>
      </c>
    </row>
    <row r="1245" spans="1:20">
      <c r="A1245" s="9" t="s">
        <v>828</v>
      </c>
      <c r="B1245" s="30" t="s">
        <v>931</v>
      </c>
      <c r="C1245" s="30" t="str">
        <f>CONCATENATE(VOL_VOLUMEN_SUMINISTROS[[#This Row],[Proyecto]],VOL_VOLUMEN_SUMINISTROS[[#This Row],[J]],VOL_VOLUMEN_SUMINISTROS[[#This Row],[FIN DE SEMANA]])</f>
        <v>1052-2M1NO</v>
      </c>
      <c r="D1245" s="360" t="str">
        <f>CONCATENATE(VOL_VOLUMEN_SUMINISTROS[[#This Row],[Grupo]],VOL_VOLUMEN_SUMINISTROS[[#This Row],[Proyecto]],VOL_VOLUMEN_SUMINISTROS[[#This Row],[FIN DE SEMANA]])</f>
        <v>131052-2NO</v>
      </c>
      <c r="E1245" s="30" t="s">
        <v>182</v>
      </c>
      <c r="F1245" s="30" t="s">
        <v>147</v>
      </c>
      <c r="G1245" s="360">
        <v>13</v>
      </c>
      <c r="H1245" s="30">
        <v>10</v>
      </c>
      <c r="I1245" s="9" t="s">
        <v>330</v>
      </c>
      <c r="J1245" s="9" t="s">
        <v>833</v>
      </c>
      <c r="K1245" s="30">
        <v>1</v>
      </c>
      <c r="L1245" s="9" t="s">
        <v>834</v>
      </c>
      <c r="M1245" s="30" t="s">
        <v>84</v>
      </c>
      <c r="N1245" s="30" t="s">
        <v>215</v>
      </c>
      <c r="O1245" s="24">
        <v>88</v>
      </c>
      <c r="P1245" s="24">
        <v>344</v>
      </c>
      <c r="Q1245" s="24">
        <v>258</v>
      </c>
      <c r="R1245" s="24">
        <v>0</v>
      </c>
      <c r="S1245" s="24">
        <v>0</v>
      </c>
      <c r="T1245" s="24">
        <v>690</v>
      </c>
    </row>
    <row r="1246" spans="1:20">
      <c r="A1246" s="9" t="s">
        <v>828</v>
      </c>
      <c r="B1246" s="30" t="s">
        <v>931</v>
      </c>
      <c r="C1246" s="30" t="str">
        <f>CONCATENATE(VOL_VOLUMEN_SUMINISTROS[[#This Row],[Proyecto]],VOL_VOLUMEN_SUMINISTROS[[#This Row],[J]],VOL_VOLUMEN_SUMINISTROS[[#This Row],[FIN DE SEMANA]])</f>
        <v>1052-2M1NO</v>
      </c>
      <c r="D1246" s="360" t="str">
        <f>CONCATENATE(VOL_VOLUMEN_SUMINISTROS[[#This Row],[Grupo]],VOL_VOLUMEN_SUMINISTROS[[#This Row],[Proyecto]],VOL_VOLUMEN_SUMINISTROS[[#This Row],[FIN DE SEMANA]])</f>
        <v>171052-2NO</v>
      </c>
      <c r="E1246" s="30" t="s">
        <v>182</v>
      </c>
      <c r="F1246" s="30" t="s">
        <v>147</v>
      </c>
      <c r="G1246" s="360">
        <v>17</v>
      </c>
      <c r="H1246" s="30">
        <v>10</v>
      </c>
      <c r="I1246" s="9" t="s">
        <v>330</v>
      </c>
      <c r="J1246" s="9" t="s">
        <v>833</v>
      </c>
      <c r="K1246" s="30">
        <v>2</v>
      </c>
      <c r="L1246" s="9" t="s">
        <v>164</v>
      </c>
      <c r="M1246" s="30" t="s">
        <v>84</v>
      </c>
      <c r="N1246" s="30" t="s">
        <v>215</v>
      </c>
      <c r="O1246" s="24">
        <v>34</v>
      </c>
      <c r="P1246" s="24">
        <v>17</v>
      </c>
      <c r="Q1246" s="24">
        <v>0</v>
      </c>
      <c r="R1246" s="24">
        <v>0</v>
      </c>
      <c r="S1246" s="24">
        <v>0</v>
      </c>
      <c r="T1246" s="24">
        <v>51</v>
      </c>
    </row>
    <row r="1247" spans="1:20">
      <c r="A1247" s="9" t="s">
        <v>828</v>
      </c>
      <c r="B1247" s="30" t="s">
        <v>931</v>
      </c>
      <c r="C1247" s="30" t="str">
        <f>CONCATENATE(VOL_VOLUMEN_SUMINISTROS[[#This Row],[Proyecto]],VOL_VOLUMEN_SUMINISTROS[[#This Row],[J]],VOL_VOLUMEN_SUMINISTROS[[#This Row],[FIN DE SEMANA]])</f>
        <v>1052-2MNO</v>
      </c>
      <c r="D1247" s="360" t="str">
        <f>CONCATENATE(VOL_VOLUMEN_SUMINISTROS[[#This Row],[Grupo]],VOL_VOLUMEN_SUMINISTROS[[#This Row],[Proyecto]],VOL_VOLUMEN_SUMINISTROS[[#This Row],[FIN DE SEMANA]])</f>
        <v>171052-2NO</v>
      </c>
      <c r="E1247" s="30" t="s">
        <v>182</v>
      </c>
      <c r="F1247" s="30" t="s">
        <v>147</v>
      </c>
      <c r="G1247" s="360">
        <v>17</v>
      </c>
      <c r="H1247" s="30">
        <v>11</v>
      </c>
      <c r="I1247" s="9" t="s">
        <v>802</v>
      </c>
      <c r="J1247" s="9" t="s">
        <v>853</v>
      </c>
      <c r="K1247" s="30">
        <v>1</v>
      </c>
      <c r="L1247" s="9" t="s">
        <v>854</v>
      </c>
      <c r="M1247" s="30" t="s">
        <v>84</v>
      </c>
      <c r="N1247" s="30" t="s">
        <v>151</v>
      </c>
      <c r="O1247" s="24">
        <v>108</v>
      </c>
      <c r="P1247" s="24">
        <v>213</v>
      </c>
      <c r="Q1247" s="24">
        <v>53</v>
      </c>
      <c r="R1247" s="24">
        <v>0</v>
      </c>
      <c r="S1247" s="24">
        <v>0</v>
      </c>
      <c r="T1247" s="24">
        <v>374</v>
      </c>
    </row>
    <row r="1248" spans="1:20">
      <c r="A1248" s="9" t="s">
        <v>828</v>
      </c>
      <c r="B1248" s="30" t="s">
        <v>931</v>
      </c>
      <c r="C1248" s="30" t="str">
        <f>CONCATENATE(VOL_VOLUMEN_SUMINISTROS[[#This Row],[Proyecto]],VOL_VOLUMEN_SUMINISTROS[[#This Row],[J]],VOL_VOLUMEN_SUMINISTROS[[#This Row],[FIN DE SEMANA]])</f>
        <v>1052-2M1NO</v>
      </c>
      <c r="D1248" s="360" t="str">
        <f>CONCATENATE(VOL_VOLUMEN_SUMINISTROS[[#This Row],[Grupo]],VOL_VOLUMEN_SUMINISTROS[[#This Row],[Proyecto]],VOL_VOLUMEN_SUMINISTROS[[#This Row],[FIN DE SEMANA]])</f>
        <v>171052-2NO</v>
      </c>
      <c r="E1248" s="30" t="s">
        <v>182</v>
      </c>
      <c r="F1248" s="30" t="s">
        <v>147</v>
      </c>
      <c r="G1248" s="360">
        <v>17</v>
      </c>
      <c r="H1248" s="30">
        <v>11</v>
      </c>
      <c r="I1248" s="9" t="s">
        <v>802</v>
      </c>
      <c r="J1248" s="9" t="s">
        <v>853</v>
      </c>
      <c r="K1248" s="30">
        <v>1</v>
      </c>
      <c r="L1248" s="9" t="s">
        <v>854</v>
      </c>
      <c r="M1248" s="30" t="s">
        <v>84</v>
      </c>
      <c r="N1248" s="30" t="s">
        <v>215</v>
      </c>
      <c r="O1248" s="24">
        <v>0</v>
      </c>
      <c r="P1248" s="24">
        <v>195</v>
      </c>
      <c r="Q1248" s="24">
        <v>325</v>
      </c>
      <c r="R1248" s="24">
        <v>0</v>
      </c>
      <c r="S1248" s="24">
        <v>0</v>
      </c>
      <c r="T1248" s="24">
        <v>520</v>
      </c>
    </row>
    <row r="1249" spans="1:20">
      <c r="A1249" s="9" t="s">
        <v>828</v>
      </c>
      <c r="B1249" s="30" t="s">
        <v>931</v>
      </c>
      <c r="C1249" s="30" t="str">
        <f>CONCATENATE(VOL_VOLUMEN_SUMINISTROS[[#This Row],[Proyecto]],VOL_VOLUMEN_SUMINISTROS[[#This Row],[J]],VOL_VOLUMEN_SUMINISTROS[[#This Row],[FIN DE SEMANA]])</f>
        <v>1052-2M1NO</v>
      </c>
      <c r="D1249" s="360" t="str">
        <f>CONCATENATE(VOL_VOLUMEN_SUMINISTROS[[#This Row],[Grupo]],VOL_VOLUMEN_SUMINISTROS[[#This Row],[Proyecto]],VOL_VOLUMEN_SUMINISTROS[[#This Row],[FIN DE SEMANA]])</f>
        <v>171052-2NO</v>
      </c>
      <c r="E1249" s="30" t="s">
        <v>182</v>
      </c>
      <c r="F1249" s="30" t="s">
        <v>147</v>
      </c>
      <c r="G1249" s="360">
        <v>17</v>
      </c>
      <c r="H1249" s="30">
        <v>11</v>
      </c>
      <c r="I1249" s="9" t="s">
        <v>802</v>
      </c>
      <c r="J1249" s="9" t="s">
        <v>853</v>
      </c>
      <c r="K1249" s="30">
        <v>2</v>
      </c>
      <c r="L1249" s="9" t="s">
        <v>856</v>
      </c>
      <c r="M1249" s="30" t="s">
        <v>84</v>
      </c>
      <c r="N1249" s="30" t="s">
        <v>215</v>
      </c>
      <c r="O1249" s="24">
        <v>120</v>
      </c>
      <c r="P1249" s="24">
        <v>60</v>
      </c>
      <c r="Q1249" s="24">
        <v>0</v>
      </c>
      <c r="R1249" s="24">
        <v>0</v>
      </c>
      <c r="S1249" s="24">
        <v>0</v>
      </c>
      <c r="T1249" s="24">
        <v>180</v>
      </c>
    </row>
    <row r="1250" spans="1:20">
      <c r="A1250" s="9" t="s">
        <v>828</v>
      </c>
      <c r="B1250" s="30" t="s">
        <v>931</v>
      </c>
      <c r="C1250" s="30" t="str">
        <f>CONCATENATE(VOL_VOLUMEN_SUMINISTROS[[#This Row],[Proyecto]],VOL_VOLUMEN_SUMINISTROS[[#This Row],[J]],VOL_VOLUMEN_SUMINISTROS[[#This Row],[FIN DE SEMANA]])</f>
        <v>1052-2TNO</v>
      </c>
      <c r="D1250" s="360" t="str">
        <f>CONCATENATE(VOL_VOLUMEN_SUMINISTROS[[#This Row],[Grupo]],VOL_VOLUMEN_SUMINISTROS[[#This Row],[Proyecto]],VOL_VOLUMEN_SUMINISTROS[[#This Row],[FIN DE SEMANA]])</f>
        <v>171052-2NO</v>
      </c>
      <c r="E1250" s="30" t="s">
        <v>182</v>
      </c>
      <c r="F1250" s="30" t="s">
        <v>147</v>
      </c>
      <c r="G1250" s="360">
        <v>17</v>
      </c>
      <c r="H1250" s="30">
        <v>11</v>
      </c>
      <c r="I1250" s="9" t="s">
        <v>802</v>
      </c>
      <c r="J1250" s="9" t="s">
        <v>853</v>
      </c>
      <c r="K1250" s="30">
        <v>2</v>
      </c>
      <c r="L1250" s="9" t="s">
        <v>857</v>
      </c>
      <c r="M1250" s="30" t="s">
        <v>84</v>
      </c>
      <c r="N1250" s="30" t="s">
        <v>154</v>
      </c>
      <c r="O1250" s="24">
        <v>120</v>
      </c>
      <c r="P1250" s="24">
        <v>60</v>
      </c>
      <c r="Q1250" s="24">
        <v>0</v>
      </c>
      <c r="R1250" s="24">
        <v>0</v>
      </c>
      <c r="S1250" s="24">
        <v>0</v>
      </c>
      <c r="T1250" s="24">
        <v>180</v>
      </c>
    </row>
    <row r="1251" spans="1:20">
      <c r="A1251" s="9" t="s">
        <v>828</v>
      </c>
      <c r="B1251" s="30" t="s">
        <v>931</v>
      </c>
      <c r="C1251" s="30" t="str">
        <f>CONCATENATE(VOL_VOLUMEN_SUMINISTROS[[#This Row],[Proyecto]],VOL_VOLUMEN_SUMINISTROS[[#This Row],[J]],VOL_VOLUMEN_SUMINISTROS[[#This Row],[FIN DE SEMANA]])</f>
        <v>1052-2MNO</v>
      </c>
      <c r="D1251" s="360" t="str">
        <f>CONCATENATE(VOL_VOLUMEN_SUMINISTROS[[#This Row],[Grupo]],VOL_VOLUMEN_SUMINISTROS[[#This Row],[Proyecto]],VOL_VOLUMEN_SUMINISTROS[[#This Row],[FIN DE SEMANA]])</f>
        <v>171052-2NO</v>
      </c>
      <c r="E1251" s="30" t="s">
        <v>182</v>
      </c>
      <c r="F1251" s="30" t="s">
        <v>147</v>
      </c>
      <c r="G1251" s="360">
        <v>17</v>
      </c>
      <c r="H1251" s="30">
        <v>11</v>
      </c>
      <c r="I1251" s="9" t="s">
        <v>802</v>
      </c>
      <c r="J1251" s="9" t="s">
        <v>853</v>
      </c>
      <c r="K1251" s="30">
        <v>4</v>
      </c>
      <c r="L1251" s="9" t="s">
        <v>859</v>
      </c>
      <c r="M1251" s="30" t="s">
        <v>84</v>
      </c>
      <c r="N1251" s="30" t="s">
        <v>151</v>
      </c>
      <c r="O1251" s="24">
        <v>314</v>
      </c>
      <c r="P1251" s="24">
        <v>157</v>
      </c>
      <c r="Q1251" s="24">
        <v>0</v>
      </c>
      <c r="R1251" s="24">
        <v>0</v>
      </c>
      <c r="S1251" s="24">
        <v>0</v>
      </c>
      <c r="T1251" s="24">
        <v>471</v>
      </c>
    </row>
    <row r="1252" spans="1:20">
      <c r="A1252" s="9" t="s">
        <v>828</v>
      </c>
      <c r="B1252" s="30" t="s">
        <v>931</v>
      </c>
      <c r="C1252" s="30" t="str">
        <f>CONCATENATE(VOL_VOLUMEN_SUMINISTROS[[#This Row],[Proyecto]],VOL_VOLUMEN_SUMINISTROS[[#This Row],[J]],VOL_VOLUMEN_SUMINISTROS[[#This Row],[FIN DE SEMANA]])</f>
        <v>1052-2M1NO</v>
      </c>
      <c r="D1252" s="360" t="str">
        <f>CONCATENATE(VOL_VOLUMEN_SUMINISTROS[[#This Row],[Grupo]],VOL_VOLUMEN_SUMINISTROS[[#This Row],[Proyecto]],VOL_VOLUMEN_SUMINISTROS[[#This Row],[FIN DE SEMANA]])</f>
        <v>171052-2NO</v>
      </c>
      <c r="E1252" s="30" t="s">
        <v>182</v>
      </c>
      <c r="F1252" s="30" t="s">
        <v>147</v>
      </c>
      <c r="G1252" s="360">
        <v>17</v>
      </c>
      <c r="H1252" s="30">
        <v>11</v>
      </c>
      <c r="I1252" s="9" t="s">
        <v>802</v>
      </c>
      <c r="J1252" s="9" t="s">
        <v>853</v>
      </c>
      <c r="K1252" s="30">
        <v>5</v>
      </c>
      <c r="L1252" s="9" t="s">
        <v>937</v>
      </c>
      <c r="M1252" s="30" t="s">
        <v>84</v>
      </c>
      <c r="N1252" s="30" t="s">
        <v>215</v>
      </c>
      <c r="O1252" s="24">
        <v>68</v>
      </c>
      <c r="P1252" s="24">
        <v>238</v>
      </c>
      <c r="Q1252" s="24">
        <v>188</v>
      </c>
      <c r="R1252" s="24">
        <v>0</v>
      </c>
      <c r="S1252" s="24">
        <v>0</v>
      </c>
      <c r="T1252" s="24">
        <v>494</v>
      </c>
    </row>
    <row r="1253" spans="1:20">
      <c r="A1253" s="9" t="s">
        <v>828</v>
      </c>
      <c r="B1253" s="30" t="s">
        <v>938</v>
      </c>
      <c r="C1253" s="30" t="str">
        <f>CONCATENATE(VOL_VOLUMEN_SUMINISTROS[[#This Row],[Proyecto]],VOL_VOLUMEN_SUMINISTROS[[#This Row],[J]],VOL_VOLUMEN_SUMINISTROS[[#This Row],[FIN DE SEMANA]])</f>
        <v>1052-2M1NO</v>
      </c>
      <c r="D1253" s="360" t="str">
        <f>CONCATENATE(VOL_VOLUMEN_SUMINISTROS[[#This Row],[Grupo]],VOL_VOLUMEN_SUMINISTROS[[#This Row],[Proyecto]],VOL_VOLUMEN_SUMINISTROS[[#This Row],[FIN DE SEMANA]])</f>
        <v>131052-2NO</v>
      </c>
      <c r="E1253" s="30" t="s">
        <v>182</v>
      </c>
      <c r="F1253" s="30" t="s">
        <v>147</v>
      </c>
      <c r="G1253" s="360">
        <v>13</v>
      </c>
      <c r="H1253" s="30">
        <v>10</v>
      </c>
      <c r="I1253" s="9" t="s">
        <v>330</v>
      </c>
      <c r="J1253" s="9" t="s">
        <v>833</v>
      </c>
      <c r="K1253" s="30">
        <v>1</v>
      </c>
      <c r="L1253" s="9" t="s">
        <v>834</v>
      </c>
      <c r="M1253" s="30" t="s">
        <v>84</v>
      </c>
      <c r="N1253" s="30" t="s">
        <v>215</v>
      </c>
      <c r="O1253" s="24">
        <v>0</v>
      </c>
      <c r="P1253" s="24">
        <v>0</v>
      </c>
      <c r="Q1253" s="24">
        <v>147</v>
      </c>
      <c r="R1253" s="24">
        <v>0</v>
      </c>
      <c r="S1253" s="24">
        <v>0</v>
      </c>
      <c r="T1253" s="24">
        <v>147</v>
      </c>
    </row>
    <row r="1254" spans="1:20">
      <c r="A1254" s="9" t="s">
        <v>828</v>
      </c>
      <c r="B1254" s="30" t="s">
        <v>938</v>
      </c>
      <c r="C1254" s="30" t="str">
        <f>CONCATENATE(VOL_VOLUMEN_SUMINISTROS[[#This Row],[Proyecto]],VOL_VOLUMEN_SUMINISTROS[[#This Row],[J]],VOL_VOLUMEN_SUMINISTROS[[#This Row],[FIN DE SEMANA]])</f>
        <v>1052-2TNO</v>
      </c>
      <c r="D1254" s="360" t="str">
        <f>CONCATENATE(VOL_VOLUMEN_SUMINISTROS[[#This Row],[Grupo]],VOL_VOLUMEN_SUMINISTROS[[#This Row],[Proyecto]],VOL_VOLUMEN_SUMINISTROS[[#This Row],[FIN DE SEMANA]])</f>
        <v>171052-2NO</v>
      </c>
      <c r="E1254" s="30" t="s">
        <v>182</v>
      </c>
      <c r="F1254" s="30" t="s">
        <v>147</v>
      </c>
      <c r="G1254" s="360">
        <v>17</v>
      </c>
      <c r="H1254" s="30">
        <v>11</v>
      </c>
      <c r="I1254" s="9" t="s">
        <v>802</v>
      </c>
      <c r="J1254" s="9" t="s">
        <v>853</v>
      </c>
      <c r="K1254" s="30">
        <v>1</v>
      </c>
      <c r="L1254" s="9" t="s">
        <v>855</v>
      </c>
      <c r="M1254" s="30" t="s">
        <v>84</v>
      </c>
      <c r="N1254" s="30" t="s">
        <v>154</v>
      </c>
      <c r="O1254" s="24">
        <v>0</v>
      </c>
      <c r="P1254" s="24">
        <v>0</v>
      </c>
      <c r="Q1254" s="24">
        <v>110</v>
      </c>
      <c r="R1254" s="24">
        <v>0</v>
      </c>
      <c r="S1254" s="24">
        <v>0</v>
      </c>
      <c r="T1254" s="24">
        <v>110</v>
      </c>
    </row>
    <row r="1255" spans="1:20">
      <c r="A1255" s="9" t="s">
        <v>828</v>
      </c>
      <c r="B1255" s="30" t="s">
        <v>939</v>
      </c>
      <c r="C1255" s="30" t="str">
        <f>CONCATENATE(VOL_VOLUMEN_SUMINISTROS[[#This Row],[Proyecto]],VOL_VOLUMEN_SUMINISTROS[[#This Row],[J]],VOL_VOLUMEN_SUMINISTROS[[#This Row],[FIN DE SEMANA]])</f>
        <v>1052-2MNO</v>
      </c>
      <c r="D1255" s="360" t="str">
        <f>CONCATENATE(VOL_VOLUMEN_SUMINISTROS[[#This Row],[Grupo]],VOL_VOLUMEN_SUMINISTROS[[#This Row],[Proyecto]],VOL_VOLUMEN_SUMINISTROS[[#This Row],[FIN DE SEMANA]])</f>
        <v>201052-2NO</v>
      </c>
      <c r="E1255" s="30" t="s">
        <v>182</v>
      </c>
      <c r="F1255" s="30" t="s">
        <v>147</v>
      </c>
      <c r="G1255" s="360">
        <v>20</v>
      </c>
      <c r="H1255" s="30">
        <v>11</v>
      </c>
      <c r="I1255" s="9" t="s">
        <v>802</v>
      </c>
      <c r="J1255" s="9" t="s">
        <v>924</v>
      </c>
      <c r="K1255" s="30">
        <v>1</v>
      </c>
      <c r="L1255" s="9" t="s">
        <v>940</v>
      </c>
      <c r="M1255" s="30" t="s">
        <v>84</v>
      </c>
      <c r="N1255" s="30" t="s">
        <v>151</v>
      </c>
      <c r="O1255" s="24">
        <v>137</v>
      </c>
      <c r="P1255" s="24">
        <v>0</v>
      </c>
      <c r="Q1255" s="24">
        <v>0</v>
      </c>
      <c r="R1255" s="24">
        <v>0</v>
      </c>
      <c r="S1255" s="24">
        <v>0</v>
      </c>
      <c r="T1255" s="24">
        <v>137</v>
      </c>
    </row>
    <row r="1256" spans="1:20">
      <c r="A1256" s="9" t="s">
        <v>828</v>
      </c>
      <c r="B1256" s="30" t="s">
        <v>939</v>
      </c>
      <c r="C1256" s="30" t="str">
        <f>CONCATENATE(VOL_VOLUMEN_SUMINISTROS[[#This Row],[Proyecto]],VOL_VOLUMEN_SUMINISTROS[[#This Row],[J]],VOL_VOLUMEN_SUMINISTROS[[#This Row],[FIN DE SEMANA]])</f>
        <v>1052-2TNO</v>
      </c>
      <c r="D1256" s="360" t="str">
        <f>CONCATENATE(VOL_VOLUMEN_SUMINISTROS[[#This Row],[Grupo]],VOL_VOLUMEN_SUMINISTROS[[#This Row],[Proyecto]],VOL_VOLUMEN_SUMINISTROS[[#This Row],[FIN DE SEMANA]])</f>
        <v>201052-2NO</v>
      </c>
      <c r="E1256" s="30" t="s">
        <v>182</v>
      </c>
      <c r="F1256" s="30" t="s">
        <v>147</v>
      </c>
      <c r="G1256" s="360">
        <v>20</v>
      </c>
      <c r="H1256" s="30">
        <v>11</v>
      </c>
      <c r="I1256" s="9" t="s">
        <v>802</v>
      </c>
      <c r="J1256" s="9" t="s">
        <v>924</v>
      </c>
      <c r="K1256" s="30">
        <v>1</v>
      </c>
      <c r="L1256" s="9" t="s">
        <v>940</v>
      </c>
      <c r="M1256" s="30" t="s">
        <v>84</v>
      </c>
      <c r="N1256" s="30" t="s">
        <v>154</v>
      </c>
      <c r="O1256" s="24">
        <v>121</v>
      </c>
      <c r="P1256" s="24">
        <v>0</v>
      </c>
      <c r="Q1256" s="24">
        <v>0</v>
      </c>
      <c r="R1256" s="24">
        <v>0</v>
      </c>
      <c r="S1256" s="24">
        <v>0</v>
      </c>
      <c r="T1256" s="24">
        <v>121</v>
      </c>
    </row>
    <row r="1257" spans="1:20">
      <c r="A1257" s="9" t="s">
        <v>828</v>
      </c>
      <c r="B1257" s="30" t="s">
        <v>939</v>
      </c>
      <c r="C1257" s="30" t="str">
        <f>CONCATENATE(VOL_VOLUMEN_SUMINISTROS[[#This Row],[Proyecto]],VOL_VOLUMEN_SUMINISTROS[[#This Row],[J]],VOL_VOLUMEN_SUMINISTROS[[#This Row],[FIN DE SEMANA]])</f>
        <v>1052-2MNO</v>
      </c>
      <c r="D1257" s="360" t="str">
        <f>CONCATENATE(VOL_VOLUMEN_SUMINISTROS[[#This Row],[Grupo]],VOL_VOLUMEN_SUMINISTROS[[#This Row],[Proyecto]],VOL_VOLUMEN_SUMINISTROS[[#This Row],[FIN DE SEMANA]])</f>
        <v>201052-2NO</v>
      </c>
      <c r="E1257" s="30" t="s">
        <v>182</v>
      </c>
      <c r="F1257" s="30" t="s">
        <v>147</v>
      </c>
      <c r="G1257" s="360">
        <v>20</v>
      </c>
      <c r="H1257" s="30">
        <v>11</v>
      </c>
      <c r="I1257" s="9" t="s">
        <v>802</v>
      </c>
      <c r="J1257" s="9" t="s">
        <v>924</v>
      </c>
      <c r="K1257" s="30">
        <v>2</v>
      </c>
      <c r="L1257" s="9" t="s">
        <v>925</v>
      </c>
      <c r="M1257" s="30" t="s">
        <v>84</v>
      </c>
      <c r="N1257" s="30" t="s">
        <v>151</v>
      </c>
      <c r="O1257" s="24">
        <v>169</v>
      </c>
      <c r="P1257" s="24">
        <v>0</v>
      </c>
      <c r="Q1257" s="24">
        <v>0</v>
      </c>
      <c r="R1257" s="24">
        <v>0</v>
      </c>
      <c r="S1257" s="24">
        <v>0</v>
      </c>
      <c r="T1257" s="24">
        <v>169</v>
      </c>
    </row>
    <row r="1258" spans="1:20">
      <c r="A1258" s="9" t="s">
        <v>828</v>
      </c>
      <c r="B1258" s="30" t="s">
        <v>939</v>
      </c>
      <c r="C1258" s="30" t="str">
        <f>CONCATENATE(VOL_VOLUMEN_SUMINISTROS[[#This Row],[Proyecto]],VOL_VOLUMEN_SUMINISTROS[[#This Row],[J]],VOL_VOLUMEN_SUMINISTROS[[#This Row],[FIN DE SEMANA]])</f>
        <v>1052-2TNO</v>
      </c>
      <c r="D1258" s="360" t="str">
        <f>CONCATENATE(VOL_VOLUMEN_SUMINISTROS[[#This Row],[Grupo]],VOL_VOLUMEN_SUMINISTROS[[#This Row],[Proyecto]],VOL_VOLUMEN_SUMINISTROS[[#This Row],[FIN DE SEMANA]])</f>
        <v>201052-2NO</v>
      </c>
      <c r="E1258" s="30" t="s">
        <v>182</v>
      </c>
      <c r="F1258" s="30" t="s">
        <v>147</v>
      </c>
      <c r="G1258" s="360">
        <v>20</v>
      </c>
      <c r="H1258" s="30">
        <v>11</v>
      </c>
      <c r="I1258" s="9" t="s">
        <v>802</v>
      </c>
      <c r="J1258" s="9" t="s">
        <v>924</v>
      </c>
      <c r="K1258" s="30">
        <v>2</v>
      </c>
      <c r="L1258" s="9" t="s">
        <v>925</v>
      </c>
      <c r="M1258" s="30" t="s">
        <v>84</v>
      </c>
      <c r="N1258" s="30" t="s">
        <v>154</v>
      </c>
      <c r="O1258" s="24">
        <v>138</v>
      </c>
      <c r="P1258" s="24">
        <v>0</v>
      </c>
      <c r="Q1258" s="24">
        <v>0</v>
      </c>
      <c r="R1258" s="24">
        <v>0</v>
      </c>
      <c r="S1258" s="24">
        <v>0</v>
      </c>
      <c r="T1258" s="24">
        <v>138</v>
      </c>
    </row>
    <row r="1259" spans="1:20">
      <c r="A1259" s="9" t="s">
        <v>828</v>
      </c>
      <c r="B1259" s="30" t="s">
        <v>939</v>
      </c>
      <c r="C1259" s="30" t="str">
        <f>CONCATENATE(VOL_VOLUMEN_SUMINISTROS[[#This Row],[Proyecto]],VOL_VOLUMEN_SUMINISTROS[[#This Row],[J]],VOL_VOLUMEN_SUMINISTROS[[#This Row],[FIN DE SEMANA]])</f>
        <v>1052-2MNO</v>
      </c>
      <c r="D1259" s="360" t="str">
        <f>CONCATENATE(VOL_VOLUMEN_SUMINISTROS[[#This Row],[Grupo]],VOL_VOLUMEN_SUMINISTROS[[#This Row],[Proyecto]],VOL_VOLUMEN_SUMINISTROS[[#This Row],[FIN DE SEMANA]])</f>
        <v>201052-2NO</v>
      </c>
      <c r="E1259" s="30" t="s">
        <v>182</v>
      </c>
      <c r="F1259" s="30" t="s">
        <v>147</v>
      </c>
      <c r="G1259" s="360">
        <v>20</v>
      </c>
      <c r="H1259" s="30">
        <v>11</v>
      </c>
      <c r="I1259" s="9" t="s">
        <v>802</v>
      </c>
      <c r="J1259" s="9" t="s">
        <v>898</v>
      </c>
      <c r="K1259" s="30">
        <v>2</v>
      </c>
      <c r="L1259" s="9" t="s">
        <v>899</v>
      </c>
      <c r="M1259" s="30" t="s">
        <v>84</v>
      </c>
      <c r="N1259" s="30" t="s">
        <v>151</v>
      </c>
      <c r="O1259" s="24">
        <v>224</v>
      </c>
      <c r="P1259" s="24">
        <v>0</v>
      </c>
      <c r="Q1259" s="24">
        <v>0</v>
      </c>
      <c r="R1259" s="24">
        <v>0</v>
      </c>
      <c r="S1259" s="24">
        <v>0</v>
      </c>
      <c r="T1259" s="24">
        <v>224</v>
      </c>
    </row>
    <row r="1260" spans="1:20">
      <c r="A1260" s="9" t="s">
        <v>828</v>
      </c>
      <c r="B1260" s="30" t="s">
        <v>939</v>
      </c>
      <c r="C1260" s="30" t="str">
        <f>CONCATENATE(VOL_VOLUMEN_SUMINISTROS[[#This Row],[Proyecto]],VOL_VOLUMEN_SUMINISTROS[[#This Row],[J]],VOL_VOLUMEN_SUMINISTROS[[#This Row],[FIN DE SEMANA]])</f>
        <v>1052-2TNO</v>
      </c>
      <c r="D1260" s="360" t="str">
        <f>CONCATENATE(VOL_VOLUMEN_SUMINISTROS[[#This Row],[Grupo]],VOL_VOLUMEN_SUMINISTROS[[#This Row],[Proyecto]],VOL_VOLUMEN_SUMINISTROS[[#This Row],[FIN DE SEMANA]])</f>
        <v>201052-2NO</v>
      </c>
      <c r="E1260" s="30" t="s">
        <v>182</v>
      </c>
      <c r="F1260" s="30" t="s">
        <v>147</v>
      </c>
      <c r="G1260" s="360">
        <v>20</v>
      </c>
      <c r="H1260" s="30">
        <v>11</v>
      </c>
      <c r="I1260" s="9" t="s">
        <v>802</v>
      </c>
      <c r="J1260" s="9" t="s">
        <v>898</v>
      </c>
      <c r="K1260" s="30">
        <v>2</v>
      </c>
      <c r="L1260" s="9" t="s">
        <v>899</v>
      </c>
      <c r="M1260" s="30" t="s">
        <v>84</v>
      </c>
      <c r="N1260" s="30" t="s">
        <v>154</v>
      </c>
      <c r="O1260" s="24">
        <v>224</v>
      </c>
      <c r="P1260" s="24">
        <v>0</v>
      </c>
      <c r="Q1260" s="24">
        <v>0</v>
      </c>
      <c r="R1260" s="24">
        <v>0</v>
      </c>
      <c r="S1260" s="24">
        <v>0</v>
      </c>
      <c r="T1260" s="24">
        <v>224</v>
      </c>
    </row>
    <row r="1261" spans="1:20">
      <c r="A1261" s="9" t="s">
        <v>828</v>
      </c>
      <c r="B1261" s="30" t="s">
        <v>941</v>
      </c>
      <c r="C1261" s="30" t="str">
        <f>CONCATENATE(VOL_VOLUMEN_SUMINISTROS[[#This Row],[Proyecto]],VOL_VOLUMEN_SUMINISTROS[[#This Row],[J]],VOL_VOLUMEN_SUMINISTROS[[#This Row],[FIN DE SEMANA]])</f>
        <v>1052-1MNO</v>
      </c>
      <c r="D1261" s="360" t="str">
        <f>CONCATENATE(VOL_VOLUMEN_SUMINISTROS[[#This Row],[Grupo]],VOL_VOLUMEN_SUMINISTROS[[#This Row],[Proyecto]],VOL_VOLUMEN_SUMINISTROS[[#This Row],[FIN DE SEMANA]])</f>
        <v>161052-1NO</v>
      </c>
      <c r="E1261" s="30" t="s">
        <v>146</v>
      </c>
      <c r="F1261" s="30" t="s">
        <v>147</v>
      </c>
      <c r="G1261" s="360">
        <v>16</v>
      </c>
      <c r="H1261" s="30">
        <v>1</v>
      </c>
      <c r="I1261" s="9" t="s">
        <v>396</v>
      </c>
      <c r="J1261" s="9" t="s">
        <v>942</v>
      </c>
      <c r="K1261" s="30">
        <v>1</v>
      </c>
      <c r="L1261" s="9" t="s">
        <v>943</v>
      </c>
      <c r="M1261" s="30" t="s">
        <v>84</v>
      </c>
      <c r="N1261" s="30" t="s">
        <v>151</v>
      </c>
      <c r="O1261" s="24">
        <v>0</v>
      </c>
      <c r="P1261" s="24">
        <v>243</v>
      </c>
      <c r="Q1261" s="24">
        <v>493</v>
      </c>
      <c r="R1261" s="24">
        <v>0</v>
      </c>
      <c r="S1261" s="24">
        <v>0</v>
      </c>
      <c r="T1261" s="24">
        <v>736</v>
      </c>
    </row>
    <row r="1262" spans="1:20">
      <c r="A1262" s="9" t="s">
        <v>828</v>
      </c>
      <c r="B1262" s="30" t="s">
        <v>941</v>
      </c>
      <c r="C1262" s="30" t="str">
        <f>CONCATENATE(VOL_VOLUMEN_SUMINISTROS[[#This Row],[Proyecto]],VOL_VOLUMEN_SUMINISTROS[[#This Row],[J]],VOL_VOLUMEN_SUMINISTROS[[#This Row],[FIN DE SEMANA]])</f>
        <v>1052-1NNO</v>
      </c>
      <c r="D1262" s="360" t="str">
        <f>CONCATENATE(VOL_VOLUMEN_SUMINISTROS[[#This Row],[Grupo]],VOL_VOLUMEN_SUMINISTROS[[#This Row],[Proyecto]],VOL_VOLUMEN_SUMINISTROS[[#This Row],[FIN DE SEMANA]])</f>
        <v>161052-1NO</v>
      </c>
      <c r="E1262" s="30" t="s">
        <v>146</v>
      </c>
      <c r="F1262" s="30" t="s">
        <v>147</v>
      </c>
      <c r="G1262" s="360">
        <v>16</v>
      </c>
      <c r="H1262" s="30">
        <v>1</v>
      </c>
      <c r="I1262" s="9" t="s">
        <v>396</v>
      </c>
      <c r="J1262" s="9" t="s">
        <v>942</v>
      </c>
      <c r="K1262" s="30">
        <v>1</v>
      </c>
      <c r="L1262" s="9" t="s">
        <v>943</v>
      </c>
      <c r="M1262" s="30" t="s">
        <v>84</v>
      </c>
      <c r="N1262" s="30" t="s">
        <v>153</v>
      </c>
      <c r="O1262" s="24">
        <v>0</v>
      </c>
      <c r="P1262" s="24">
        <v>0</v>
      </c>
      <c r="Q1262" s="24">
        <v>0</v>
      </c>
      <c r="R1262" s="24">
        <v>124</v>
      </c>
      <c r="S1262" s="24">
        <v>145</v>
      </c>
      <c r="T1262" s="24">
        <v>269</v>
      </c>
    </row>
    <row r="1263" spans="1:20">
      <c r="A1263" s="9" t="s">
        <v>828</v>
      </c>
      <c r="B1263" s="30" t="s">
        <v>941</v>
      </c>
      <c r="C1263" s="30" t="str">
        <f>CONCATENATE(VOL_VOLUMEN_SUMINISTROS[[#This Row],[Proyecto]],VOL_VOLUMEN_SUMINISTROS[[#This Row],[J]],VOL_VOLUMEN_SUMINISTROS[[#This Row],[FIN DE SEMANA]])</f>
        <v>1052-1TNO</v>
      </c>
      <c r="D1263" s="360" t="str">
        <f>CONCATENATE(VOL_VOLUMEN_SUMINISTROS[[#This Row],[Grupo]],VOL_VOLUMEN_SUMINISTROS[[#This Row],[Proyecto]],VOL_VOLUMEN_SUMINISTROS[[#This Row],[FIN DE SEMANA]])</f>
        <v>161052-1NO</v>
      </c>
      <c r="E1263" s="30" t="s">
        <v>146</v>
      </c>
      <c r="F1263" s="30" t="s">
        <v>147</v>
      </c>
      <c r="G1263" s="360">
        <v>16</v>
      </c>
      <c r="H1263" s="30">
        <v>1</v>
      </c>
      <c r="I1263" s="9" t="s">
        <v>396</v>
      </c>
      <c r="J1263" s="9" t="s">
        <v>942</v>
      </c>
      <c r="K1263" s="30">
        <v>1</v>
      </c>
      <c r="L1263" s="9" t="s">
        <v>943</v>
      </c>
      <c r="M1263" s="30" t="s">
        <v>84</v>
      </c>
      <c r="N1263" s="30" t="s">
        <v>154</v>
      </c>
      <c r="O1263" s="24">
        <v>0</v>
      </c>
      <c r="P1263" s="24">
        <v>207</v>
      </c>
      <c r="Q1263" s="24">
        <v>388</v>
      </c>
      <c r="R1263" s="24">
        <v>0</v>
      </c>
      <c r="S1263" s="24">
        <v>0</v>
      </c>
      <c r="T1263" s="24">
        <v>595</v>
      </c>
    </row>
    <row r="1264" spans="1:20">
      <c r="A1264" s="9" t="s">
        <v>828</v>
      </c>
      <c r="B1264" s="30" t="s">
        <v>941</v>
      </c>
      <c r="C1264" s="30" t="str">
        <f>CONCATENATE(VOL_VOLUMEN_SUMINISTROS[[#This Row],[Proyecto]],VOL_VOLUMEN_SUMINISTROS[[#This Row],[J]],VOL_VOLUMEN_SUMINISTROS[[#This Row],[FIN DE SEMANA]])</f>
        <v>1052-1MNO</v>
      </c>
      <c r="D1264" s="360" t="str">
        <f>CONCATENATE(VOL_VOLUMEN_SUMINISTROS[[#This Row],[Grupo]],VOL_VOLUMEN_SUMINISTROS[[#This Row],[Proyecto]],VOL_VOLUMEN_SUMINISTROS[[#This Row],[FIN DE SEMANA]])</f>
        <v>161052-1NO</v>
      </c>
      <c r="E1264" s="30" t="s">
        <v>146</v>
      </c>
      <c r="F1264" s="30" t="s">
        <v>147</v>
      </c>
      <c r="G1264" s="360">
        <v>16</v>
      </c>
      <c r="H1264" s="30">
        <v>1</v>
      </c>
      <c r="I1264" s="9" t="s">
        <v>396</v>
      </c>
      <c r="J1264" s="9" t="s">
        <v>942</v>
      </c>
      <c r="K1264" s="30">
        <v>2</v>
      </c>
      <c r="L1264" s="9" t="s">
        <v>944</v>
      </c>
      <c r="M1264" s="30" t="s">
        <v>84</v>
      </c>
      <c r="N1264" s="30" t="s">
        <v>151</v>
      </c>
      <c r="O1264" s="24">
        <v>303</v>
      </c>
      <c r="P1264" s="24">
        <v>292</v>
      </c>
      <c r="Q1264" s="24">
        <v>59</v>
      </c>
      <c r="R1264" s="24">
        <v>0</v>
      </c>
      <c r="S1264" s="24">
        <v>0</v>
      </c>
      <c r="T1264" s="24">
        <v>654</v>
      </c>
    </row>
    <row r="1265" spans="1:20">
      <c r="A1265" s="9" t="s">
        <v>828</v>
      </c>
      <c r="B1265" s="30" t="s">
        <v>941</v>
      </c>
      <c r="C1265" s="30" t="str">
        <f>CONCATENATE(VOL_VOLUMEN_SUMINISTROS[[#This Row],[Proyecto]],VOL_VOLUMEN_SUMINISTROS[[#This Row],[J]],VOL_VOLUMEN_SUMINISTROS[[#This Row],[FIN DE SEMANA]])</f>
        <v>1052-1TNO</v>
      </c>
      <c r="D1265" s="360" t="str">
        <f>CONCATENATE(VOL_VOLUMEN_SUMINISTROS[[#This Row],[Grupo]],VOL_VOLUMEN_SUMINISTROS[[#This Row],[Proyecto]],VOL_VOLUMEN_SUMINISTROS[[#This Row],[FIN DE SEMANA]])</f>
        <v>161052-1NO</v>
      </c>
      <c r="E1265" s="30" t="s">
        <v>146</v>
      </c>
      <c r="F1265" s="30" t="s">
        <v>147</v>
      </c>
      <c r="G1265" s="360">
        <v>16</v>
      </c>
      <c r="H1265" s="30">
        <v>1</v>
      </c>
      <c r="I1265" s="9" t="s">
        <v>396</v>
      </c>
      <c r="J1265" s="9" t="s">
        <v>942</v>
      </c>
      <c r="K1265" s="30">
        <v>2</v>
      </c>
      <c r="L1265" s="9" t="s">
        <v>944</v>
      </c>
      <c r="M1265" s="30" t="s">
        <v>84</v>
      </c>
      <c r="N1265" s="30" t="s">
        <v>154</v>
      </c>
      <c r="O1265" s="24">
        <v>320</v>
      </c>
      <c r="P1265" s="24">
        <v>267</v>
      </c>
      <c r="Q1265" s="24">
        <v>51</v>
      </c>
      <c r="R1265" s="24">
        <v>0</v>
      </c>
      <c r="S1265" s="24">
        <v>0</v>
      </c>
      <c r="T1265" s="24">
        <v>638</v>
      </c>
    </row>
    <row r="1266" spans="1:20">
      <c r="A1266" s="9" t="s">
        <v>828</v>
      </c>
      <c r="B1266" s="30" t="s">
        <v>941</v>
      </c>
      <c r="C1266" s="30" t="str">
        <f>CONCATENATE(VOL_VOLUMEN_SUMINISTROS[[#This Row],[Proyecto]],VOL_VOLUMEN_SUMINISTROS[[#This Row],[J]],VOL_VOLUMEN_SUMINISTROS[[#This Row],[FIN DE SEMANA]])</f>
        <v>1052-1MNO</v>
      </c>
      <c r="D1266" s="360" t="str">
        <f>CONCATENATE(VOL_VOLUMEN_SUMINISTROS[[#This Row],[Grupo]],VOL_VOLUMEN_SUMINISTROS[[#This Row],[Proyecto]],VOL_VOLUMEN_SUMINISTROS[[#This Row],[FIN DE SEMANA]])</f>
        <v>51052-1NO</v>
      </c>
      <c r="E1266" s="30" t="s">
        <v>146</v>
      </c>
      <c r="F1266" s="30" t="s">
        <v>147</v>
      </c>
      <c r="G1266" s="360">
        <v>5</v>
      </c>
      <c r="H1266" s="30">
        <v>10</v>
      </c>
      <c r="I1266" s="9" t="s">
        <v>330</v>
      </c>
      <c r="J1266" s="9" t="s">
        <v>932</v>
      </c>
      <c r="K1266" s="30">
        <v>1</v>
      </c>
      <c r="L1266" s="9" t="s">
        <v>933</v>
      </c>
      <c r="M1266" s="30" t="s">
        <v>84</v>
      </c>
      <c r="N1266" s="30" t="s">
        <v>151</v>
      </c>
      <c r="O1266" s="24">
        <v>0</v>
      </c>
      <c r="P1266" s="24">
        <v>156</v>
      </c>
      <c r="Q1266" s="24">
        <v>285</v>
      </c>
      <c r="R1266" s="24">
        <v>0</v>
      </c>
      <c r="S1266" s="24">
        <v>0</v>
      </c>
      <c r="T1266" s="24">
        <v>441</v>
      </c>
    </row>
    <row r="1267" spans="1:20">
      <c r="A1267" s="9" t="s">
        <v>828</v>
      </c>
      <c r="B1267" s="30" t="s">
        <v>941</v>
      </c>
      <c r="C1267" s="30" t="str">
        <f>CONCATENATE(VOL_VOLUMEN_SUMINISTROS[[#This Row],[Proyecto]],VOL_VOLUMEN_SUMINISTROS[[#This Row],[J]],VOL_VOLUMEN_SUMINISTROS[[#This Row],[FIN DE SEMANA]])</f>
        <v>1052-1TNO</v>
      </c>
      <c r="D1267" s="360" t="str">
        <f>CONCATENATE(VOL_VOLUMEN_SUMINISTROS[[#This Row],[Grupo]],VOL_VOLUMEN_SUMINISTROS[[#This Row],[Proyecto]],VOL_VOLUMEN_SUMINISTROS[[#This Row],[FIN DE SEMANA]])</f>
        <v>51052-1NO</v>
      </c>
      <c r="E1267" s="30" t="s">
        <v>146</v>
      </c>
      <c r="F1267" s="30" t="s">
        <v>147</v>
      </c>
      <c r="G1267" s="360">
        <v>5</v>
      </c>
      <c r="H1267" s="30">
        <v>10</v>
      </c>
      <c r="I1267" s="9" t="s">
        <v>330</v>
      </c>
      <c r="J1267" s="9" t="s">
        <v>932</v>
      </c>
      <c r="K1267" s="30">
        <v>1</v>
      </c>
      <c r="L1267" s="9" t="s">
        <v>933</v>
      </c>
      <c r="M1267" s="30" t="s">
        <v>84</v>
      </c>
      <c r="N1267" s="30" t="s">
        <v>154</v>
      </c>
      <c r="O1267" s="24">
        <v>0</v>
      </c>
      <c r="P1267" s="24">
        <v>42</v>
      </c>
      <c r="Q1267" s="24">
        <v>142</v>
      </c>
      <c r="R1267" s="24">
        <v>0</v>
      </c>
      <c r="S1267" s="24">
        <v>0</v>
      </c>
      <c r="T1267" s="24">
        <v>184</v>
      </c>
    </row>
    <row r="1268" spans="1:20">
      <c r="A1268" s="9" t="s">
        <v>828</v>
      </c>
      <c r="B1268" s="30" t="s">
        <v>941</v>
      </c>
      <c r="C1268" s="30" t="str">
        <f>CONCATENATE(VOL_VOLUMEN_SUMINISTROS[[#This Row],[Proyecto]],VOL_VOLUMEN_SUMINISTROS[[#This Row],[J]],VOL_VOLUMEN_SUMINISTROS[[#This Row],[FIN DE SEMANA]])</f>
        <v>1052-1MNO</v>
      </c>
      <c r="D1268" s="360" t="str">
        <f>CONCATENATE(VOL_VOLUMEN_SUMINISTROS[[#This Row],[Grupo]],VOL_VOLUMEN_SUMINISTROS[[#This Row],[Proyecto]],VOL_VOLUMEN_SUMINISTROS[[#This Row],[FIN DE SEMANA]])</f>
        <v>51052-1NO</v>
      </c>
      <c r="E1268" s="30" t="s">
        <v>146</v>
      </c>
      <c r="F1268" s="30" t="s">
        <v>147</v>
      </c>
      <c r="G1268" s="360">
        <v>5</v>
      </c>
      <c r="H1268" s="30">
        <v>10</v>
      </c>
      <c r="I1268" s="9" t="s">
        <v>330</v>
      </c>
      <c r="J1268" s="9" t="s">
        <v>932</v>
      </c>
      <c r="K1268" s="30">
        <v>2</v>
      </c>
      <c r="L1268" s="9" t="s">
        <v>934</v>
      </c>
      <c r="M1268" s="30" t="s">
        <v>84</v>
      </c>
      <c r="N1268" s="30" t="s">
        <v>151</v>
      </c>
      <c r="O1268" s="24">
        <v>176</v>
      </c>
      <c r="P1268" s="24">
        <v>43</v>
      </c>
      <c r="Q1268" s="24">
        <v>0</v>
      </c>
      <c r="R1268" s="24">
        <v>0</v>
      </c>
      <c r="S1268" s="24">
        <v>0</v>
      </c>
      <c r="T1268" s="24">
        <v>219</v>
      </c>
    </row>
    <row r="1269" spans="1:20">
      <c r="A1269" s="9" t="s">
        <v>828</v>
      </c>
      <c r="B1269" s="30" t="s">
        <v>941</v>
      </c>
      <c r="C1269" s="30" t="str">
        <f>CONCATENATE(VOL_VOLUMEN_SUMINISTROS[[#This Row],[Proyecto]],VOL_VOLUMEN_SUMINISTROS[[#This Row],[J]],VOL_VOLUMEN_SUMINISTROS[[#This Row],[FIN DE SEMANA]])</f>
        <v>1052-1MNO</v>
      </c>
      <c r="D1269" s="360" t="str">
        <f>CONCATENATE(VOL_VOLUMEN_SUMINISTROS[[#This Row],[Grupo]],VOL_VOLUMEN_SUMINISTROS[[#This Row],[Proyecto]],VOL_VOLUMEN_SUMINISTROS[[#This Row],[FIN DE SEMANA]])</f>
        <v>51052-1NO</v>
      </c>
      <c r="E1269" s="30" t="s">
        <v>146</v>
      </c>
      <c r="F1269" s="30" t="s">
        <v>147</v>
      </c>
      <c r="G1269" s="360">
        <v>5</v>
      </c>
      <c r="H1269" s="30">
        <v>10</v>
      </c>
      <c r="I1269" s="9" t="s">
        <v>330</v>
      </c>
      <c r="J1269" s="9" t="s">
        <v>932</v>
      </c>
      <c r="K1269" s="30">
        <v>3</v>
      </c>
      <c r="L1269" s="9" t="s">
        <v>935</v>
      </c>
      <c r="M1269" s="30" t="s">
        <v>84</v>
      </c>
      <c r="N1269" s="30" t="s">
        <v>151</v>
      </c>
      <c r="O1269" s="24">
        <v>46</v>
      </c>
      <c r="P1269" s="24">
        <v>119</v>
      </c>
      <c r="Q1269" s="24">
        <v>32</v>
      </c>
      <c r="R1269" s="24">
        <v>0</v>
      </c>
      <c r="S1269" s="24">
        <v>0</v>
      </c>
      <c r="T1269" s="24">
        <v>197</v>
      </c>
    </row>
    <row r="1270" spans="1:20">
      <c r="A1270" s="9" t="s">
        <v>828</v>
      </c>
      <c r="B1270" s="30" t="s">
        <v>941</v>
      </c>
      <c r="C1270" s="30" t="str">
        <f>CONCATENATE(VOL_VOLUMEN_SUMINISTROS[[#This Row],[Proyecto]],VOL_VOLUMEN_SUMINISTROS[[#This Row],[J]],VOL_VOLUMEN_SUMINISTROS[[#This Row],[FIN DE SEMANA]])</f>
        <v>1052-1TNO</v>
      </c>
      <c r="D1270" s="360" t="str">
        <f>CONCATENATE(VOL_VOLUMEN_SUMINISTROS[[#This Row],[Grupo]],VOL_VOLUMEN_SUMINISTROS[[#This Row],[Proyecto]],VOL_VOLUMEN_SUMINISTROS[[#This Row],[FIN DE SEMANA]])</f>
        <v>51052-1NO</v>
      </c>
      <c r="E1270" s="30" t="s">
        <v>146</v>
      </c>
      <c r="F1270" s="30" t="s">
        <v>147</v>
      </c>
      <c r="G1270" s="360">
        <v>5</v>
      </c>
      <c r="H1270" s="30">
        <v>10</v>
      </c>
      <c r="I1270" s="9" t="s">
        <v>330</v>
      </c>
      <c r="J1270" s="9" t="s">
        <v>932</v>
      </c>
      <c r="K1270" s="30">
        <v>3</v>
      </c>
      <c r="L1270" s="9" t="s">
        <v>935</v>
      </c>
      <c r="M1270" s="30" t="s">
        <v>84</v>
      </c>
      <c r="N1270" s="30" t="s">
        <v>154</v>
      </c>
      <c r="O1270" s="24">
        <v>14</v>
      </c>
      <c r="P1270" s="24">
        <v>34</v>
      </c>
      <c r="Q1270" s="24">
        <v>9</v>
      </c>
      <c r="R1270" s="24">
        <v>0</v>
      </c>
      <c r="S1270" s="24">
        <v>0</v>
      </c>
      <c r="T1270" s="24">
        <v>57</v>
      </c>
    </row>
    <row r="1271" spans="1:20">
      <c r="A1271" s="9" t="s">
        <v>828</v>
      </c>
      <c r="B1271" s="30" t="s">
        <v>941</v>
      </c>
      <c r="C1271" s="30" t="str">
        <f>CONCATENATE(VOL_VOLUMEN_SUMINISTROS[[#This Row],[Proyecto]],VOL_VOLUMEN_SUMINISTROS[[#This Row],[J]],VOL_VOLUMEN_SUMINISTROS[[#This Row],[FIN DE SEMANA]])</f>
        <v>1052-1MNO</v>
      </c>
      <c r="D1271" s="360" t="str">
        <f>CONCATENATE(VOL_VOLUMEN_SUMINISTROS[[#This Row],[Grupo]],VOL_VOLUMEN_SUMINISTROS[[#This Row],[Proyecto]],VOL_VOLUMEN_SUMINISTROS[[#This Row],[FIN DE SEMANA]])</f>
        <v>51052-1NO</v>
      </c>
      <c r="E1271" s="30" t="s">
        <v>146</v>
      </c>
      <c r="F1271" s="30" t="s">
        <v>147</v>
      </c>
      <c r="G1271" s="360">
        <v>5</v>
      </c>
      <c r="H1271" s="30">
        <v>10</v>
      </c>
      <c r="I1271" s="9" t="s">
        <v>330</v>
      </c>
      <c r="J1271" s="9" t="s">
        <v>932</v>
      </c>
      <c r="K1271" s="30">
        <v>4</v>
      </c>
      <c r="L1271" s="9" t="s">
        <v>936</v>
      </c>
      <c r="M1271" s="30" t="s">
        <v>84</v>
      </c>
      <c r="N1271" s="30" t="s">
        <v>151</v>
      </c>
      <c r="O1271" s="24">
        <v>131</v>
      </c>
      <c r="P1271" s="24">
        <v>81</v>
      </c>
      <c r="Q1271" s="24">
        <v>16</v>
      </c>
      <c r="R1271" s="24">
        <v>0</v>
      </c>
      <c r="S1271" s="24">
        <v>0</v>
      </c>
      <c r="T1271" s="24">
        <v>228</v>
      </c>
    </row>
    <row r="1272" spans="1:20">
      <c r="A1272" s="9" t="s">
        <v>828</v>
      </c>
      <c r="B1272" s="30" t="s">
        <v>941</v>
      </c>
      <c r="C1272" s="30" t="str">
        <f>CONCATENATE(VOL_VOLUMEN_SUMINISTROS[[#This Row],[Proyecto]],VOL_VOLUMEN_SUMINISTROS[[#This Row],[J]],VOL_VOLUMEN_SUMINISTROS[[#This Row],[FIN DE SEMANA]])</f>
        <v>1052-1TNO</v>
      </c>
      <c r="D1272" s="360" t="str">
        <f>CONCATENATE(VOL_VOLUMEN_SUMINISTROS[[#This Row],[Grupo]],VOL_VOLUMEN_SUMINISTROS[[#This Row],[Proyecto]],VOL_VOLUMEN_SUMINISTROS[[#This Row],[FIN DE SEMANA]])</f>
        <v>51052-1NO</v>
      </c>
      <c r="E1272" s="30" t="s">
        <v>146</v>
      </c>
      <c r="F1272" s="30" t="s">
        <v>147</v>
      </c>
      <c r="G1272" s="360">
        <v>5</v>
      </c>
      <c r="H1272" s="30">
        <v>10</v>
      </c>
      <c r="I1272" s="9" t="s">
        <v>330</v>
      </c>
      <c r="J1272" s="9" t="s">
        <v>932</v>
      </c>
      <c r="K1272" s="30">
        <v>4</v>
      </c>
      <c r="L1272" s="9" t="s">
        <v>936</v>
      </c>
      <c r="M1272" s="30" t="s">
        <v>84</v>
      </c>
      <c r="N1272" s="30" t="s">
        <v>154</v>
      </c>
      <c r="O1272" s="24">
        <v>0</v>
      </c>
      <c r="P1272" s="24">
        <v>21</v>
      </c>
      <c r="Q1272" s="24">
        <v>7</v>
      </c>
      <c r="R1272" s="24">
        <v>0</v>
      </c>
      <c r="S1272" s="24">
        <v>0</v>
      </c>
      <c r="T1272" s="24">
        <v>28</v>
      </c>
    </row>
    <row r="1273" spans="1:20">
      <c r="A1273" s="9" t="s">
        <v>828</v>
      </c>
      <c r="B1273" s="30" t="s">
        <v>941</v>
      </c>
      <c r="C1273" s="30" t="str">
        <f>CONCATENATE(VOL_VOLUMEN_SUMINISTROS[[#This Row],[Proyecto]],VOL_VOLUMEN_SUMINISTROS[[#This Row],[J]],VOL_VOLUMEN_SUMINISTROS[[#This Row],[FIN DE SEMANA]])</f>
        <v>1052-1MNO</v>
      </c>
      <c r="D1273" s="360" t="str">
        <f>CONCATENATE(VOL_VOLUMEN_SUMINISTROS[[#This Row],[Grupo]],VOL_VOLUMEN_SUMINISTROS[[#This Row],[Proyecto]],VOL_VOLUMEN_SUMINISTROS[[#This Row],[FIN DE SEMANA]])</f>
        <v>51052-1NO</v>
      </c>
      <c r="E1273" s="30" t="s">
        <v>146</v>
      </c>
      <c r="F1273" s="30" t="s">
        <v>147</v>
      </c>
      <c r="G1273" s="360">
        <v>5</v>
      </c>
      <c r="H1273" s="30">
        <v>10</v>
      </c>
      <c r="I1273" s="9" t="s">
        <v>330</v>
      </c>
      <c r="J1273" s="9" t="s">
        <v>901</v>
      </c>
      <c r="K1273" s="30">
        <v>1</v>
      </c>
      <c r="L1273" s="9" t="s">
        <v>152</v>
      </c>
      <c r="M1273" s="30" t="s">
        <v>84</v>
      </c>
      <c r="N1273" s="30" t="s">
        <v>151</v>
      </c>
      <c r="O1273" s="24">
        <v>352</v>
      </c>
      <c r="P1273" s="24">
        <v>339</v>
      </c>
      <c r="Q1273" s="24">
        <v>66</v>
      </c>
      <c r="R1273" s="24">
        <v>0</v>
      </c>
      <c r="S1273" s="24">
        <v>0</v>
      </c>
      <c r="T1273" s="24">
        <v>757</v>
      </c>
    </row>
    <row r="1274" spans="1:20">
      <c r="A1274" s="9" t="s">
        <v>828</v>
      </c>
      <c r="B1274" s="30" t="s">
        <v>941</v>
      </c>
      <c r="C1274" s="30" t="str">
        <f>CONCATENATE(VOL_VOLUMEN_SUMINISTROS[[#This Row],[Proyecto]],VOL_VOLUMEN_SUMINISTROS[[#This Row],[J]],VOL_VOLUMEN_SUMINISTROS[[#This Row],[FIN DE SEMANA]])</f>
        <v>1052-1NNO</v>
      </c>
      <c r="D1274" s="360" t="str">
        <f>CONCATENATE(VOL_VOLUMEN_SUMINISTROS[[#This Row],[Grupo]],VOL_VOLUMEN_SUMINISTROS[[#This Row],[Proyecto]],VOL_VOLUMEN_SUMINISTROS[[#This Row],[FIN DE SEMANA]])</f>
        <v>51052-1NO</v>
      </c>
      <c r="E1274" s="30" t="s">
        <v>146</v>
      </c>
      <c r="F1274" s="30" t="s">
        <v>147</v>
      </c>
      <c r="G1274" s="360">
        <v>5</v>
      </c>
      <c r="H1274" s="30">
        <v>10</v>
      </c>
      <c r="I1274" s="9" t="s">
        <v>330</v>
      </c>
      <c r="J1274" s="9" t="s">
        <v>901</v>
      </c>
      <c r="K1274" s="30">
        <v>1</v>
      </c>
      <c r="L1274" s="9" t="s">
        <v>152</v>
      </c>
      <c r="M1274" s="30" t="s">
        <v>84</v>
      </c>
      <c r="N1274" s="30" t="s">
        <v>153</v>
      </c>
      <c r="O1274" s="24">
        <v>0</v>
      </c>
      <c r="P1274" s="24">
        <v>0</v>
      </c>
      <c r="Q1274" s="24">
        <v>0</v>
      </c>
      <c r="R1274" s="24">
        <v>117</v>
      </c>
      <c r="S1274" s="24">
        <v>112</v>
      </c>
      <c r="T1274" s="24">
        <v>229</v>
      </c>
    </row>
    <row r="1275" spans="1:20">
      <c r="A1275" s="9" t="s">
        <v>828</v>
      </c>
      <c r="B1275" s="30" t="s">
        <v>941</v>
      </c>
      <c r="C1275" s="30" t="str">
        <f>CONCATENATE(VOL_VOLUMEN_SUMINISTROS[[#This Row],[Proyecto]],VOL_VOLUMEN_SUMINISTROS[[#This Row],[J]],VOL_VOLUMEN_SUMINISTROS[[#This Row],[FIN DE SEMANA]])</f>
        <v>1052-1TNO</v>
      </c>
      <c r="D1275" s="360" t="str">
        <f>CONCATENATE(VOL_VOLUMEN_SUMINISTROS[[#This Row],[Grupo]],VOL_VOLUMEN_SUMINISTROS[[#This Row],[Proyecto]],VOL_VOLUMEN_SUMINISTROS[[#This Row],[FIN DE SEMANA]])</f>
        <v>51052-1NO</v>
      </c>
      <c r="E1275" s="30" t="s">
        <v>146</v>
      </c>
      <c r="F1275" s="30" t="s">
        <v>147</v>
      </c>
      <c r="G1275" s="360">
        <v>5</v>
      </c>
      <c r="H1275" s="30">
        <v>10</v>
      </c>
      <c r="I1275" s="9" t="s">
        <v>330</v>
      </c>
      <c r="J1275" s="9" t="s">
        <v>901</v>
      </c>
      <c r="K1275" s="30">
        <v>1</v>
      </c>
      <c r="L1275" s="9" t="s">
        <v>152</v>
      </c>
      <c r="M1275" s="30" t="s">
        <v>84</v>
      </c>
      <c r="N1275" s="30" t="s">
        <v>154</v>
      </c>
      <c r="O1275" s="24">
        <v>67</v>
      </c>
      <c r="P1275" s="24">
        <v>183</v>
      </c>
      <c r="Q1275" s="24">
        <v>432</v>
      </c>
      <c r="R1275" s="24">
        <v>0</v>
      </c>
      <c r="S1275" s="24">
        <v>0</v>
      </c>
      <c r="T1275" s="24">
        <v>682</v>
      </c>
    </row>
    <row r="1276" spans="1:20">
      <c r="A1276" s="9" t="s">
        <v>828</v>
      </c>
      <c r="B1276" s="30" t="s">
        <v>941</v>
      </c>
      <c r="C1276" s="30" t="str">
        <f>CONCATENATE(VOL_VOLUMEN_SUMINISTROS[[#This Row],[Proyecto]],VOL_VOLUMEN_SUMINISTROS[[#This Row],[J]],VOL_VOLUMEN_SUMINISTROS[[#This Row],[FIN DE SEMANA]])</f>
        <v>1052-1MNO</v>
      </c>
      <c r="D1276" s="360" t="str">
        <f>CONCATENATE(VOL_VOLUMEN_SUMINISTROS[[#This Row],[Grupo]],VOL_VOLUMEN_SUMINISTROS[[#This Row],[Proyecto]],VOL_VOLUMEN_SUMINISTROS[[#This Row],[FIN DE SEMANA]])</f>
        <v>51052-1NO</v>
      </c>
      <c r="E1276" s="30" t="s">
        <v>146</v>
      </c>
      <c r="F1276" s="30" t="s">
        <v>147</v>
      </c>
      <c r="G1276" s="360">
        <v>5</v>
      </c>
      <c r="H1276" s="30">
        <v>10</v>
      </c>
      <c r="I1276" s="9" t="s">
        <v>330</v>
      </c>
      <c r="J1276" s="9" t="s">
        <v>945</v>
      </c>
      <c r="K1276" s="30">
        <v>1</v>
      </c>
      <c r="L1276" s="9" t="s">
        <v>946</v>
      </c>
      <c r="M1276" s="30" t="s">
        <v>84</v>
      </c>
      <c r="N1276" s="30" t="s">
        <v>151</v>
      </c>
      <c r="O1276" s="24">
        <v>36</v>
      </c>
      <c r="P1276" s="24">
        <v>345</v>
      </c>
      <c r="Q1276" s="24">
        <v>561</v>
      </c>
      <c r="R1276" s="24">
        <v>0</v>
      </c>
      <c r="S1276" s="24">
        <v>0</v>
      </c>
      <c r="T1276" s="24">
        <v>942</v>
      </c>
    </row>
    <row r="1277" spans="1:20">
      <c r="A1277" s="9" t="s">
        <v>828</v>
      </c>
      <c r="B1277" s="30" t="s">
        <v>941</v>
      </c>
      <c r="C1277" s="30" t="str">
        <f>CONCATENATE(VOL_VOLUMEN_SUMINISTROS[[#This Row],[Proyecto]],VOL_VOLUMEN_SUMINISTROS[[#This Row],[J]],VOL_VOLUMEN_SUMINISTROS[[#This Row],[FIN DE SEMANA]])</f>
        <v>1052-1TNO</v>
      </c>
      <c r="D1277" s="360" t="str">
        <f>CONCATENATE(VOL_VOLUMEN_SUMINISTROS[[#This Row],[Grupo]],VOL_VOLUMEN_SUMINISTROS[[#This Row],[Proyecto]],VOL_VOLUMEN_SUMINISTROS[[#This Row],[FIN DE SEMANA]])</f>
        <v>51052-1NO</v>
      </c>
      <c r="E1277" s="30" t="s">
        <v>146</v>
      </c>
      <c r="F1277" s="30" t="s">
        <v>147</v>
      </c>
      <c r="G1277" s="360">
        <v>5</v>
      </c>
      <c r="H1277" s="30">
        <v>10</v>
      </c>
      <c r="I1277" s="9" t="s">
        <v>330</v>
      </c>
      <c r="J1277" s="9" t="s">
        <v>945</v>
      </c>
      <c r="K1277" s="30">
        <v>1</v>
      </c>
      <c r="L1277" s="9" t="s">
        <v>946</v>
      </c>
      <c r="M1277" s="30" t="s">
        <v>84</v>
      </c>
      <c r="N1277" s="30" t="s">
        <v>154</v>
      </c>
      <c r="O1277" s="24">
        <v>26</v>
      </c>
      <c r="P1277" s="24">
        <v>253</v>
      </c>
      <c r="Q1277" s="24">
        <v>409</v>
      </c>
      <c r="R1277" s="24">
        <v>0</v>
      </c>
      <c r="S1277" s="24">
        <v>0</v>
      </c>
      <c r="T1277" s="24">
        <v>688</v>
      </c>
    </row>
    <row r="1278" spans="1:20">
      <c r="A1278" s="9" t="s">
        <v>828</v>
      </c>
      <c r="B1278" s="30" t="s">
        <v>941</v>
      </c>
      <c r="C1278" s="30" t="str">
        <f>CONCATENATE(VOL_VOLUMEN_SUMINISTROS[[#This Row],[Proyecto]],VOL_VOLUMEN_SUMINISTROS[[#This Row],[J]],VOL_VOLUMEN_SUMINISTROS[[#This Row],[FIN DE SEMANA]])</f>
        <v>1052-1MNO</v>
      </c>
      <c r="D1278" s="360" t="str">
        <f>CONCATENATE(VOL_VOLUMEN_SUMINISTROS[[#This Row],[Grupo]],VOL_VOLUMEN_SUMINISTROS[[#This Row],[Proyecto]],VOL_VOLUMEN_SUMINISTROS[[#This Row],[FIN DE SEMANA]])</f>
        <v>51052-1NO</v>
      </c>
      <c r="E1278" s="30" t="s">
        <v>146</v>
      </c>
      <c r="F1278" s="30" t="s">
        <v>147</v>
      </c>
      <c r="G1278" s="360">
        <v>5</v>
      </c>
      <c r="H1278" s="30">
        <v>10</v>
      </c>
      <c r="I1278" s="9" t="s">
        <v>330</v>
      </c>
      <c r="J1278" s="9" t="s">
        <v>945</v>
      </c>
      <c r="K1278" s="30">
        <v>2</v>
      </c>
      <c r="L1278" s="9" t="s">
        <v>947</v>
      </c>
      <c r="M1278" s="30" t="s">
        <v>84</v>
      </c>
      <c r="N1278" s="30" t="s">
        <v>151</v>
      </c>
      <c r="O1278" s="24">
        <v>225</v>
      </c>
      <c r="P1278" s="24">
        <v>62</v>
      </c>
      <c r="Q1278" s="24">
        <v>0</v>
      </c>
      <c r="R1278" s="24">
        <v>0</v>
      </c>
      <c r="S1278" s="24">
        <v>0</v>
      </c>
      <c r="T1278" s="24">
        <v>287</v>
      </c>
    </row>
    <row r="1279" spans="1:20">
      <c r="A1279" s="9" t="s">
        <v>828</v>
      </c>
      <c r="B1279" s="30" t="s">
        <v>941</v>
      </c>
      <c r="C1279" s="30" t="str">
        <f>CONCATENATE(VOL_VOLUMEN_SUMINISTROS[[#This Row],[Proyecto]],VOL_VOLUMEN_SUMINISTROS[[#This Row],[J]],VOL_VOLUMEN_SUMINISTROS[[#This Row],[FIN DE SEMANA]])</f>
        <v>1052-1TNO</v>
      </c>
      <c r="D1279" s="360" t="str">
        <f>CONCATENATE(VOL_VOLUMEN_SUMINISTROS[[#This Row],[Grupo]],VOL_VOLUMEN_SUMINISTROS[[#This Row],[Proyecto]],VOL_VOLUMEN_SUMINISTROS[[#This Row],[FIN DE SEMANA]])</f>
        <v>51052-1NO</v>
      </c>
      <c r="E1279" s="30" t="s">
        <v>146</v>
      </c>
      <c r="F1279" s="30" t="s">
        <v>147</v>
      </c>
      <c r="G1279" s="360">
        <v>5</v>
      </c>
      <c r="H1279" s="30">
        <v>10</v>
      </c>
      <c r="I1279" s="9" t="s">
        <v>330</v>
      </c>
      <c r="J1279" s="9" t="s">
        <v>945</v>
      </c>
      <c r="K1279" s="30">
        <v>2</v>
      </c>
      <c r="L1279" s="9" t="s">
        <v>947</v>
      </c>
      <c r="M1279" s="30" t="s">
        <v>84</v>
      </c>
      <c r="N1279" s="30" t="s">
        <v>154</v>
      </c>
      <c r="O1279" s="24">
        <v>155</v>
      </c>
      <c r="P1279" s="24">
        <v>45</v>
      </c>
      <c r="Q1279" s="24">
        <v>0</v>
      </c>
      <c r="R1279" s="24">
        <v>0</v>
      </c>
      <c r="S1279" s="24">
        <v>0</v>
      </c>
      <c r="T1279" s="24">
        <v>200</v>
      </c>
    </row>
    <row r="1280" spans="1:20">
      <c r="A1280" s="9" t="s">
        <v>828</v>
      </c>
      <c r="B1280" s="30" t="s">
        <v>941</v>
      </c>
      <c r="C1280" s="30" t="str">
        <f>CONCATENATE(VOL_VOLUMEN_SUMINISTROS[[#This Row],[Proyecto]],VOL_VOLUMEN_SUMINISTROS[[#This Row],[J]],VOL_VOLUMEN_SUMINISTROS[[#This Row],[FIN DE SEMANA]])</f>
        <v>1052-1MNO</v>
      </c>
      <c r="D1280" s="360" t="str">
        <f>CONCATENATE(VOL_VOLUMEN_SUMINISTROS[[#This Row],[Grupo]],VOL_VOLUMEN_SUMINISTROS[[#This Row],[Proyecto]],VOL_VOLUMEN_SUMINISTROS[[#This Row],[FIN DE SEMANA]])</f>
        <v>51052-1NO</v>
      </c>
      <c r="E1280" s="30" t="s">
        <v>146</v>
      </c>
      <c r="F1280" s="30" t="s">
        <v>147</v>
      </c>
      <c r="G1280" s="360">
        <v>5</v>
      </c>
      <c r="H1280" s="30">
        <v>10</v>
      </c>
      <c r="I1280" s="9" t="s">
        <v>330</v>
      </c>
      <c r="J1280" s="9" t="s">
        <v>863</v>
      </c>
      <c r="K1280" s="30">
        <v>1</v>
      </c>
      <c r="L1280" s="9" t="s">
        <v>864</v>
      </c>
      <c r="M1280" s="30" t="s">
        <v>84</v>
      </c>
      <c r="N1280" s="30" t="s">
        <v>151</v>
      </c>
      <c r="O1280" s="24">
        <v>0</v>
      </c>
      <c r="P1280" s="24">
        <v>168</v>
      </c>
      <c r="Q1280" s="24">
        <v>469</v>
      </c>
      <c r="R1280" s="24">
        <v>0</v>
      </c>
      <c r="S1280" s="24">
        <v>0</v>
      </c>
      <c r="T1280" s="24">
        <v>637</v>
      </c>
    </row>
    <row r="1281" spans="1:20">
      <c r="A1281" s="9" t="s">
        <v>828</v>
      </c>
      <c r="B1281" s="30" t="s">
        <v>941</v>
      </c>
      <c r="C1281" s="30" t="str">
        <f>CONCATENATE(VOL_VOLUMEN_SUMINISTROS[[#This Row],[Proyecto]],VOL_VOLUMEN_SUMINISTROS[[#This Row],[J]],VOL_VOLUMEN_SUMINISTROS[[#This Row],[FIN DE SEMANA]])</f>
        <v>1052-1TNO</v>
      </c>
      <c r="D1281" s="360" t="str">
        <f>CONCATENATE(VOL_VOLUMEN_SUMINISTROS[[#This Row],[Grupo]],VOL_VOLUMEN_SUMINISTROS[[#This Row],[Proyecto]],VOL_VOLUMEN_SUMINISTROS[[#This Row],[FIN DE SEMANA]])</f>
        <v>51052-1NO</v>
      </c>
      <c r="E1281" s="30" t="s">
        <v>146</v>
      </c>
      <c r="F1281" s="30" t="s">
        <v>147</v>
      </c>
      <c r="G1281" s="360">
        <v>5</v>
      </c>
      <c r="H1281" s="30">
        <v>10</v>
      </c>
      <c r="I1281" s="9" t="s">
        <v>330</v>
      </c>
      <c r="J1281" s="9" t="s">
        <v>863</v>
      </c>
      <c r="K1281" s="30">
        <v>1</v>
      </c>
      <c r="L1281" s="9" t="s">
        <v>864</v>
      </c>
      <c r="M1281" s="30" t="s">
        <v>84</v>
      </c>
      <c r="N1281" s="30" t="s">
        <v>154</v>
      </c>
      <c r="O1281" s="24">
        <v>0</v>
      </c>
      <c r="P1281" s="24">
        <v>114</v>
      </c>
      <c r="Q1281" s="24">
        <v>292</v>
      </c>
      <c r="R1281" s="24">
        <v>0</v>
      </c>
      <c r="S1281" s="24">
        <v>0</v>
      </c>
      <c r="T1281" s="24">
        <v>406</v>
      </c>
    </row>
    <row r="1282" spans="1:20">
      <c r="A1282" s="9" t="s">
        <v>828</v>
      </c>
      <c r="B1282" s="30" t="s">
        <v>941</v>
      </c>
      <c r="C1282" s="30" t="str">
        <f>CONCATENATE(VOL_VOLUMEN_SUMINISTROS[[#This Row],[Proyecto]],VOL_VOLUMEN_SUMINISTROS[[#This Row],[J]],VOL_VOLUMEN_SUMINISTROS[[#This Row],[FIN DE SEMANA]])</f>
        <v>1052-1MNO</v>
      </c>
      <c r="D1282" s="360" t="str">
        <f>CONCATENATE(VOL_VOLUMEN_SUMINISTROS[[#This Row],[Grupo]],VOL_VOLUMEN_SUMINISTROS[[#This Row],[Proyecto]],VOL_VOLUMEN_SUMINISTROS[[#This Row],[FIN DE SEMANA]])</f>
        <v>51052-1NO</v>
      </c>
      <c r="E1282" s="30" t="s">
        <v>146</v>
      </c>
      <c r="F1282" s="30" t="s">
        <v>147</v>
      </c>
      <c r="G1282" s="360">
        <v>5</v>
      </c>
      <c r="H1282" s="30">
        <v>10</v>
      </c>
      <c r="I1282" s="9" t="s">
        <v>330</v>
      </c>
      <c r="J1282" s="9" t="s">
        <v>948</v>
      </c>
      <c r="K1282" s="30">
        <v>1</v>
      </c>
      <c r="L1282" s="9" t="s">
        <v>949</v>
      </c>
      <c r="M1282" s="30" t="s">
        <v>84</v>
      </c>
      <c r="N1282" s="30" t="s">
        <v>151</v>
      </c>
      <c r="O1282" s="24">
        <v>0</v>
      </c>
      <c r="P1282" s="24">
        <v>252</v>
      </c>
      <c r="Q1282" s="24">
        <v>518</v>
      </c>
      <c r="R1282" s="24">
        <v>0</v>
      </c>
      <c r="S1282" s="24">
        <v>0</v>
      </c>
      <c r="T1282" s="24">
        <v>770</v>
      </c>
    </row>
    <row r="1283" spans="1:20">
      <c r="A1283" s="9" t="s">
        <v>828</v>
      </c>
      <c r="B1283" s="30" t="s">
        <v>941</v>
      </c>
      <c r="C1283" s="30" t="str">
        <f>CONCATENATE(VOL_VOLUMEN_SUMINISTROS[[#This Row],[Proyecto]],VOL_VOLUMEN_SUMINISTROS[[#This Row],[J]],VOL_VOLUMEN_SUMINISTROS[[#This Row],[FIN DE SEMANA]])</f>
        <v>1052-1TNO</v>
      </c>
      <c r="D1283" s="360" t="str">
        <f>CONCATENATE(VOL_VOLUMEN_SUMINISTROS[[#This Row],[Grupo]],VOL_VOLUMEN_SUMINISTROS[[#This Row],[Proyecto]],VOL_VOLUMEN_SUMINISTROS[[#This Row],[FIN DE SEMANA]])</f>
        <v>51052-1NO</v>
      </c>
      <c r="E1283" s="30" t="s">
        <v>146</v>
      </c>
      <c r="F1283" s="30" t="s">
        <v>147</v>
      </c>
      <c r="G1283" s="360">
        <v>5</v>
      </c>
      <c r="H1283" s="30">
        <v>10</v>
      </c>
      <c r="I1283" s="9" t="s">
        <v>330</v>
      </c>
      <c r="J1283" s="9" t="s">
        <v>948</v>
      </c>
      <c r="K1283" s="30">
        <v>1</v>
      </c>
      <c r="L1283" s="9" t="s">
        <v>949</v>
      </c>
      <c r="M1283" s="30" t="s">
        <v>84</v>
      </c>
      <c r="N1283" s="30" t="s">
        <v>154</v>
      </c>
      <c r="O1283" s="24">
        <v>0</v>
      </c>
      <c r="P1283" s="24">
        <v>129</v>
      </c>
      <c r="Q1283" s="24">
        <v>258</v>
      </c>
      <c r="R1283" s="24">
        <v>0</v>
      </c>
      <c r="S1283" s="24">
        <v>0</v>
      </c>
      <c r="T1283" s="24">
        <v>387</v>
      </c>
    </row>
    <row r="1284" spans="1:20">
      <c r="A1284" s="9" t="s">
        <v>828</v>
      </c>
      <c r="B1284" s="30" t="s">
        <v>941</v>
      </c>
      <c r="C1284" s="30" t="str">
        <f>CONCATENATE(VOL_VOLUMEN_SUMINISTROS[[#This Row],[Proyecto]],VOL_VOLUMEN_SUMINISTROS[[#This Row],[J]],VOL_VOLUMEN_SUMINISTROS[[#This Row],[FIN DE SEMANA]])</f>
        <v>1052-1MNO</v>
      </c>
      <c r="D1284" s="360" t="str">
        <f>CONCATENATE(VOL_VOLUMEN_SUMINISTROS[[#This Row],[Grupo]],VOL_VOLUMEN_SUMINISTROS[[#This Row],[Proyecto]],VOL_VOLUMEN_SUMINISTROS[[#This Row],[FIN DE SEMANA]])</f>
        <v>51052-1NO</v>
      </c>
      <c r="E1284" s="30" t="s">
        <v>146</v>
      </c>
      <c r="F1284" s="30" t="s">
        <v>147</v>
      </c>
      <c r="G1284" s="360">
        <v>5</v>
      </c>
      <c r="H1284" s="30">
        <v>10</v>
      </c>
      <c r="I1284" s="9" t="s">
        <v>330</v>
      </c>
      <c r="J1284" s="9" t="s">
        <v>948</v>
      </c>
      <c r="K1284" s="30">
        <v>2</v>
      </c>
      <c r="L1284" s="9" t="s">
        <v>950</v>
      </c>
      <c r="M1284" s="30" t="s">
        <v>84</v>
      </c>
      <c r="N1284" s="30" t="s">
        <v>151</v>
      </c>
      <c r="O1284" s="24">
        <v>136</v>
      </c>
      <c r="P1284" s="24">
        <v>140</v>
      </c>
      <c r="Q1284" s="24">
        <v>24</v>
      </c>
      <c r="R1284" s="24">
        <v>0</v>
      </c>
      <c r="S1284" s="24">
        <v>0</v>
      </c>
      <c r="T1284" s="24">
        <v>300</v>
      </c>
    </row>
    <row r="1285" spans="1:20">
      <c r="A1285" s="9" t="s">
        <v>828</v>
      </c>
      <c r="B1285" s="30" t="s">
        <v>941</v>
      </c>
      <c r="C1285" s="30" t="str">
        <f>CONCATENATE(VOL_VOLUMEN_SUMINISTROS[[#This Row],[Proyecto]],VOL_VOLUMEN_SUMINISTROS[[#This Row],[J]],VOL_VOLUMEN_SUMINISTROS[[#This Row],[FIN DE SEMANA]])</f>
        <v>1052-1TNO</v>
      </c>
      <c r="D1285" s="360" t="str">
        <f>CONCATENATE(VOL_VOLUMEN_SUMINISTROS[[#This Row],[Grupo]],VOL_VOLUMEN_SUMINISTROS[[#This Row],[Proyecto]],VOL_VOLUMEN_SUMINISTROS[[#This Row],[FIN DE SEMANA]])</f>
        <v>51052-1NO</v>
      </c>
      <c r="E1285" s="30" t="s">
        <v>146</v>
      </c>
      <c r="F1285" s="30" t="s">
        <v>147</v>
      </c>
      <c r="G1285" s="360">
        <v>5</v>
      </c>
      <c r="H1285" s="30">
        <v>10</v>
      </c>
      <c r="I1285" s="9" t="s">
        <v>330</v>
      </c>
      <c r="J1285" s="9" t="s">
        <v>948</v>
      </c>
      <c r="K1285" s="30">
        <v>2</v>
      </c>
      <c r="L1285" s="9" t="s">
        <v>950</v>
      </c>
      <c r="M1285" s="30" t="s">
        <v>84</v>
      </c>
      <c r="N1285" s="30" t="s">
        <v>154</v>
      </c>
      <c r="O1285" s="24">
        <v>130</v>
      </c>
      <c r="P1285" s="24">
        <v>131</v>
      </c>
      <c r="Q1285" s="24">
        <v>22</v>
      </c>
      <c r="R1285" s="24">
        <v>0</v>
      </c>
      <c r="S1285" s="24">
        <v>0</v>
      </c>
      <c r="T1285" s="24">
        <v>283</v>
      </c>
    </row>
    <row r="1286" spans="1:20">
      <c r="A1286" s="9" t="s">
        <v>828</v>
      </c>
      <c r="B1286" s="30" t="s">
        <v>941</v>
      </c>
      <c r="C1286" s="30" t="str">
        <f>CONCATENATE(VOL_VOLUMEN_SUMINISTROS[[#This Row],[Proyecto]],VOL_VOLUMEN_SUMINISTROS[[#This Row],[J]],VOL_VOLUMEN_SUMINISTROS[[#This Row],[FIN DE SEMANA]])</f>
        <v>1052-1MNO</v>
      </c>
      <c r="D1286" s="360" t="str">
        <f>CONCATENATE(VOL_VOLUMEN_SUMINISTROS[[#This Row],[Grupo]],VOL_VOLUMEN_SUMINISTROS[[#This Row],[Proyecto]],VOL_VOLUMEN_SUMINISTROS[[#This Row],[FIN DE SEMANA]])</f>
        <v>51052-1NO</v>
      </c>
      <c r="E1286" s="30" t="s">
        <v>146</v>
      </c>
      <c r="F1286" s="30" t="s">
        <v>147</v>
      </c>
      <c r="G1286" s="360">
        <v>5</v>
      </c>
      <c r="H1286" s="30">
        <v>10</v>
      </c>
      <c r="I1286" s="9" t="s">
        <v>330</v>
      </c>
      <c r="J1286" s="9" t="s">
        <v>948</v>
      </c>
      <c r="K1286" s="30">
        <v>3</v>
      </c>
      <c r="L1286" s="9" t="s">
        <v>951</v>
      </c>
      <c r="M1286" s="30" t="s">
        <v>84</v>
      </c>
      <c r="N1286" s="30" t="s">
        <v>151</v>
      </c>
      <c r="O1286" s="24">
        <v>215</v>
      </c>
      <c r="P1286" s="24">
        <v>0</v>
      </c>
      <c r="Q1286" s="24">
        <v>0</v>
      </c>
      <c r="R1286" s="24">
        <v>0</v>
      </c>
      <c r="S1286" s="24">
        <v>0</v>
      </c>
      <c r="T1286" s="24">
        <v>215</v>
      </c>
    </row>
    <row r="1287" spans="1:20">
      <c r="A1287" s="9" t="s">
        <v>828</v>
      </c>
      <c r="B1287" s="30" t="s">
        <v>941</v>
      </c>
      <c r="C1287" s="30" t="str">
        <f>CONCATENATE(VOL_VOLUMEN_SUMINISTROS[[#This Row],[Proyecto]],VOL_VOLUMEN_SUMINISTROS[[#This Row],[J]],VOL_VOLUMEN_SUMINISTROS[[#This Row],[FIN DE SEMANA]])</f>
        <v>1052-1MNO</v>
      </c>
      <c r="D1287" s="360" t="str">
        <f>CONCATENATE(VOL_VOLUMEN_SUMINISTROS[[#This Row],[Grupo]],VOL_VOLUMEN_SUMINISTROS[[#This Row],[Proyecto]],VOL_VOLUMEN_SUMINISTROS[[#This Row],[FIN DE SEMANA]])</f>
        <v>51052-1NO</v>
      </c>
      <c r="E1287" s="30" t="s">
        <v>146</v>
      </c>
      <c r="F1287" s="30" t="s">
        <v>147</v>
      </c>
      <c r="G1287" s="360">
        <v>5</v>
      </c>
      <c r="H1287" s="30">
        <v>10</v>
      </c>
      <c r="I1287" s="9" t="s">
        <v>330</v>
      </c>
      <c r="J1287" s="9" t="s">
        <v>866</v>
      </c>
      <c r="K1287" s="30">
        <v>1</v>
      </c>
      <c r="L1287" s="9" t="s">
        <v>867</v>
      </c>
      <c r="M1287" s="30" t="s">
        <v>84</v>
      </c>
      <c r="N1287" s="30" t="s">
        <v>151</v>
      </c>
      <c r="O1287" s="24">
        <v>161</v>
      </c>
      <c r="P1287" s="24">
        <v>94</v>
      </c>
      <c r="Q1287" s="24">
        <v>19</v>
      </c>
      <c r="R1287" s="24">
        <v>0</v>
      </c>
      <c r="S1287" s="24">
        <v>0</v>
      </c>
      <c r="T1287" s="24">
        <v>274</v>
      </c>
    </row>
    <row r="1288" spans="1:20">
      <c r="A1288" s="9" t="s">
        <v>828</v>
      </c>
      <c r="B1288" s="30" t="s">
        <v>941</v>
      </c>
      <c r="C1288" s="30" t="str">
        <f>CONCATENATE(VOL_VOLUMEN_SUMINISTROS[[#This Row],[Proyecto]],VOL_VOLUMEN_SUMINISTROS[[#This Row],[J]],VOL_VOLUMEN_SUMINISTROS[[#This Row],[FIN DE SEMANA]])</f>
        <v>1052-1TNO</v>
      </c>
      <c r="D1288" s="360" t="str">
        <f>CONCATENATE(VOL_VOLUMEN_SUMINISTROS[[#This Row],[Grupo]],VOL_VOLUMEN_SUMINISTROS[[#This Row],[Proyecto]],VOL_VOLUMEN_SUMINISTROS[[#This Row],[FIN DE SEMANA]])</f>
        <v>51052-1NO</v>
      </c>
      <c r="E1288" s="30" t="s">
        <v>146</v>
      </c>
      <c r="F1288" s="30" t="s">
        <v>147</v>
      </c>
      <c r="G1288" s="360">
        <v>5</v>
      </c>
      <c r="H1288" s="30">
        <v>10</v>
      </c>
      <c r="I1288" s="9" t="s">
        <v>330</v>
      </c>
      <c r="J1288" s="9" t="s">
        <v>866</v>
      </c>
      <c r="K1288" s="30">
        <v>1</v>
      </c>
      <c r="L1288" s="9" t="s">
        <v>867</v>
      </c>
      <c r="M1288" s="30" t="s">
        <v>84</v>
      </c>
      <c r="N1288" s="30" t="s">
        <v>154</v>
      </c>
      <c r="O1288" s="24">
        <v>124</v>
      </c>
      <c r="P1288" s="24">
        <v>73</v>
      </c>
      <c r="Q1288" s="24">
        <v>14</v>
      </c>
      <c r="R1288" s="24">
        <v>0</v>
      </c>
      <c r="S1288" s="24">
        <v>0</v>
      </c>
      <c r="T1288" s="24">
        <v>211</v>
      </c>
    </row>
    <row r="1289" spans="1:20">
      <c r="A1289" s="9" t="s">
        <v>828</v>
      </c>
      <c r="B1289" s="30" t="s">
        <v>941</v>
      </c>
      <c r="C1289" s="30" t="str">
        <f>CONCATENATE(VOL_VOLUMEN_SUMINISTROS[[#This Row],[Proyecto]],VOL_VOLUMEN_SUMINISTROS[[#This Row],[J]],VOL_VOLUMEN_SUMINISTROS[[#This Row],[FIN DE SEMANA]])</f>
        <v>1052-1MNO</v>
      </c>
      <c r="D1289" s="360" t="str">
        <f>CONCATENATE(VOL_VOLUMEN_SUMINISTROS[[#This Row],[Grupo]],VOL_VOLUMEN_SUMINISTROS[[#This Row],[Proyecto]],VOL_VOLUMEN_SUMINISTROS[[#This Row],[FIN DE SEMANA]])</f>
        <v>51052-1NO</v>
      </c>
      <c r="E1289" s="30" t="s">
        <v>146</v>
      </c>
      <c r="F1289" s="30" t="s">
        <v>147</v>
      </c>
      <c r="G1289" s="360">
        <v>5</v>
      </c>
      <c r="H1289" s="30">
        <v>10</v>
      </c>
      <c r="I1289" s="9" t="s">
        <v>330</v>
      </c>
      <c r="J1289" s="9" t="s">
        <v>866</v>
      </c>
      <c r="K1289" s="30">
        <v>2</v>
      </c>
      <c r="L1289" s="9" t="s">
        <v>868</v>
      </c>
      <c r="M1289" s="30" t="s">
        <v>84</v>
      </c>
      <c r="N1289" s="30" t="s">
        <v>151</v>
      </c>
      <c r="O1289" s="24">
        <v>0</v>
      </c>
      <c r="P1289" s="24">
        <v>72</v>
      </c>
      <c r="Q1289" s="24">
        <v>203</v>
      </c>
      <c r="R1289" s="24">
        <v>0</v>
      </c>
      <c r="S1289" s="24">
        <v>0</v>
      </c>
      <c r="T1289" s="24">
        <v>275</v>
      </c>
    </row>
    <row r="1290" spans="1:20">
      <c r="A1290" s="9" t="s">
        <v>828</v>
      </c>
      <c r="B1290" s="30" t="s">
        <v>941</v>
      </c>
      <c r="C1290" s="30" t="str">
        <f>CONCATENATE(VOL_VOLUMEN_SUMINISTROS[[#This Row],[Proyecto]],VOL_VOLUMEN_SUMINISTROS[[#This Row],[J]],VOL_VOLUMEN_SUMINISTROS[[#This Row],[FIN DE SEMANA]])</f>
        <v>1052-1TNO</v>
      </c>
      <c r="D1290" s="360" t="str">
        <f>CONCATENATE(VOL_VOLUMEN_SUMINISTROS[[#This Row],[Grupo]],VOL_VOLUMEN_SUMINISTROS[[#This Row],[Proyecto]],VOL_VOLUMEN_SUMINISTROS[[#This Row],[FIN DE SEMANA]])</f>
        <v>51052-1NO</v>
      </c>
      <c r="E1290" s="30" t="s">
        <v>146</v>
      </c>
      <c r="F1290" s="30" t="s">
        <v>147</v>
      </c>
      <c r="G1290" s="360">
        <v>5</v>
      </c>
      <c r="H1290" s="30">
        <v>10</v>
      </c>
      <c r="I1290" s="9" t="s">
        <v>330</v>
      </c>
      <c r="J1290" s="9" t="s">
        <v>866</v>
      </c>
      <c r="K1290" s="30">
        <v>2</v>
      </c>
      <c r="L1290" s="9" t="s">
        <v>868</v>
      </c>
      <c r="M1290" s="30" t="s">
        <v>84</v>
      </c>
      <c r="N1290" s="30" t="s">
        <v>154</v>
      </c>
      <c r="O1290" s="24">
        <v>0</v>
      </c>
      <c r="P1290" s="24">
        <v>45</v>
      </c>
      <c r="Q1290" s="24">
        <v>150</v>
      </c>
      <c r="R1290" s="24">
        <v>0</v>
      </c>
      <c r="S1290" s="24">
        <v>0</v>
      </c>
      <c r="T1290" s="24">
        <v>195</v>
      </c>
    </row>
    <row r="1291" spans="1:20">
      <c r="A1291" s="9" t="s">
        <v>828</v>
      </c>
      <c r="B1291" s="30" t="s">
        <v>941</v>
      </c>
      <c r="C1291" s="30" t="str">
        <f>CONCATENATE(VOL_VOLUMEN_SUMINISTROS[[#This Row],[Proyecto]],VOL_VOLUMEN_SUMINISTROS[[#This Row],[J]],VOL_VOLUMEN_SUMINISTROS[[#This Row],[FIN DE SEMANA]])</f>
        <v>1052-1MNO</v>
      </c>
      <c r="D1291" s="360" t="str">
        <f>CONCATENATE(VOL_VOLUMEN_SUMINISTROS[[#This Row],[Grupo]],VOL_VOLUMEN_SUMINISTROS[[#This Row],[Proyecto]],VOL_VOLUMEN_SUMINISTROS[[#This Row],[FIN DE SEMANA]])</f>
        <v>51052-1NO</v>
      </c>
      <c r="E1291" s="30" t="s">
        <v>146</v>
      </c>
      <c r="F1291" s="30" t="s">
        <v>147</v>
      </c>
      <c r="G1291" s="360">
        <v>5</v>
      </c>
      <c r="H1291" s="30">
        <v>10</v>
      </c>
      <c r="I1291" s="9" t="s">
        <v>330</v>
      </c>
      <c r="J1291" s="9" t="s">
        <v>902</v>
      </c>
      <c r="K1291" s="30">
        <v>1</v>
      </c>
      <c r="L1291" s="9" t="s">
        <v>903</v>
      </c>
      <c r="M1291" s="30" t="s">
        <v>84</v>
      </c>
      <c r="N1291" s="30" t="s">
        <v>151</v>
      </c>
      <c r="O1291" s="24">
        <v>292</v>
      </c>
      <c r="P1291" s="24">
        <v>311</v>
      </c>
      <c r="Q1291" s="24">
        <v>60</v>
      </c>
      <c r="R1291" s="24">
        <v>0</v>
      </c>
      <c r="S1291" s="24">
        <v>0</v>
      </c>
      <c r="T1291" s="24">
        <v>663</v>
      </c>
    </row>
    <row r="1292" spans="1:20">
      <c r="A1292" s="9" t="s">
        <v>828</v>
      </c>
      <c r="B1292" s="30" t="s">
        <v>941</v>
      </c>
      <c r="C1292" s="30" t="str">
        <f>CONCATENATE(VOL_VOLUMEN_SUMINISTROS[[#This Row],[Proyecto]],VOL_VOLUMEN_SUMINISTROS[[#This Row],[J]],VOL_VOLUMEN_SUMINISTROS[[#This Row],[FIN DE SEMANA]])</f>
        <v>1052-1TNO</v>
      </c>
      <c r="D1292" s="360" t="str">
        <f>CONCATENATE(VOL_VOLUMEN_SUMINISTROS[[#This Row],[Grupo]],VOL_VOLUMEN_SUMINISTROS[[#This Row],[Proyecto]],VOL_VOLUMEN_SUMINISTROS[[#This Row],[FIN DE SEMANA]])</f>
        <v>51052-1NO</v>
      </c>
      <c r="E1292" s="30" t="s">
        <v>146</v>
      </c>
      <c r="F1292" s="30" t="s">
        <v>147</v>
      </c>
      <c r="G1292" s="360">
        <v>5</v>
      </c>
      <c r="H1292" s="30">
        <v>10</v>
      </c>
      <c r="I1292" s="9" t="s">
        <v>330</v>
      </c>
      <c r="J1292" s="9" t="s">
        <v>902</v>
      </c>
      <c r="K1292" s="30">
        <v>1</v>
      </c>
      <c r="L1292" s="9" t="s">
        <v>903</v>
      </c>
      <c r="M1292" s="30" t="s">
        <v>84</v>
      </c>
      <c r="N1292" s="30" t="s">
        <v>154</v>
      </c>
      <c r="O1292" s="24">
        <v>30</v>
      </c>
      <c r="P1292" s="24">
        <v>192</v>
      </c>
      <c r="Q1292" s="24">
        <v>461</v>
      </c>
      <c r="R1292" s="24">
        <v>0</v>
      </c>
      <c r="S1292" s="24">
        <v>0</v>
      </c>
      <c r="T1292" s="24">
        <v>683</v>
      </c>
    </row>
    <row r="1293" spans="1:20">
      <c r="A1293" s="9" t="s">
        <v>828</v>
      </c>
      <c r="B1293" s="30" t="s">
        <v>941</v>
      </c>
      <c r="C1293" s="30" t="str">
        <f>CONCATENATE(VOL_VOLUMEN_SUMINISTROS[[#This Row],[Proyecto]],VOL_VOLUMEN_SUMINISTROS[[#This Row],[J]],VOL_VOLUMEN_SUMINISTROS[[#This Row],[FIN DE SEMANA]])</f>
        <v>1052-1MNO</v>
      </c>
      <c r="D1293" s="360" t="str">
        <f>CONCATENATE(VOL_VOLUMEN_SUMINISTROS[[#This Row],[Grupo]],VOL_VOLUMEN_SUMINISTROS[[#This Row],[Proyecto]],VOL_VOLUMEN_SUMINISTROS[[#This Row],[FIN DE SEMANA]])</f>
        <v>51052-1NO</v>
      </c>
      <c r="E1293" s="30" t="s">
        <v>146</v>
      </c>
      <c r="F1293" s="30" t="s">
        <v>147</v>
      </c>
      <c r="G1293" s="360">
        <v>5</v>
      </c>
      <c r="H1293" s="30">
        <v>10</v>
      </c>
      <c r="I1293" s="9" t="s">
        <v>330</v>
      </c>
      <c r="J1293" s="9" t="s">
        <v>952</v>
      </c>
      <c r="K1293" s="30">
        <v>1</v>
      </c>
      <c r="L1293" s="9" t="s">
        <v>953</v>
      </c>
      <c r="M1293" s="30" t="s">
        <v>84</v>
      </c>
      <c r="N1293" s="30" t="s">
        <v>151</v>
      </c>
      <c r="O1293" s="24">
        <v>42</v>
      </c>
      <c r="P1293" s="24">
        <v>285</v>
      </c>
      <c r="Q1293" s="24">
        <v>426</v>
      </c>
      <c r="R1293" s="24">
        <v>0</v>
      </c>
      <c r="S1293" s="24">
        <v>0</v>
      </c>
      <c r="T1293" s="24">
        <v>753</v>
      </c>
    </row>
    <row r="1294" spans="1:20">
      <c r="A1294" s="9" t="s">
        <v>828</v>
      </c>
      <c r="B1294" s="30" t="s">
        <v>941</v>
      </c>
      <c r="C1294" s="30" t="str">
        <f>CONCATENATE(VOL_VOLUMEN_SUMINISTROS[[#This Row],[Proyecto]],VOL_VOLUMEN_SUMINISTROS[[#This Row],[J]],VOL_VOLUMEN_SUMINISTROS[[#This Row],[FIN DE SEMANA]])</f>
        <v>1052-1TNO</v>
      </c>
      <c r="D1294" s="360" t="str">
        <f>CONCATENATE(VOL_VOLUMEN_SUMINISTROS[[#This Row],[Grupo]],VOL_VOLUMEN_SUMINISTROS[[#This Row],[Proyecto]],VOL_VOLUMEN_SUMINISTROS[[#This Row],[FIN DE SEMANA]])</f>
        <v>51052-1NO</v>
      </c>
      <c r="E1294" s="30" t="s">
        <v>146</v>
      </c>
      <c r="F1294" s="30" t="s">
        <v>147</v>
      </c>
      <c r="G1294" s="360">
        <v>5</v>
      </c>
      <c r="H1294" s="30">
        <v>10</v>
      </c>
      <c r="I1294" s="9" t="s">
        <v>330</v>
      </c>
      <c r="J1294" s="9" t="s">
        <v>952</v>
      </c>
      <c r="K1294" s="30">
        <v>1</v>
      </c>
      <c r="L1294" s="9" t="s">
        <v>953</v>
      </c>
      <c r="M1294" s="30" t="s">
        <v>84</v>
      </c>
      <c r="N1294" s="30" t="s">
        <v>154</v>
      </c>
      <c r="O1294" s="24">
        <v>64</v>
      </c>
      <c r="P1294" s="24">
        <v>251</v>
      </c>
      <c r="Q1294" s="24">
        <v>304</v>
      </c>
      <c r="R1294" s="24">
        <v>0</v>
      </c>
      <c r="S1294" s="24">
        <v>0</v>
      </c>
      <c r="T1294" s="24">
        <v>619</v>
      </c>
    </row>
    <row r="1295" spans="1:20">
      <c r="A1295" s="9" t="s">
        <v>828</v>
      </c>
      <c r="B1295" s="30" t="s">
        <v>941</v>
      </c>
      <c r="C1295" s="30" t="str">
        <f>CONCATENATE(VOL_VOLUMEN_SUMINISTROS[[#This Row],[Proyecto]],VOL_VOLUMEN_SUMINISTROS[[#This Row],[J]],VOL_VOLUMEN_SUMINISTROS[[#This Row],[FIN DE SEMANA]])</f>
        <v>1052-1MNO</v>
      </c>
      <c r="D1295" s="360" t="str">
        <f>CONCATENATE(VOL_VOLUMEN_SUMINISTROS[[#This Row],[Grupo]],VOL_VOLUMEN_SUMINISTROS[[#This Row],[Proyecto]],VOL_VOLUMEN_SUMINISTROS[[#This Row],[FIN DE SEMANA]])</f>
        <v>51052-1NO</v>
      </c>
      <c r="E1295" s="30" t="s">
        <v>146</v>
      </c>
      <c r="F1295" s="30" t="s">
        <v>147</v>
      </c>
      <c r="G1295" s="360">
        <v>5</v>
      </c>
      <c r="H1295" s="30">
        <v>10</v>
      </c>
      <c r="I1295" s="9" t="s">
        <v>330</v>
      </c>
      <c r="J1295" s="9" t="s">
        <v>952</v>
      </c>
      <c r="K1295" s="30">
        <v>2</v>
      </c>
      <c r="L1295" s="9" t="s">
        <v>954</v>
      </c>
      <c r="M1295" s="30" t="s">
        <v>84</v>
      </c>
      <c r="N1295" s="30" t="s">
        <v>151</v>
      </c>
      <c r="O1295" s="24">
        <v>139</v>
      </c>
      <c r="P1295" s="24">
        <v>41</v>
      </c>
      <c r="Q1295" s="24">
        <v>0</v>
      </c>
      <c r="R1295" s="24">
        <v>0</v>
      </c>
      <c r="S1295" s="24">
        <v>0</v>
      </c>
      <c r="T1295" s="24">
        <v>180</v>
      </c>
    </row>
    <row r="1296" spans="1:20">
      <c r="A1296" s="9" t="s">
        <v>828</v>
      </c>
      <c r="B1296" s="30" t="s">
        <v>941</v>
      </c>
      <c r="C1296" s="30" t="str">
        <f>CONCATENATE(VOL_VOLUMEN_SUMINISTROS[[#This Row],[Proyecto]],VOL_VOLUMEN_SUMINISTROS[[#This Row],[J]],VOL_VOLUMEN_SUMINISTROS[[#This Row],[FIN DE SEMANA]])</f>
        <v>1052-1TNO</v>
      </c>
      <c r="D1296" s="360" t="str">
        <f>CONCATENATE(VOL_VOLUMEN_SUMINISTROS[[#This Row],[Grupo]],VOL_VOLUMEN_SUMINISTROS[[#This Row],[Proyecto]],VOL_VOLUMEN_SUMINISTROS[[#This Row],[FIN DE SEMANA]])</f>
        <v>51052-1NO</v>
      </c>
      <c r="E1296" s="30" t="s">
        <v>146</v>
      </c>
      <c r="F1296" s="30" t="s">
        <v>147</v>
      </c>
      <c r="G1296" s="360">
        <v>5</v>
      </c>
      <c r="H1296" s="30">
        <v>10</v>
      </c>
      <c r="I1296" s="9" t="s">
        <v>330</v>
      </c>
      <c r="J1296" s="9" t="s">
        <v>952</v>
      </c>
      <c r="K1296" s="30">
        <v>2</v>
      </c>
      <c r="L1296" s="9" t="s">
        <v>954</v>
      </c>
      <c r="M1296" s="30" t="s">
        <v>84</v>
      </c>
      <c r="N1296" s="30" t="s">
        <v>154</v>
      </c>
      <c r="O1296" s="24">
        <v>148</v>
      </c>
      <c r="P1296" s="24">
        <v>20</v>
      </c>
      <c r="Q1296" s="24">
        <v>0</v>
      </c>
      <c r="R1296" s="24">
        <v>0</v>
      </c>
      <c r="S1296" s="24">
        <v>0</v>
      </c>
      <c r="T1296" s="24">
        <v>168</v>
      </c>
    </row>
    <row r="1297" spans="1:20">
      <c r="A1297" s="9" t="s">
        <v>828</v>
      </c>
      <c r="B1297" s="30" t="s">
        <v>941</v>
      </c>
      <c r="C1297" s="30" t="str">
        <f>CONCATENATE(VOL_VOLUMEN_SUMINISTROS[[#This Row],[Proyecto]],VOL_VOLUMEN_SUMINISTROS[[#This Row],[J]],VOL_VOLUMEN_SUMINISTROS[[#This Row],[FIN DE SEMANA]])</f>
        <v>1052-1MNO</v>
      </c>
      <c r="D1297" s="360" t="str">
        <f>CONCATENATE(VOL_VOLUMEN_SUMINISTROS[[#This Row],[Grupo]],VOL_VOLUMEN_SUMINISTROS[[#This Row],[Proyecto]],VOL_VOLUMEN_SUMINISTROS[[#This Row],[FIN DE SEMANA]])</f>
        <v>51052-1NO</v>
      </c>
      <c r="E1297" s="30" t="s">
        <v>146</v>
      </c>
      <c r="F1297" s="30" t="s">
        <v>147</v>
      </c>
      <c r="G1297" s="360">
        <v>5</v>
      </c>
      <c r="H1297" s="30">
        <v>10</v>
      </c>
      <c r="I1297" s="9" t="s">
        <v>330</v>
      </c>
      <c r="J1297" s="9" t="s">
        <v>955</v>
      </c>
      <c r="K1297" s="30">
        <v>1</v>
      </c>
      <c r="L1297" s="9" t="s">
        <v>956</v>
      </c>
      <c r="M1297" s="30" t="s">
        <v>84</v>
      </c>
      <c r="N1297" s="30" t="s">
        <v>151</v>
      </c>
      <c r="O1297" s="24">
        <v>151</v>
      </c>
      <c r="P1297" s="24">
        <v>137</v>
      </c>
      <c r="Q1297" s="24">
        <v>28</v>
      </c>
      <c r="R1297" s="24">
        <v>0</v>
      </c>
      <c r="S1297" s="24">
        <v>0</v>
      </c>
      <c r="T1297" s="24">
        <v>316</v>
      </c>
    </row>
    <row r="1298" spans="1:20">
      <c r="A1298" s="9" t="s">
        <v>828</v>
      </c>
      <c r="B1298" s="30" t="s">
        <v>941</v>
      </c>
      <c r="C1298" s="30" t="str">
        <f>CONCATENATE(VOL_VOLUMEN_SUMINISTROS[[#This Row],[Proyecto]],VOL_VOLUMEN_SUMINISTROS[[#This Row],[J]],VOL_VOLUMEN_SUMINISTROS[[#This Row],[FIN DE SEMANA]])</f>
        <v>1052-1TNO</v>
      </c>
      <c r="D1298" s="360" t="str">
        <f>CONCATENATE(VOL_VOLUMEN_SUMINISTROS[[#This Row],[Grupo]],VOL_VOLUMEN_SUMINISTROS[[#This Row],[Proyecto]],VOL_VOLUMEN_SUMINISTROS[[#This Row],[FIN DE SEMANA]])</f>
        <v>51052-1NO</v>
      </c>
      <c r="E1298" s="30" t="s">
        <v>146</v>
      </c>
      <c r="F1298" s="30" t="s">
        <v>147</v>
      </c>
      <c r="G1298" s="360">
        <v>5</v>
      </c>
      <c r="H1298" s="30">
        <v>10</v>
      </c>
      <c r="I1298" s="9" t="s">
        <v>330</v>
      </c>
      <c r="J1298" s="9" t="s">
        <v>955</v>
      </c>
      <c r="K1298" s="30">
        <v>1</v>
      </c>
      <c r="L1298" s="9" t="s">
        <v>956</v>
      </c>
      <c r="M1298" s="30" t="s">
        <v>84</v>
      </c>
      <c r="N1298" s="30" t="s">
        <v>154</v>
      </c>
      <c r="O1298" s="24">
        <v>0</v>
      </c>
      <c r="P1298" s="24">
        <v>75</v>
      </c>
      <c r="Q1298" s="24">
        <v>187</v>
      </c>
      <c r="R1298" s="24">
        <v>0</v>
      </c>
      <c r="S1298" s="24">
        <v>0</v>
      </c>
      <c r="T1298" s="24">
        <v>262</v>
      </c>
    </row>
    <row r="1299" spans="1:20">
      <c r="A1299" s="9" t="s">
        <v>828</v>
      </c>
      <c r="B1299" s="30" t="s">
        <v>941</v>
      </c>
      <c r="C1299" s="30" t="str">
        <f>CONCATENATE(VOL_VOLUMEN_SUMINISTROS[[#This Row],[Proyecto]],VOL_VOLUMEN_SUMINISTROS[[#This Row],[J]],VOL_VOLUMEN_SUMINISTROS[[#This Row],[FIN DE SEMANA]])</f>
        <v>1052-1MNO</v>
      </c>
      <c r="D1299" s="360" t="str">
        <f>CONCATENATE(VOL_VOLUMEN_SUMINISTROS[[#This Row],[Grupo]],VOL_VOLUMEN_SUMINISTROS[[#This Row],[Proyecto]],VOL_VOLUMEN_SUMINISTROS[[#This Row],[FIN DE SEMANA]])</f>
        <v>51052-1NO</v>
      </c>
      <c r="E1299" s="30" t="s">
        <v>146</v>
      </c>
      <c r="F1299" s="30" t="s">
        <v>147</v>
      </c>
      <c r="G1299" s="360">
        <v>5</v>
      </c>
      <c r="H1299" s="30">
        <v>10</v>
      </c>
      <c r="I1299" s="9" t="s">
        <v>330</v>
      </c>
      <c r="J1299" s="9" t="s">
        <v>957</v>
      </c>
      <c r="K1299" s="30">
        <v>1</v>
      </c>
      <c r="L1299" s="9" t="s">
        <v>958</v>
      </c>
      <c r="M1299" s="30" t="s">
        <v>84</v>
      </c>
      <c r="N1299" s="30" t="s">
        <v>151</v>
      </c>
      <c r="O1299" s="24">
        <v>0</v>
      </c>
      <c r="P1299" s="24">
        <v>75</v>
      </c>
      <c r="Q1299" s="24">
        <v>219</v>
      </c>
      <c r="R1299" s="24">
        <v>0</v>
      </c>
      <c r="S1299" s="24">
        <v>0</v>
      </c>
      <c r="T1299" s="24">
        <v>294</v>
      </c>
    </row>
    <row r="1300" spans="1:20">
      <c r="A1300" s="9" t="s">
        <v>828</v>
      </c>
      <c r="B1300" s="30" t="s">
        <v>941</v>
      </c>
      <c r="C1300" s="30" t="str">
        <f>CONCATENATE(VOL_VOLUMEN_SUMINISTROS[[#This Row],[Proyecto]],VOL_VOLUMEN_SUMINISTROS[[#This Row],[J]],VOL_VOLUMEN_SUMINISTROS[[#This Row],[FIN DE SEMANA]])</f>
        <v>1052-1TNO</v>
      </c>
      <c r="D1300" s="360" t="str">
        <f>CONCATENATE(VOL_VOLUMEN_SUMINISTROS[[#This Row],[Grupo]],VOL_VOLUMEN_SUMINISTROS[[#This Row],[Proyecto]],VOL_VOLUMEN_SUMINISTROS[[#This Row],[FIN DE SEMANA]])</f>
        <v>51052-1NO</v>
      </c>
      <c r="E1300" s="30" t="s">
        <v>146</v>
      </c>
      <c r="F1300" s="30" t="s">
        <v>147</v>
      </c>
      <c r="G1300" s="360">
        <v>5</v>
      </c>
      <c r="H1300" s="30">
        <v>10</v>
      </c>
      <c r="I1300" s="9" t="s">
        <v>330</v>
      </c>
      <c r="J1300" s="9" t="s">
        <v>957</v>
      </c>
      <c r="K1300" s="30">
        <v>1</v>
      </c>
      <c r="L1300" s="9" t="s">
        <v>958</v>
      </c>
      <c r="M1300" s="30" t="s">
        <v>84</v>
      </c>
      <c r="N1300" s="30" t="s">
        <v>154</v>
      </c>
      <c r="O1300" s="24">
        <v>0</v>
      </c>
      <c r="P1300" s="24">
        <v>84</v>
      </c>
      <c r="Q1300" s="24">
        <v>153</v>
      </c>
      <c r="R1300" s="24">
        <v>0</v>
      </c>
      <c r="S1300" s="24">
        <v>0</v>
      </c>
      <c r="T1300" s="24">
        <v>237</v>
      </c>
    </row>
    <row r="1301" spans="1:20">
      <c r="A1301" s="9" t="s">
        <v>828</v>
      </c>
      <c r="B1301" s="30" t="s">
        <v>941</v>
      </c>
      <c r="C1301" s="30" t="str">
        <f>CONCATENATE(VOL_VOLUMEN_SUMINISTROS[[#This Row],[Proyecto]],VOL_VOLUMEN_SUMINISTROS[[#This Row],[J]],VOL_VOLUMEN_SUMINISTROS[[#This Row],[FIN DE SEMANA]])</f>
        <v>1052-1MNO</v>
      </c>
      <c r="D1301" s="360" t="str">
        <f>CONCATENATE(VOL_VOLUMEN_SUMINISTROS[[#This Row],[Grupo]],VOL_VOLUMEN_SUMINISTROS[[#This Row],[Proyecto]],VOL_VOLUMEN_SUMINISTROS[[#This Row],[FIN DE SEMANA]])</f>
        <v>51052-1NO</v>
      </c>
      <c r="E1301" s="30" t="s">
        <v>146</v>
      </c>
      <c r="F1301" s="30" t="s">
        <v>147</v>
      </c>
      <c r="G1301" s="360">
        <v>5</v>
      </c>
      <c r="H1301" s="30">
        <v>10</v>
      </c>
      <c r="I1301" s="9" t="s">
        <v>330</v>
      </c>
      <c r="J1301" s="9" t="s">
        <v>957</v>
      </c>
      <c r="K1301" s="30">
        <v>2</v>
      </c>
      <c r="L1301" s="9" t="s">
        <v>164</v>
      </c>
      <c r="M1301" s="30" t="s">
        <v>84</v>
      </c>
      <c r="N1301" s="30" t="s">
        <v>151</v>
      </c>
      <c r="O1301" s="24">
        <v>178</v>
      </c>
      <c r="P1301" s="24">
        <v>59</v>
      </c>
      <c r="Q1301" s="24">
        <v>0</v>
      </c>
      <c r="R1301" s="24">
        <v>0</v>
      </c>
      <c r="S1301" s="24">
        <v>0</v>
      </c>
      <c r="T1301" s="24">
        <v>237</v>
      </c>
    </row>
    <row r="1302" spans="1:20">
      <c r="A1302" s="9" t="s">
        <v>828</v>
      </c>
      <c r="B1302" s="30" t="s">
        <v>941</v>
      </c>
      <c r="C1302" s="30" t="str">
        <f>CONCATENATE(VOL_VOLUMEN_SUMINISTROS[[#This Row],[Proyecto]],VOL_VOLUMEN_SUMINISTROS[[#This Row],[J]],VOL_VOLUMEN_SUMINISTROS[[#This Row],[FIN DE SEMANA]])</f>
        <v>1052-1TNO</v>
      </c>
      <c r="D1302" s="360" t="str">
        <f>CONCATENATE(VOL_VOLUMEN_SUMINISTROS[[#This Row],[Grupo]],VOL_VOLUMEN_SUMINISTROS[[#This Row],[Proyecto]],VOL_VOLUMEN_SUMINISTROS[[#This Row],[FIN DE SEMANA]])</f>
        <v>51052-1NO</v>
      </c>
      <c r="E1302" s="30" t="s">
        <v>146</v>
      </c>
      <c r="F1302" s="30" t="s">
        <v>147</v>
      </c>
      <c r="G1302" s="360">
        <v>5</v>
      </c>
      <c r="H1302" s="30">
        <v>10</v>
      </c>
      <c r="I1302" s="9" t="s">
        <v>330</v>
      </c>
      <c r="J1302" s="9" t="s">
        <v>957</v>
      </c>
      <c r="K1302" s="30">
        <v>2</v>
      </c>
      <c r="L1302" s="9" t="s">
        <v>164</v>
      </c>
      <c r="M1302" s="30" t="s">
        <v>84</v>
      </c>
      <c r="N1302" s="30" t="s">
        <v>154</v>
      </c>
      <c r="O1302" s="24">
        <v>107</v>
      </c>
      <c r="P1302" s="24">
        <v>58</v>
      </c>
      <c r="Q1302" s="24">
        <v>10</v>
      </c>
      <c r="R1302" s="24">
        <v>0</v>
      </c>
      <c r="S1302" s="24">
        <v>0</v>
      </c>
      <c r="T1302" s="24">
        <v>175</v>
      </c>
    </row>
    <row r="1303" spans="1:20">
      <c r="A1303" s="9" t="s">
        <v>828</v>
      </c>
      <c r="B1303" s="30" t="s">
        <v>941</v>
      </c>
      <c r="C1303" s="30" t="str">
        <f>CONCATENATE(VOL_VOLUMEN_SUMINISTROS[[#This Row],[Proyecto]],VOL_VOLUMEN_SUMINISTROS[[#This Row],[J]],VOL_VOLUMEN_SUMINISTROS[[#This Row],[FIN DE SEMANA]])</f>
        <v>1052-1MNO</v>
      </c>
      <c r="D1303" s="360" t="str">
        <f>CONCATENATE(VOL_VOLUMEN_SUMINISTROS[[#This Row],[Grupo]],VOL_VOLUMEN_SUMINISTROS[[#This Row],[Proyecto]],VOL_VOLUMEN_SUMINISTROS[[#This Row],[FIN DE SEMANA]])</f>
        <v>51052-1NO</v>
      </c>
      <c r="E1303" s="30" t="s">
        <v>146</v>
      </c>
      <c r="F1303" s="30" t="s">
        <v>147</v>
      </c>
      <c r="G1303" s="360">
        <v>5</v>
      </c>
      <c r="H1303" s="30">
        <v>10</v>
      </c>
      <c r="I1303" s="9" t="s">
        <v>330</v>
      </c>
      <c r="J1303" s="9" t="s">
        <v>957</v>
      </c>
      <c r="K1303" s="30">
        <v>3</v>
      </c>
      <c r="L1303" s="9" t="s">
        <v>457</v>
      </c>
      <c r="M1303" s="30" t="s">
        <v>84</v>
      </c>
      <c r="N1303" s="30" t="s">
        <v>151</v>
      </c>
      <c r="O1303" s="24">
        <v>24</v>
      </c>
      <c r="P1303" s="24">
        <v>126</v>
      </c>
      <c r="Q1303" s="24">
        <v>38</v>
      </c>
      <c r="R1303" s="24">
        <v>0</v>
      </c>
      <c r="S1303" s="24">
        <v>0</v>
      </c>
      <c r="T1303" s="24">
        <v>188</v>
      </c>
    </row>
    <row r="1304" spans="1:20">
      <c r="A1304" s="9" t="s">
        <v>828</v>
      </c>
      <c r="B1304" s="30" t="s">
        <v>941</v>
      </c>
      <c r="C1304" s="30" t="str">
        <f>CONCATENATE(VOL_VOLUMEN_SUMINISTROS[[#This Row],[Proyecto]],VOL_VOLUMEN_SUMINISTROS[[#This Row],[J]],VOL_VOLUMEN_SUMINISTROS[[#This Row],[FIN DE SEMANA]])</f>
        <v>1052-1MNO</v>
      </c>
      <c r="D1304" s="360" t="str">
        <f>CONCATENATE(VOL_VOLUMEN_SUMINISTROS[[#This Row],[Grupo]],VOL_VOLUMEN_SUMINISTROS[[#This Row],[Proyecto]],VOL_VOLUMEN_SUMINISTROS[[#This Row],[FIN DE SEMANA]])</f>
        <v>51052-1NO</v>
      </c>
      <c r="E1304" s="30" t="s">
        <v>146</v>
      </c>
      <c r="F1304" s="30" t="s">
        <v>147</v>
      </c>
      <c r="G1304" s="360">
        <v>5</v>
      </c>
      <c r="H1304" s="30">
        <v>10</v>
      </c>
      <c r="I1304" s="9" t="s">
        <v>330</v>
      </c>
      <c r="J1304" s="9" t="s">
        <v>959</v>
      </c>
      <c r="K1304" s="30">
        <v>1</v>
      </c>
      <c r="L1304" s="9" t="s">
        <v>960</v>
      </c>
      <c r="M1304" s="30" t="s">
        <v>84</v>
      </c>
      <c r="N1304" s="30" t="s">
        <v>151</v>
      </c>
      <c r="O1304" s="24">
        <v>342</v>
      </c>
      <c r="P1304" s="24">
        <v>228</v>
      </c>
      <c r="Q1304" s="24">
        <v>46</v>
      </c>
      <c r="R1304" s="24">
        <v>0</v>
      </c>
      <c r="S1304" s="24">
        <v>0</v>
      </c>
      <c r="T1304" s="24">
        <v>616</v>
      </c>
    </row>
    <row r="1305" spans="1:20">
      <c r="A1305" s="9" t="s">
        <v>828</v>
      </c>
      <c r="B1305" s="30" t="s">
        <v>941</v>
      </c>
      <c r="C1305" s="30" t="str">
        <f>CONCATENATE(VOL_VOLUMEN_SUMINISTROS[[#This Row],[Proyecto]],VOL_VOLUMEN_SUMINISTROS[[#This Row],[J]],VOL_VOLUMEN_SUMINISTROS[[#This Row],[FIN DE SEMANA]])</f>
        <v>1052-1TNO</v>
      </c>
      <c r="D1305" s="360" t="str">
        <f>CONCATENATE(VOL_VOLUMEN_SUMINISTROS[[#This Row],[Grupo]],VOL_VOLUMEN_SUMINISTROS[[#This Row],[Proyecto]],VOL_VOLUMEN_SUMINISTROS[[#This Row],[FIN DE SEMANA]])</f>
        <v>51052-1NO</v>
      </c>
      <c r="E1305" s="30" t="s">
        <v>146</v>
      </c>
      <c r="F1305" s="30" t="s">
        <v>147</v>
      </c>
      <c r="G1305" s="360">
        <v>5</v>
      </c>
      <c r="H1305" s="30">
        <v>10</v>
      </c>
      <c r="I1305" s="9" t="s">
        <v>330</v>
      </c>
      <c r="J1305" s="9" t="s">
        <v>959</v>
      </c>
      <c r="K1305" s="30">
        <v>1</v>
      </c>
      <c r="L1305" s="9" t="s">
        <v>960</v>
      </c>
      <c r="M1305" s="30" t="s">
        <v>84</v>
      </c>
      <c r="N1305" s="30" t="s">
        <v>154</v>
      </c>
      <c r="O1305" s="24">
        <v>0</v>
      </c>
      <c r="P1305" s="24">
        <v>174</v>
      </c>
      <c r="Q1305" s="24">
        <v>558</v>
      </c>
      <c r="R1305" s="24">
        <v>0</v>
      </c>
      <c r="S1305" s="24">
        <v>0</v>
      </c>
      <c r="T1305" s="24">
        <v>732</v>
      </c>
    </row>
    <row r="1306" spans="1:20">
      <c r="A1306" s="9" t="s">
        <v>828</v>
      </c>
      <c r="B1306" s="30" t="s">
        <v>941</v>
      </c>
      <c r="C1306" s="30" t="str">
        <f>CONCATENATE(VOL_VOLUMEN_SUMINISTROS[[#This Row],[Proyecto]],VOL_VOLUMEN_SUMINISTROS[[#This Row],[J]],VOL_VOLUMEN_SUMINISTROS[[#This Row],[FIN DE SEMANA]])</f>
        <v>1052-1NNO</v>
      </c>
      <c r="D1306" s="360" t="str">
        <f>CONCATENATE(VOL_VOLUMEN_SUMINISTROS[[#This Row],[Grupo]],VOL_VOLUMEN_SUMINISTROS[[#This Row],[Proyecto]],VOL_VOLUMEN_SUMINISTROS[[#This Row],[FIN DE SEMANA]])</f>
        <v>51052-1NO</v>
      </c>
      <c r="E1306" s="30" t="s">
        <v>146</v>
      </c>
      <c r="F1306" s="30" t="s">
        <v>147</v>
      </c>
      <c r="G1306" s="360">
        <v>5</v>
      </c>
      <c r="H1306" s="30">
        <v>10</v>
      </c>
      <c r="I1306" s="9" t="s">
        <v>330</v>
      </c>
      <c r="J1306" s="9" t="s">
        <v>961</v>
      </c>
      <c r="K1306" s="30">
        <v>1</v>
      </c>
      <c r="L1306" s="9" t="s">
        <v>962</v>
      </c>
      <c r="M1306" s="30" t="s">
        <v>84</v>
      </c>
      <c r="N1306" s="30" t="s">
        <v>153</v>
      </c>
      <c r="O1306" s="24">
        <v>0</v>
      </c>
      <c r="P1306" s="24">
        <v>0</v>
      </c>
      <c r="Q1306" s="24">
        <v>0</v>
      </c>
      <c r="R1306" s="24">
        <v>60</v>
      </c>
      <c r="S1306" s="24">
        <v>40</v>
      </c>
      <c r="T1306" s="24">
        <v>100</v>
      </c>
    </row>
    <row r="1307" spans="1:20">
      <c r="A1307" s="9" t="s">
        <v>828</v>
      </c>
      <c r="B1307" s="30" t="s">
        <v>941</v>
      </c>
      <c r="C1307" s="30" t="str">
        <f>CONCATENATE(VOL_VOLUMEN_SUMINISTROS[[#This Row],[Proyecto]],VOL_VOLUMEN_SUMINISTROS[[#This Row],[J]],VOL_VOLUMEN_SUMINISTROS[[#This Row],[FIN DE SEMANA]])</f>
        <v>1052-1MNO</v>
      </c>
      <c r="D1307" s="360" t="str">
        <f>CONCATENATE(VOL_VOLUMEN_SUMINISTROS[[#This Row],[Grupo]],VOL_VOLUMEN_SUMINISTROS[[#This Row],[Proyecto]],VOL_VOLUMEN_SUMINISTROS[[#This Row],[FIN DE SEMANA]])</f>
        <v>51052-1NO</v>
      </c>
      <c r="E1307" s="30" t="s">
        <v>146</v>
      </c>
      <c r="F1307" s="30" t="s">
        <v>147</v>
      </c>
      <c r="G1307" s="360">
        <v>5</v>
      </c>
      <c r="H1307" s="30">
        <v>10</v>
      </c>
      <c r="I1307" s="9" t="s">
        <v>330</v>
      </c>
      <c r="J1307" s="9" t="s">
        <v>963</v>
      </c>
      <c r="K1307" s="30">
        <v>1</v>
      </c>
      <c r="L1307" s="9" t="s">
        <v>964</v>
      </c>
      <c r="M1307" s="30" t="s">
        <v>84</v>
      </c>
      <c r="N1307" s="30" t="s">
        <v>151</v>
      </c>
      <c r="O1307" s="24">
        <v>0</v>
      </c>
      <c r="P1307" s="24">
        <v>0</v>
      </c>
      <c r="Q1307" s="24">
        <v>322</v>
      </c>
      <c r="R1307" s="24">
        <v>0</v>
      </c>
      <c r="S1307" s="24">
        <v>0</v>
      </c>
      <c r="T1307" s="24">
        <v>322</v>
      </c>
    </row>
    <row r="1308" spans="1:20">
      <c r="A1308" s="9" t="s">
        <v>828</v>
      </c>
      <c r="B1308" s="30" t="s">
        <v>941</v>
      </c>
      <c r="C1308" s="30" t="str">
        <f>CONCATENATE(VOL_VOLUMEN_SUMINISTROS[[#This Row],[Proyecto]],VOL_VOLUMEN_SUMINISTROS[[#This Row],[J]],VOL_VOLUMEN_SUMINISTROS[[#This Row],[FIN DE SEMANA]])</f>
        <v>1052-1MNO</v>
      </c>
      <c r="D1308" s="360" t="str">
        <f>CONCATENATE(VOL_VOLUMEN_SUMINISTROS[[#This Row],[Grupo]],VOL_VOLUMEN_SUMINISTROS[[#This Row],[Proyecto]],VOL_VOLUMEN_SUMINISTROS[[#This Row],[FIN DE SEMANA]])</f>
        <v>51052-1NO</v>
      </c>
      <c r="E1308" s="30" t="s">
        <v>146</v>
      </c>
      <c r="F1308" s="30" t="s">
        <v>147</v>
      </c>
      <c r="G1308" s="360">
        <v>5</v>
      </c>
      <c r="H1308" s="30">
        <v>10</v>
      </c>
      <c r="I1308" s="9" t="s">
        <v>330</v>
      </c>
      <c r="J1308" s="9" t="s">
        <v>963</v>
      </c>
      <c r="K1308" s="30">
        <v>2</v>
      </c>
      <c r="L1308" s="9" t="s">
        <v>965</v>
      </c>
      <c r="M1308" s="30" t="s">
        <v>84</v>
      </c>
      <c r="N1308" s="30" t="s">
        <v>151</v>
      </c>
      <c r="O1308" s="24">
        <v>364</v>
      </c>
      <c r="P1308" s="24">
        <v>439</v>
      </c>
      <c r="Q1308" s="24">
        <v>343</v>
      </c>
      <c r="R1308" s="24">
        <v>0</v>
      </c>
      <c r="S1308" s="24">
        <v>0</v>
      </c>
      <c r="T1308" s="24">
        <v>1146</v>
      </c>
    </row>
    <row r="1309" spans="1:20">
      <c r="A1309" s="9" t="s">
        <v>828</v>
      </c>
      <c r="B1309" s="30" t="s">
        <v>941</v>
      </c>
      <c r="C1309" s="30" t="str">
        <f>CONCATENATE(VOL_VOLUMEN_SUMINISTROS[[#This Row],[Proyecto]],VOL_VOLUMEN_SUMINISTROS[[#This Row],[J]],VOL_VOLUMEN_SUMINISTROS[[#This Row],[FIN DE SEMANA]])</f>
        <v>1052-1MNO</v>
      </c>
      <c r="D1309" s="360" t="str">
        <f>CONCATENATE(VOL_VOLUMEN_SUMINISTROS[[#This Row],[Grupo]],VOL_VOLUMEN_SUMINISTROS[[#This Row],[Proyecto]],VOL_VOLUMEN_SUMINISTROS[[#This Row],[FIN DE SEMANA]])</f>
        <v>51052-1NO</v>
      </c>
      <c r="E1309" s="30" t="s">
        <v>146</v>
      </c>
      <c r="F1309" s="30" t="s">
        <v>147</v>
      </c>
      <c r="G1309" s="360">
        <v>5</v>
      </c>
      <c r="H1309" s="30">
        <v>10</v>
      </c>
      <c r="I1309" s="9" t="s">
        <v>330</v>
      </c>
      <c r="J1309" s="9" t="s">
        <v>966</v>
      </c>
      <c r="K1309" s="30">
        <v>2</v>
      </c>
      <c r="L1309" s="9" t="s">
        <v>967</v>
      </c>
      <c r="M1309" s="30" t="s">
        <v>84</v>
      </c>
      <c r="N1309" s="30" t="s">
        <v>151</v>
      </c>
      <c r="O1309" s="24">
        <v>467</v>
      </c>
      <c r="P1309" s="24">
        <v>453</v>
      </c>
      <c r="Q1309" s="24">
        <v>94</v>
      </c>
      <c r="R1309" s="24">
        <v>0</v>
      </c>
      <c r="S1309" s="24">
        <v>0</v>
      </c>
      <c r="T1309" s="24">
        <v>1014</v>
      </c>
    </row>
    <row r="1310" spans="1:20">
      <c r="A1310" s="9" t="s">
        <v>828</v>
      </c>
      <c r="B1310" s="30" t="s">
        <v>941</v>
      </c>
      <c r="C1310" s="30" t="str">
        <f>CONCATENATE(VOL_VOLUMEN_SUMINISTROS[[#This Row],[Proyecto]],VOL_VOLUMEN_SUMINISTROS[[#This Row],[J]],VOL_VOLUMEN_SUMINISTROS[[#This Row],[FIN DE SEMANA]])</f>
        <v>1052-1TNO</v>
      </c>
      <c r="D1310" s="360" t="str">
        <f>CONCATENATE(VOL_VOLUMEN_SUMINISTROS[[#This Row],[Grupo]],VOL_VOLUMEN_SUMINISTROS[[#This Row],[Proyecto]],VOL_VOLUMEN_SUMINISTROS[[#This Row],[FIN DE SEMANA]])</f>
        <v>51052-1NO</v>
      </c>
      <c r="E1310" s="30" t="s">
        <v>146</v>
      </c>
      <c r="F1310" s="30" t="s">
        <v>147</v>
      </c>
      <c r="G1310" s="360">
        <v>5</v>
      </c>
      <c r="H1310" s="30">
        <v>10</v>
      </c>
      <c r="I1310" s="9" t="s">
        <v>330</v>
      </c>
      <c r="J1310" s="9" t="s">
        <v>966</v>
      </c>
      <c r="K1310" s="30">
        <v>2</v>
      </c>
      <c r="L1310" s="9" t="s">
        <v>968</v>
      </c>
      <c r="M1310" s="30" t="s">
        <v>84</v>
      </c>
      <c r="N1310" s="30" t="s">
        <v>154</v>
      </c>
      <c r="O1310" s="24">
        <v>428</v>
      </c>
      <c r="P1310" s="24">
        <v>401</v>
      </c>
      <c r="Q1310" s="24">
        <v>83</v>
      </c>
      <c r="R1310" s="24">
        <v>0</v>
      </c>
      <c r="S1310" s="24">
        <v>0</v>
      </c>
      <c r="T1310" s="24">
        <v>912</v>
      </c>
    </row>
    <row r="1311" spans="1:20">
      <c r="A1311" s="9" t="s">
        <v>828</v>
      </c>
      <c r="B1311" s="30" t="s">
        <v>941</v>
      </c>
      <c r="C1311" s="30" t="str">
        <f>CONCATENATE(VOL_VOLUMEN_SUMINISTROS[[#This Row],[Proyecto]],VOL_VOLUMEN_SUMINISTROS[[#This Row],[J]],VOL_VOLUMEN_SUMINISTROS[[#This Row],[FIN DE SEMANA]])</f>
        <v>1052-1MNO</v>
      </c>
      <c r="D1311" s="360" t="str">
        <f>CONCATENATE(VOL_VOLUMEN_SUMINISTROS[[#This Row],[Grupo]],VOL_VOLUMEN_SUMINISTROS[[#This Row],[Proyecto]],VOL_VOLUMEN_SUMINISTROS[[#This Row],[FIN DE SEMANA]])</f>
        <v>51052-1NO</v>
      </c>
      <c r="E1311" s="30" t="s">
        <v>146</v>
      </c>
      <c r="F1311" s="30" t="s">
        <v>147</v>
      </c>
      <c r="G1311" s="360">
        <v>5</v>
      </c>
      <c r="H1311" s="30">
        <v>10</v>
      </c>
      <c r="I1311" s="9" t="s">
        <v>330</v>
      </c>
      <c r="J1311" s="9" t="s">
        <v>966</v>
      </c>
      <c r="K1311" s="30">
        <v>3</v>
      </c>
      <c r="L1311" s="9" t="s">
        <v>969</v>
      </c>
      <c r="M1311" s="30" t="s">
        <v>84</v>
      </c>
      <c r="N1311" s="30" t="s">
        <v>151</v>
      </c>
      <c r="O1311" s="24">
        <v>80</v>
      </c>
      <c r="P1311" s="24">
        <v>0</v>
      </c>
      <c r="Q1311" s="24">
        <v>0</v>
      </c>
      <c r="R1311" s="24">
        <v>0</v>
      </c>
      <c r="S1311" s="24">
        <v>0</v>
      </c>
      <c r="T1311" s="24">
        <v>80</v>
      </c>
    </row>
    <row r="1312" spans="1:20">
      <c r="A1312" s="9" t="s">
        <v>828</v>
      </c>
      <c r="B1312" s="30" t="s">
        <v>941</v>
      </c>
      <c r="C1312" s="30" t="str">
        <f>CONCATENATE(VOL_VOLUMEN_SUMINISTROS[[#This Row],[Proyecto]],VOL_VOLUMEN_SUMINISTROS[[#This Row],[J]],VOL_VOLUMEN_SUMINISTROS[[#This Row],[FIN DE SEMANA]])</f>
        <v>1052-1MNO</v>
      </c>
      <c r="D1312" s="360" t="str">
        <f>CONCATENATE(VOL_VOLUMEN_SUMINISTROS[[#This Row],[Grupo]],VOL_VOLUMEN_SUMINISTROS[[#This Row],[Proyecto]],VOL_VOLUMEN_SUMINISTROS[[#This Row],[FIN DE SEMANA]])</f>
        <v>51052-1NO</v>
      </c>
      <c r="E1312" s="30" t="s">
        <v>146</v>
      </c>
      <c r="F1312" s="30" t="s">
        <v>147</v>
      </c>
      <c r="G1312" s="360">
        <v>5</v>
      </c>
      <c r="H1312" s="30">
        <v>10</v>
      </c>
      <c r="I1312" s="9" t="s">
        <v>330</v>
      </c>
      <c r="J1312" s="9" t="s">
        <v>970</v>
      </c>
      <c r="K1312" s="30">
        <v>1</v>
      </c>
      <c r="L1312" s="9" t="s">
        <v>971</v>
      </c>
      <c r="M1312" s="30" t="s">
        <v>84</v>
      </c>
      <c r="N1312" s="30" t="s">
        <v>151</v>
      </c>
      <c r="O1312" s="24">
        <v>0</v>
      </c>
      <c r="P1312" s="24">
        <v>123</v>
      </c>
      <c r="Q1312" s="24">
        <v>378</v>
      </c>
      <c r="R1312" s="24">
        <v>0</v>
      </c>
      <c r="S1312" s="24">
        <v>0</v>
      </c>
      <c r="T1312" s="24">
        <v>501</v>
      </c>
    </row>
    <row r="1313" spans="1:20">
      <c r="A1313" s="9" t="s">
        <v>828</v>
      </c>
      <c r="B1313" s="30" t="s">
        <v>941</v>
      </c>
      <c r="C1313" s="30" t="str">
        <f>CONCATENATE(VOL_VOLUMEN_SUMINISTROS[[#This Row],[Proyecto]],VOL_VOLUMEN_SUMINISTROS[[#This Row],[J]],VOL_VOLUMEN_SUMINISTROS[[#This Row],[FIN DE SEMANA]])</f>
        <v>1052-1TNO</v>
      </c>
      <c r="D1313" s="360" t="str">
        <f>CONCATENATE(VOL_VOLUMEN_SUMINISTROS[[#This Row],[Grupo]],VOL_VOLUMEN_SUMINISTROS[[#This Row],[Proyecto]],VOL_VOLUMEN_SUMINISTROS[[#This Row],[FIN DE SEMANA]])</f>
        <v>51052-1NO</v>
      </c>
      <c r="E1313" s="30" t="s">
        <v>146</v>
      </c>
      <c r="F1313" s="30" t="s">
        <v>147</v>
      </c>
      <c r="G1313" s="360">
        <v>5</v>
      </c>
      <c r="H1313" s="30">
        <v>10</v>
      </c>
      <c r="I1313" s="9" t="s">
        <v>330</v>
      </c>
      <c r="J1313" s="9" t="s">
        <v>970</v>
      </c>
      <c r="K1313" s="30">
        <v>1</v>
      </c>
      <c r="L1313" s="9" t="s">
        <v>971</v>
      </c>
      <c r="M1313" s="30" t="s">
        <v>84</v>
      </c>
      <c r="N1313" s="30" t="s">
        <v>154</v>
      </c>
      <c r="O1313" s="24">
        <v>0</v>
      </c>
      <c r="P1313" s="24">
        <v>93</v>
      </c>
      <c r="Q1313" s="24">
        <v>299</v>
      </c>
      <c r="R1313" s="24">
        <v>0</v>
      </c>
      <c r="S1313" s="24">
        <v>0</v>
      </c>
      <c r="T1313" s="24">
        <v>392</v>
      </c>
    </row>
    <row r="1314" spans="1:20">
      <c r="A1314" s="9" t="s">
        <v>828</v>
      </c>
      <c r="B1314" s="30" t="s">
        <v>941</v>
      </c>
      <c r="C1314" s="30" t="str">
        <f>CONCATENATE(VOL_VOLUMEN_SUMINISTROS[[#This Row],[Proyecto]],VOL_VOLUMEN_SUMINISTROS[[#This Row],[J]],VOL_VOLUMEN_SUMINISTROS[[#This Row],[FIN DE SEMANA]])</f>
        <v>1052-1MNO</v>
      </c>
      <c r="D1314" s="360" t="str">
        <f>CONCATENATE(VOL_VOLUMEN_SUMINISTROS[[#This Row],[Grupo]],VOL_VOLUMEN_SUMINISTROS[[#This Row],[Proyecto]],VOL_VOLUMEN_SUMINISTROS[[#This Row],[FIN DE SEMANA]])</f>
        <v>51052-1NO</v>
      </c>
      <c r="E1314" s="30" t="s">
        <v>146</v>
      </c>
      <c r="F1314" s="30" t="s">
        <v>147</v>
      </c>
      <c r="G1314" s="360">
        <v>5</v>
      </c>
      <c r="H1314" s="30">
        <v>10</v>
      </c>
      <c r="I1314" s="9" t="s">
        <v>330</v>
      </c>
      <c r="J1314" s="9" t="s">
        <v>970</v>
      </c>
      <c r="K1314" s="30">
        <v>2</v>
      </c>
      <c r="L1314" s="9" t="s">
        <v>972</v>
      </c>
      <c r="M1314" s="30" t="s">
        <v>84</v>
      </c>
      <c r="N1314" s="30" t="s">
        <v>151</v>
      </c>
      <c r="O1314" s="24">
        <v>169</v>
      </c>
      <c r="P1314" s="24">
        <v>176</v>
      </c>
      <c r="Q1314" s="24">
        <v>37</v>
      </c>
      <c r="R1314" s="24">
        <v>0</v>
      </c>
      <c r="S1314" s="24">
        <v>0</v>
      </c>
      <c r="T1314" s="24">
        <v>382</v>
      </c>
    </row>
    <row r="1315" spans="1:20">
      <c r="A1315" s="9" t="s">
        <v>828</v>
      </c>
      <c r="B1315" s="30" t="s">
        <v>941</v>
      </c>
      <c r="C1315" s="30" t="str">
        <f>CONCATENATE(VOL_VOLUMEN_SUMINISTROS[[#This Row],[Proyecto]],VOL_VOLUMEN_SUMINISTROS[[#This Row],[J]],VOL_VOLUMEN_SUMINISTROS[[#This Row],[FIN DE SEMANA]])</f>
        <v>1052-1TNO</v>
      </c>
      <c r="D1315" s="360" t="str">
        <f>CONCATENATE(VOL_VOLUMEN_SUMINISTROS[[#This Row],[Grupo]],VOL_VOLUMEN_SUMINISTROS[[#This Row],[Proyecto]],VOL_VOLUMEN_SUMINISTROS[[#This Row],[FIN DE SEMANA]])</f>
        <v>51052-1NO</v>
      </c>
      <c r="E1315" s="30" t="s">
        <v>146</v>
      </c>
      <c r="F1315" s="30" t="s">
        <v>147</v>
      </c>
      <c r="G1315" s="360">
        <v>5</v>
      </c>
      <c r="H1315" s="30">
        <v>10</v>
      </c>
      <c r="I1315" s="9" t="s">
        <v>330</v>
      </c>
      <c r="J1315" s="9" t="s">
        <v>970</v>
      </c>
      <c r="K1315" s="30">
        <v>2</v>
      </c>
      <c r="L1315" s="9" t="s">
        <v>972</v>
      </c>
      <c r="M1315" s="30" t="s">
        <v>84</v>
      </c>
      <c r="N1315" s="30" t="s">
        <v>154</v>
      </c>
      <c r="O1315" s="24">
        <v>165</v>
      </c>
      <c r="P1315" s="24">
        <v>88</v>
      </c>
      <c r="Q1315" s="24">
        <v>17</v>
      </c>
      <c r="R1315" s="24">
        <v>0</v>
      </c>
      <c r="S1315" s="24">
        <v>0</v>
      </c>
      <c r="T1315" s="24">
        <v>270</v>
      </c>
    </row>
    <row r="1316" spans="1:20">
      <c r="A1316" s="9" t="s">
        <v>828</v>
      </c>
      <c r="B1316" s="30" t="s">
        <v>973</v>
      </c>
      <c r="C1316" s="30" t="str">
        <f>CONCATENATE(VOL_VOLUMEN_SUMINISTROS[[#This Row],[Proyecto]],VOL_VOLUMEN_SUMINISTROS[[#This Row],[J]],VOL_VOLUMEN_SUMINISTROS[[#This Row],[FIN DE SEMANA]])</f>
        <v>1052-2MNO</v>
      </c>
      <c r="D1316" s="360" t="str">
        <f>CONCATENATE(VOL_VOLUMEN_SUMINISTROS[[#This Row],[Grupo]],VOL_VOLUMEN_SUMINISTROS[[#This Row],[Proyecto]],VOL_VOLUMEN_SUMINISTROS[[#This Row],[FIN DE SEMANA]])</f>
        <v>51052-2NO</v>
      </c>
      <c r="E1316" s="30" t="s">
        <v>182</v>
      </c>
      <c r="F1316" s="30" t="s">
        <v>147</v>
      </c>
      <c r="G1316" s="360">
        <v>5</v>
      </c>
      <c r="H1316" s="30">
        <v>10</v>
      </c>
      <c r="I1316" s="9" t="s">
        <v>330</v>
      </c>
      <c r="J1316" s="9" t="s">
        <v>948</v>
      </c>
      <c r="K1316" s="30">
        <v>1</v>
      </c>
      <c r="L1316" s="9" t="s">
        <v>949</v>
      </c>
      <c r="M1316" s="30" t="s">
        <v>84</v>
      </c>
      <c r="N1316" s="30" t="s">
        <v>151</v>
      </c>
      <c r="O1316" s="24">
        <v>0</v>
      </c>
      <c r="P1316" s="24">
        <v>0</v>
      </c>
      <c r="Q1316" s="24">
        <v>69</v>
      </c>
      <c r="R1316" s="24">
        <v>0</v>
      </c>
      <c r="S1316" s="24">
        <v>0</v>
      </c>
      <c r="T1316" s="24">
        <v>69</v>
      </c>
    </row>
    <row r="1317" spans="1:20">
      <c r="A1317" s="9" t="s">
        <v>828</v>
      </c>
      <c r="B1317" s="30" t="s">
        <v>973</v>
      </c>
      <c r="C1317" s="30" t="str">
        <f>CONCATENATE(VOL_VOLUMEN_SUMINISTROS[[#This Row],[Proyecto]],VOL_VOLUMEN_SUMINISTROS[[#This Row],[J]],VOL_VOLUMEN_SUMINISTROS[[#This Row],[FIN DE SEMANA]])</f>
        <v>1052-2TNO</v>
      </c>
      <c r="D1317" s="360" t="str">
        <f>CONCATENATE(VOL_VOLUMEN_SUMINISTROS[[#This Row],[Grupo]],VOL_VOLUMEN_SUMINISTROS[[#This Row],[Proyecto]],VOL_VOLUMEN_SUMINISTROS[[#This Row],[FIN DE SEMANA]])</f>
        <v>51052-2NO</v>
      </c>
      <c r="E1317" s="30" t="s">
        <v>182</v>
      </c>
      <c r="F1317" s="30" t="s">
        <v>147</v>
      </c>
      <c r="G1317" s="360">
        <v>5</v>
      </c>
      <c r="H1317" s="30">
        <v>10</v>
      </c>
      <c r="I1317" s="9" t="s">
        <v>330</v>
      </c>
      <c r="J1317" s="9" t="s">
        <v>948</v>
      </c>
      <c r="K1317" s="30">
        <v>1</v>
      </c>
      <c r="L1317" s="9" t="s">
        <v>949</v>
      </c>
      <c r="M1317" s="30" t="s">
        <v>84</v>
      </c>
      <c r="N1317" s="30" t="s">
        <v>154</v>
      </c>
      <c r="O1317" s="24">
        <v>0</v>
      </c>
      <c r="P1317" s="24">
        <v>0</v>
      </c>
      <c r="Q1317" s="24">
        <v>122</v>
      </c>
      <c r="R1317" s="24">
        <v>0</v>
      </c>
      <c r="S1317" s="24">
        <v>0</v>
      </c>
      <c r="T1317" s="24">
        <v>122</v>
      </c>
    </row>
    <row r="1318" spans="1:20">
      <c r="A1318" s="9" t="s">
        <v>828</v>
      </c>
      <c r="B1318" s="30" t="s">
        <v>973</v>
      </c>
      <c r="C1318" s="30" t="str">
        <f>CONCATENATE(VOL_VOLUMEN_SUMINISTROS[[#This Row],[Proyecto]],VOL_VOLUMEN_SUMINISTROS[[#This Row],[J]],VOL_VOLUMEN_SUMINISTROS[[#This Row],[FIN DE SEMANA]])</f>
        <v>1052-2MNO</v>
      </c>
      <c r="D1318" s="360" t="str">
        <f>CONCATENATE(VOL_VOLUMEN_SUMINISTROS[[#This Row],[Grupo]],VOL_VOLUMEN_SUMINISTROS[[#This Row],[Proyecto]],VOL_VOLUMEN_SUMINISTROS[[#This Row],[FIN DE SEMANA]])</f>
        <v>51052-2NO</v>
      </c>
      <c r="E1318" s="30" t="s">
        <v>182</v>
      </c>
      <c r="F1318" s="30" t="s">
        <v>147</v>
      </c>
      <c r="G1318" s="360">
        <v>5</v>
      </c>
      <c r="H1318" s="30">
        <v>10</v>
      </c>
      <c r="I1318" s="9" t="s">
        <v>330</v>
      </c>
      <c r="J1318" s="9" t="s">
        <v>952</v>
      </c>
      <c r="K1318" s="30">
        <v>1</v>
      </c>
      <c r="L1318" s="9" t="s">
        <v>953</v>
      </c>
      <c r="M1318" s="30" t="s">
        <v>84</v>
      </c>
      <c r="N1318" s="30" t="s">
        <v>151</v>
      </c>
      <c r="O1318" s="24">
        <v>0</v>
      </c>
      <c r="P1318" s="24">
        <v>0</v>
      </c>
      <c r="Q1318" s="24">
        <v>57</v>
      </c>
      <c r="R1318" s="24">
        <v>0</v>
      </c>
      <c r="S1318" s="24">
        <v>0</v>
      </c>
      <c r="T1318" s="24">
        <v>57</v>
      </c>
    </row>
    <row r="1319" spans="1:20">
      <c r="A1319" s="9" t="s">
        <v>828</v>
      </c>
      <c r="B1319" s="30" t="s">
        <v>973</v>
      </c>
      <c r="C1319" s="30" t="str">
        <f>CONCATENATE(VOL_VOLUMEN_SUMINISTROS[[#This Row],[Proyecto]],VOL_VOLUMEN_SUMINISTROS[[#This Row],[J]],VOL_VOLUMEN_SUMINISTROS[[#This Row],[FIN DE SEMANA]])</f>
        <v>1052-2TNO</v>
      </c>
      <c r="D1319" s="360" t="str">
        <f>CONCATENATE(VOL_VOLUMEN_SUMINISTROS[[#This Row],[Grupo]],VOL_VOLUMEN_SUMINISTROS[[#This Row],[Proyecto]],VOL_VOLUMEN_SUMINISTROS[[#This Row],[FIN DE SEMANA]])</f>
        <v>51052-2NO</v>
      </c>
      <c r="E1319" s="30" t="s">
        <v>182</v>
      </c>
      <c r="F1319" s="30" t="s">
        <v>147</v>
      </c>
      <c r="G1319" s="360">
        <v>5</v>
      </c>
      <c r="H1319" s="30">
        <v>10</v>
      </c>
      <c r="I1319" s="9" t="s">
        <v>330</v>
      </c>
      <c r="J1319" s="9" t="s">
        <v>952</v>
      </c>
      <c r="K1319" s="30">
        <v>1</v>
      </c>
      <c r="L1319" s="9" t="s">
        <v>953</v>
      </c>
      <c r="M1319" s="30" t="s">
        <v>84</v>
      </c>
      <c r="N1319" s="30" t="s">
        <v>154</v>
      </c>
      <c r="O1319" s="24">
        <v>0</v>
      </c>
      <c r="P1319" s="24">
        <v>0</v>
      </c>
      <c r="Q1319" s="24">
        <v>71</v>
      </c>
      <c r="R1319" s="24">
        <v>0</v>
      </c>
      <c r="S1319" s="24">
        <v>0</v>
      </c>
      <c r="T1319" s="24">
        <v>71</v>
      </c>
    </row>
    <row r="1320" spans="1:20">
      <c r="A1320" s="9" t="s">
        <v>828</v>
      </c>
      <c r="B1320" s="30" t="s">
        <v>973</v>
      </c>
      <c r="C1320" s="30" t="str">
        <f>CONCATENATE(VOL_VOLUMEN_SUMINISTROS[[#This Row],[Proyecto]],VOL_VOLUMEN_SUMINISTROS[[#This Row],[J]],VOL_VOLUMEN_SUMINISTROS[[#This Row],[FIN DE SEMANA]])</f>
        <v>1052-2MNO</v>
      </c>
      <c r="D1320" s="360" t="str">
        <f>CONCATENATE(VOL_VOLUMEN_SUMINISTROS[[#This Row],[Grupo]],VOL_VOLUMEN_SUMINISTROS[[#This Row],[Proyecto]],VOL_VOLUMEN_SUMINISTROS[[#This Row],[FIN DE SEMANA]])</f>
        <v>51052-2NO</v>
      </c>
      <c r="E1320" s="30" t="s">
        <v>182</v>
      </c>
      <c r="F1320" s="30" t="s">
        <v>147</v>
      </c>
      <c r="G1320" s="360">
        <v>5</v>
      </c>
      <c r="H1320" s="30">
        <v>10</v>
      </c>
      <c r="I1320" s="9" t="s">
        <v>330</v>
      </c>
      <c r="J1320" s="9" t="s">
        <v>959</v>
      </c>
      <c r="K1320" s="30">
        <v>1</v>
      </c>
      <c r="L1320" s="9" t="s">
        <v>960</v>
      </c>
      <c r="M1320" s="30" t="s">
        <v>84</v>
      </c>
      <c r="N1320" s="30" t="s">
        <v>151</v>
      </c>
      <c r="O1320" s="24">
        <v>0</v>
      </c>
      <c r="P1320" s="24">
        <v>0</v>
      </c>
      <c r="Q1320" s="24">
        <v>153</v>
      </c>
      <c r="R1320" s="24">
        <v>0</v>
      </c>
      <c r="S1320" s="24">
        <v>0</v>
      </c>
      <c r="T1320" s="24">
        <v>153</v>
      </c>
    </row>
    <row r="1321" spans="1:20">
      <c r="A1321" s="9" t="s">
        <v>828</v>
      </c>
      <c r="B1321" s="30" t="s">
        <v>974</v>
      </c>
      <c r="C1321" s="30" t="str">
        <f>CONCATENATE(VOL_VOLUMEN_SUMINISTROS[[#This Row],[Proyecto]],VOL_VOLUMEN_SUMINISTROS[[#This Row],[J]],VOL_VOLUMEN_SUMINISTROS[[#This Row],[FIN DE SEMANA]])</f>
        <v>1052-2MNO</v>
      </c>
      <c r="D1321" s="360" t="str">
        <f>CONCATENATE(VOL_VOLUMEN_SUMINISTROS[[#This Row],[Grupo]],VOL_VOLUMEN_SUMINISTROS[[#This Row],[Proyecto]],VOL_VOLUMEN_SUMINISTROS[[#This Row],[FIN DE SEMANA]])</f>
        <v>51052-2NO</v>
      </c>
      <c r="E1321" s="30" t="s">
        <v>182</v>
      </c>
      <c r="F1321" s="30" t="s">
        <v>147</v>
      </c>
      <c r="G1321" s="360">
        <v>5</v>
      </c>
      <c r="H1321" s="30">
        <v>10</v>
      </c>
      <c r="I1321" s="9" t="s">
        <v>330</v>
      </c>
      <c r="J1321" s="9" t="s">
        <v>863</v>
      </c>
      <c r="K1321" s="30">
        <v>2</v>
      </c>
      <c r="L1321" s="9" t="s">
        <v>865</v>
      </c>
      <c r="M1321" s="30" t="s">
        <v>84</v>
      </c>
      <c r="N1321" s="30" t="s">
        <v>151</v>
      </c>
      <c r="O1321" s="24">
        <v>48</v>
      </c>
      <c r="P1321" s="24">
        <v>0</v>
      </c>
      <c r="Q1321" s="24">
        <v>0</v>
      </c>
      <c r="R1321" s="24">
        <v>0</v>
      </c>
      <c r="S1321" s="24">
        <v>0</v>
      </c>
      <c r="T1321" s="24">
        <v>48</v>
      </c>
    </row>
    <row r="1322" spans="1:20">
      <c r="A1322" s="9" t="s">
        <v>828</v>
      </c>
      <c r="B1322" s="30" t="s">
        <v>974</v>
      </c>
      <c r="C1322" s="30" t="str">
        <f>CONCATENATE(VOL_VOLUMEN_SUMINISTROS[[#This Row],[Proyecto]],VOL_VOLUMEN_SUMINISTROS[[#This Row],[J]],VOL_VOLUMEN_SUMINISTROS[[#This Row],[FIN DE SEMANA]])</f>
        <v>1052-2TNO</v>
      </c>
      <c r="D1322" s="360" t="str">
        <f>CONCATENATE(VOL_VOLUMEN_SUMINISTROS[[#This Row],[Grupo]],VOL_VOLUMEN_SUMINISTROS[[#This Row],[Proyecto]],VOL_VOLUMEN_SUMINISTROS[[#This Row],[FIN DE SEMANA]])</f>
        <v>51052-2NO</v>
      </c>
      <c r="E1322" s="30" t="s">
        <v>182</v>
      </c>
      <c r="F1322" s="30" t="s">
        <v>147</v>
      </c>
      <c r="G1322" s="360">
        <v>5</v>
      </c>
      <c r="H1322" s="30">
        <v>10</v>
      </c>
      <c r="I1322" s="9" t="s">
        <v>330</v>
      </c>
      <c r="J1322" s="9" t="s">
        <v>863</v>
      </c>
      <c r="K1322" s="30">
        <v>2</v>
      </c>
      <c r="L1322" s="9" t="s">
        <v>865</v>
      </c>
      <c r="M1322" s="30" t="s">
        <v>84</v>
      </c>
      <c r="N1322" s="30" t="s">
        <v>154</v>
      </c>
      <c r="O1322" s="24">
        <v>50</v>
      </c>
      <c r="P1322" s="24">
        <v>0</v>
      </c>
      <c r="Q1322" s="24">
        <v>0</v>
      </c>
      <c r="R1322" s="24">
        <v>0</v>
      </c>
      <c r="S1322" s="24">
        <v>0</v>
      </c>
      <c r="T1322" s="24">
        <v>50</v>
      </c>
    </row>
    <row r="1323" spans="1:20">
      <c r="A1323" s="9" t="s">
        <v>975</v>
      </c>
      <c r="B1323" s="30" t="s">
        <v>976</v>
      </c>
      <c r="C1323" s="30" t="str">
        <f>CONCATENATE(VOL_VOLUMEN_SUMINISTROS[[#This Row],[Proyecto]],VOL_VOLUMEN_SUMINISTROS[[#This Row],[J]],VOL_VOLUMEN_SUMINISTROS[[#This Row],[FIN DE SEMANA]])</f>
        <v>1052-1MNO</v>
      </c>
      <c r="D1323" s="360" t="str">
        <f>CONCATENATE(VOL_VOLUMEN_SUMINISTROS[[#This Row],[Grupo]],VOL_VOLUMEN_SUMINISTROS[[#This Row],[Proyecto]],VOL_VOLUMEN_SUMINISTROS[[#This Row],[FIN DE SEMANA]])</f>
        <v>111052-1NO</v>
      </c>
      <c r="E1323" s="30" t="s">
        <v>146</v>
      </c>
      <c r="F1323" s="30" t="s">
        <v>147</v>
      </c>
      <c r="G1323" s="360">
        <v>11</v>
      </c>
      <c r="H1323" s="30">
        <v>9</v>
      </c>
      <c r="I1323" s="9" t="s">
        <v>977</v>
      </c>
      <c r="J1323" s="9" t="s">
        <v>978</v>
      </c>
      <c r="K1323" s="30">
        <v>1</v>
      </c>
      <c r="L1323" s="9" t="s">
        <v>152</v>
      </c>
      <c r="M1323" s="30" t="s">
        <v>84</v>
      </c>
      <c r="N1323" s="30" t="s">
        <v>151</v>
      </c>
      <c r="O1323" s="24">
        <v>251</v>
      </c>
      <c r="P1323" s="24">
        <v>389</v>
      </c>
      <c r="Q1323" s="24">
        <v>420</v>
      </c>
      <c r="R1323" s="24">
        <v>0</v>
      </c>
      <c r="S1323" s="24">
        <v>0</v>
      </c>
      <c r="T1323" s="24">
        <v>1060</v>
      </c>
    </row>
    <row r="1324" spans="1:20">
      <c r="A1324" s="9" t="s">
        <v>975</v>
      </c>
      <c r="B1324" s="30" t="s">
        <v>976</v>
      </c>
      <c r="C1324" s="30" t="str">
        <f>CONCATENATE(VOL_VOLUMEN_SUMINISTROS[[#This Row],[Proyecto]],VOL_VOLUMEN_SUMINISTROS[[#This Row],[J]],VOL_VOLUMEN_SUMINISTROS[[#This Row],[FIN DE SEMANA]])</f>
        <v>1052-1TNO</v>
      </c>
      <c r="D1324" s="360" t="str">
        <f>CONCATENATE(VOL_VOLUMEN_SUMINISTROS[[#This Row],[Grupo]],VOL_VOLUMEN_SUMINISTROS[[#This Row],[Proyecto]],VOL_VOLUMEN_SUMINISTROS[[#This Row],[FIN DE SEMANA]])</f>
        <v>111052-1NO</v>
      </c>
      <c r="E1324" s="30" t="s">
        <v>146</v>
      </c>
      <c r="F1324" s="30" t="s">
        <v>147</v>
      </c>
      <c r="G1324" s="360">
        <v>11</v>
      </c>
      <c r="H1324" s="30">
        <v>9</v>
      </c>
      <c r="I1324" s="9" t="s">
        <v>977</v>
      </c>
      <c r="J1324" s="9" t="s">
        <v>978</v>
      </c>
      <c r="K1324" s="30">
        <v>1</v>
      </c>
      <c r="L1324" s="9" t="s">
        <v>152</v>
      </c>
      <c r="M1324" s="30" t="s">
        <v>84</v>
      </c>
      <c r="N1324" s="30" t="s">
        <v>154</v>
      </c>
      <c r="O1324" s="24">
        <v>240</v>
      </c>
      <c r="P1324" s="24">
        <v>343</v>
      </c>
      <c r="Q1324" s="24">
        <v>377</v>
      </c>
      <c r="R1324" s="24">
        <v>0</v>
      </c>
      <c r="S1324" s="24">
        <v>0</v>
      </c>
      <c r="T1324" s="24">
        <v>960</v>
      </c>
    </row>
    <row r="1325" spans="1:20">
      <c r="A1325" s="9" t="s">
        <v>975</v>
      </c>
      <c r="B1325" s="30" t="s">
        <v>976</v>
      </c>
      <c r="C1325" s="30" t="str">
        <f>CONCATENATE(VOL_VOLUMEN_SUMINISTROS[[#This Row],[Proyecto]],VOL_VOLUMEN_SUMINISTROS[[#This Row],[J]],VOL_VOLUMEN_SUMINISTROS[[#This Row],[FIN DE SEMANA]])</f>
        <v>1052-1MNO</v>
      </c>
      <c r="D1325" s="360" t="str">
        <f>CONCATENATE(VOL_VOLUMEN_SUMINISTROS[[#This Row],[Grupo]],VOL_VOLUMEN_SUMINISTROS[[#This Row],[Proyecto]],VOL_VOLUMEN_SUMINISTROS[[#This Row],[FIN DE SEMANA]])</f>
        <v>111052-1NO</v>
      </c>
      <c r="E1325" s="30" t="s">
        <v>146</v>
      </c>
      <c r="F1325" s="30" t="s">
        <v>147</v>
      </c>
      <c r="G1325" s="360">
        <v>11</v>
      </c>
      <c r="H1325" s="30">
        <v>9</v>
      </c>
      <c r="I1325" s="9" t="s">
        <v>977</v>
      </c>
      <c r="J1325" s="9" t="s">
        <v>978</v>
      </c>
      <c r="K1325" s="30">
        <v>2</v>
      </c>
      <c r="L1325" s="9" t="s">
        <v>482</v>
      </c>
      <c r="M1325" s="30" t="s">
        <v>84</v>
      </c>
      <c r="N1325" s="30" t="s">
        <v>151</v>
      </c>
      <c r="O1325" s="24">
        <v>60</v>
      </c>
      <c r="P1325" s="24">
        <v>0</v>
      </c>
      <c r="Q1325" s="24">
        <v>0</v>
      </c>
      <c r="R1325" s="24">
        <v>0</v>
      </c>
      <c r="S1325" s="24">
        <v>0</v>
      </c>
      <c r="T1325" s="24">
        <v>60</v>
      </c>
    </row>
    <row r="1326" spans="1:20">
      <c r="A1326" s="9" t="s">
        <v>975</v>
      </c>
      <c r="B1326" s="30" t="s">
        <v>976</v>
      </c>
      <c r="C1326" s="30" t="str">
        <f>CONCATENATE(VOL_VOLUMEN_SUMINISTROS[[#This Row],[Proyecto]],VOL_VOLUMEN_SUMINISTROS[[#This Row],[J]],VOL_VOLUMEN_SUMINISTROS[[#This Row],[FIN DE SEMANA]])</f>
        <v>1052-1MNO</v>
      </c>
      <c r="D1326" s="360" t="str">
        <f>CONCATENATE(VOL_VOLUMEN_SUMINISTROS[[#This Row],[Grupo]],VOL_VOLUMEN_SUMINISTROS[[#This Row],[Proyecto]],VOL_VOLUMEN_SUMINISTROS[[#This Row],[FIN DE SEMANA]])</f>
        <v>111052-1NO</v>
      </c>
      <c r="E1326" s="30" t="s">
        <v>146</v>
      </c>
      <c r="F1326" s="30" t="s">
        <v>147</v>
      </c>
      <c r="G1326" s="360">
        <v>11</v>
      </c>
      <c r="H1326" s="30">
        <v>9</v>
      </c>
      <c r="I1326" s="9" t="s">
        <v>977</v>
      </c>
      <c r="J1326" s="9" t="s">
        <v>979</v>
      </c>
      <c r="K1326" s="30">
        <v>1</v>
      </c>
      <c r="L1326" s="9" t="s">
        <v>980</v>
      </c>
      <c r="M1326" s="30" t="s">
        <v>84</v>
      </c>
      <c r="N1326" s="30" t="s">
        <v>151</v>
      </c>
      <c r="O1326" s="24">
        <v>0</v>
      </c>
      <c r="P1326" s="24">
        <v>60</v>
      </c>
      <c r="Q1326" s="24">
        <v>911</v>
      </c>
      <c r="R1326" s="24">
        <v>0</v>
      </c>
      <c r="S1326" s="24">
        <v>0</v>
      </c>
      <c r="T1326" s="24">
        <v>971</v>
      </c>
    </row>
    <row r="1327" spans="1:20">
      <c r="A1327" s="9" t="s">
        <v>975</v>
      </c>
      <c r="B1327" s="30" t="s">
        <v>976</v>
      </c>
      <c r="C1327" s="30" t="str">
        <f>CONCATENATE(VOL_VOLUMEN_SUMINISTROS[[#This Row],[Proyecto]],VOL_VOLUMEN_SUMINISTROS[[#This Row],[J]],VOL_VOLUMEN_SUMINISTROS[[#This Row],[FIN DE SEMANA]])</f>
        <v>1052-1TNO</v>
      </c>
      <c r="D1327" s="360" t="str">
        <f>CONCATENATE(VOL_VOLUMEN_SUMINISTROS[[#This Row],[Grupo]],VOL_VOLUMEN_SUMINISTROS[[#This Row],[Proyecto]],VOL_VOLUMEN_SUMINISTROS[[#This Row],[FIN DE SEMANA]])</f>
        <v>111052-1NO</v>
      </c>
      <c r="E1327" s="30" t="s">
        <v>146</v>
      </c>
      <c r="F1327" s="30" t="s">
        <v>147</v>
      </c>
      <c r="G1327" s="360">
        <v>11</v>
      </c>
      <c r="H1327" s="30">
        <v>9</v>
      </c>
      <c r="I1327" s="9" t="s">
        <v>977</v>
      </c>
      <c r="J1327" s="9" t="s">
        <v>979</v>
      </c>
      <c r="K1327" s="30">
        <v>1</v>
      </c>
      <c r="L1327" s="9" t="s">
        <v>980</v>
      </c>
      <c r="M1327" s="30" t="s">
        <v>84</v>
      </c>
      <c r="N1327" s="30" t="s">
        <v>154</v>
      </c>
      <c r="O1327" s="24">
        <v>78</v>
      </c>
      <c r="P1327" s="24">
        <v>504</v>
      </c>
      <c r="Q1327" s="24">
        <v>155</v>
      </c>
      <c r="R1327" s="24">
        <v>0</v>
      </c>
      <c r="S1327" s="24">
        <v>0</v>
      </c>
      <c r="T1327" s="24">
        <v>737</v>
      </c>
    </row>
    <row r="1328" spans="1:20">
      <c r="A1328" s="9" t="s">
        <v>975</v>
      </c>
      <c r="B1328" s="30" t="s">
        <v>976</v>
      </c>
      <c r="C1328" s="30" t="str">
        <f>CONCATENATE(VOL_VOLUMEN_SUMINISTROS[[#This Row],[Proyecto]],VOL_VOLUMEN_SUMINISTROS[[#This Row],[J]],VOL_VOLUMEN_SUMINISTROS[[#This Row],[FIN DE SEMANA]])</f>
        <v>1052-1MNO</v>
      </c>
      <c r="D1328" s="360" t="str">
        <f>CONCATENATE(VOL_VOLUMEN_SUMINISTROS[[#This Row],[Grupo]],VOL_VOLUMEN_SUMINISTROS[[#This Row],[Proyecto]],VOL_VOLUMEN_SUMINISTROS[[#This Row],[FIN DE SEMANA]])</f>
        <v>111052-1NO</v>
      </c>
      <c r="E1328" s="30" t="s">
        <v>146</v>
      </c>
      <c r="F1328" s="30" t="s">
        <v>147</v>
      </c>
      <c r="G1328" s="360">
        <v>11</v>
      </c>
      <c r="H1328" s="30">
        <v>9</v>
      </c>
      <c r="I1328" s="9" t="s">
        <v>977</v>
      </c>
      <c r="J1328" s="9" t="s">
        <v>979</v>
      </c>
      <c r="K1328" s="30">
        <v>2</v>
      </c>
      <c r="L1328" s="9" t="s">
        <v>981</v>
      </c>
      <c r="M1328" s="30" t="s">
        <v>84</v>
      </c>
      <c r="N1328" s="30" t="s">
        <v>151</v>
      </c>
      <c r="O1328" s="24">
        <v>188</v>
      </c>
      <c r="P1328" s="24">
        <v>124</v>
      </c>
      <c r="Q1328" s="24">
        <v>18</v>
      </c>
      <c r="R1328" s="24">
        <v>0</v>
      </c>
      <c r="S1328" s="24">
        <v>0</v>
      </c>
      <c r="T1328" s="24">
        <v>330</v>
      </c>
    </row>
    <row r="1329" spans="1:20">
      <c r="A1329" s="9" t="s">
        <v>975</v>
      </c>
      <c r="B1329" s="30" t="s">
        <v>976</v>
      </c>
      <c r="C1329" s="30" t="str">
        <f>CONCATENATE(VOL_VOLUMEN_SUMINISTROS[[#This Row],[Proyecto]],VOL_VOLUMEN_SUMINISTROS[[#This Row],[J]],VOL_VOLUMEN_SUMINISTROS[[#This Row],[FIN DE SEMANA]])</f>
        <v>1052-1TNO</v>
      </c>
      <c r="D1329" s="360" t="str">
        <f>CONCATENATE(VOL_VOLUMEN_SUMINISTROS[[#This Row],[Grupo]],VOL_VOLUMEN_SUMINISTROS[[#This Row],[Proyecto]],VOL_VOLUMEN_SUMINISTROS[[#This Row],[FIN DE SEMANA]])</f>
        <v>111052-1NO</v>
      </c>
      <c r="E1329" s="30" t="s">
        <v>146</v>
      </c>
      <c r="F1329" s="30" t="s">
        <v>147</v>
      </c>
      <c r="G1329" s="360">
        <v>11</v>
      </c>
      <c r="H1329" s="30">
        <v>9</v>
      </c>
      <c r="I1329" s="9" t="s">
        <v>977</v>
      </c>
      <c r="J1329" s="9" t="s">
        <v>979</v>
      </c>
      <c r="K1329" s="30">
        <v>2</v>
      </c>
      <c r="L1329" s="9" t="s">
        <v>981</v>
      </c>
      <c r="M1329" s="30" t="s">
        <v>84</v>
      </c>
      <c r="N1329" s="30" t="s">
        <v>154</v>
      </c>
      <c r="O1329" s="24">
        <v>211</v>
      </c>
      <c r="P1329" s="24">
        <v>60</v>
      </c>
      <c r="Q1329" s="24">
        <v>0</v>
      </c>
      <c r="R1329" s="24">
        <v>0</v>
      </c>
      <c r="S1329" s="24">
        <v>0</v>
      </c>
      <c r="T1329" s="24">
        <v>271</v>
      </c>
    </row>
    <row r="1330" spans="1:20">
      <c r="A1330" s="9" t="s">
        <v>975</v>
      </c>
      <c r="B1330" s="30" t="s">
        <v>976</v>
      </c>
      <c r="C1330" s="30" t="str">
        <f>CONCATENATE(VOL_VOLUMEN_SUMINISTROS[[#This Row],[Proyecto]],VOL_VOLUMEN_SUMINISTROS[[#This Row],[J]],VOL_VOLUMEN_SUMINISTROS[[#This Row],[FIN DE SEMANA]])</f>
        <v>1052-1MNO</v>
      </c>
      <c r="D1330" s="360" t="str">
        <f>CONCATENATE(VOL_VOLUMEN_SUMINISTROS[[#This Row],[Grupo]],VOL_VOLUMEN_SUMINISTROS[[#This Row],[Proyecto]],VOL_VOLUMEN_SUMINISTROS[[#This Row],[FIN DE SEMANA]])</f>
        <v>111052-1NO</v>
      </c>
      <c r="E1330" s="30" t="s">
        <v>146</v>
      </c>
      <c r="F1330" s="30" t="s">
        <v>147</v>
      </c>
      <c r="G1330" s="360">
        <v>11</v>
      </c>
      <c r="H1330" s="30">
        <v>9</v>
      </c>
      <c r="I1330" s="9" t="s">
        <v>977</v>
      </c>
      <c r="J1330" s="9" t="s">
        <v>982</v>
      </c>
      <c r="K1330" s="30">
        <v>1</v>
      </c>
      <c r="L1330" s="9" t="s">
        <v>983</v>
      </c>
      <c r="M1330" s="30" t="s">
        <v>84</v>
      </c>
      <c r="N1330" s="30" t="s">
        <v>151</v>
      </c>
      <c r="O1330" s="24">
        <v>0</v>
      </c>
      <c r="P1330" s="24">
        <v>273</v>
      </c>
      <c r="Q1330" s="24">
        <v>520</v>
      </c>
      <c r="R1330" s="24">
        <v>0</v>
      </c>
      <c r="S1330" s="24">
        <v>0</v>
      </c>
      <c r="T1330" s="24">
        <v>793</v>
      </c>
    </row>
    <row r="1331" spans="1:20">
      <c r="A1331" s="9" t="s">
        <v>975</v>
      </c>
      <c r="B1331" s="30" t="s">
        <v>976</v>
      </c>
      <c r="C1331" s="30" t="str">
        <f>CONCATENATE(VOL_VOLUMEN_SUMINISTROS[[#This Row],[Proyecto]],VOL_VOLUMEN_SUMINISTROS[[#This Row],[J]],VOL_VOLUMEN_SUMINISTROS[[#This Row],[FIN DE SEMANA]])</f>
        <v>1052-1TNO</v>
      </c>
      <c r="D1331" s="360" t="str">
        <f>CONCATENATE(VOL_VOLUMEN_SUMINISTROS[[#This Row],[Grupo]],VOL_VOLUMEN_SUMINISTROS[[#This Row],[Proyecto]],VOL_VOLUMEN_SUMINISTROS[[#This Row],[FIN DE SEMANA]])</f>
        <v>111052-1NO</v>
      </c>
      <c r="E1331" s="30" t="s">
        <v>146</v>
      </c>
      <c r="F1331" s="30" t="s">
        <v>147</v>
      </c>
      <c r="G1331" s="360">
        <v>11</v>
      </c>
      <c r="H1331" s="30">
        <v>9</v>
      </c>
      <c r="I1331" s="9" t="s">
        <v>977</v>
      </c>
      <c r="J1331" s="9" t="s">
        <v>982</v>
      </c>
      <c r="K1331" s="30">
        <v>1</v>
      </c>
      <c r="L1331" s="9" t="s">
        <v>983</v>
      </c>
      <c r="M1331" s="30" t="s">
        <v>84</v>
      </c>
      <c r="N1331" s="30" t="s">
        <v>154</v>
      </c>
      <c r="O1331" s="24">
        <v>0</v>
      </c>
      <c r="P1331" s="24">
        <v>261</v>
      </c>
      <c r="Q1331" s="24">
        <v>498</v>
      </c>
      <c r="R1331" s="24">
        <v>0</v>
      </c>
      <c r="S1331" s="24">
        <v>0</v>
      </c>
      <c r="T1331" s="24">
        <v>759</v>
      </c>
    </row>
    <row r="1332" spans="1:20">
      <c r="A1332" s="9" t="s">
        <v>975</v>
      </c>
      <c r="B1332" s="30" t="s">
        <v>976</v>
      </c>
      <c r="C1332" s="30" t="str">
        <f>CONCATENATE(VOL_VOLUMEN_SUMINISTROS[[#This Row],[Proyecto]],VOL_VOLUMEN_SUMINISTROS[[#This Row],[J]],VOL_VOLUMEN_SUMINISTROS[[#This Row],[FIN DE SEMANA]])</f>
        <v>1052-1MNO</v>
      </c>
      <c r="D1332" s="360" t="str">
        <f>CONCATENATE(VOL_VOLUMEN_SUMINISTROS[[#This Row],[Grupo]],VOL_VOLUMEN_SUMINISTROS[[#This Row],[Proyecto]],VOL_VOLUMEN_SUMINISTROS[[#This Row],[FIN DE SEMANA]])</f>
        <v>111052-1NO</v>
      </c>
      <c r="E1332" s="30" t="s">
        <v>146</v>
      </c>
      <c r="F1332" s="30" t="s">
        <v>147</v>
      </c>
      <c r="G1332" s="360">
        <v>11</v>
      </c>
      <c r="H1332" s="30">
        <v>9</v>
      </c>
      <c r="I1332" s="9" t="s">
        <v>977</v>
      </c>
      <c r="J1332" s="9" t="s">
        <v>982</v>
      </c>
      <c r="K1332" s="30">
        <v>2</v>
      </c>
      <c r="L1332" s="9" t="s">
        <v>984</v>
      </c>
      <c r="M1332" s="30" t="s">
        <v>84</v>
      </c>
      <c r="N1332" s="30" t="s">
        <v>151</v>
      </c>
      <c r="O1332" s="24">
        <v>183</v>
      </c>
      <c r="P1332" s="24">
        <v>53</v>
      </c>
      <c r="Q1332" s="24">
        <v>0</v>
      </c>
      <c r="R1332" s="24">
        <v>0</v>
      </c>
      <c r="S1332" s="24">
        <v>0</v>
      </c>
      <c r="T1332" s="24">
        <v>236</v>
      </c>
    </row>
    <row r="1333" spans="1:20">
      <c r="A1333" s="9" t="s">
        <v>975</v>
      </c>
      <c r="B1333" s="30" t="s">
        <v>976</v>
      </c>
      <c r="C1333" s="30" t="str">
        <f>CONCATENATE(VOL_VOLUMEN_SUMINISTROS[[#This Row],[Proyecto]],VOL_VOLUMEN_SUMINISTROS[[#This Row],[J]],VOL_VOLUMEN_SUMINISTROS[[#This Row],[FIN DE SEMANA]])</f>
        <v>1052-1TNO</v>
      </c>
      <c r="D1333" s="360" t="str">
        <f>CONCATENATE(VOL_VOLUMEN_SUMINISTROS[[#This Row],[Grupo]],VOL_VOLUMEN_SUMINISTROS[[#This Row],[Proyecto]],VOL_VOLUMEN_SUMINISTROS[[#This Row],[FIN DE SEMANA]])</f>
        <v>111052-1NO</v>
      </c>
      <c r="E1333" s="30" t="s">
        <v>146</v>
      </c>
      <c r="F1333" s="30" t="s">
        <v>147</v>
      </c>
      <c r="G1333" s="360">
        <v>11</v>
      </c>
      <c r="H1333" s="30">
        <v>9</v>
      </c>
      <c r="I1333" s="9" t="s">
        <v>977</v>
      </c>
      <c r="J1333" s="9" t="s">
        <v>982</v>
      </c>
      <c r="K1333" s="30">
        <v>2</v>
      </c>
      <c r="L1333" s="9" t="s">
        <v>984</v>
      </c>
      <c r="M1333" s="30" t="s">
        <v>84</v>
      </c>
      <c r="N1333" s="30" t="s">
        <v>154</v>
      </c>
      <c r="O1333" s="24">
        <v>194</v>
      </c>
      <c r="P1333" s="24">
        <v>54</v>
      </c>
      <c r="Q1333" s="24">
        <v>0</v>
      </c>
      <c r="R1333" s="24">
        <v>0</v>
      </c>
      <c r="S1333" s="24">
        <v>0</v>
      </c>
      <c r="T1333" s="24">
        <v>248</v>
      </c>
    </row>
    <row r="1334" spans="1:20">
      <c r="A1334" s="9" t="s">
        <v>975</v>
      </c>
      <c r="B1334" s="30" t="s">
        <v>976</v>
      </c>
      <c r="C1334" s="30" t="str">
        <f>CONCATENATE(VOL_VOLUMEN_SUMINISTROS[[#This Row],[Proyecto]],VOL_VOLUMEN_SUMINISTROS[[#This Row],[J]],VOL_VOLUMEN_SUMINISTROS[[#This Row],[FIN DE SEMANA]])</f>
        <v>1052-1MNO</v>
      </c>
      <c r="D1334" s="360" t="str">
        <f>CONCATENATE(VOL_VOLUMEN_SUMINISTROS[[#This Row],[Grupo]],VOL_VOLUMEN_SUMINISTROS[[#This Row],[Proyecto]],VOL_VOLUMEN_SUMINISTROS[[#This Row],[FIN DE SEMANA]])</f>
        <v>111052-1NO</v>
      </c>
      <c r="E1334" s="30" t="s">
        <v>146</v>
      </c>
      <c r="F1334" s="30" t="s">
        <v>147</v>
      </c>
      <c r="G1334" s="360">
        <v>11</v>
      </c>
      <c r="H1334" s="30">
        <v>9</v>
      </c>
      <c r="I1334" s="9" t="s">
        <v>977</v>
      </c>
      <c r="J1334" s="9" t="s">
        <v>982</v>
      </c>
      <c r="K1334" s="30">
        <v>3</v>
      </c>
      <c r="L1334" s="9" t="s">
        <v>985</v>
      </c>
      <c r="M1334" s="30" t="s">
        <v>84</v>
      </c>
      <c r="N1334" s="30" t="s">
        <v>151</v>
      </c>
      <c r="O1334" s="24">
        <v>96</v>
      </c>
      <c r="P1334" s="24">
        <v>135</v>
      </c>
      <c r="Q1334" s="24">
        <v>29</v>
      </c>
      <c r="R1334" s="24">
        <v>0</v>
      </c>
      <c r="S1334" s="24">
        <v>0</v>
      </c>
      <c r="T1334" s="24">
        <v>260</v>
      </c>
    </row>
    <row r="1335" spans="1:20">
      <c r="A1335" s="9" t="s">
        <v>975</v>
      </c>
      <c r="B1335" s="30" t="s">
        <v>976</v>
      </c>
      <c r="C1335" s="30" t="str">
        <f>CONCATENATE(VOL_VOLUMEN_SUMINISTROS[[#This Row],[Proyecto]],VOL_VOLUMEN_SUMINISTROS[[#This Row],[J]],VOL_VOLUMEN_SUMINISTROS[[#This Row],[FIN DE SEMANA]])</f>
        <v>1052-1TNO</v>
      </c>
      <c r="D1335" s="360" t="str">
        <f>CONCATENATE(VOL_VOLUMEN_SUMINISTROS[[#This Row],[Grupo]],VOL_VOLUMEN_SUMINISTROS[[#This Row],[Proyecto]],VOL_VOLUMEN_SUMINISTROS[[#This Row],[FIN DE SEMANA]])</f>
        <v>111052-1NO</v>
      </c>
      <c r="E1335" s="30" t="s">
        <v>146</v>
      </c>
      <c r="F1335" s="30" t="s">
        <v>147</v>
      </c>
      <c r="G1335" s="360">
        <v>11</v>
      </c>
      <c r="H1335" s="30">
        <v>9</v>
      </c>
      <c r="I1335" s="9" t="s">
        <v>977</v>
      </c>
      <c r="J1335" s="9" t="s">
        <v>982</v>
      </c>
      <c r="K1335" s="30">
        <v>3</v>
      </c>
      <c r="L1335" s="9" t="s">
        <v>985</v>
      </c>
      <c r="M1335" s="30" t="s">
        <v>84</v>
      </c>
      <c r="N1335" s="30" t="s">
        <v>154</v>
      </c>
      <c r="O1335" s="24">
        <v>104</v>
      </c>
      <c r="P1335" s="24">
        <v>139</v>
      </c>
      <c r="Q1335" s="24">
        <v>29</v>
      </c>
      <c r="R1335" s="24">
        <v>0</v>
      </c>
      <c r="S1335" s="24">
        <v>0</v>
      </c>
      <c r="T1335" s="24">
        <v>272</v>
      </c>
    </row>
    <row r="1336" spans="1:20">
      <c r="A1336" s="9" t="s">
        <v>975</v>
      </c>
      <c r="B1336" s="30" t="s">
        <v>976</v>
      </c>
      <c r="C1336" s="30" t="str">
        <f>CONCATENATE(VOL_VOLUMEN_SUMINISTROS[[#This Row],[Proyecto]],VOL_VOLUMEN_SUMINISTROS[[#This Row],[J]],VOL_VOLUMEN_SUMINISTROS[[#This Row],[FIN DE SEMANA]])</f>
        <v>1052-1MNO</v>
      </c>
      <c r="D1336" s="360" t="str">
        <f>CONCATENATE(VOL_VOLUMEN_SUMINISTROS[[#This Row],[Grupo]],VOL_VOLUMEN_SUMINISTROS[[#This Row],[Proyecto]],VOL_VOLUMEN_SUMINISTROS[[#This Row],[FIN DE SEMANA]])</f>
        <v>111052-1NO</v>
      </c>
      <c r="E1336" s="30" t="s">
        <v>146</v>
      </c>
      <c r="F1336" s="30" t="s">
        <v>147</v>
      </c>
      <c r="G1336" s="360">
        <v>11</v>
      </c>
      <c r="H1336" s="30">
        <v>9</v>
      </c>
      <c r="I1336" s="9" t="s">
        <v>977</v>
      </c>
      <c r="J1336" s="9" t="s">
        <v>986</v>
      </c>
      <c r="K1336" s="30">
        <v>2</v>
      </c>
      <c r="L1336" s="9" t="s">
        <v>987</v>
      </c>
      <c r="M1336" s="30" t="s">
        <v>84</v>
      </c>
      <c r="N1336" s="30" t="s">
        <v>151</v>
      </c>
      <c r="O1336" s="24">
        <v>139</v>
      </c>
      <c r="P1336" s="24">
        <v>109</v>
      </c>
      <c r="Q1336" s="24">
        <v>23</v>
      </c>
      <c r="R1336" s="24">
        <v>0</v>
      </c>
      <c r="S1336" s="24">
        <v>0</v>
      </c>
      <c r="T1336" s="24">
        <v>271</v>
      </c>
    </row>
    <row r="1337" spans="1:20">
      <c r="A1337" s="9" t="s">
        <v>975</v>
      </c>
      <c r="B1337" s="30" t="s">
        <v>976</v>
      </c>
      <c r="C1337" s="30" t="str">
        <f>CONCATENATE(VOL_VOLUMEN_SUMINISTROS[[#This Row],[Proyecto]],VOL_VOLUMEN_SUMINISTROS[[#This Row],[J]],VOL_VOLUMEN_SUMINISTROS[[#This Row],[FIN DE SEMANA]])</f>
        <v>1052-1TNO</v>
      </c>
      <c r="D1337" s="360" t="str">
        <f>CONCATENATE(VOL_VOLUMEN_SUMINISTROS[[#This Row],[Grupo]],VOL_VOLUMEN_SUMINISTROS[[#This Row],[Proyecto]],VOL_VOLUMEN_SUMINISTROS[[#This Row],[FIN DE SEMANA]])</f>
        <v>111052-1NO</v>
      </c>
      <c r="E1337" s="30" t="s">
        <v>146</v>
      </c>
      <c r="F1337" s="30" t="s">
        <v>147</v>
      </c>
      <c r="G1337" s="360">
        <v>11</v>
      </c>
      <c r="H1337" s="30">
        <v>9</v>
      </c>
      <c r="I1337" s="9" t="s">
        <v>977</v>
      </c>
      <c r="J1337" s="9" t="s">
        <v>986</v>
      </c>
      <c r="K1337" s="30">
        <v>2</v>
      </c>
      <c r="L1337" s="9" t="s">
        <v>987</v>
      </c>
      <c r="M1337" s="30" t="s">
        <v>84</v>
      </c>
      <c r="N1337" s="30" t="s">
        <v>154</v>
      </c>
      <c r="O1337" s="24">
        <v>156</v>
      </c>
      <c r="P1337" s="24">
        <v>114</v>
      </c>
      <c r="Q1337" s="24">
        <v>23</v>
      </c>
      <c r="R1337" s="24">
        <v>0</v>
      </c>
      <c r="S1337" s="24">
        <v>0</v>
      </c>
      <c r="T1337" s="24">
        <v>293</v>
      </c>
    </row>
    <row r="1338" spans="1:20">
      <c r="A1338" s="9" t="s">
        <v>975</v>
      </c>
      <c r="B1338" s="30" t="s">
        <v>976</v>
      </c>
      <c r="C1338" s="30" t="str">
        <f>CONCATENATE(VOL_VOLUMEN_SUMINISTROS[[#This Row],[Proyecto]],VOL_VOLUMEN_SUMINISTROS[[#This Row],[J]],VOL_VOLUMEN_SUMINISTROS[[#This Row],[FIN DE SEMANA]])</f>
        <v>1052-1MNO</v>
      </c>
      <c r="D1338" s="360" t="str">
        <f>CONCATENATE(VOL_VOLUMEN_SUMINISTROS[[#This Row],[Grupo]],VOL_VOLUMEN_SUMINISTROS[[#This Row],[Proyecto]],VOL_VOLUMEN_SUMINISTROS[[#This Row],[FIN DE SEMANA]])</f>
        <v>111052-1NO</v>
      </c>
      <c r="E1338" s="30" t="s">
        <v>146</v>
      </c>
      <c r="F1338" s="30" t="s">
        <v>147</v>
      </c>
      <c r="G1338" s="360">
        <v>11</v>
      </c>
      <c r="H1338" s="30">
        <v>9</v>
      </c>
      <c r="I1338" s="9" t="s">
        <v>977</v>
      </c>
      <c r="J1338" s="9" t="s">
        <v>986</v>
      </c>
      <c r="K1338" s="30">
        <v>4</v>
      </c>
      <c r="L1338" s="9" t="s">
        <v>988</v>
      </c>
      <c r="M1338" s="30" t="s">
        <v>84</v>
      </c>
      <c r="N1338" s="30" t="s">
        <v>151</v>
      </c>
      <c r="O1338" s="24">
        <v>207</v>
      </c>
      <c r="P1338" s="24">
        <v>201</v>
      </c>
      <c r="Q1338" s="24">
        <v>44</v>
      </c>
      <c r="R1338" s="24">
        <v>0</v>
      </c>
      <c r="S1338" s="24">
        <v>0</v>
      </c>
      <c r="T1338" s="24">
        <v>452</v>
      </c>
    </row>
    <row r="1339" spans="1:20">
      <c r="A1339" s="9" t="s">
        <v>975</v>
      </c>
      <c r="B1339" s="30" t="s">
        <v>976</v>
      </c>
      <c r="C1339" s="30" t="str">
        <f>CONCATENATE(VOL_VOLUMEN_SUMINISTROS[[#This Row],[Proyecto]],VOL_VOLUMEN_SUMINISTROS[[#This Row],[J]],VOL_VOLUMEN_SUMINISTROS[[#This Row],[FIN DE SEMANA]])</f>
        <v>1052-1TNO</v>
      </c>
      <c r="D1339" s="360" t="str">
        <f>CONCATENATE(VOL_VOLUMEN_SUMINISTROS[[#This Row],[Grupo]],VOL_VOLUMEN_SUMINISTROS[[#This Row],[Proyecto]],VOL_VOLUMEN_SUMINISTROS[[#This Row],[FIN DE SEMANA]])</f>
        <v>111052-1NO</v>
      </c>
      <c r="E1339" s="30" t="s">
        <v>146</v>
      </c>
      <c r="F1339" s="30" t="s">
        <v>147</v>
      </c>
      <c r="G1339" s="360">
        <v>11</v>
      </c>
      <c r="H1339" s="30">
        <v>9</v>
      </c>
      <c r="I1339" s="9" t="s">
        <v>977</v>
      </c>
      <c r="J1339" s="9" t="s">
        <v>986</v>
      </c>
      <c r="K1339" s="30">
        <v>4</v>
      </c>
      <c r="L1339" s="9" t="s">
        <v>988</v>
      </c>
      <c r="M1339" s="30" t="s">
        <v>84</v>
      </c>
      <c r="N1339" s="30" t="s">
        <v>154</v>
      </c>
      <c r="O1339" s="24">
        <v>260</v>
      </c>
      <c r="P1339" s="24">
        <v>181</v>
      </c>
      <c r="Q1339" s="24">
        <v>32</v>
      </c>
      <c r="R1339" s="24">
        <v>0</v>
      </c>
      <c r="S1339" s="24">
        <v>0</v>
      </c>
      <c r="T1339" s="24">
        <v>473</v>
      </c>
    </row>
    <row r="1340" spans="1:20">
      <c r="A1340" s="9" t="s">
        <v>975</v>
      </c>
      <c r="B1340" s="30" t="s">
        <v>976</v>
      </c>
      <c r="C1340" s="30" t="str">
        <f>CONCATENATE(VOL_VOLUMEN_SUMINISTROS[[#This Row],[Proyecto]],VOL_VOLUMEN_SUMINISTROS[[#This Row],[J]],VOL_VOLUMEN_SUMINISTROS[[#This Row],[FIN DE SEMANA]])</f>
        <v>1052-1MNO</v>
      </c>
      <c r="D1340" s="360" t="str">
        <f>CONCATENATE(VOL_VOLUMEN_SUMINISTROS[[#This Row],[Grupo]],VOL_VOLUMEN_SUMINISTROS[[#This Row],[Proyecto]],VOL_VOLUMEN_SUMINISTROS[[#This Row],[FIN DE SEMANA]])</f>
        <v>111052-1NO</v>
      </c>
      <c r="E1340" s="30" t="s">
        <v>146</v>
      </c>
      <c r="F1340" s="30" t="s">
        <v>147</v>
      </c>
      <c r="G1340" s="360">
        <v>11</v>
      </c>
      <c r="H1340" s="30">
        <v>9</v>
      </c>
      <c r="I1340" s="9" t="s">
        <v>977</v>
      </c>
      <c r="J1340" s="9" t="s">
        <v>989</v>
      </c>
      <c r="K1340" s="30">
        <v>1</v>
      </c>
      <c r="L1340" s="9" t="s">
        <v>990</v>
      </c>
      <c r="M1340" s="30" t="s">
        <v>84</v>
      </c>
      <c r="N1340" s="30" t="s">
        <v>151</v>
      </c>
      <c r="O1340" s="24">
        <v>410</v>
      </c>
      <c r="P1340" s="24">
        <v>597</v>
      </c>
      <c r="Q1340" s="24">
        <v>604</v>
      </c>
      <c r="R1340" s="24">
        <v>0</v>
      </c>
      <c r="S1340" s="24">
        <v>0</v>
      </c>
      <c r="T1340" s="24">
        <v>1611</v>
      </c>
    </row>
    <row r="1341" spans="1:20">
      <c r="A1341" s="9" t="s">
        <v>975</v>
      </c>
      <c r="B1341" s="30" t="s">
        <v>976</v>
      </c>
      <c r="C1341" s="30" t="str">
        <f>CONCATENATE(VOL_VOLUMEN_SUMINISTROS[[#This Row],[Proyecto]],VOL_VOLUMEN_SUMINISTROS[[#This Row],[J]],VOL_VOLUMEN_SUMINISTROS[[#This Row],[FIN DE SEMANA]])</f>
        <v>1052-1TNO</v>
      </c>
      <c r="D1341" s="360" t="str">
        <f>CONCATENATE(VOL_VOLUMEN_SUMINISTROS[[#This Row],[Grupo]],VOL_VOLUMEN_SUMINISTROS[[#This Row],[Proyecto]],VOL_VOLUMEN_SUMINISTROS[[#This Row],[FIN DE SEMANA]])</f>
        <v>111052-1NO</v>
      </c>
      <c r="E1341" s="30" t="s">
        <v>146</v>
      </c>
      <c r="F1341" s="30" t="s">
        <v>147</v>
      </c>
      <c r="G1341" s="360">
        <v>11</v>
      </c>
      <c r="H1341" s="30">
        <v>9</v>
      </c>
      <c r="I1341" s="9" t="s">
        <v>977</v>
      </c>
      <c r="J1341" s="9" t="s">
        <v>989</v>
      </c>
      <c r="K1341" s="30">
        <v>1</v>
      </c>
      <c r="L1341" s="9" t="s">
        <v>990</v>
      </c>
      <c r="M1341" s="30" t="s">
        <v>84</v>
      </c>
      <c r="N1341" s="30" t="s">
        <v>154</v>
      </c>
      <c r="O1341" s="24">
        <v>384</v>
      </c>
      <c r="P1341" s="24">
        <v>575</v>
      </c>
      <c r="Q1341" s="24">
        <v>585</v>
      </c>
      <c r="R1341" s="24">
        <v>0</v>
      </c>
      <c r="S1341" s="24">
        <v>0</v>
      </c>
      <c r="T1341" s="24">
        <v>1544</v>
      </c>
    </row>
    <row r="1342" spans="1:20">
      <c r="A1342" s="9" t="s">
        <v>975</v>
      </c>
      <c r="B1342" s="30" t="s">
        <v>976</v>
      </c>
      <c r="C1342" s="30" t="str">
        <f>CONCATENATE(VOL_VOLUMEN_SUMINISTROS[[#This Row],[Proyecto]],VOL_VOLUMEN_SUMINISTROS[[#This Row],[J]],VOL_VOLUMEN_SUMINISTROS[[#This Row],[FIN DE SEMANA]])</f>
        <v>1052-1MNO</v>
      </c>
      <c r="D1342" s="360" t="str">
        <f>CONCATENATE(VOL_VOLUMEN_SUMINISTROS[[#This Row],[Grupo]],VOL_VOLUMEN_SUMINISTROS[[#This Row],[Proyecto]],VOL_VOLUMEN_SUMINISTROS[[#This Row],[FIN DE SEMANA]])</f>
        <v>111052-1NO</v>
      </c>
      <c r="E1342" s="30" t="s">
        <v>146</v>
      </c>
      <c r="F1342" s="30" t="s">
        <v>147</v>
      </c>
      <c r="G1342" s="360">
        <v>11</v>
      </c>
      <c r="H1342" s="30">
        <v>9</v>
      </c>
      <c r="I1342" s="9" t="s">
        <v>977</v>
      </c>
      <c r="J1342" s="9" t="s">
        <v>991</v>
      </c>
      <c r="K1342" s="30">
        <v>1</v>
      </c>
      <c r="L1342" s="9" t="s">
        <v>992</v>
      </c>
      <c r="M1342" s="30" t="s">
        <v>84</v>
      </c>
      <c r="N1342" s="30" t="s">
        <v>151</v>
      </c>
      <c r="O1342" s="24">
        <v>0</v>
      </c>
      <c r="P1342" s="24">
        <v>168</v>
      </c>
      <c r="Q1342" s="24">
        <v>268</v>
      </c>
      <c r="R1342" s="24">
        <v>0</v>
      </c>
      <c r="S1342" s="24">
        <v>0</v>
      </c>
      <c r="T1342" s="24">
        <v>436</v>
      </c>
    </row>
    <row r="1343" spans="1:20">
      <c r="A1343" s="9" t="s">
        <v>975</v>
      </c>
      <c r="B1343" s="30" t="s">
        <v>976</v>
      </c>
      <c r="C1343" s="30" t="str">
        <f>CONCATENATE(VOL_VOLUMEN_SUMINISTROS[[#This Row],[Proyecto]],VOL_VOLUMEN_SUMINISTROS[[#This Row],[J]],VOL_VOLUMEN_SUMINISTROS[[#This Row],[FIN DE SEMANA]])</f>
        <v>1052-1TNO</v>
      </c>
      <c r="D1343" s="360" t="str">
        <f>CONCATENATE(VOL_VOLUMEN_SUMINISTROS[[#This Row],[Grupo]],VOL_VOLUMEN_SUMINISTROS[[#This Row],[Proyecto]],VOL_VOLUMEN_SUMINISTROS[[#This Row],[FIN DE SEMANA]])</f>
        <v>111052-1NO</v>
      </c>
      <c r="E1343" s="30" t="s">
        <v>146</v>
      </c>
      <c r="F1343" s="30" t="s">
        <v>147</v>
      </c>
      <c r="G1343" s="360">
        <v>11</v>
      </c>
      <c r="H1343" s="30">
        <v>9</v>
      </c>
      <c r="I1343" s="9" t="s">
        <v>977</v>
      </c>
      <c r="J1343" s="9" t="s">
        <v>991</v>
      </c>
      <c r="K1343" s="30">
        <v>1</v>
      </c>
      <c r="L1343" s="9" t="s">
        <v>992</v>
      </c>
      <c r="M1343" s="30" t="s">
        <v>84</v>
      </c>
      <c r="N1343" s="30" t="s">
        <v>154</v>
      </c>
      <c r="O1343" s="24">
        <v>0</v>
      </c>
      <c r="P1343" s="24">
        <v>153</v>
      </c>
      <c r="Q1343" s="24">
        <v>222</v>
      </c>
      <c r="R1343" s="24">
        <v>0</v>
      </c>
      <c r="S1343" s="24">
        <v>0</v>
      </c>
      <c r="T1343" s="24">
        <v>375</v>
      </c>
    </row>
    <row r="1344" spans="1:20">
      <c r="A1344" s="9" t="s">
        <v>975</v>
      </c>
      <c r="B1344" s="30" t="s">
        <v>976</v>
      </c>
      <c r="C1344" s="30" t="str">
        <f>CONCATENATE(VOL_VOLUMEN_SUMINISTROS[[#This Row],[Proyecto]],VOL_VOLUMEN_SUMINISTROS[[#This Row],[J]],VOL_VOLUMEN_SUMINISTROS[[#This Row],[FIN DE SEMANA]])</f>
        <v>1052-1MNO</v>
      </c>
      <c r="D1344" s="360" t="str">
        <f>CONCATENATE(VOL_VOLUMEN_SUMINISTROS[[#This Row],[Grupo]],VOL_VOLUMEN_SUMINISTROS[[#This Row],[Proyecto]],VOL_VOLUMEN_SUMINISTROS[[#This Row],[FIN DE SEMANA]])</f>
        <v>111052-1NO</v>
      </c>
      <c r="E1344" s="30" t="s">
        <v>146</v>
      </c>
      <c r="F1344" s="30" t="s">
        <v>147</v>
      </c>
      <c r="G1344" s="360">
        <v>11</v>
      </c>
      <c r="H1344" s="30">
        <v>9</v>
      </c>
      <c r="I1344" s="9" t="s">
        <v>977</v>
      </c>
      <c r="J1344" s="9" t="s">
        <v>991</v>
      </c>
      <c r="K1344" s="30">
        <v>2</v>
      </c>
      <c r="L1344" s="9" t="s">
        <v>993</v>
      </c>
      <c r="M1344" s="30" t="s">
        <v>84</v>
      </c>
      <c r="N1344" s="30" t="s">
        <v>151</v>
      </c>
      <c r="O1344" s="24">
        <v>190</v>
      </c>
      <c r="P1344" s="24">
        <v>124</v>
      </c>
      <c r="Q1344" s="24">
        <v>18</v>
      </c>
      <c r="R1344" s="24">
        <v>0</v>
      </c>
      <c r="S1344" s="24">
        <v>0</v>
      </c>
      <c r="T1344" s="24">
        <v>332</v>
      </c>
    </row>
    <row r="1345" spans="1:20">
      <c r="A1345" s="9" t="s">
        <v>975</v>
      </c>
      <c r="B1345" s="30" t="s">
        <v>976</v>
      </c>
      <c r="C1345" s="30" t="str">
        <f>CONCATENATE(VOL_VOLUMEN_SUMINISTROS[[#This Row],[Proyecto]],VOL_VOLUMEN_SUMINISTROS[[#This Row],[J]],VOL_VOLUMEN_SUMINISTROS[[#This Row],[FIN DE SEMANA]])</f>
        <v>1052-1TNO</v>
      </c>
      <c r="D1345" s="360" t="str">
        <f>CONCATENATE(VOL_VOLUMEN_SUMINISTROS[[#This Row],[Grupo]],VOL_VOLUMEN_SUMINISTROS[[#This Row],[Proyecto]],VOL_VOLUMEN_SUMINISTROS[[#This Row],[FIN DE SEMANA]])</f>
        <v>111052-1NO</v>
      </c>
      <c r="E1345" s="30" t="s">
        <v>146</v>
      </c>
      <c r="F1345" s="30" t="s">
        <v>147</v>
      </c>
      <c r="G1345" s="360">
        <v>11</v>
      </c>
      <c r="H1345" s="30">
        <v>9</v>
      </c>
      <c r="I1345" s="9" t="s">
        <v>977</v>
      </c>
      <c r="J1345" s="9" t="s">
        <v>991</v>
      </c>
      <c r="K1345" s="30">
        <v>2</v>
      </c>
      <c r="L1345" s="9" t="s">
        <v>993</v>
      </c>
      <c r="M1345" s="30" t="s">
        <v>84</v>
      </c>
      <c r="N1345" s="30" t="s">
        <v>154</v>
      </c>
      <c r="O1345" s="24">
        <v>178</v>
      </c>
      <c r="P1345" s="24">
        <v>118</v>
      </c>
      <c r="Q1345" s="24">
        <v>18</v>
      </c>
      <c r="R1345" s="24">
        <v>0</v>
      </c>
      <c r="S1345" s="24">
        <v>0</v>
      </c>
      <c r="T1345" s="24">
        <v>314</v>
      </c>
    </row>
    <row r="1346" spans="1:20">
      <c r="A1346" s="9" t="s">
        <v>975</v>
      </c>
      <c r="B1346" s="30" t="s">
        <v>976</v>
      </c>
      <c r="C1346" s="30" t="str">
        <f>CONCATENATE(VOL_VOLUMEN_SUMINISTROS[[#This Row],[Proyecto]],VOL_VOLUMEN_SUMINISTROS[[#This Row],[J]],VOL_VOLUMEN_SUMINISTROS[[#This Row],[FIN DE SEMANA]])</f>
        <v>1052-1MNO</v>
      </c>
      <c r="D1346" s="360" t="str">
        <f>CONCATENATE(VOL_VOLUMEN_SUMINISTROS[[#This Row],[Grupo]],VOL_VOLUMEN_SUMINISTROS[[#This Row],[Proyecto]],VOL_VOLUMEN_SUMINISTROS[[#This Row],[FIN DE SEMANA]])</f>
        <v>111052-1NO</v>
      </c>
      <c r="E1346" s="30" t="s">
        <v>146</v>
      </c>
      <c r="F1346" s="30" t="s">
        <v>147</v>
      </c>
      <c r="G1346" s="360">
        <v>11</v>
      </c>
      <c r="H1346" s="30">
        <v>9</v>
      </c>
      <c r="I1346" s="9" t="s">
        <v>977</v>
      </c>
      <c r="J1346" s="9" t="s">
        <v>994</v>
      </c>
      <c r="K1346" s="30">
        <v>1</v>
      </c>
      <c r="L1346" s="9" t="s">
        <v>995</v>
      </c>
      <c r="M1346" s="30" t="s">
        <v>84</v>
      </c>
      <c r="N1346" s="30" t="s">
        <v>151</v>
      </c>
      <c r="O1346" s="24">
        <v>86</v>
      </c>
      <c r="P1346" s="24">
        <v>214</v>
      </c>
      <c r="Q1346" s="24">
        <v>712</v>
      </c>
      <c r="R1346" s="24">
        <v>0</v>
      </c>
      <c r="S1346" s="24">
        <v>0</v>
      </c>
      <c r="T1346" s="24">
        <v>1012</v>
      </c>
    </row>
    <row r="1347" spans="1:20">
      <c r="A1347" s="9" t="s">
        <v>975</v>
      </c>
      <c r="B1347" s="30" t="s">
        <v>976</v>
      </c>
      <c r="C1347" s="30" t="str">
        <f>CONCATENATE(VOL_VOLUMEN_SUMINISTROS[[#This Row],[Proyecto]],VOL_VOLUMEN_SUMINISTROS[[#This Row],[J]],VOL_VOLUMEN_SUMINISTROS[[#This Row],[FIN DE SEMANA]])</f>
        <v>1052-1NNO</v>
      </c>
      <c r="D1347" s="360" t="str">
        <f>CONCATENATE(VOL_VOLUMEN_SUMINISTROS[[#This Row],[Grupo]],VOL_VOLUMEN_SUMINISTROS[[#This Row],[Proyecto]],VOL_VOLUMEN_SUMINISTROS[[#This Row],[FIN DE SEMANA]])</f>
        <v>111052-1NO</v>
      </c>
      <c r="E1347" s="30" t="s">
        <v>146</v>
      </c>
      <c r="F1347" s="30" t="s">
        <v>147</v>
      </c>
      <c r="G1347" s="360">
        <v>11</v>
      </c>
      <c r="H1347" s="30">
        <v>9</v>
      </c>
      <c r="I1347" s="9" t="s">
        <v>977</v>
      </c>
      <c r="J1347" s="9" t="s">
        <v>994</v>
      </c>
      <c r="K1347" s="30">
        <v>1</v>
      </c>
      <c r="L1347" s="9" t="s">
        <v>995</v>
      </c>
      <c r="M1347" s="30" t="s">
        <v>84</v>
      </c>
      <c r="N1347" s="30" t="s">
        <v>153</v>
      </c>
      <c r="O1347" s="24">
        <v>0</v>
      </c>
      <c r="P1347" s="24">
        <v>0</v>
      </c>
      <c r="Q1347" s="24">
        <v>0</v>
      </c>
      <c r="R1347" s="24">
        <v>158</v>
      </c>
      <c r="S1347" s="24">
        <v>141</v>
      </c>
      <c r="T1347" s="24">
        <v>299</v>
      </c>
    </row>
    <row r="1348" spans="1:20">
      <c r="A1348" s="9" t="s">
        <v>975</v>
      </c>
      <c r="B1348" s="30" t="s">
        <v>976</v>
      </c>
      <c r="C1348" s="30" t="str">
        <f>CONCATENATE(VOL_VOLUMEN_SUMINISTROS[[#This Row],[Proyecto]],VOL_VOLUMEN_SUMINISTROS[[#This Row],[J]],VOL_VOLUMEN_SUMINISTROS[[#This Row],[FIN DE SEMANA]])</f>
        <v>1052-1TNO</v>
      </c>
      <c r="D1348" s="360" t="str">
        <f>CONCATENATE(VOL_VOLUMEN_SUMINISTROS[[#This Row],[Grupo]],VOL_VOLUMEN_SUMINISTROS[[#This Row],[Proyecto]],VOL_VOLUMEN_SUMINISTROS[[#This Row],[FIN DE SEMANA]])</f>
        <v>111052-1NO</v>
      </c>
      <c r="E1348" s="30" t="s">
        <v>146</v>
      </c>
      <c r="F1348" s="30" t="s">
        <v>147</v>
      </c>
      <c r="G1348" s="360">
        <v>11</v>
      </c>
      <c r="H1348" s="30">
        <v>9</v>
      </c>
      <c r="I1348" s="9" t="s">
        <v>977</v>
      </c>
      <c r="J1348" s="9" t="s">
        <v>994</v>
      </c>
      <c r="K1348" s="30">
        <v>1</v>
      </c>
      <c r="L1348" s="9" t="s">
        <v>995</v>
      </c>
      <c r="M1348" s="30" t="s">
        <v>84</v>
      </c>
      <c r="N1348" s="30" t="s">
        <v>154</v>
      </c>
      <c r="O1348" s="24">
        <v>80</v>
      </c>
      <c r="P1348" s="24">
        <v>499</v>
      </c>
      <c r="Q1348" s="24">
        <v>153</v>
      </c>
      <c r="R1348" s="24">
        <v>0</v>
      </c>
      <c r="S1348" s="24">
        <v>0</v>
      </c>
      <c r="T1348" s="24">
        <v>732</v>
      </c>
    </row>
    <row r="1349" spans="1:20">
      <c r="A1349" s="9" t="s">
        <v>975</v>
      </c>
      <c r="B1349" s="30" t="s">
        <v>976</v>
      </c>
      <c r="C1349" s="30" t="str">
        <f>CONCATENATE(VOL_VOLUMEN_SUMINISTROS[[#This Row],[Proyecto]],VOL_VOLUMEN_SUMINISTROS[[#This Row],[J]],VOL_VOLUMEN_SUMINISTROS[[#This Row],[FIN DE SEMANA]])</f>
        <v>1052-1MNO</v>
      </c>
      <c r="D1349" s="360" t="str">
        <f>CONCATENATE(VOL_VOLUMEN_SUMINISTROS[[#This Row],[Grupo]],VOL_VOLUMEN_SUMINISTROS[[#This Row],[Proyecto]],VOL_VOLUMEN_SUMINISTROS[[#This Row],[FIN DE SEMANA]])</f>
        <v>111052-1NO</v>
      </c>
      <c r="E1349" s="30" t="s">
        <v>146</v>
      </c>
      <c r="F1349" s="30" t="s">
        <v>147</v>
      </c>
      <c r="G1349" s="360">
        <v>11</v>
      </c>
      <c r="H1349" s="30">
        <v>9</v>
      </c>
      <c r="I1349" s="9" t="s">
        <v>977</v>
      </c>
      <c r="J1349" s="9" t="s">
        <v>994</v>
      </c>
      <c r="K1349" s="30">
        <v>2</v>
      </c>
      <c r="L1349" s="9" t="s">
        <v>996</v>
      </c>
      <c r="M1349" s="30" t="s">
        <v>84</v>
      </c>
      <c r="N1349" s="30" t="s">
        <v>151</v>
      </c>
      <c r="O1349" s="24">
        <v>132</v>
      </c>
      <c r="P1349" s="24">
        <v>23</v>
      </c>
      <c r="Q1349" s="24">
        <v>0</v>
      </c>
      <c r="R1349" s="24">
        <v>0</v>
      </c>
      <c r="S1349" s="24">
        <v>0</v>
      </c>
      <c r="T1349" s="24">
        <v>155</v>
      </c>
    </row>
    <row r="1350" spans="1:20">
      <c r="A1350" s="9" t="s">
        <v>975</v>
      </c>
      <c r="B1350" s="30" t="s">
        <v>976</v>
      </c>
      <c r="C1350" s="30" t="str">
        <f>CONCATENATE(VOL_VOLUMEN_SUMINISTROS[[#This Row],[Proyecto]],VOL_VOLUMEN_SUMINISTROS[[#This Row],[J]],VOL_VOLUMEN_SUMINISTROS[[#This Row],[FIN DE SEMANA]])</f>
        <v>1052-1MNO</v>
      </c>
      <c r="D1350" s="360" t="str">
        <f>CONCATENATE(VOL_VOLUMEN_SUMINISTROS[[#This Row],[Grupo]],VOL_VOLUMEN_SUMINISTROS[[#This Row],[Proyecto]],VOL_VOLUMEN_SUMINISTROS[[#This Row],[FIN DE SEMANA]])</f>
        <v>111052-1NO</v>
      </c>
      <c r="E1350" s="30" t="s">
        <v>146</v>
      </c>
      <c r="F1350" s="30" t="s">
        <v>147</v>
      </c>
      <c r="G1350" s="360">
        <v>11</v>
      </c>
      <c r="H1350" s="30">
        <v>9</v>
      </c>
      <c r="I1350" s="9" t="s">
        <v>977</v>
      </c>
      <c r="J1350" s="9" t="s">
        <v>994</v>
      </c>
      <c r="K1350" s="30">
        <v>3</v>
      </c>
      <c r="L1350" s="9" t="s">
        <v>997</v>
      </c>
      <c r="M1350" s="30" t="s">
        <v>84</v>
      </c>
      <c r="N1350" s="30" t="s">
        <v>151</v>
      </c>
      <c r="O1350" s="24">
        <v>248</v>
      </c>
      <c r="P1350" s="24">
        <v>0</v>
      </c>
      <c r="Q1350" s="24">
        <v>0</v>
      </c>
      <c r="R1350" s="24">
        <v>0</v>
      </c>
      <c r="S1350" s="24">
        <v>0</v>
      </c>
      <c r="T1350" s="24">
        <v>248</v>
      </c>
    </row>
    <row r="1351" spans="1:20">
      <c r="A1351" s="9" t="s">
        <v>975</v>
      </c>
      <c r="B1351" s="30" t="s">
        <v>976</v>
      </c>
      <c r="C1351" s="30" t="str">
        <f>CONCATENATE(VOL_VOLUMEN_SUMINISTROS[[#This Row],[Proyecto]],VOL_VOLUMEN_SUMINISTROS[[#This Row],[J]],VOL_VOLUMEN_SUMINISTROS[[#This Row],[FIN DE SEMANA]])</f>
        <v>1052-1MNO</v>
      </c>
      <c r="D1351" s="360" t="str">
        <f>CONCATENATE(VOL_VOLUMEN_SUMINISTROS[[#This Row],[Grupo]],VOL_VOLUMEN_SUMINISTROS[[#This Row],[Proyecto]],VOL_VOLUMEN_SUMINISTROS[[#This Row],[FIN DE SEMANA]])</f>
        <v>111052-1NO</v>
      </c>
      <c r="E1351" s="30" t="s">
        <v>146</v>
      </c>
      <c r="F1351" s="30" t="s">
        <v>147</v>
      </c>
      <c r="G1351" s="360">
        <v>11</v>
      </c>
      <c r="H1351" s="30">
        <v>9</v>
      </c>
      <c r="I1351" s="9" t="s">
        <v>977</v>
      </c>
      <c r="J1351" s="9" t="s">
        <v>998</v>
      </c>
      <c r="K1351" s="30">
        <v>1</v>
      </c>
      <c r="L1351" s="9" t="s">
        <v>999</v>
      </c>
      <c r="M1351" s="30" t="s">
        <v>84</v>
      </c>
      <c r="N1351" s="30" t="s">
        <v>151</v>
      </c>
      <c r="O1351" s="24">
        <v>0</v>
      </c>
      <c r="P1351" s="24">
        <v>255</v>
      </c>
      <c r="Q1351" s="24">
        <v>504</v>
      </c>
      <c r="R1351" s="24">
        <v>0</v>
      </c>
      <c r="S1351" s="24">
        <v>0</v>
      </c>
      <c r="T1351" s="24">
        <v>759</v>
      </c>
    </row>
    <row r="1352" spans="1:20">
      <c r="A1352" s="9" t="s">
        <v>975</v>
      </c>
      <c r="B1352" s="30" t="s">
        <v>976</v>
      </c>
      <c r="C1352" s="30" t="str">
        <f>CONCATENATE(VOL_VOLUMEN_SUMINISTROS[[#This Row],[Proyecto]],VOL_VOLUMEN_SUMINISTROS[[#This Row],[J]],VOL_VOLUMEN_SUMINISTROS[[#This Row],[FIN DE SEMANA]])</f>
        <v>1052-1NNO</v>
      </c>
      <c r="D1352" s="360" t="str">
        <f>CONCATENATE(VOL_VOLUMEN_SUMINISTROS[[#This Row],[Grupo]],VOL_VOLUMEN_SUMINISTROS[[#This Row],[Proyecto]],VOL_VOLUMEN_SUMINISTROS[[#This Row],[FIN DE SEMANA]])</f>
        <v>111052-1NO</v>
      </c>
      <c r="E1352" s="30" t="s">
        <v>146</v>
      </c>
      <c r="F1352" s="30" t="s">
        <v>147</v>
      </c>
      <c r="G1352" s="360">
        <v>11</v>
      </c>
      <c r="H1352" s="30">
        <v>9</v>
      </c>
      <c r="I1352" s="9" t="s">
        <v>977</v>
      </c>
      <c r="J1352" s="9" t="s">
        <v>998</v>
      </c>
      <c r="K1352" s="30">
        <v>1</v>
      </c>
      <c r="L1352" s="9" t="s">
        <v>999</v>
      </c>
      <c r="M1352" s="30" t="s">
        <v>84</v>
      </c>
      <c r="N1352" s="30" t="s">
        <v>153</v>
      </c>
      <c r="O1352" s="24">
        <v>0</v>
      </c>
      <c r="P1352" s="24">
        <v>0</v>
      </c>
      <c r="Q1352" s="24">
        <v>0</v>
      </c>
      <c r="R1352" s="24">
        <v>130</v>
      </c>
      <c r="S1352" s="24">
        <v>120</v>
      </c>
      <c r="T1352" s="24">
        <v>250</v>
      </c>
    </row>
    <row r="1353" spans="1:20">
      <c r="A1353" s="9" t="s">
        <v>975</v>
      </c>
      <c r="B1353" s="30" t="s">
        <v>976</v>
      </c>
      <c r="C1353" s="30" t="str">
        <f>CONCATENATE(VOL_VOLUMEN_SUMINISTROS[[#This Row],[Proyecto]],VOL_VOLUMEN_SUMINISTROS[[#This Row],[J]],VOL_VOLUMEN_SUMINISTROS[[#This Row],[FIN DE SEMANA]])</f>
        <v>1052-1TNO</v>
      </c>
      <c r="D1353" s="360" t="str">
        <f>CONCATENATE(VOL_VOLUMEN_SUMINISTROS[[#This Row],[Grupo]],VOL_VOLUMEN_SUMINISTROS[[#This Row],[Proyecto]],VOL_VOLUMEN_SUMINISTROS[[#This Row],[FIN DE SEMANA]])</f>
        <v>111052-1NO</v>
      </c>
      <c r="E1353" s="30" t="s">
        <v>146</v>
      </c>
      <c r="F1353" s="30" t="s">
        <v>147</v>
      </c>
      <c r="G1353" s="360">
        <v>11</v>
      </c>
      <c r="H1353" s="30">
        <v>9</v>
      </c>
      <c r="I1353" s="9" t="s">
        <v>977</v>
      </c>
      <c r="J1353" s="9" t="s">
        <v>998</v>
      </c>
      <c r="K1353" s="30">
        <v>1</v>
      </c>
      <c r="L1353" s="9" t="s">
        <v>999</v>
      </c>
      <c r="M1353" s="30" t="s">
        <v>84</v>
      </c>
      <c r="N1353" s="30" t="s">
        <v>154</v>
      </c>
      <c r="O1353" s="24">
        <v>0</v>
      </c>
      <c r="P1353" s="24">
        <v>210</v>
      </c>
      <c r="Q1353" s="24">
        <v>260</v>
      </c>
      <c r="R1353" s="24">
        <v>0</v>
      </c>
      <c r="S1353" s="24">
        <v>0</v>
      </c>
      <c r="T1353" s="24">
        <v>470</v>
      </c>
    </row>
    <row r="1354" spans="1:20">
      <c r="A1354" s="9" t="s">
        <v>975</v>
      </c>
      <c r="B1354" s="30" t="s">
        <v>976</v>
      </c>
      <c r="C1354" s="30" t="str">
        <f>CONCATENATE(VOL_VOLUMEN_SUMINISTROS[[#This Row],[Proyecto]],VOL_VOLUMEN_SUMINISTROS[[#This Row],[J]],VOL_VOLUMEN_SUMINISTROS[[#This Row],[FIN DE SEMANA]])</f>
        <v>1052-1MNO</v>
      </c>
      <c r="D1354" s="360" t="str">
        <f>CONCATENATE(VOL_VOLUMEN_SUMINISTROS[[#This Row],[Grupo]],VOL_VOLUMEN_SUMINISTROS[[#This Row],[Proyecto]],VOL_VOLUMEN_SUMINISTROS[[#This Row],[FIN DE SEMANA]])</f>
        <v>111052-1NO</v>
      </c>
      <c r="E1354" s="30" t="s">
        <v>146</v>
      </c>
      <c r="F1354" s="30" t="s">
        <v>147</v>
      </c>
      <c r="G1354" s="360">
        <v>11</v>
      </c>
      <c r="H1354" s="30">
        <v>9</v>
      </c>
      <c r="I1354" s="9" t="s">
        <v>977</v>
      </c>
      <c r="J1354" s="9" t="s">
        <v>998</v>
      </c>
      <c r="K1354" s="30">
        <v>2</v>
      </c>
      <c r="L1354" s="9" t="s">
        <v>1000</v>
      </c>
      <c r="M1354" s="30" t="s">
        <v>84</v>
      </c>
      <c r="N1354" s="30" t="s">
        <v>151</v>
      </c>
      <c r="O1354" s="24">
        <v>239</v>
      </c>
      <c r="P1354" s="24">
        <v>182</v>
      </c>
      <c r="Q1354" s="24">
        <v>35</v>
      </c>
      <c r="R1354" s="24">
        <v>0</v>
      </c>
      <c r="S1354" s="24">
        <v>0</v>
      </c>
      <c r="T1354" s="24">
        <v>456</v>
      </c>
    </row>
    <row r="1355" spans="1:20">
      <c r="A1355" s="9" t="s">
        <v>975</v>
      </c>
      <c r="B1355" s="30" t="s">
        <v>976</v>
      </c>
      <c r="C1355" s="30" t="str">
        <f>CONCATENATE(VOL_VOLUMEN_SUMINISTROS[[#This Row],[Proyecto]],VOL_VOLUMEN_SUMINISTROS[[#This Row],[J]],VOL_VOLUMEN_SUMINISTROS[[#This Row],[FIN DE SEMANA]])</f>
        <v>1052-1TNO</v>
      </c>
      <c r="D1355" s="360" t="str">
        <f>CONCATENATE(VOL_VOLUMEN_SUMINISTROS[[#This Row],[Grupo]],VOL_VOLUMEN_SUMINISTROS[[#This Row],[Proyecto]],VOL_VOLUMEN_SUMINISTROS[[#This Row],[FIN DE SEMANA]])</f>
        <v>111052-1NO</v>
      </c>
      <c r="E1355" s="30" t="s">
        <v>146</v>
      </c>
      <c r="F1355" s="30" t="s">
        <v>147</v>
      </c>
      <c r="G1355" s="360">
        <v>11</v>
      </c>
      <c r="H1355" s="30">
        <v>9</v>
      </c>
      <c r="I1355" s="9" t="s">
        <v>977</v>
      </c>
      <c r="J1355" s="9" t="s">
        <v>998</v>
      </c>
      <c r="K1355" s="30">
        <v>2</v>
      </c>
      <c r="L1355" s="9" t="s">
        <v>1000</v>
      </c>
      <c r="M1355" s="30" t="s">
        <v>84</v>
      </c>
      <c r="N1355" s="30" t="s">
        <v>154</v>
      </c>
      <c r="O1355" s="24">
        <v>161</v>
      </c>
      <c r="P1355" s="24">
        <v>190</v>
      </c>
      <c r="Q1355" s="24">
        <v>44</v>
      </c>
      <c r="R1355" s="24">
        <v>0</v>
      </c>
      <c r="S1355" s="24">
        <v>0</v>
      </c>
      <c r="T1355" s="24">
        <v>395</v>
      </c>
    </row>
    <row r="1356" spans="1:20">
      <c r="A1356" s="9" t="s">
        <v>975</v>
      </c>
      <c r="B1356" s="30" t="s">
        <v>976</v>
      </c>
      <c r="C1356" s="30" t="str">
        <f>CONCATENATE(VOL_VOLUMEN_SUMINISTROS[[#This Row],[Proyecto]],VOL_VOLUMEN_SUMINISTROS[[#This Row],[J]],VOL_VOLUMEN_SUMINISTROS[[#This Row],[FIN DE SEMANA]])</f>
        <v>1052-1MNO</v>
      </c>
      <c r="D1356" s="360" t="str">
        <f>CONCATENATE(VOL_VOLUMEN_SUMINISTROS[[#This Row],[Grupo]],VOL_VOLUMEN_SUMINISTROS[[#This Row],[Proyecto]],VOL_VOLUMEN_SUMINISTROS[[#This Row],[FIN DE SEMANA]])</f>
        <v>111052-1NO</v>
      </c>
      <c r="E1356" s="30" t="s">
        <v>146</v>
      </c>
      <c r="F1356" s="30" t="s">
        <v>147</v>
      </c>
      <c r="G1356" s="360">
        <v>11</v>
      </c>
      <c r="H1356" s="30">
        <v>9</v>
      </c>
      <c r="I1356" s="9" t="s">
        <v>977</v>
      </c>
      <c r="J1356" s="9" t="s">
        <v>998</v>
      </c>
      <c r="K1356" s="30">
        <v>3</v>
      </c>
      <c r="L1356" s="9" t="s">
        <v>1001</v>
      </c>
      <c r="M1356" s="30" t="s">
        <v>84</v>
      </c>
      <c r="N1356" s="30" t="s">
        <v>151</v>
      </c>
      <c r="O1356" s="24">
        <v>107</v>
      </c>
      <c r="P1356" s="24">
        <v>86</v>
      </c>
      <c r="Q1356" s="24">
        <v>15</v>
      </c>
      <c r="R1356" s="24">
        <v>0</v>
      </c>
      <c r="S1356" s="24">
        <v>0</v>
      </c>
      <c r="T1356" s="24">
        <v>208</v>
      </c>
    </row>
    <row r="1357" spans="1:20">
      <c r="A1357" s="9" t="s">
        <v>975</v>
      </c>
      <c r="B1357" s="30" t="s">
        <v>976</v>
      </c>
      <c r="C1357" s="30" t="str">
        <f>CONCATENATE(VOL_VOLUMEN_SUMINISTROS[[#This Row],[Proyecto]],VOL_VOLUMEN_SUMINISTROS[[#This Row],[J]],VOL_VOLUMEN_SUMINISTROS[[#This Row],[FIN DE SEMANA]])</f>
        <v>1052-1TNO</v>
      </c>
      <c r="D1357" s="360" t="str">
        <f>CONCATENATE(VOL_VOLUMEN_SUMINISTROS[[#This Row],[Grupo]],VOL_VOLUMEN_SUMINISTROS[[#This Row],[Proyecto]],VOL_VOLUMEN_SUMINISTROS[[#This Row],[FIN DE SEMANA]])</f>
        <v>111052-1NO</v>
      </c>
      <c r="E1357" s="30" t="s">
        <v>146</v>
      </c>
      <c r="F1357" s="30" t="s">
        <v>147</v>
      </c>
      <c r="G1357" s="360">
        <v>11</v>
      </c>
      <c r="H1357" s="30">
        <v>9</v>
      </c>
      <c r="I1357" s="9" t="s">
        <v>977</v>
      </c>
      <c r="J1357" s="9" t="s">
        <v>998</v>
      </c>
      <c r="K1357" s="30">
        <v>3</v>
      </c>
      <c r="L1357" s="9" t="s">
        <v>1001</v>
      </c>
      <c r="M1357" s="30" t="s">
        <v>84</v>
      </c>
      <c r="N1357" s="30" t="s">
        <v>154</v>
      </c>
      <c r="O1357" s="24">
        <v>73</v>
      </c>
      <c r="P1357" s="24">
        <v>72</v>
      </c>
      <c r="Q1357" s="24">
        <v>16</v>
      </c>
      <c r="R1357" s="24">
        <v>0</v>
      </c>
      <c r="S1357" s="24">
        <v>0</v>
      </c>
      <c r="T1357" s="24">
        <v>161</v>
      </c>
    </row>
    <row r="1358" spans="1:20">
      <c r="A1358" s="9" t="s">
        <v>975</v>
      </c>
      <c r="B1358" s="30" t="s">
        <v>976</v>
      </c>
      <c r="C1358" s="30" t="str">
        <f>CONCATENATE(VOL_VOLUMEN_SUMINISTROS[[#This Row],[Proyecto]],VOL_VOLUMEN_SUMINISTROS[[#This Row],[J]],VOL_VOLUMEN_SUMINISTROS[[#This Row],[FIN DE SEMANA]])</f>
        <v>1052-1MNO</v>
      </c>
      <c r="D1358" s="360" t="str">
        <f>CONCATENATE(VOL_VOLUMEN_SUMINISTROS[[#This Row],[Grupo]],VOL_VOLUMEN_SUMINISTROS[[#This Row],[Proyecto]],VOL_VOLUMEN_SUMINISTROS[[#This Row],[FIN DE SEMANA]])</f>
        <v>111052-1NO</v>
      </c>
      <c r="E1358" s="30" t="s">
        <v>146</v>
      </c>
      <c r="F1358" s="30" t="s">
        <v>147</v>
      </c>
      <c r="G1358" s="360">
        <v>11</v>
      </c>
      <c r="H1358" s="30">
        <v>9</v>
      </c>
      <c r="I1358" s="9" t="s">
        <v>977</v>
      </c>
      <c r="J1358" s="9" t="s">
        <v>998</v>
      </c>
      <c r="K1358" s="30">
        <v>4</v>
      </c>
      <c r="L1358" s="9" t="s">
        <v>1002</v>
      </c>
      <c r="M1358" s="30" t="s">
        <v>84</v>
      </c>
      <c r="N1358" s="30" t="s">
        <v>151</v>
      </c>
      <c r="O1358" s="24">
        <v>56</v>
      </c>
      <c r="P1358" s="24">
        <v>73</v>
      </c>
      <c r="Q1358" s="24">
        <v>15</v>
      </c>
      <c r="R1358" s="24">
        <v>0</v>
      </c>
      <c r="S1358" s="24">
        <v>0</v>
      </c>
      <c r="T1358" s="24">
        <v>144</v>
      </c>
    </row>
    <row r="1359" spans="1:20">
      <c r="A1359" s="9" t="s">
        <v>975</v>
      </c>
      <c r="B1359" s="30" t="s">
        <v>976</v>
      </c>
      <c r="C1359" s="30" t="str">
        <f>CONCATENATE(VOL_VOLUMEN_SUMINISTROS[[#This Row],[Proyecto]],VOL_VOLUMEN_SUMINISTROS[[#This Row],[J]],VOL_VOLUMEN_SUMINISTROS[[#This Row],[FIN DE SEMANA]])</f>
        <v>1052-1MNO</v>
      </c>
      <c r="D1359" s="360" t="str">
        <f>CONCATENATE(VOL_VOLUMEN_SUMINISTROS[[#This Row],[Grupo]],VOL_VOLUMEN_SUMINISTROS[[#This Row],[Proyecto]],VOL_VOLUMEN_SUMINISTROS[[#This Row],[FIN DE SEMANA]])</f>
        <v>111052-1NO</v>
      </c>
      <c r="E1359" s="30" t="s">
        <v>146</v>
      </c>
      <c r="F1359" s="30" t="s">
        <v>147</v>
      </c>
      <c r="G1359" s="360">
        <v>11</v>
      </c>
      <c r="H1359" s="30">
        <v>9</v>
      </c>
      <c r="I1359" s="9" t="s">
        <v>977</v>
      </c>
      <c r="J1359" s="9" t="s">
        <v>998</v>
      </c>
      <c r="K1359" s="30">
        <v>5</v>
      </c>
      <c r="L1359" s="9" t="s">
        <v>1003</v>
      </c>
      <c r="M1359" s="30" t="s">
        <v>84</v>
      </c>
      <c r="N1359" s="30" t="s">
        <v>151</v>
      </c>
      <c r="O1359" s="24">
        <v>81</v>
      </c>
      <c r="P1359" s="24">
        <v>0</v>
      </c>
      <c r="Q1359" s="24">
        <v>0</v>
      </c>
      <c r="R1359" s="24">
        <v>0</v>
      </c>
      <c r="S1359" s="24">
        <v>0</v>
      </c>
      <c r="T1359" s="24">
        <v>81</v>
      </c>
    </row>
    <row r="1360" spans="1:20">
      <c r="A1360" s="9" t="s">
        <v>975</v>
      </c>
      <c r="B1360" s="30" t="s">
        <v>976</v>
      </c>
      <c r="C1360" s="30" t="str">
        <f>CONCATENATE(VOL_VOLUMEN_SUMINISTROS[[#This Row],[Proyecto]],VOL_VOLUMEN_SUMINISTROS[[#This Row],[J]],VOL_VOLUMEN_SUMINISTROS[[#This Row],[FIN DE SEMANA]])</f>
        <v>1052-1MNO</v>
      </c>
      <c r="D1360" s="360" t="str">
        <f>CONCATENATE(VOL_VOLUMEN_SUMINISTROS[[#This Row],[Grupo]],VOL_VOLUMEN_SUMINISTROS[[#This Row],[Proyecto]],VOL_VOLUMEN_SUMINISTROS[[#This Row],[FIN DE SEMANA]])</f>
        <v>111052-1NO</v>
      </c>
      <c r="E1360" s="30" t="s">
        <v>146</v>
      </c>
      <c r="F1360" s="30" t="s">
        <v>147</v>
      </c>
      <c r="G1360" s="360">
        <v>11</v>
      </c>
      <c r="H1360" s="30">
        <v>9</v>
      </c>
      <c r="I1360" s="9" t="s">
        <v>977</v>
      </c>
      <c r="J1360" s="9" t="s">
        <v>1004</v>
      </c>
      <c r="K1360" s="30">
        <v>1</v>
      </c>
      <c r="L1360" s="9" t="s">
        <v>1005</v>
      </c>
      <c r="M1360" s="30" t="s">
        <v>84</v>
      </c>
      <c r="N1360" s="30" t="s">
        <v>151</v>
      </c>
      <c r="O1360" s="24">
        <v>169</v>
      </c>
      <c r="P1360" s="24">
        <v>274</v>
      </c>
      <c r="Q1360" s="24">
        <v>303</v>
      </c>
      <c r="R1360" s="24">
        <v>0</v>
      </c>
      <c r="S1360" s="24">
        <v>0</v>
      </c>
      <c r="T1360" s="24">
        <v>746</v>
      </c>
    </row>
    <row r="1361" spans="1:20">
      <c r="A1361" s="9" t="s">
        <v>975</v>
      </c>
      <c r="B1361" s="30" t="s">
        <v>976</v>
      </c>
      <c r="C1361" s="30" t="str">
        <f>CONCATENATE(VOL_VOLUMEN_SUMINISTROS[[#This Row],[Proyecto]],VOL_VOLUMEN_SUMINISTROS[[#This Row],[J]],VOL_VOLUMEN_SUMINISTROS[[#This Row],[FIN DE SEMANA]])</f>
        <v>1052-1TNO</v>
      </c>
      <c r="D1361" s="360" t="str">
        <f>CONCATENATE(VOL_VOLUMEN_SUMINISTROS[[#This Row],[Grupo]],VOL_VOLUMEN_SUMINISTROS[[#This Row],[Proyecto]],VOL_VOLUMEN_SUMINISTROS[[#This Row],[FIN DE SEMANA]])</f>
        <v>111052-1NO</v>
      </c>
      <c r="E1361" s="30" t="s">
        <v>146</v>
      </c>
      <c r="F1361" s="30" t="s">
        <v>147</v>
      </c>
      <c r="G1361" s="360">
        <v>11</v>
      </c>
      <c r="H1361" s="30">
        <v>9</v>
      </c>
      <c r="I1361" s="9" t="s">
        <v>977</v>
      </c>
      <c r="J1361" s="9" t="s">
        <v>1004</v>
      </c>
      <c r="K1361" s="30">
        <v>1</v>
      </c>
      <c r="L1361" s="9" t="s">
        <v>1005</v>
      </c>
      <c r="M1361" s="30" t="s">
        <v>84</v>
      </c>
      <c r="N1361" s="30" t="s">
        <v>154</v>
      </c>
      <c r="O1361" s="24">
        <v>207</v>
      </c>
      <c r="P1361" s="24">
        <v>276</v>
      </c>
      <c r="Q1361" s="24">
        <v>248</v>
      </c>
      <c r="R1361" s="24">
        <v>0</v>
      </c>
      <c r="S1361" s="24">
        <v>0</v>
      </c>
      <c r="T1361" s="24">
        <v>731</v>
      </c>
    </row>
    <row r="1362" spans="1:20">
      <c r="A1362" s="9" t="s">
        <v>975</v>
      </c>
      <c r="B1362" s="30" t="s">
        <v>1006</v>
      </c>
      <c r="C1362" s="30" t="str">
        <f>CONCATENATE(VOL_VOLUMEN_SUMINISTROS[[#This Row],[Proyecto]],VOL_VOLUMEN_SUMINISTROS[[#This Row],[J]],VOL_VOLUMEN_SUMINISTROS[[#This Row],[FIN DE SEMANA]])</f>
        <v>1052-2MNO</v>
      </c>
      <c r="D1362" s="360" t="str">
        <f>CONCATENATE(VOL_VOLUMEN_SUMINISTROS[[#This Row],[Grupo]],VOL_VOLUMEN_SUMINISTROS[[#This Row],[Proyecto]],VOL_VOLUMEN_SUMINISTROS[[#This Row],[FIN DE SEMANA]])</f>
        <v>111052-2NO</v>
      </c>
      <c r="E1362" s="30" t="s">
        <v>182</v>
      </c>
      <c r="F1362" s="30" t="s">
        <v>147</v>
      </c>
      <c r="G1362" s="360">
        <v>11</v>
      </c>
      <c r="H1362" s="30">
        <v>9</v>
      </c>
      <c r="I1362" s="9" t="s">
        <v>977</v>
      </c>
      <c r="J1362" s="9" t="s">
        <v>998</v>
      </c>
      <c r="K1362" s="30">
        <v>4</v>
      </c>
      <c r="L1362" s="9" t="s">
        <v>1002</v>
      </c>
      <c r="M1362" s="30" t="s">
        <v>84</v>
      </c>
      <c r="N1362" s="30" t="s">
        <v>151</v>
      </c>
      <c r="O1362" s="24">
        <v>54</v>
      </c>
      <c r="P1362" s="24">
        <v>75</v>
      </c>
      <c r="Q1362" s="24">
        <v>16</v>
      </c>
      <c r="R1362" s="24">
        <v>0</v>
      </c>
      <c r="S1362" s="24">
        <v>0</v>
      </c>
      <c r="T1362" s="24">
        <v>145</v>
      </c>
    </row>
    <row r="1363" spans="1:20">
      <c r="A1363" s="9" t="s">
        <v>975</v>
      </c>
      <c r="B1363" s="30" t="s">
        <v>1007</v>
      </c>
      <c r="C1363" s="30" t="str">
        <f>CONCATENATE(VOL_VOLUMEN_SUMINISTROS[[#This Row],[Proyecto]],VOL_VOLUMEN_SUMINISTROS[[#This Row],[J]],VOL_VOLUMEN_SUMINISTROS[[#This Row],[FIN DE SEMANA]])</f>
        <v>1052-2TNO</v>
      </c>
      <c r="D1363" s="360" t="str">
        <f>CONCATENATE(VOL_VOLUMEN_SUMINISTROS[[#This Row],[Grupo]],VOL_VOLUMEN_SUMINISTROS[[#This Row],[Proyecto]],VOL_VOLUMEN_SUMINISTROS[[#This Row],[FIN DE SEMANA]])</f>
        <v>111052-2NO</v>
      </c>
      <c r="E1363" s="30" t="s">
        <v>182</v>
      </c>
      <c r="F1363" s="30" t="s">
        <v>147</v>
      </c>
      <c r="G1363" s="360">
        <v>11</v>
      </c>
      <c r="H1363" s="30">
        <v>9</v>
      </c>
      <c r="I1363" s="9" t="s">
        <v>977</v>
      </c>
      <c r="J1363" s="9" t="s">
        <v>979</v>
      </c>
      <c r="K1363" s="30">
        <v>1</v>
      </c>
      <c r="L1363" s="9" t="s">
        <v>980</v>
      </c>
      <c r="M1363" s="30" t="s">
        <v>84</v>
      </c>
      <c r="N1363" s="30" t="s">
        <v>154</v>
      </c>
      <c r="O1363" s="24">
        <v>0</v>
      </c>
      <c r="P1363" s="24">
        <v>0</v>
      </c>
      <c r="Q1363" s="24">
        <v>230</v>
      </c>
      <c r="R1363" s="24">
        <v>0</v>
      </c>
      <c r="S1363" s="24">
        <v>0</v>
      </c>
      <c r="T1363" s="24">
        <v>230</v>
      </c>
    </row>
    <row r="1364" spans="1:20">
      <c r="A1364" s="9" t="s">
        <v>975</v>
      </c>
      <c r="B1364" s="30" t="s">
        <v>1007</v>
      </c>
      <c r="C1364" s="30" t="str">
        <f>CONCATENATE(VOL_VOLUMEN_SUMINISTROS[[#This Row],[Proyecto]],VOL_VOLUMEN_SUMINISTROS[[#This Row],[J]],VOL_VOLUMEN_SUMINISTROS[[#This Row],[FIN DE SEMANA]])</f>
        <v>1052-2TNO</v>
      </c>
      <c r="D1364" s="360" t="str">
        <f>CONCATENATE(VOL_VOLUMEN_SUMINISTROS[[#This Row],[Grupo]],VOL_VOLUMEN_SUMINISTROS[[#This Row],[Proyecto]],VOL_VOLUMEN_SUMINISTROS[[#This Row],[FIN DE SEMANA]])</f>
        <v>111052-2NO</v>
      </c>
      <c r="E1364" s="30" t="s">
        <v>182</v>
      </c>
      <c r="F1364" s="30" t="s">
        <v>147</v>
      </c>
      <c r="G1364" s="360">
        <v>11</v>
      </c>
      <c r="H1364" s="30">
        <v>9</v>
      </c>
      <c r="I1364" s="9" t="s">
        <v>977</v>
      </c>
      <c r="J1364" s="9" t="s">
        <v>982</v>
      </c>
      <c r="K1364" s="30">
        <v>1</v>
      </c>
      <c r="L1364" s="9" t="s">
        <v>983</v>
      </c>
      <c r="M1364" s="30" t="s">
        <v>84</v>
      </c>
      <c r="N1364" s="30" t="s">
        <v>154</v>
      </c>
      <c r="O1364" s="24">
        <v>0</v>
      </c>
      <c r="P1364" s="24">
        <v>0</v>
      </c>
      <c r="Q1364" s="24">
        <v>225</v>
      </c>
      <c r="R1364" s="24">
        <v>0</v>
      </c>
      <c r="S1364" s="24">
        <v>0</v>
      </c>
      <c r="T1364" s="24">
        <v>225</v>
      </c>
    </row>
    <row r="1365" spans="1:20">
      <c r="A1365" s="9" t="s">
        <v>975</v>
      </c>
      <c r="B1365" s="30" t="s">
        <v>1007</v>
      </c>
      <c r="C1365" s="30" t="str">
        <f>CONCATENATE(VOL_VOLUMEN_SUMINISTROS[[#This Row],[Proyecto]],VOL_VOLUMEN_SUMINISTROS[[#This Row],[J]],VOL_VOLUMEN_SUMINISTROS[[#This Row],[FIN DE SEMANA]])</f>
        <v>1052-2MNO</v>
      </c>
      <c r="D1365" s="360" t="str">
        <f>CONCATENATE(VOL_VOLUMEN_SUMINISTROS[[#This Row],[Grupo]],VOL_VOLUMEN_SUMINISTROS[[#This Row],[Proyecto]],VOL_VOLUMEN_SUMINISTROS[[#This Row],[FIN DE SEMANA]])</f>
        <v>111052-2NO</v>
      </c>
      <c r="E1365" s="30" t="s">
        <v>182</v>
      </c>
      <c r="F1365" s="30" t="s">
        <v>147</v>
      </c>
      <c r="G1365" s="360">
        <v>11</v>
      </c>
      <c r="H1365" s="30">
        <v>9</v>
      </c>
      <c r="I1365" s="9" t="s">
        <v>977</v>
      </c>
      <c r="J1365" s="9" t="s">
        <v>989</v>
      </c>
      <c r="K1365" s="30">
        <v>1</v>
      </c>
      <c r="L1365" s="9" t="s">
        <v>990</v>
      </c>
      <c r="M1365" s="30" t="s">
        <v>84</v>
      </c>
      <c r="N1365" s="30" t="s">
        <v>151</v>
      </c>
      <c r="O1365" s="24">
        <v>0</v>
      </c>
      <c r="P1365" s="24">
        <v>0</v>
      </c>
      <c r="Q1365" s="24">
        <v>100</v>
      </c>
      <c r="R1365" s="24">
        <v>0</v>
      </c>
      <c r="S1365" s="24">
        <v>0</v>
      </c>
      <c r="T1365" s="24">
        <v>100</v>
      </c>
    </row>
    <row r="1366" spans="1:20">
      <c r="A1366" s="9" t="s">
        <v>975</v>
      </c>
      <c r="B1366" s="30" t="s">
        <v>1007</v>
      </c>
      <c r="C1366" s="30" t="str">
        <f>CONCATENATE(VOL_VOLUMEN_SUMINISTROS[[#This Row],[Proyecto]],VOL_VOLUMEN_SUMINISTROS[[#This Row],[J]],VOL_VOLUMEN_SUMINISTROS[[#This Row],[FIN DE SEMANA]])</f>
        <v>1052-2TNO</v>
      </c>
      <c r="D1366" s="360" t="str">
        <f>CONCATENATE(VOL_VOLUMEN_SUMINISTROS[[#This Row],[Grupo]],VOL_VOLUMEN_SUMINISTROS[[#This Row],[Proyecto]],VOL_VOLUMEN_SUMINISTROS[[#This Row],[FIN DE SEMANA]])</f>
        <v>111052-2NO</v>
      </c>
      <c r="E1366" s="30" t="s">
        <v>182</v>
      </c>
      <c r="F1366" s="30" t="s">
        <v>147</v>
      </c>
      <c r="G1366" s="360">
        <v>11</v>
      </c>
      <c r="H1366" s="30">
        <v>9</v>
      </c>
      <c r="I1366" s="9" t="s">
        <v>977</v>
      </c>
      <c r="J1366" s="9" t="s">
        <v>989</v>
      </c>
      <c r="K1366" s="30">
        <v>1</v>
      </c>
      <c r="L1366" s="9" t="s">
        <v>990</v>
      </c>
      <c r="M1366" s="30" t="s">
        <v>84</v>
      </c>
      <c r="N1366" s="30" t="s">
        <v>154</v>
      </c>
      <c r="O1366" s="24">
        <v>0</v>
      </c>
      <c r="P1366" s="24">
        <v>0</v>
      </c>
      <c r="Q1366" s="24">
        <v>100</v>
      </c>
      <c r="R1366" s="24">
        <v>0</v>
      </c>
      <c r="S1366" s="24">
        <v>0</v>
      </c>
      <c r="T1366" s="24">
        <v>100</v>
      </c>
    </row>
    <row r="1367" spans="1:20">
      <c r="A1367" s="9" t="s">
        <v>975</v>
      </c>
      <c r="B1367" s="30" t="s">
        <v>1007</v>
      </c>
      <c r="C1367" s="30" t="str">
        <f>CONCATENATE(VOL_VOLUMEN_SUMINISTROS[[#This Row],[Proyecto]],VOL_VOLUMEN_SUMINISTROS[[#This Row],[J]],VOL_VOLUMEN_SUMINISTROS[[#This Row],[FIN DE SEMANA]])</f>
        <v>1052-2MNO</v>
      </c>
      <c r="D1367" s="360" t="str">
        <f>CONCATENATE(VOL_VOLUMEN_SUMINISTROS[[#This Row],[Grupo]],VOL_VOLUMEN_SUMINISTROS[[#This Row],[Proyecto]],VOL_VOLUMEN_SUMINISTROS[[#This Row],[FIN DE SEMANA]])</f>
        <v>111052-2NO</v>
      </c>
      <c r="E1367" s="30" t="s">
        <v>182</v>
      </c>
      <c r="F1367" s="30" t="s">
        <v>147</v>
      </c>
      <c r="G1367" s="360">
        <v>11</v>
      </c>
      <c r="H1367" s="30">
        <v>9</v>
      </c>
      <c r="I1367" s="9" t="s">
        <v>977</v>
      </c>
      <c r="J1367" s="9" t="s">
        <v>991</v>
      </c>
      <c r="K1367" s="30">
        <v>1</v>
      </c>
      <c r="L1367" s="9" t="s">
        <v>992</v>
      </c>
      <c r="M1367" s="30" t="s">
        <v>84</v>
      </c>
      <c r="N1367" s="30" t="s">
        <v>151</v>
      </c>
      <c r="O1367" s="24">
        <v>0</v>
      </c>
      <c r="P1367" s="24">
        <v>0</v>
      </c>
      <c r="Q1367" s="24">
        <v>79</v>
      </c>
      <c r="R1367" s="24">
        <v>0</v>
      </c>
      <c r="S1367" s="24">
        <v>0</v>
      </c>
      <c r="T1367" s="24">
        <v>79</v>
      </c>
    </row>
    <row r="1368" spans="1:20">
      <c r="A1368" s="9" t="s">
        <v>975</v>
      </c>
      <c r="B1368" s="30" t="s">
        <v>1007</v>
      </c>
      <c r="C1368" s="30" t="str">
        <f>CONCATENATE(VOL_VOLUMEN_SUMINISTROS[[#This Row],[Proyecto]],VOL_VOLUMEN_SUMINISTROS[[#This Row],[J]],VOL_VOLUMEN_SUMINISTROS[[#This Row],[FIN DE SEMANA]])</f>
        <v>1052-2TNO</v>
      </c>
      <c r="D1368" s="360" t="str">
        <f>CONCATENATE(VOL_VOLUMEN_SUMINISTROS[[#This Row],[Grupo]],VOL_VOLUMEN_SUMINISTROS[[#This Row],[Proyecto]],VOL_VOLUMEN_SUMINISTROS[[#This Row],[FIN DE SEMANA]])</f>
        <v>111052-2NO</v>
      </c>
      <c r="E1368" s="30" t="s">
        <v>182</v>
      </c>
      <c r="F1368" s="30" t="s">
        <v>147</v>
      </c>
      <c r="G1368" s="360">
        <v>11</v>
      </c>
      <c r="H1368" s="30">
        <v>9</v>
      </c>
      <c r="I1368" s="9" t="s">
        <v>977</v>
      </c>
      <c r="J1368" s="9" t="s">
        <v>991</v>
      </c>
      <c r="K1368" s="30">
        <v>1</v>
      </c>
      <c r="L1368" s="9" t="s">
        <v>992</v>
      </c>
      <c r="M1368" s="30" t="s">
        <v>84</v>
      </c>
      <c r="N1368" s="30" t="s">
        <v>154</v>
      </c>
      <c r="O1368" s="24">
        <v>0</v>
      </c>
      <c r="P1368" s="24">
        <v>0</v>
      </c>
      <c r="Q1368" s="24">
        <v>76</v>
      </c>
      <c r="R1368" s="24">
        <v>0</v>
      </c>
      <c r="S1368" s="24">
        <v>0</v>
      </c>
      <c r="T1368" s="24">
        <v>76</v>
      </c>
    </row>
    <row r="1369" spans="1:20">
      <c r="A1369" s="9" t="s">
        <v>975</v>
      </c>
      <c r="B1369" s="30" t="s">
        <v>1007</v>
      </c>
      <c r="C1369" s="30" t="str">
        <f>CONCATENATE(VOL_VOLUMEN_SUMINISTROS[[#This Row],[Proyecto]],VOL_VOLUMEN_SUMINISTROS[[#This Row],[J]],VOL_VOLUMEN_SUMINISTROS[[#This Row],[FIN DE SEMANA]])</f>
        <v>1052-2MNO</v>
      </c>
      <c r="D1369" s="360" t="str">
        <f>CONCATENATE(VOL_VOLUMEN_SUMINISTROS[[#This Row],[Grupo]],VOL_VOLUMEN_SUMINISTROS[[#This Row],[Proyecto]],VOL_VOLUMEN_SUMINISTROS[[#This Row],[FIN DE SEMANA]])</f>
        <v>111052-2NO</v>
      </c>
      <c r="E1369" s="30" t="s">
        <v>182</v>
      </c>
      <c r="F1369" s="30" t="s">
        <v>147</v>
      </c>
      <c r="G1369" s="360">
        <v>11</v>
      </c>
      <c r="H1369" s="30">
        <v>9</v>
      </c>
      <c r="I1369" s="9" t="s">
        <v>977</v>
      </c>
      <c r="J1369" s="9" t="s">
        <v>998</v>
      </c>
      <c r="K1369" s="30">
        <v>1</v>
      </c>
      <c r="L1369" s="9" t="s">
        <v>999</v>
      </c>
      <c r="M1369" s="30" t="s">
        <v>84</v>
      </c>
      <c r="N1369" s="30" t="s">
        <v>151</v>
      </c>
      <c r="O1369" s="24">
        <v>0</v>
      </c>
      <c r="P1369" s="24">
        <v>0</v>
      </c>
      <c r="Q1369" s="24">
        <v>120</v>
      </c>
      <c r="R1369" s="24">
        <v>0</v>
      </c>
      <c r="S1369" s="24">
        <v>0</v>
      </c>
      <c r="T1369" s="24">
        <v>120</v>
      </c>
    </row>
    <row r="1370" spans="1:20">
      <c r="A1370" s="9" t="s">
        <v>975</v>
      </c>
      <c r="B1370" s="30" t="s">
        <v>1008</v>
      </c>
      <c r="C1370" s="30" t="str">
        <f>CONCATENATE(VOL_VOLUMEN_SUMINISTROS[[#This Row],[Proyecto]],VOL_VOLUMEN_SUMINISTROS[[#This Row],[J]],VOL_VOLUMEN_SUMINISTROS[[#This Row],[FIN DE SEMANA]])</f>
        <v>1052-1MNO</v>
      </c>
      <c r="D1370" s="360" t="str">
        <f>CONCATENATE(VOL_VOLUMEN_SUMINISTROS[[#This Row],[Grupo]],VOL_VOLUMEN_SUMINISTROS[[#This Row],[Proyecto]],VOL_VOLUMEN_SUMINISTROS[[#This Row],[FIN DE SEMANA]])</f>
        <v>81052-1NO</v>
      </c>
      <c r="E1370" s="30" t="s">
        <v>146</v>
      </c>
      <c r="F1370" s="30" t="s">
        <v>147</v>
      </c>
      <c r="G1370" s="360">
        <v>8</v>
      </c>
      <c r="H1370" s="30">
        <v>12</v>
      </c>
      <c r="I1370" s="9" t="s">
        <v>767</v>
      </c>
      <c r="J1370" s="9" t="s">
        <v>1009</v>
      </c>
      <c r="K1370" s="30">
        <v>1</v>
      </c>
      <c r="L1370" s="9" t="s">
        <v>152</v>
      </c>
      <c r="M1370" s="30" t="s">
        <v>84</v>
      </c>
      <c r="N1370" s="30" t="s">
        <v>151</v>
      </c>
      <c r="O1370" s="24">
        <v>217</v>
      </c>
      <c r="P1370" s="24">
        <v>213</v>
      </c>
      <c r="Q1370" s="24">
        <v>45</v>
      </c>
      <c r="R1370" s="24">
        <v>0</v>
      </c>
      <c r="S1370" s="24">
        <v>0</v>
      </c>
      <c r="T1370" s="24">
        <v>475</v>
      </c>
    </row>
    <row r="1371" spans="1:20">
      <c r="A1371" s="9" t="s">
        <v>975</v>
      </c>
      <c r="B1371" s="30" t="s">
        <v>1008</v>
      </c>
      <c r="C1371" s="30" t="str">
        <f>CONCATENATE(VOL_VOLUMEN_SUMINISTROS[[#This Row],[Proyecto]],VOL_VOLUMEN_SUMINISTROS[[#This Row],[J]],VOL_VOLUMEN_SUMINISTROS[[#This Row],[FIN DE SEMANA]])</f>
        <v>1052-1TNO</v>
      </c>
      <c r="D1371" s="360" t="str">
        <f>CONCATENATE(VOL_VOLUMEN_SUMINISTROS[[#This Row],[Grupo]],VOL_VOLUMEN_SUMINISTROS[[#This Row],[Proyecto]],VOL_VOLUMEN_SUMINISTROS[[#This Row],[FIN DE SEMANA]])</f>
        <v>81052-1NO</v>
      </c>
      <c r="E1371" s="30" t="s">
        <v>146</v>
      </c>
      <c r="F1371" s="30" t="s">
        <v>147</v>
      </c>
      <c r="G1371" s="360">
        <v>8</v>
      </c>
      <c r="H1371" s="30">
        <v>12</v>
      </c>
      <c r="I1371" s="9" t="s">
        <v>767</v>
      </c>
      <c r="J1371" s="9" t="s">
        <v>1009</v>
      </c>
      <c r="K1371" s="30">
        <v>1</v>
      </c>
      <c r="L1371" s="9" t="s">
        <v>152</v>
      </c>
      <c r="M1371" s="30" t="s">
        <v>84</v>
      </c>
      <c r="N1371" s="30" t="s">
        <v>154</v>
      </c>
      <c r="O1371" s="24">
        <v>0</v>
      </c>
      <c r="P1371" s="24">
        <v>132</v>
      </c>
      <c r="Q1371" s="24">
        <v>284</v>
      </c>
      <c r="R1371" s="24">
        <v>0</v>
      </c>
      <c r="S1371" s="24">
        <v>0</v>
      </c>
      <c r="T1371" s="24">
        <v>416</v>
      </c>
    </row>
    <row r="1372" spans="1:20">
      <c r="A1372" s="9" t="s">
        <v>975</v>
      </c>
      <c r="B1372" s="30" t="s">
        <v>1008</v>
      </c>
      <c r="C1372" s="30" t="str">
        <f>CONCATENATE(VOL_VOLUMEN_SUMINISTROS[[#This Row],[Proyecto]],VOL_VOLUMEN_SUMINISTROS[[#This Row],[J]],VOL_VOLUMEN_SUMINISTROS[[#This Row],[FIN DE SEMANA]])</f>
        <v>1052-1MNO</v>
      </c>
      <c r="D1372" s="360" t="str">
        <f>CONCATENATE(VOL_VOLUMEN_SUMINISTROS[[#This Row],[Grupo]],VOL_VOLUMEN_SUMINISTROS[[#This Row],[Proyecto]],VOL_VOLUMEN_SUMINISTROS[[#This Row],[FIN DE SEMANA]])</f>
        <v>81052-1NO</v>
      </c>
      <c r="E1372" s="30" t="s">
        <v>146</v>
      </c>
      <c r="F1372" s="30" t="s">
        <v>147</v>
      </c>
      <c r="G1372" s="360">
        <v>8</v>
      </c>
      <c r="H1372" s="30">
        <v>12</v>
      </c>
      <c r="I1372" s="9" t="s">
        <v>767</v>
      </c>
      <c r="J1372" s="9" t="s">
        <v>1010</v>
      </c>
      <c r="K1372" s="30">
        <v>1</v>
      </c>
      <c r="L1372" s="9" t="s">
        <v>1011</v>
      </c>
      <c r="M1372" s="30" t="s">
        <v>84</v>
      </c>
      <c r="N1372" s="30" t="s">
        <v>151</v>
      </c>
      <c r="O1372" s="24">
        <v>0</v>
      </c>
      <c r="P1372" s="24">
        <v>159</v>
      </c>
      <c r="Q1372" s="24">
        <v>203</v>
      </c>
      <c r="R1372" s="24">
        <v>0</v>
      </c>
      <c r="S1372" s="24">
        <v>0</v>
      </c>
      <c r="T1372" s="24">
        <v>362</v>
      </c>
    </row>
    <row r="1373" spans="1:20">
      <c r="A1373" s="9" t="s">
        <v>975</v>
      </c>
      <c r="B1373" s="30" t="s">
        <v>1008</v>
      </c>
      <c r="C1373" s="30" t="str">
        <f>CONCATENATE(VOL_VOLUMEN_SUMINISTROS[[#This Row],[Proyecto]],VOL_VOLUMEN_SUMINISTROS[[#This Row],[J]],VOL_VOLUMEN_SUMINISTROS[[#This Row],[FIN DE SEMANA]])</f>
        <v>1052-1TNO</v>
      </c>
      <c r="D1373" s="360" t="str">
        <f>CONCATENATE(VOL_VOLUMEN_SUMINISTROS[[#This Row],[Grupo]],VOL_VOLUMEN_SUMINISTROS[[#This Row],[Proyecto]],VOL_VOLUMEN_SUMINISTROS[[#This Row],[FIN DE SEMANA]])</f>
        <v>81052-1NO</v>
      </c>
      <c r="E1373" s="30" t="s">
        <v>146</v>
      </c>
      <c r="F1373" s="30" t="s">
        <v>147</v>
      </c>
      <c r="G1373" s="360">
        <v>8</v>
      </c>
      <c r="H1373" s="30">
        <v>12</v>
      </c>
      <c r="I1373" s="9" t="s">
        <v>767</v>
      </c>
      <c r="J1373" s="9" t="s">
        <v>1010</v>
      </c>
      <c r="K1373" s="30">
        <v>1</v>
      </c>
      <c r="L1373" s="9" t="s">
        <v>1011</v>
      </c>
      <c r="M1373" s="30" t="s">
        <v>84</v>
      </c>
      <c r="N1373" s="30" t="s">
        <v>154</v>
      </c>
      <c r="O1373" s="24">
        <v>0</v>
      </c>
      <c r="P1373" s="24">
        <v>90</v>
      </c>
      <c r="Q1373" s="24">
        <v>137</v>
      </c>
      <c r="R1373" s="24">
        <v>0</v>
      </c>
      <c r="S1373" s="24">
        <v>0</v>
      </c>
      <c r="T1373" s="24">
        <v>227</v>
      </c>
    </row>
    <row r="1374" spans="1:20">
      <c r="A1374" s="9" t="s">
        <v>975</v>
      </c>
      <c r="B1374" s="30" t="s">
        <v>1008</v>
      </c>
      <c r="C1374" s="30" t="str">
        <f>CONCATENATE(VOL_VOLUMEN_SUMINISTROS[[#This Row],[Proyecto]],VOL_VOLUMEN_SUMINISTROS[[#This Row],[J]],VOL_VOLUMEN_SUMINISTROS[[#This Row],[FIN DE SEMANA]])</f>
        <v>1052-1MNO</v>
      </c>
      <c r="D1374" s="360" t="str">
        <f>CONCATENATE(VOL_VOLUMEN_SUMINISTROS[[#This Row],[Grupo]],VOL_VOLUMEN_SUMINISTROS[[#This Row],[Proyecto]],VOL_VOLUMEN_SUMINISTROS[[#This Row],[FIN DE SEMANA]])</f>
        <v>81052-1NO</v>
      </c>
      <c r="E1374" s="30" t="s">
        <v>146</v>
      </c>
      <c r="F1374" s="30" t="s">
        <v>147</v>
      </c>
      <c r="G1374" s="360">
        <v>8</v>
      </c>
      <c r="H1374" s="30">
        <v>12</v>
      </c>
      <c r="I1374" s="9" t="s">
        <v>767</v>
      </c>
      <c r="J1374" s="9" t="s">
        <v>1010</v>
      </c>
      <c r="K1374" s="30">
        <v>2</v>
      </c>
      <c r="L1374" s="9" t="s">
        <v>1012</v>
      </c>
      <c r="M1374" s="30" t="s">
        <v>84</v>
      </c>
      <c r="N1374" s="30" t="s">
        <v>151</v>
      </c>
      <c r="O1374" s="24">
        <v>0</v>
      </c>
      <c r="P1374" s="24">
        <v>141</v>
      </c>
      <c r="Q1374" s="24">
        <v>47</v>
      </c>
      <c r="R1374" s="24">
        <v>0</v>
      </c>
      <c r="S1374" s="24">
        <v>0</v>
      </c>
      <c r="T1374" s="24">
        <v>188</v>
      </c>
    </row>
    <row r="1375" spans="1:20">
      <c r="A1375" s="9" t="s">
        <v>975</v>
      </c>
      <c r="B1375" s="30" t="s">
        <v>1008</v>
      </c>
      <c r="C1375" s="30" t="str">
        <f>CONCATENATE(VOL_VOLUMEN_SUMINISTROS[[#This Row],[Proyecto]],VOL_VOLUMEN_SUMINISTROS[[#This Row],[J]],VOL_VOLUMEN_SUMINISTROS[[#This Row],[FIN DE SEMANA]])</f>
        <v>1052-1TNO</v>
      </c>
      <c r="D1375" s="360" t="str">
        <f>CONCATENATE(VOL_VOLUMEN_SUMINISTROS[[#This Row],[Grupo]],VOL_VOLUMEN_SUMINISTROS[[#This Row],[Proyecto]],VOL_VOLUMEN_SUMINISTROS[[#This Row],[FIN DE SEMANA]])</f>
        <v>81052-1NO</v>
      </c>
      <c r="E1375" s="30" t="s">
        <v>146</v>
      </c>
      <c r="F1375" s="30" t="s">
        <v>147</v>
      </c>
      <c r="G1375" s="360">
        <v>8</v>
      </c>
      <c r="H1375" s="30">
        <v>12</v>
      </c>
      <c r="I1375" s="9" t="s">
        <v>767</v>
      </c>
      <c r="J1375" s="9" t="s">
        <v>1010</v>
      </c>
      <c r="K1375" s="30">
        <v>2</v>
      </c>
      <c r="L1375" s="9" t="s">
        <v>1012</v>
      </c>
      <c r="M1375" s="30" t="s">
        <v>84</v>
      </c>
      <c r="N1375" s="30" t="s">
        <v>154</v>
      </c>
      <c r="O1375" s="24">
        <v>44</v>
      </c>
      <c r="P1375" s="24">
        <v>91</v>
      </c>
      <c r="Q1375" s="24">
        <v>23</v>
      </c>
      <c r="R1375" s="24">
        <v>0</v>
      </c>
      <c r="S1375" s="24">
        <v>0</v>
      </c>
      <c r="T1375" s="24">
        <v>158</v>
      </c>
    </row>
    <row r="1376" spans="1:20">
      <c r="A1376" s="9" t="s">
        <v>975</v>
      </c>
      <c r="B1376" s="30" t="s">
        <v>1008</v>
      </c>
      <c r="C1376" s="30" t="str">
        <f>CONCATENATE(VOL_VOLUMEN_SUMINISTROS[[#This Row],[Proyecto]],VOL_VOLUMEN_SUMINISTROS[[#This Row],[J]],VOL_VOLUMEN_SUMINISTROS[[#This Row],[FIN DE SEMANA]])</f>
        <v>1052-1MNO</v>
      </c>
      <c r="D1376" s="360" t="str">
        <f>CONCATENATE(VOL_VOLUMEN_SUMINISTROS[[#This Row],[Grupo]],VOL_VOLUMEN_SUMINISTROS[[#This Row],[Proyecto]],VOL_VOLUMEN_SUMINISTROS[[#This Row],[FIN DE SEMANA]])</f>
        <v>81052-1NO</v>
      </c>
      <c r="E1376" s="30" t="s">
        <v>146</v>
      </c>
      <c r="F1376" s="30" t="s">
        <v>147</v>
      </c>
      <c r="G1376" s="360">
        <v>8</v>
      </c>
      <c r="H1376" s="30">
        <v>12</v>
      </c>
      <c r="I1376" s="9" t="s">
        <v>767</v>
      </c>
      <c r="J1376" s="9" t="s">
        <v>1010</v>
      </c>
      <c r="K1376" s="30">
        <v>3</v>
      </c>
      <c r="L1376" s="9" t="s">
        <v>1013</v>
      </c>
      <c r="M1376" s="30" t="s">
        <v>84</v>
      </c>
      <c r="N1376" s="30" t="s">
        <v>151</v>
      </c>
      <c r="O1376" s="24">
        <v>130</v>
      </c>
      <c r="P1376" s="24">
        <v>20</v>
      </c>
      <c r="Q1376" s="24">
        <v>0</v>
      </c>
      <c r="R1376" s="24">
        <v>0</v>
      </c>
      <c r="S1376" s="24">
        <v>0</v>
      </c>
      <c r="T1376" s="24">
        <v>150</v>
      </c>
    </row>
    <row r="1377" spans="1:20">
      <c r="A1377" s="9" t="s">
        <v>975</v>
      </c>
      <c r="B1377" s="30" t="s">
        <v>1008</v>
      </c>
      <c r="C1377" s="30" t="str">
        <f>CONCATENATE(VOL_VOLUMEN_SUMINISTROS[[#This Row],[Proyecto]],VOL_VOLUMEN_SUMINISTROS[[#This Row],[J]],VOL_VOLUMEN_SUMINISTROS[[#This Row],[FIN DE SEMANA]])</f>
        <v>1052-1TNO</v>
      </c>
      <c r="D1377" s="360" t="str">
        <f>CONCATENATE(VOL_VOLUMEN_SUMINISTROS[[#This Row],[Grupo]],VOL_VOLUMEN_SUMINISTROS[[#This Row],[Proyecto]],VOL_VOLUMEN_SUMINISTROS[[#This Row],[FIN DE SEMANA]])</f>
        <v>81052-1NO</v>
      </c>
      <c r="E1377" s="30" t="s">
        <v>146</v>
      </c>
      <c r="F1377" s="30" t="s">
        <v>147</v>
      </c>
      <c r="G1377" s="360">
        <v>8</v>
      </c>
      <c r="H1377" s="30">
        <v>12</v>
      </c>
      <c r="I1377" s="9" t="s">
        <v>767</v>
      </c>
      <c r="J1377" s="9" t="s">
        <v>1010</v>
      </c>
      <c r="K1377" s="30">
        <v>3</v>
      </c>
      <c r="L1377" s="9" t="s">
        <v>1013</v>
      </c>
      <c r="M1377" s="30" t="s">
        <v>84</v>
      </c>
      <c r="N1377" s="30" t="s">
        <v>154</v>
      </c>
      <c r="O1377" s="24">
        <v>52</v>
      </c>
      <c r="P1377" s="24">
        <v>0</v>
      </c>
      <c r="Q1377" s="24">
        <v>0</v>
      </c>
      <c r="R1377" s="24">
        <v>0</v>
      </c>
      <c r="S1377" s="24">
        <v>0</v>
      </c>
      <c r="T1377" s="24">
        <v>52</v>
      </c>
    </row>
    <row r="1378" spans="1:20">
      <c r="A1378" s="9" t="s">
        <v>975</v>
      </c>
      <c r="B1378" s="30" t="s">
        <v>1008</v>
      </c>
      <c r="C1378" s="30" t="str">
        <f>CONCATENATE(VOL_VOLUMEN_SUMINISTROS[[#This Row],[Proyecto]],VOL_VOLUMEN_SUMINISTROS[[#This Row],[J]],VOL_VOLUMEN_SUMINISTROS[[#This Row],[FIN DE SEMANA]])</f>
        <v>1052-1MNO</v>
      </c>
      <c r="D1378" s="360" t="str">
        <f>CONCATENATE(VOL_VOLUMEN_SUMINISTROS[[#This Row],[Grupo]],VOL_VOLUMEN_SUMINISTROS[[#This Row],[Proyecto]],VOL_VOLUMEN_SUMINISTROS[[#This Row],[FIN DE SEMANA]])</f>
        <v>81052-1NO</v>
      </c>
      <c r="E1378" s="30" t="s">
        <v>146</v>
      </c>
      <c r="F1378" s="30" t="s">
        <v>147</v>
      </c>
      <c r="G1378" s="360">
        <v>8</v>
      </c>
      <c r="H1378" s="30">
        <v>12</v>
      </c>
      <c r="I1378" s="9" t="s">
        <v>767</v>
      </c>
      <c r="J1378" s="9" t="s">
        <v>1010</v>
      </c>
      <c r="K1378" s="30">
        <v>4</v>
      </c>
      <c r="L1378" s="9" t="s">
        <v>1014</v>
      </c>
      <c r="M1378" s="30" t="s">
        <v>84</v>
      </c>
      <c r="N1378" s="30" t="s">
        <v>151</v>
      </c>
      <c r="O1378" s="24">
        <v>112</v>
      </c>
      <c r="P1378" s="24">
        <v>56</v>
      </c>
      <c r="Q1378" s="24">
        <v>0</v>
      </c>
      <c r="R1378" s="24">
        <v>0</v>
      </c>
      <c r="S1378" s="24">
        <v>0</v>
      </c>
      <c r="T1378" s="24">
        <v>168</v>
      </c>
    </row>
    <row r="1379" spans="1:20">
      <c r="A1379" s="9" t="s">
        <v>975</v>
      </c>
      <c r="B1379" s="30" t="s">
        <v>1008</v>
      </c>
      <c r="C1379" s="30" t="str">
        <f>CONCATENATE(VOL_VOLUMEN_SUMINISTROS[[#This Row],[Proyecto]],VOL_VOLUMEN_SUMINISTROS[[#This Row],[J]],VOL_VOLUMEN_SUMINISTROS[[#This Row],[FIN DE SEMANA]])</f>
        <v>1052-1TNO</v>
      </c>
      <c r="D1379" s="360" t="str">
        <f>CONCATENATE(VOL_VOLUMEN_SUMINISTROS[[#This Row],[Grupo]],VOL_VOLUMEN_SUMINISTROS[[#This Row],[Proyecto]],VOL_VOLUMEN_SUMINISTROS[[#This Row],[FIN DE SEMANA]])</f>
        <v>81052-1NO</v>
      </c>
      <c r="E1379" s="30" t="s">
        <v>146</v>
      </c>
      <c r="F1379" s="30" t="s">
        <v>147</v>
      </c>
      <c r="G1379" s="360">
        <v>8</v>
      </c>
      <c r="H1379" s="30">
        <v>12</v>
      </c>
      <c r="I1379" s="9" t="s">
        <v>767</v>
      </c>
      <c r="J1379" s="9" t="s">
        <v>1010</v>
      </c>
      <c r="K1379" s="30">
        <v>4</v>
      </c>
      <c r="L1379" s="9" t="s">
        <v>1014</v>
      </c>
      <c r="M1379" s="30" t="s">
        <v>84</v>
      </c>
      <c r="N1379" s="30" t="s">
        <v>154</v>
      </c>
      <c r="O1379" s="24">
        <v>86</v>
      </c>
      <c r="P1379" s="24">
        <v>43</v>
      </c>
      <c r="Q1379" s="24">
        <v>0</v>
      </c>
      <c r="R1379" s="24">
        <v>0</v>
      </c>
      <c r="S1379" s="24">
        <v>0</v>
      </c>
      <c r="T1379" s="24">
        <v>129</v>
      </c>
    </row>
    <row r="1380" spans="1:20">
      <c r="A1380" s="9" t="s">
        <v>975</v>
      </c>
      <c r="B1380" s="30" t="s">
        <v>1008</v>
      </c>
      <c r="C1380" s="30" t="str">
        <f>CONCATENATE(VOL_VOLUMEN_SUMINISTROS[[#This Row],[Proyecto]],VOL_VOLUMEN_SUMINISTROS[[#This Row],[J]],VOL_VOLUMEN_SUMINISTROS[[#This Row],[FIN DE SEMANA]])</f>
        <v>1052-1MNO</v>
      </c>
      <c r="D1380" s="360" t="str">
        <f>CONCATENATE(VOL_VOLUMEN_SUMINISTROS[[#This Row],[Grupo]],VOL_VOLUMEN_SUMINISTROS[[#This Row],[Proyecto]],VOL_VOLUMEN_SUMINISTROS[[#This Row],[FIN DE SEMANA]])</f>
        <v>81052-1NO</v>
      </c>
      <c r="E1380" s="30" t="s">
        <v>146</v>
      </c>
      <c r="F1380" s="30" t="s">
        <v>147</v>
      </c>
      <c r="G1380" s="360">
        <v>8</v>
      </c>
      <c r="H1380" s="30">
        <v>12</v>
      </c>
      <c r="I1380" s="9" t="s">
        <v>767</v>
      </c>
      <c r="J1380" s="9" t="s">
        <v>1015</v>
      </c>
      <c r="K1380" s="30">
        <v>1</v>
      </c>
      <c r="L1380" s="9" t="s">
        <v>152</v>
      </c>
      <c r="M1380" s="30" t="s">
        <v>84</v>
      </c>
      <c r="N1380" s="30" t="s">
        <v>151</v>
      </c>
      <c r="O1380" s="24">
        <v>0</v>
      </c>
      <c r="P1380" s="24">
        <v>117</v>
      </c>
      <c r="Q1380" s="24">
        <v>343</v>
      </c>
      <c r="R1380" s="24">
        <v>0</v>
      </c>
      <c r="S1380" s="24">
        <v>0</v>
      </c>
      <c r="T1380" s="24">
        <v>460</v>
      </c>
    </row>
    <row r="1381" spans="1:20">
      <c r="A1381" s="9" t="s">
        <v>975</v>
      </c>
      <c r="B1381" s="30" t="s">
        <v>1008</v>
      </c>
      <c r="C1381" s="30" t="str">
        <f>CONCATENATE(VOL_VOLUMEN_SUMINISTROS[[#This Row],[Proyecto]],VOL_VOLUMEN_SUMINISTROS[[#This Row],[J]],VOL_VOLUMEN_SUMINISTROS[[#This Row],[FIN DE SEMANA]])</f>
        <v>1052-1TNO</v>
      </c>
      <c r="D1381" s="360" t="str">
        <f>CONCATENATE(VOL_VOLUMEN_SUMINISTROS[[#This Row],[Grupo]],VOL_VOLUMEN_SUMINISTROS[[#This Row],[Proyecto]],VOL_VOLUMEN_SUMINISTROS[[#This Row],[FIN DE SEMANA]])</f>
        <v>81052-1NO</v>
      </c>
      <c r="E1381" s="30" t="s">
        <v>146</v>
      </c>
      <c r="F1381" s="30" t="s">
        <v>147</v>
      </c>
      <c r="G1381" s="360">
        <v>8</v>
      </c>
      <c r="H1381" s="30">
        <v>12</v>
      </c>
      <c r="I1381" s="9" t="s">
        <v>767</v>
      </c>
      <c r="J1381" s="9" t="s">
        <v>1015</v>
      </c>
      <c r="K1381" s="30">
        <v>1</v>
      </c>
      <c r="L1381" s="9" t="s">
        <v>152</v>
      </c>
      <c r="M1381" s="30" t="s">
        <v>84</v>
      </c>
      <c r="N1381" s="30" t="s">
        <v>154</v>
      </c>
      <c r="O1381" s="24">
        <v>0</v>
      </c>
      <c r="P1381" s="24">
        <v>111</v>
      </c>
      <c r="Q1381" s="24">
        <v>258</v>
      </c>
      <c r="R1381" s="24">
        <v>0</v>
      </c>
      <c r="S1381" s="24">
        <v>0</v>
      </c>
      <c r="T1381" s="24">
        <v>369</v>
      </c>
    </row>
    <row r="1382" spans="1:20">
      <c r="A1382" s="9" t="s">
        <v>975</v>
      </c>
      <c r="B1382" s="30" t="s">
        <v>1008</v>
      </c>
      <c r="C1382" s="30" t="str">
        <f>CONCATENATE(VOL_VOLUMEN_SUMINISTROS[[#This Row],[Proyecto]],VOL_VOLUMEN_SUMINISTROS[[#This Row],[J]],VOL_VOLUMEN_SUMINISTROS[[#This Row],[FIN DE SEMANA]])</f>
        <v>1052-1MNO</v>
      </c>
      <c r="D1382" s="360" t="str">
        <f>CONCATENATE(VOL_VOLUMEN_SUMINISTROS[[#This Row],[Grupo]],VOL_VOLUMEN_SUMINISTROS[[#This Row],[Proyecto]],VOL_VOLUMEN_SUMINISTROS[[#This Row],[FIN DE SEMANA]])</f>
        <v>81052-1NO</v>
      </c>
      <c r="E1382" s="30" t="s">
        <v>146</v>
      </c>
      <c r="F1382" s="30" t="s">
        <v>147</v>
      </c>
      <c r="G1382" s="360">
        <v>8</v>
      </c>
      <c r="H1382" s="30">
        <v>12</v>
      </c>
      <c r="I1382" s="9" t="s">
        <v>767</v>
      </c>
      <c r="J1382" s="9" t="s">
        <v>1015</v>
      </c>
      <c r="K1382" s="30">
        <v>2</v>
      </c>
      <c r="L1382" s="9" t="s">
        <v>1016</v>
      </c>
      <c r="M1382" s="30" t="s">
        <v>84</v>
      </c>
      <c r="N1382" s="30" t="s">
        <v>151</v>
      </c>
      <c r="O1382" s="24">
        <v>176</v>
      </c>
      <c r="P1382" s="24">
        <v>171</v>
      </c>
      <c r="Q1382" s="24">
        <v>36</v>
      </c>
      <c r="R1382" s="24">
        <v>0</v>
      </c>
      <c r="S1382" s="24">
        <v>0</v>
      </c>
      <c r="T1382" s="24">
        <v>383</v>
      </c>
    </row>
    <row r="1383" spans="1:20">
      <c r="A1383" s="9" t="s">
        <v>975</v>
      </c>
      <c r="B1383" s="30" t="s">
        <v>1008</v>
      </c>
      <c r="C1383" s="30" t="str">
        <f>CONCATENATE(VOL_VOLUMEN_SUMINISTROS[[#This Row],[Proyecto]],VOL_VOLUMEN_SUMINISTROS[[#This Row],[J]],VOL_VOLUMEN_SUMINISTROS[[#This Row],[FIN DE SEMANA]])</f>
        <v>1052-1TNO</v>
      </c>
      <c r="D1383" s="360" t="str">
        <f>CONCATENATE(VOL_VOLUMEN_SUMINISTROS[[#This Row],[Grupo]],VOL_VOLUMEN_SUMINISTROS[[#This Row],[Proyecto]],VOL_VOLUMEN_SUMINISTROS[[#This Row],[FIN DE SEMANA]])</f>
        <v>81052-1NO</v>
      </c>
      <c r="E1383" s="30" t="s">
        <v>146</v>
      </c>
      <c r="F1383" s="30" t="s">
        <v>147</v>
      </c>
      <c r="G1383" s="360">
        <v>8</v>
      </c>
      <c r="H1383" s="30">
        <v>12</v>
      </c>
      <c r="I1383" s="9" t="s">
        <v>767</v>
      </c>
      <c r="J1383" s="9" t="s">
        <v>1015</v>
      </c>
      <c r="K1383" s="30">
        <v>2</v>
      </c>
      <c r="L1383" s="9" t="s">
        <v>1016</v>
      </c>
      <c r="M1383" s="30" t="s">
        <v>84</v>
      </c>
      <c r="N1383" s="30" t="s">
        <v>154</v>
      </c>
      <c r="O1383" s="24">
        <v>162</v>
      </c>
      <c r="P1383" s="24">
        <v>151</v>
      </c>
      <c r="Q1383" s="24">
        <v>30</v>
      </c>
      <c r="R1383" s="24">
        <v>0</v>
      </c>
      <c r="S1383" s="24">
        <v>0</v>
      </c>
      <c r="T1383" s="24">
        <v>343</v>
      </c>
    </row>
    <row r="1384" spans="1:20">
      <c r="A1384" s="9" t="s">
        <v>975</v>
      </c>
      <c r="B1384" s="30" t="s">
        <v>1008</v>
      </c>
      <c r="C1384" s="30" t="str">
        <f>CONCATENATE(VOL_VOLUMEN_SUMINISTROS[[#This Row],[Proyecto]],VOL_VOLUMEN_SUMINISTROS[[#This Row],[J]],VOL_VOLUMEN_SUMINISTROS[[#This Row],[FIN DE SEMANA]])</f>
        <v>1052-1MNO</v>
      </c>
      <c r="D1384" s="360" t="str">
        <f>CONCATENATE(VOL_VOLUMEN_SUMINISTROS[[#This Row],[Grupo]],VOL_VOLUMEN_SUMINISTROS[[#This Row],[Proyecto]],VOL_VOLUMEN_SUMINISTROS[[#This Row],[FIN DE SEMANA]])</f>
        <v>81052-1NO</v>
      </c>
      <c r="E1384" s="30" t="s">
        <v>146</v>
      </c>
      <c r="F1384" s="30" t="s">
        <v>147</v>
      </c>
      <c r="G1384" s="360">
        <v>8</v>
      </c>
      <c r="H1384" s="30">
        <v>12</v>
      </c>
      <c r="I1384" s="9" t="s">
        <v>767</v>
      </c>
      <c r="J1384" s="9" t="s">
        <v>768</v>
      </c>
      <c r="K1384" s="30">
        <v>1</v>
      </c>
      <c r="L1384" s="9" t="s">
        <v>150</v>
      </c>
      <c r="M1384" s="30" t="s">
        <v>84</v>
      </c>
      <c r="N1384" s="30" t="s">
        <v>151</v>
      </c>
      <c r="O1384" s="24">
        <v>0</v>
      </c>
      <c r="P1384" s="24">
        <v>240</v>
      </c>
      <c r="Q1384" s="24">
        <v>838</v>
      </c>
      <c r="R1384" s="24">
        <v>0</v>
      </c>
      <c r="S1384" s="24">
        <v>0</v>
      </c>
      <c r="T1384" s="24">
        <v>1078</v>
      </c>
    </row>
    <row r="1385" spans="1:20">
      <c r="A1385" s="9" t="s">
        <v>975</v>
      </c>
      <c r="B1385" s="30" t="s">
        <v>1008</v>
      </c>
      <c r="C1385" s="30" t="str">
        <f>CONCATENATE(VOL_VOLUMEN_SUMINISTROS[[#This Row],[Proyecto]],VOL_VOLUMEN_SUMINISTROS[[#This Row],[J]],VOL_VOLUMEN_SUMINISTROS[[#This Row],[FIN DE SEMANA]])</f>
        <v>1052-1MNO</v>
      </c>
      <c r="D1385" s="360" t="str">
        <f>CONCATENATE(VOL_VOLUMEN_SUMINISTROS[[#This Row],[Grupo]],VOL_VOLUMEN_SUMINISTROS[[#This Row],[Proyecto]],VOL_VOLUMEN_SUMINISTROS[[#This Row],[FIN DE SEMANA]])</f>
        <v>81052-1NO</v>
      </c>
      <c r="E1385" s="30" t="s">
        <v>146</v>
      </c>
      <c r="F1385" s="30" t="s">
        <v>147</v>
      </c>
      <c r="G1385" s="360">
        <v>8</v>
      </c>
      <c r="H1385" s="30">
        <v>12</v>
      </c>
      <c r="I1385" s="9" t="s">
        <v>767</v>
      </c>
      <c r="J1385" s="9" t="s">
        <v>768</v>
      </c>
      <c r="K1385" s="30">
        <v>3</v>
      </c>
      <c r="L1385" s="9" t="s">
        <v>1017</v>
      </c>
      <c r="M1385" s="30" t="s">
        <v>84</v>
      </c>
      <c r="N1385" s="30" t="s">
        <v>151</v>
      </c>
      <c r="O1385" s="24">
        <v>160</v>
      </c>
      <c r="P1385" s="24">
        <v>0</v>
      </c>
      <c r="Q1385" s="24">
        <v>0</v>
      </c>
      <c r="R1385" s="24">
        <v>0</v>
      </c>
      <c r="S1385" s="24">
        <v>0</v>
      </c>
      <c r="T1385" s="24">
        <v>160</v>
      </c>
    </row>
    <row r="1386" spans="1:20">
      <c r="A1386" s="9" t="s">
        <v>975</v>
      </c>
      <c r="B1386" s="30" t="s">
        <v>1008</v>
      </c>
      <c r="C1386" s="30" t="str">
        <f>CONCATENATE(VOL_VOLUMEN_SUMINISTROS[[#This Row],[Proyecto]],VOL_VOLUMEN_SUMINISTROS[[#This Row],[J]],VOL_VOLUMEN_SUMINISTROS[[#This Row],[FIN DE SEMANA]])</f>
        <v>1052-1MNO</v>
      </c>
      <c r="D1386" s="360" t="str">
        <f>CONCATENATE(VOL_VOLUMEN_SUMINISTROS[[#This Row],[Grupo]],VOL_VOLUMEN_SUMINISTROS[[#This Row],[Proyecto]],VOL_VOLUMEN_SUMINISTROS[[#This Row],[FIN DE SEMANA]])</f>
        <v>81052-1NO</v>
      </c>
      <c r="E1386" s="30" t="s">
        <v>146</v>
      </c>
      <c r="F1386" s="30" t="s">
        <v>147</v>
      </c>
      <c r="G1386" s="360">
        <v>8</v>
      </c>
      <c r="H1386" s="30">
        <v>12</v>
      </c>
      <c r="I1386" s="9" t="s">
        <v>767</v>
      </c>
      <c r="J1386" s="9" t="s">
        <v>1018</v>
      </c>
      <c r="K1386" s="30">
        <v>1</v>
      </c>
      <c r="L1386" s="9" t="s">
        <v>1019</v>
      </c>
      <c r="M1386" s="30" t="s">
        <v>84</v>
      </c>
      <c r="N1386" s="30" t="s">
        <v>151</v>
      </c>
      <c r="O1386" s="24">
        <v>0</v>
      </c>
      <c r="P1386" s="24">
        <v>216</v>
      </c>
      <c r="Q1386" s="24">
        <v>302</v>
      </c>
      <c r="R1386" s="24">
        <v>0</v>
      </c>
      <c r="S1386" s="24">
        <v>0</v>
      </c>
      <c r="T1386" s="24">
        <v>518</v>
      </c>
    </row>
    <row r="1387" spans="1:20">
      <c r="A1387" s="9" t="s">
        <v>975</v>
      </c>
      <c r="B1387" s="30" t="s">
        <v>1008</v>
      </c>
      <c r="C1387" s="30" t="str">
        <f>CONCATENATE(VOL_VOLUMEN_SUMINISTROS[[#This Row],[Proyecto]],VOL_VOLUMEN_SUMINISTROS[[#This Row],[J]],VOL_VOLUMEN_SUMINISTROS[[#This Row],[FIN DE SEMANA]])</f>
        <v>1052-1MNO</v>
      </c>
      <c r="D1387" s="360" t="str">
        <f>CONCATENATE(VOL_VOLUMEN_SUMINISTROS[[#This Row],[Grupo]],VOL_VOLUMEN_SUMINISTROS[[#This Row],[Proyecto]],VOL_VOLUMEN_SUMINISTROS[[#This Row],[FIN DE SEMANA]])</f>
        <v>81052-1NO</v>
      </c>
      <c r="E1387" s="30" t="s">
        <v>146</v>
      </c>
      <c r="F1387" s="30" t="s">
        <v>147</v>
      </c>
      <c r="G1387" s="360">
        <v>8</v>
      </c>
      <c r="H1387" s="30">
        <v>12</v>
      </c>
      <c r="I1387" s="9" t="s">
        <v>767</v>
      </c>
      <c r="J1387" s="9" t="s">
        <v>1018</v>
      </c>
      <c r="K1387" s="30">
        <v>2</v>
      </c>
      <c r="L1387" s="9" t="s">
        <v>164</v>
      </c>
      <c r="M1387" s="30" t="s">
        <v>84</v>
      </c>
      <c r="N1387" s="30" t="s">
        <v>151</v>
      </c>
      <c r="O1387" s="24">
        <v>150</v>
      </c>
      <c r="P1387" s="24">
        <v>0</v>
      </c>
      <c r="Q1387" s="24">
        <v>0</v>
      </c>
      <c r="R1387" s="24">
        <v>0</v>
      </c>
      <c r="S1387" s="24">
        <v>0</v>
      </c>
      <c r="T1387" s="24">
        <v>150</v>
      </c>
    </row>
    <row r="1388" spans="1:20">
      <c r="A1388" s="9" t="s">
        <v>975</v>
      </c>
      <c r="B1388" s="30" t="s">
        <v>1008</v>
      </c>
      <c r="C1388" s="30" t="str">
        <f>CONCATENATE(VOL_VOLUMEN_SUMINISTROS[[#This Row],[Proyecto]],VOL_VOLUMEN_SUMINISTROS[[#This Row],[J]],VOL_VOLUMEN_SUMINISTROS[[#This Row],[FIN DE SEMANA]])</f>
        <v>1052-1MNO</v>
      </c>
      <c r="D1388" s="360" t="str">
        <f>CONCATENATE(VOL_VOLUMEN_SUMINISTROS[[#This Row],[Grupo]],VOL_VOLUMEN_SUMINISTROS[[#This Row],[Proyecto]],VOL_VOLUMEN_SUMINISTROS[[#This Row],[FIN DE SEMANA]])</f>
        <v>81052-1NO</v>
      </c>
      <c r="E1388" s="30" t="s">
        <v>146</v>
      </c>
      <c r="F1388" s="30" t="s">
        <v>147</v>
      </c>
      <c r="G1388" s="360">
        <v>8</v>
      </c>
      <c r="H1388" s="30">
        <v>12</v>
      </c>
      <c r="I1388" s="9" t="s">
        <v>767</v>
      </c>
      <c r="J1388" s="9" t="s">
        <v>1018</v>
      </c>
      <c r="K1388" s="30">
        <v>3</v>
      </c>
      <c r="L1388" s="9" t="s">
        <v>457</v>
      </c>
      <c r="M1388" s="30" t="s">
        <v>84</v>
      </c>
      <c r="N1388" s="30" t="s">
        <v>151</v>
      </c>
      <c r="O1388" s="24">
        <v>160</v>
      </c>
      <c r="P1388" s="24">
        <v>107</v>
      </c>
      <c r="Q1388" s="24">
        <v>9</v>
      </c>
      <c r="R1388" s="24">
        <v>0</v>
      </c>
      <c r="S1388" s="24">
        <v>0</v>
      </c>
      <c r="T1388" s="24">
        <v>276</v>
      </c>
    </row>
    <row r="1389" spans="1:20">
      <c r="A1389" s="9" t="s">
        <v>975</v>
      </c>
      <c r="B1389" s="30" t="s">
        <v>1008</v>
      </c>
      <c r="C1389" s="30" t="str">
        <f>CONCATENATE(VOL_VOLUMEN_SUMINISTROS[[#This Row],[Proyecto]],VOL_VOLUMEN_SUMINISTROS[[#This Row],[J]],VOL_VOLUMEN_SUMINISTROS[[#This Row],[FIN DE SEMANA]])</f>
        <v>1052-1MNO</v>
      </c>
      <c r="D1389" s="360" t="str">
        <f>CONCATENATE(VOL_VOLUMEN_SUMINISTROS[[#This Row],[Grupo]],VOL_VOLUMEN_SUMINISTROS[[#This Row],[Proyecto]],VOL_VOLUMEN_SUMINISTROS[[#This Row],[FIN DE SEMANA]])</f>
        <v>81052-1NO</v>
      </c>
      <c r="E1389" s="30" t="s">
        <v>146</v>
      </c>
      <c r="F1389" s="30" t="s">
        <v>147</v>
      </c>
      <c r="G1389" s="360">
        <v>8</v>
      </c>
      <c r="H1389" s="30">
        <v>12</v>
      </c>
      <c r="I1389" s="9" t="s">
        <v>767</v>
      </c>
      <c r="J1389" s="9" t="s">
        <v>1020</v>
      </c>
      <c r="K1389" s="30">
        <v>1</v>
      </c>
      <c r="L1389" s="9" t="s">
        <v>1021</v>
      </c>
      <c r="M1389" s="30" t="s">
        <v>84</v>
      </c>
      <c r="N1389" s="30" t="s">
        <v>151</v>
      </c>
      <c r="O1389" s="24">
        <v>86</v>
      </c>
      <c r="P1389" s="24">
        <v>223</v>
      </c>
      <c r="Q1389" s="24">
        <v>60</v>
      </c>
      <c r="R1389" s="24">
        <v>0</v>
      </c>
      <c r="S1389" s="24">
        <v>0</v>
      </c>
      <c r="T1389" s="24">
        <v>369</v>
      </c>
    </row>
    <row r="1390" spans="1:20">
      <c r="A1390" s="9" t="s">
        <v>975</v>
      </c>
      <c r="B1390" s="30" t="s">
        <v>1008</v>
      </c>
      <c r="C1390" s="30" t="str">
        <f>CONCATENATE(VOL_VOLUMEN_SUMINISTROS[[#This Row],[Proyecto]],VOL_VOLUMEN_SUMINISTROS[[#This Row],[J]],VOL_VOLUMEN_SUMINISTROS[[#This Row],[FIN DE SEMANA]])</f>
        <v>1052-1TNO</v>
      </c>
      <c r="D1390" s="360" t="str">
        <f>CONCATENATE(VOL_VOLUMEN_SUMINISTROS[[#This Row],[Grupo]],VOL_VOLUMEN_SUMINISTROS[[#This Row],[Proyecto]],VOL_VOLUMEN_SUMINISTROS[[#This Row],[FIN DE SEMANA]])</f>
        <v>81052-1NO</v>
      </c>
      <c r="E1390" s="30" t="s">
        <v>146</v>
      </c>
      <c r="F1390" s="30" t="s">
        <v>147</v>
      </c>
      <c r="G1390" s="360">
        <v>8</v>
      </c>
      <c r="H1390" s="30">
        <v>12</v>
      </c>
      <c r="I1390" s="9" t="s">
        <v>767</v>
      </c>
      <c r="J1390" s="9" t="s">
        <v>1020</v>
      </c>
      <c r="K1390" s="30">
        <v>1</v>
      </c>
      <c r="L1390" s="9" t="s">
        <v>1021</v>
      </c>
      <c r="M1390" s="30" t="s">
        <v>84</v>
      </c>
      <c r="N1390" s="30" t="s">
        <v>154</v>
      </c>
      <c r="O1390" s="24">
        <v>0</v>
      </c>
      <c r="P1390" s="24">
        <v>105</v>
      </c>
      <c r="Q1390" s="24">
        <v>35</v>
      </c>
      <c r="R1390" s="24">
        <v>0</v>
      </c>
      <c r="S1390" s="24">
        <v>0</v>
      </c>
      <c r="T1390" s="24">
        <v>140</v>
      </c>
    </row>
    <row r="1391" spans="1:20">
      <c r="A1391" s="9" t="s">
        <v>975</v>
      </c>
      <c r="B1391" s="30" t="s">
        <v>1008</v>
      </c>
      <c r="C1391" s="30" t="str">
        <f>CONCATENATE(VOL_VOLUMEN_SUMINISTROS[[#This Row],[Proyecto]],VOL_VOLUMEN_SUMINISTROS[[#This Row],[J]],VOL_VOLUMEN_SUMINISTROS[[#This Row],[FIN DE SEMANA]])</f>
        <v>1052-1MNO</v>
      </c>
      <c r="D1391" s="360" t="str">
        <f>CONCATENATE(VOL_VOLUMEN_SUMINISTROS[[#This Row],[Grupo]],VOL_VOLUMEN_SUMINISTROS[[#This Row],[Proyecto]],VOL_VOLUMEN_SUMINISTROS[[#This Row],[FIN DE SEMANA]])</f>
        <v>81052-1NO</v>
      </c>
      <c r="E1391" s="30" t="s">
        <v>146</v>
      </c>
      <c r="F1391" s="30" t="s">
        <v>147</v>
      </c>
      <c r="G1391" s="360">
        <v>8</v>
      </c>
      <c r="H1391" s="30">
        <v>12</v>
      </c>
      <c r="I1391" s="9" t="s">
        <v>767</v>
      </c>
      <c r="J1391" s="9" t="s">
        <v>1020</v>
      </c>
      <c r="K1391" s="30">
        <v>2</v>
      </c>
      <c r="L1391" s="9" t="s">
        <v>1022</v>
      </c>
      <c r="M1391" s="30" t="s">
        <v>84</v>
      </c>
      <c r="N1391" s="30" t="s">
        <v>151</v>
      </c>
      <c r="O1391" s="24">
        <v>225</v>
      </c>
      <c r="P1391" s="24">
        <v>64</v>
      </c>
      <c r="Q1391" s="24">
        <v>0</v>
      </c>
      <c r="R1391" s="24">
        <v>0</v>
      </c>
      <c r="S1391" s="24">
        <v>0</v>
      </c>
      <c r="T1391" s="24">
        <v>289</v>
      </c>
    </row>
    <row r="1392" spans="1:20">
      <c r="A1392" s="9" t="s">
        <v>975</v>
      </c>
      <c r="B1392" s="30" t="s">
        <v>1008</v>
      </c>
      <c r="C1392" s="30" t="str">
        <f>CONCATENATE(VOL_VOLUMEN_SUMINISTROS[[#This Row],[Proyecto]],VOL_VOLUMEN_SUMINISTROS[[#This Row],[J]],VOL_VOLUMEN_SUMINISTROS[[#This Row],[FIN DE SEMANA]])</f>
        <v>1052-1MNO</v>
      </c>
      <c r="D1392" s="360" t="str">
        <f>CONCATENATE(VOL_VOLUMEN_SUMINISTROS[[#This Row],[Grupo]],VOL_VOLUMEN_SUMINISTROS[[#This Row],[Proyecto]],VOL_VOLUMEN_SUMINISTROS[[#This Row],[FIN DE SEMANA]])</f>
        <v>81052-1NO</v>
      </c>
      <c r="E1392" s="30" t="s">
        <v>146</v>
      </c>
      <c r="F1392" s="30" t="s">
        <v>147</v>
      </c>
      <c r="G1392" s="360">
        <v>8</v>
      </c>
      <c r="H1392" s="30">
        <v>12</v>
      </c>
      <c r="I1392" s="9" t="s">
        <v>767</v>
      </c>
      <c r="J1392" s="9" t="s">
        <v>1020</v>
      </c>
      <c r="K1392" s="30">
        <v>3</v>
      </c>
      <c r="L1392" s="9" t="s">
        <v>1023</v>
      </c>
      <c r="M1392" s="30" t="s">
        <v>84</v>
      </c>
      <c r="N1392" s="30" t="s">
        <v>151</v>
      </c>
      <c r="O1392" s="24">
        <v>0</v>
      </c>
      <c r="P1392" s="24">
        <v>132</v>
      </c>
      <c r="Q1392" s="24">
        <v>271</v>
      </c>
      <c r="R1392" s="24">
        <v>0</v>
      </c>
      <c r="S1392" s="24">
        <v>0</v>
      </c>
      <c r="T1392" s="24">
        <v>403</v>
      </c>
    </row>
    <row r="1393" spans="1:20">
      <c r="A1393" s="9" t="s">
        <v>975</v>
      </c>
      <c r="B1393" s="30" t="s">
        <v>1008</v>
      </c>
      <c r="C1393" s="30" t="str">
        <f>CONCATENATE(VOL_VOLUMEN_SUMINISTROS[[#This Row],[Proyecto]],VOL_VOLUMEN_SUMINISTROS[[#This Row],[J]],VOL_VOLUMEN_SUMINISTROS[[#This Row],[FIN DE SEMANA]])</f>
        <v>1052-1TNO</v>
      </c>
      <c r="D1393" s="360" t="str">
        <f>CONCATENATE(VOL_VOLUMEN_SUMINISTROS[[#This Row],[Grupo]],VOL_VOLUMEN_SUMINISTROS[[#This Row],[Proyecto]],VOL_VOLUMEN_SUMINISTROS[[#This Row],[FIN DE SEMANA]])</f>
        <v>81052-1NO</v>
      </c>
      <c r="E1393" s="30" t="s">
        <v>146</v>
      </c>
      <c r="F1393" s="30" t="s">
        <v>147</v>
      </c>
      <c r="G1393" s="360">
        <v>8</v>
      </c>
      <c r="H1393" s="30">
        <v>12</v>
      </c>
      <c r="I1393" s="9" t="s">
        <v>767</v>
      </c>
      <c r="J1393" s="9" t="s">
        <v>1020</v>
      </c>
      <c r="K1393" s="30">
        <v>3</v>
      </c>
      <c r="L1393" s="9" t="s">
        <v>1023</v>
      </c>
      <c r="M1393" s="30" t="s">
        <v>84</v>
      </c>
      <c r="N1393" s="30" t="s">
        <v>154</v>
      </c>
      <c r="O1393" s="24">
        <v>0</v>
      </c>
      <c r="P1393" s="24">
        <v>87</v>
      </c>
      <c r="Q1393" s="24">
        <v>29</v>
      </c>
      <c r="R1393" s="24">
        <v>0</v>
      </c>
      <c r="S1393" s="24">
        <v>0</v>
      </c>
      <c r="T1393" s="24">
        <v>116</v>
      </c>
    </row>
    <row r="1394" spans="1:20">
      <c r="A1394" s="9" t="s">
        <v>975</v>
      </c>
      <c r="B1394" s="30" t="s">
        <v>1008</v>
      </c>
      <c r="C1394" s="30" t="str">
        <f>CONCATENATE(VOL_VOLUMEN_SUMINISTROS[[#This Row],[Proyecto]],VOL_VOLUMEN_SUMINISTROS[[#This Row],[J]],VOL_VOLUMEN_SUMINISTROS[[#This Row],[FIN DE SEMANA]])</f>
        <v>1052-1MNO</v>
      </c>
      <c r="D1394" s="360" t="str">
        <f>CONCATENATE(VOL_VOLUMEN_SUMINISTROS[[#This Row],[Grupo]],VOL_VOLUMEN_SUMINISTROS[[#This Row],[Proyecto]],VOL_VOLUMEN_SUMINISTROS[[#This Row],[FIN DE SEMANA]])</f>
        <v>81052-1NO</v>
      </c>
      <c r="E1394" s="30" t="s">
        <v>146</v>
      </c>
      <c r="F1394" s="30" t="s">
        <v>147</v>
      </c>
      <c r="G1394" s="360">
        <v>8</v>
      </c>
      <c r="H1394" s="30">
        <v>12</v>
      </c>
      <c r="I1394" s="9" t="s">
        <v>767</v>
      </c>
      <c r="J1394" s="9" t="s">
        <v>1024</v>
      </c>
      <c r="K1394" s="30">
        <v>1</v>
      </c>
      <c r="L1394" s="9" t="s">
        <v>1025</v>
      </c>
      <c r="M1394" s="30" t="s">
        <v>84</v>
      </c>
      <c r="N1394" s="30" t="s">
        <v>151</v>
      </c>
      <c r="O1394" s="24">
        <v>0</v>
      </c>
      <c r="P1394" s="24">
        <v>150</v>
      </c>
      <c r="Q1394" s="24">
        <v>350</v>
      </c>
      <c r="R1394" s="24">
        <v>0</v>
      </c>
      <c r="S1394" s="24">
        <v>0</v>
      </c>
      <c r="T1394" s="24">
        <v>500</v>
      </c>
    </row>
    <row r="1395" spans="1:20">
      <c r="A1395" s="9" t="s">
        <v>975</v>
      </c>
      <c r="B1395" s="30" t="s">
        <v>1008</v>
      </c>
      <c r="C1395" s="30" t="str">
        <f>CONCATENATE(VOL_VOLUMEN_SUMINISTROS[[#This Row],[Proyecto]],VOL_VOLUMEN_SUMINISTROS[[#This Row],[J]],VOL_VOLUMEN_SUMINISTROS[[#This Row],[FIN DE SEMANA]])</f>
        <v>1052-1MNO</v>
      </c>
      <c r="D1395" s="360" t="str">
        <f>CONCATENATE(VOL_VOLUMEN_SUMINISTROS[[#This Row],[Grupo]],VOL_VOLUMEN_SUMINISTROS[[#This Row],[Proyecto]],VOL_VOLUMEN_SUMINISTROS[[#This Row],[FIN DE SEMANA]])</f>
        <v>81052-1NO</v>
      </c>
      <c r="E1395" s="30" t="s">
        <v>146</v>
      </c>
      <c r="F1395" s="30" t="s">
        <v>147</v>
      </c>
      <c r="G1395" s="360">
        <v>8</v>
      </c>
      <c r="H1395" s="30">
        <v>12</v>
      </c>
      <c r="I1395" s="9" t="s">
        <v>767</v>
      </c>
      <c r="J1395" s="9" t="s">
        <v>1024</v>
      </c>
      <c r="K1395" s="30">
        <v>2</v>
      </c>
      <c r="L1395" s="9" t="s">
        <v>1026</v>
      </c>
      <c r="M1395" s="30" t="s">
        <v>84</v>
      </c>
      <c r="N1395" s="30" t="s">
        <v>151</v>
      </c>
      <c r="O1395" s="24">
        <v>342</v>
      </c>
      <c r="P1395" s="24">
        <v>188</v>
      </c>
      <c r="Q1395" s="24">
        <v>27</v>
      </c>
      <c r="R1395" s="24">
        <v>0</v>
      </c>
      <c r="S1395" s="24">
        <v>0</v>
      </c>
      <c r="T1395" s="24">
        <v>557</v>
      </c>
    </row>
    <row r="1396" spans="1:20">
      <c r="A1396" s="9" t="s">
        <v>975</v>
      </c>
      <c r="B1396" s="30" t="s">
        <v>1008</v>
      </c>
      <c r="C1396" s="30" t="str">
        <f>CONCATENATE(VOL_VOLUMEN_SUMINISTROS[[#This Row],[Proyecto]],VOL_VOLUMEN_SUMINISTROS[[#This Row],[J]],VOL_VOLUMEN_SUMINISTROS[[#This Row],[FIN DE SEMANA]])</f>
        <v>1052-1MNO</v>
      </c>
      <c r="D1396" s="360" t="str">
        <f>CONCATENATE(VOL_VOLUMEN_SUMINISTROS[[#This Row],[Grupo]],VOL_VOLUMEN_SUMINISTROS[[#This Row],[Proyecto]],VOL_VOLUMEN_SUMINISTROS[[#This Row],[FIN DE SEMANA]])</f>
        <v>81052-1NO</v>
      </c>
      <c r="E1396" s="30" t="s">
        <v>146</v>
      </c>
      <c r="F1396" s="30" t="s">
        <v>147</v>
      </c>
      <c r="G1396" s="360">
        <v>8</v>
      </c>
      <c r="H1396" s="30">
        <v>12</v>
      </c>
      <c r="I1396" s="9" t="s">
        <v>767</v>
      </c>
      <c r="J1396" s="9" t="s">
        <v>1027</v>
      </c>
      <c r="K1396" s="30">
        <v>1</v>
      </c>
      <c r="L1396" s="9" t="s">
        <v>152</v>
      </c>
      <c r="M1396" s="30" t="s">
        <v>84</v>
      </c>
      <c r="N1396" s="30" t="s">
        <v>151</v>
      </c>
      <c r="O1396" s="24">
        <v>138</v>
      </c>
      <c r="P1396" s="24">
        <v>309</v>
      </c>
      <c r="Q1396" s="24">
        <v>455</v>
      </c>
      <c r="R1396" s="24">
        <v>0</v>
      </c>
      <c r="S1396" s="24">
        <v>0</v>
      </c>
      <c r="T1396" s="24">
        <v>902</v>
      </c>
    </row>
    <row r="1397" spans="1:20">
      <c r="A1397" s="9" t="s">
        <v>975</v>
      </c>
      <c r="B1397" s="30" t="s">
        <v>1008</v>
      </c>
      <c r="C1397" s="30" t="str">
        <f>CONCATENATE(VOL_VOLUMEN_SUMINISTROS[[#This Row],[Proyecto]],VOL_VOLUMEN_SUMINISTROS[[#This Row],[J]],VOL_VOLUMEN_SUMINISTROS[[#This Row],[FIN DE SEMANA]])</f>
        <v>1052-1TNO</v>
      </c>
      <c r="D1397" s="360" t="str">
        <f>CONCATENATE(VOL_VOLUMEN_SUMINISTROS[[#This Row],[Grupo]],VOL_VOLUMEN_SUMINISTROS[[#This Row],[Proyecto]],VOL_VOLUMEN_SUMINISTROS[[#This Row],[FIN DE SEMANA]])</f>
        <v>81052-1NO</v>
      </c>
      <c r="E1397" s="30" t="s">
        <v>146</v>
      </c>
      <c r="F1397" s="30" t="s">
        <v>147</v>
      </c>
      <c r="G1397" s="360">
        <v>8</v>
      </c>
      <c r="H1397" s="30">
        <v>12</v>
      </c>
      <c r="I1397" s="9" t="s">
        <v>767</v>
      </c>
      <c r="J1397" s="9" t="s">
        <v>1027</v>
      </c>
      <c r="K1397" s="30">
        <v>1</v>
      </c>
      <c r="L1397" s="9" t="s">
        <v>152</v>
      </c>
      <c r="M1397" s="30" t="s">
        <v>84</v>
      </c>
      <c r="N1397" s="30" t="s">
        <v>154</v>
      </c>
      <c r="O1397" s="24">
        <v>0</v>
      </c>
      <c r="P1397" s="24">
        <v>87</v>
      </c>
      <c r="Q1397" s="24">
        <v>29</v>
      </c>
      <c r="R1397" s="24">
        <v>0</v>
      </c>
      <c r="S1397" s="24">
        <v>0</v>
      </c>
      <c r="T1397" s="24">
        <v>116</v>
      </c>
    </row>
    <row r="1398" spans="1:20">
      <c r="A1398" s="9" t="s">
        <v>975</v>
      </c>
      <c r="B1398" s="30" t="s">
        <v>1008</v>
      </c>
      <c r="C1398" s="30" t="str">
        <f>CONCATENATE(VOL_VOLUMEN_SUMINISTROS[[#This Row],[Proyecto]],VOL_VOLUMEN_SUMINISTROS[[#This Row],[J]],VOL_VOLUMEN_SUMINISTROS[[#This Row],[FIN DE SEMANA]])</f>
        <v>1052-1MNO</v>
      </c>
      <c r="D1398" s="360" t="str">
        <f>CONCATENATE(VOL_VOLUMEN_SUMINISTROS[[#This Row],[Grupo]],VOL_VOLUMEN_SUMINISTROS[[#This Row],[Proyecto]],VOL_VOLUMEN_SUMINISTROS[[#This Row],[FIN DE SEMANA]])</f>
        <v>81052-1NO</v>
      </c>
      <c r="E1398" s="30" t="s">
        <v>146</v>
      </c>
      <c r="F1398" s="30" t="s">
        <v>147</v>
      </c>
      <c r="G1398" s="360">
        <v>8</v>
      </c>
      <c r="H1398" s="30">
        <v>12</v>
      </c>
      <c r="I1398" s="9" t="s">
        <v>767</v>
      </c>
      <c r="J1398" s="9" t="s">
        <v>1027</v>
      </c>
      <c r="K1398" s="30">
        <v>2</v>
      </c>
      <c r="L1398" s="9" t="s">
        <v>164</v>
      </c>
      <c r="M1398" s="30" t="s">
        <v>84</v>
      </c>
      <c r="N1398" s="30" t="s">
        <v>151</v>
      </c>
      <c r="O1398" s="24">
        <v>187</v>
      </c>
      <c r="P1398" s="24">
        <v>77</v>
      </c>
      <c r="Q1398" s="24">
        <v>15</v>
      </c>
      <c r="R1398" s="24">
        <v>0</v>
      </c>
      <c r="S1398" s="24">
        <v>0</v>
      </c>
      <c r="T1398" s="24">
        <v>279</v>
      </c>
    </row>
    <row r="1399" spans="1:20">
      <c r="A1399" s="9" t="s">
        <v>975</v>
      </c>
      <c r="B1399" s="30" t="s">
        <v>1008</v>
      </c>
      <c r="C1399" s="30" t="str">
        <f>CONCATENATE(VOL_VOLUMEN_SUMINISTROS[[#This Row],[Proyecto]],VOL_VOLUMEN_SUMINISTROS[[#This Row],[J]],VOL_VOLUMEN_SUMINISTROS[[#This Row],[FIN DE SEMANA]])</f>
        <v>1052-1MNO</v>
      </c>
      <c r="D1399" s="360" t="str">
        <f>CONCATENATE(VOL_VOLUMEN_SUMINISTROS[[#This Row],[Grupo]],VOL_VOLUMEN_SUMINISTROS[[#This Row],[Proyecto]],VOL_VOLUMEN_SUMINISTROS[[#This Row],[FIN DE SEMANA]])</f>
        <v>81052-1NO</v>
      </c>
      <c r="E1399" s="30" t="s">
        <v>146</v>
      </c>
      <c r="F1399" s="30" t="s">
        <v>147</v>
      </c>
      <c r="G1399" s="360">
        <v>8</v>
      </c>
      <c r="H1399" s="30">
        <v>13</v>
      </c>
      <c r="I1399" s="9" t="s">
        <v>1028</v>
      </c>
      <c r="J1399" s="9" t="s">
        <v>1029</v>
      </c>
      <c r="K1399" s="30">
        <v>1</v>
      </c>
      <c r="L1399" s="9" t="s">
        <v>1030</v>
      </c>
      <c r="M1399" s="30" t="s">
        <v>84</v>
      </c>
      <c r="N1399" s="30" t="s">
        <v>151</v>
      </c>
      <c r="O1399" s="24">
        <v>0</v>
      </c>
      <c r="P1399" s="24">
        <v>165</v>
      </c>
      <c r="Q1399" s="24">
        <v>384</v>
      </c>
      <c r="R1399" s="24">
        <v>0</v>
      </c>
      <c r="S1399" s="24">
        <v>0</v>
      </c>
      <c r="T1399" s="24">
        <v>549</v>
      </c>
    </row>
    <row r="1400" spans="1:20">
      <c r="A1400" s="9" t="s">
        <v>975</v>
      </c>
      <c r="B1400" s="30" t="s">
        <v>1008</v>
      </c>
      <c r="C1400" s="30" t="str">
        <f>CONCATENATE(VOL_VOLUMEN_SUMINISTROS[[#This Row],[Proyecto]],VOL_VOLUMEN_SUMINISTROS[[#This Row],[J]],VOL_VOLUMEN_SUMINISTROS[[#This Row],[FIN DE SEMANA]])</f>
        <v>1052-1NNO</v>
      </c>
      <c r="D1400" s="360" t="str">
        <f>CONCATENATE(VOL_VOLUMEN_SUMINISTROS[[#This Row],[Grupo]],VOL_VOLUMEN_SUMINISTROS[[#This Row],[Proyecto]],VOL_VOLUMEN_SUMINISTROS[[#This Row],[FIN DE SEMANA]])</f>
        <v>81052-1NO</v>
      </c>
      <c r="E1400" s="30" t="s">
        <v>146</v>
      </c>
      <c r="F1400" s="30" t="s">
        <v>147</v>
      </c>
      <c r="G1400" s="360">
        <v>8</v>
      </c>
      <c r="H1400" s="30">
        <v>13</v>
      </c>
      <c r="I1400" s="9" t="s">
        <v>1028</v>
      </c>
      <c r="J1400" s="9" t="s">
        <v>1029</v>
      </c>
      <c r="K1400" s="30">
        <v>1</v>
      </c>
      <c r="L1400" s="9" t="s">
        <v>1030</v>
      </c>
      <c r="M1400" s="30" t="s">
        <v>84</v>
      </c>
      <c r="N1400" s="30" t="s">
        <v>153</v>
      </c>
      <c r="O1400" s="24">
        <v>0</v>
      </c>
      <c r="P1400" s="24">
        <v>0</v>
      </c>
      <c r="Q1400" s="24">
        <v>0</v>
      </c>
      <c r="R1400" s="24">
        <v>162</v>
      </c>
      <c r="S1400" s="24">
        <v>170</v>
      </c>
      <c r="T1400" s="24">
        <v>332</v>
      </c>
    </row>
    <row r="1401" spans="1:20">
      <c r="A1401" s="9" t="s">
        <v>975</v>
      </c>
      <c r="B1401" s="30" t="s">
        <v>1008</v>
      </c>
      <c r="C1401" s="30" t="str">
        <f>CONCATENATE(VOL_VOLUMEN_SUMINISTROS[[#This Row],[Proyecto]],VOL_VOLUMEN_SUMINISTROS[[#This Row],[J]],VOL_VOLUMEN_SUMINISTROS[[#This Row],[FIN DE SEMANA]])</f>
        <v>1052-1TNO</v>
      </c>
      <c r="D1401" s="360" t="str">
        <f>CONCATENATE(VOL_VOLUMEN_SUMINISTROS[[#This Row],[Grupo]],VOL_VOLUMEN_SUMINISTROS[[#This Row],[Proyecto]],VOL_VOLUMEN_SUMINISTROS[[#This Row],[FIN DE SEMANA]])</f>
        <v>81052-1NO</v>
      </c>
      <c r="E1401" s="30" t="s">
        <v>146</v>
      </c>
      <c r="F1401" s="30" t="s">
        <v>147</v>
      </c>
      <c r="G1401" s="360">
        <v>8</v>
      </c>
      <c r="H1401" s="30">
        <v>13</v>
      </c>
      <c r="I1401" s="9" t="s">
        <v>1028</v>
      </c>
      <c r="J1401" s="9" t="s">
        <v>1029</v>
      </c>
      <c r="K1401" s="30">
        <v>1</v>
      </c>
      <c r="L1401" s="9" t="s">
        <v>1030</v>
      </c>
      <c r="M1401" s="30" t="s">
        <v>84</v>
      </c>
      <c r="N1401" s="30" t="s">
        <v>154</v>
      </c>
      <c r="O1401" s="24">
        <v>0</v>
      </c>
      <c r="P1401" s="24">
        <v>144</v>
      </c>
      <c r="Q1401" s="24">
        <v>318</v>
      </c>
      <c r="R1401" s="24">
        <v>0</v>
      </c>
      <c r="S1401" s="24">
        <v>0</v>
      </c>
      <c r="T1401" s="24">
        <v>462</v>
      </c>
    </row>
    <row r="1402" spans="1:20">
      <c r="A1402" s="9" t="s">
        <v>975</v>
      </c>
      <c r="B1402" s="30" t="s">
        <v>1008</v>
      </c>
      <c r="C1402" s="30" t="str">
        <f>CONCATENATE(VOL_VOLUMEN_SUMINISTROS[[#This Row],[Proyecto]],VOL_VOLUMEN_SUMINISTROS[[#This Row],[J]],VOL_VOLUMEN_SUMINISTROS[[#This Row],[FIN DE SEMANA]])</f>
        <v>1052-1MNO</v>
      </c>
      <c r="D1402" s="360" t="str">
        <f>CONCATENATE(VOL_VOLUMEN_SUMINISTROS[[#This Row],[Grupo]],VOL_VOLUMEN_SUMINISTROS[[#This Row],[Proyecto]],VOL_VOLUMEN_SUMINISTROS[[#This Row],[FIN DE SEMANA]])</f>
        <v>81052-1NO</v>
      </c>
      <c r="E1402" s="30" t="s">
        <v>146</v>
      </c>
      <c r="F1402" s="30" t="s">
        <v>147</v>
      </c>
      <c r="G1402" s="360">
        <v>8</v>
      </c>
      <c r="H1402" s="30">
        <v>13</v>
      </c>
      <c r="I1402" s="9" t="s">
        <v>1028</v>
      </c>
      <c r="J1402" s="9" t="s">
        <v>1029</v>
      </c>
      <c r="K1402" s="30">
        <v>2</v>
      </c>
      <c r="L1402" s="9" t="s">
        <v>1031</v>
      </c>
      <c r="M1402" s="30" t="s">
        <v>84</v>
      </c>
      <c r="N1402" s="30" t="s">
        <v>151</v>
      </c>
      <c r="O1402" s="24">
        <v>261</v>
      </c>
      <c r="P1402" s="24">
        <v>145</v>
      </c>
      <c r="Q1402" s="24">
        <v>23</v>
      </c>
      <c r="R1402" s="24">
        <v>0</v>
      </c>
      <c r="S1402" s="24">
        <v>0</v>
      </c>
      <c r="T1402" s="24">
        <v>429</v>
      </c>
    </row>
    <row r="1403" spans="1:20">
      <c r="A1403" s="9" t="s">
        <v>975</v>
      </c>
      <c r="B1403" s="30" t="s">
        <v>1008</v>
      </c>
      <c r="C1403" s="30" t="str">
        <f>CONCATENATE(VOL_VOLUMEN_SUMINISTROS[[#This Row],[Proyecto]],VOL_VOLUMEN_SUMINISTROS[[#This Row],[J]],VOL_VOLUMEN_SUMINISTROS[[#This Row],[FIN DE SEMANA]])</f>
        <v>1052-1TNO</v>
      </c>
      <c r="D1403" s="360" t="str">
        <f>CONCATENATE(VOL_VOLUMEN_SUMINISTROS[[#This Row],[Grupo]],VOL_VOLUMEN_SUMINISTROS[[#This Row],[Proyecto]],VOL_VOLUMEN_SUMINISTROS[[#This Row],[FIN DE SEMANA]])</f>
        <v>81052-1NO</v>
      </c>
      <c r="E1403" s="30" t="s">
        <v>146</v>
      </c>
      <c r="F1403" s="30" t="s">
        <v>147</v>
      </c>
      <c r="G1403" s="360">
        <v>8</v>
      </c>
      <c r="H1403" s="30">
        <v>13</v>
      </c>
      <c r="I1403" s="9" t="s">
        <v>1028</v>
      </c>
      <c r="J1403" s="9" t="s">
        <v>1029</v>
      </c>
      <c r="K1403" s="30">
        <v>2</v>
      </c>
      <c r="L1403" s="9" t="s">
        <v>1031</v>
      </c>
      <c r="M1403" s="30" t="s">
        <v>84</v>
      </c>
      <c r="N1403" s="30" t="s">
        <v>154</v>
      </c>
      <c r="O1403" s="24">
        <v>205</v>
      </c>
      <c r="P1403" s="24">
        <v>105</v>
      </c>
      <c r="Q1403" s="24">
        <v>16</v>
      </c>
      <c r="R1403" s="24">
        <v>0</v>
      </c>
      <c r="S1403" s="24">
        <v>0</v>
      </c>
      <c r="T1403" s="24">
        <v>326</v>
      </c>
    </row>
    <row r="1404" spans="1:20">
      <c r="A1404" s="9" t="s">
        <v>975</v>
      </c>
      <c r="B1404" s="30" t="s">
        <v>1008</v>
      </c>
      <c r="C1404" s="30" t="str">
        <f>CONCATENATE(VOL_VOLUMEN_SUMINISTROS[[#This Row],[Proyecto]],VOL_VOLUMEN_SUMINISTROS[[#This Row],[J]],VOL_VOLUMEN_SUMINISTROS[[#This Row],[FIN DE SEMANA]])</f>
        <v>1052-1MNO</v>
      </c>
      <c r="D1404" s="360" t="str">
        <f>CONCATENATE(VOL_VOLUMEN_SUMINISTROS[[#This Row],[Grupo]],VOL_VOLUMEN_SUMINISTROS[[#This Row],[Proyecto]],VOL_VOLUMEN_SUMINISTROS[[#This Row],[FIN DE SEMANA]])</f>
        <v>81052-1NO</v>
      </c>
      <c r="E1404" s="30" t="s">
        <v>146</v>
      </c>
      <c r="F1404" s="30" t="s">
        <v>147</v>
      </c>
      <c r="G1404" s="360">
        <v>8</v>
      </c>
      <c r="H1404" s="30">
        <v>2</v>
      </c>
      <c r="I1404" s="9" t="s">
        <v>1032</v>
      </c>
      <c r="J1404" s="9" t="s">
        <v>1033</v>
      </c>
      <c r="K1404" s="30">
        <v>2</v>
      </c>
      <c r="L1404" s="9" t="s">
        <v>1034</v>
      </c>
      <c r="M1404" s="30" t="s">
        <v>84</v>
      </c>
      <c r="N1404" s="30" t="s">
        <v>151</v>
      </c>
      <c r="O1404" s="24">
        <v>121</v>
      </c>
      <c r="P1404" s="24">
        <v>121</v>
      </c>
      <c r="Q1404" s="24">
        <v>24</v>
      </c>
      <c r="R1404" s="24">
        <v>0</v>
      </c>
      <c r="S1404" s="24">
        <v>0</v>
      </c>
      <c r="T1404" s="24">
        <v>266</v>
      </c>
    </row>
    <row r="1405" spans="1:20">
      <c r="A1405" s="9" t="s">
        <v>975</v>
      </c>
      <c r="B1405" s="30" t="s">
        <v>1008</v>
      </c>
      <c r="C1405" s="30" t="str">
        <f>CONCATENATE(VOL_VOLUMEN_SUMINISTROS[[#This Row],[Proyecto]],VOL_VOLUMEN_SUMINISTROS[[#This Row],[J]],VOL_VOLUMEN_SUMINISTROS[[#This Row],[FIN DE SEMANA]])</f>
        <v>1052-1MNO</v>
      </c>
      <c r="D1405" s="360" t="str">
        <f>CONCATENATE(VOL_VOLUMEN_SUMINISTROS[[#This Row],[Grupo]],VOL_VOLUMEN_SUMINISTROS[[#This Row],[Proyecto]],VOL_VOLUMEN_SUMINISTROS[[#This Row],[FIN DE SEMANA]])</f>
        <v>81052-1NO</v>
      </c>
      <c r="E1405" s="30" t="s">
        <v>146</v>
      </c>
      <c r="F1405" s="30" t="s">
        <v>147</v>
      </c>
      <c r="G1405" s="360">
        <v>8</v>
      </c>
      <c r="H1405" s="30">
        <v>2</v>
      </c>
      <c r="I1405" s="9" t="s">
        <v>1032</v>
      </c>
      <c r="J1405" s="9" t="s">
        <v>1033</v>
      </c>
      <c r="K1405" s="30">
        <v>3</v>
      </c>
      <c r="L1405" s="9" t="s">
        <v>1035</v>
      </c>
      <c r="M1405" s="30" t="s">
        <v>84</v>
      </c>
      <c r="N1405" s="30" t="s">
        <v>151</v>
      </c>
      <c r="O1405" s="24">
        <v>81</v>
      </c>
      <c r="P1405" s="24">
        <v>67</v>
      </c>
      <c r="Q1405" s="24">
        <v>13</v>
      </c>
      <c r="R1405" s="24">
        <v>0</v>
      </c>
      <c r="S1405" s="24">
        <v>0</v>
      </c>
      <c r="T1405" s="24">
        <v>161</v>
      </c>
    </row>
    <row r="1406" spans="1:20">
      <c r="A1406" s="9" t="s">
        <v>975</v>
      </c>
      <c r="B1406" s="30" t="s">
        <v>1008</v>
      </c>
      <c r="C1406" s="30" t="str">
        <f>CONCATENATE(VOL_VOLUMEN_SUMINISTROS[[#This Row],[Proyecto]],VOL_VOLUMEN_SUMINISTROS[[#This Row],[J]],VOL_VOLUMEN_SUMINISTROS[[#This Row],[FIN DE SEMANA]])</f>
        <v>1052-1MNO</v>
      </c>
      <c r="D1406" s="360" t="str">
        <f>CONCATENATE(VOL_VOLUMEN_SUMINISTROS[[#This Row],[Grupo]],VOL_VOLUMEN_SUMINISTROS[[#This Row],[Proyecto]],VOL_VOLUMEN_SUMINISTROS[[#This Row],[FIN DE SEMANA]])</f>
        <v>81052-1NO</v>
      </c>
      <c r="E1406" s="30" t="s">
        <v>146</v>
      </c>
      <c r="F1406" s="30" t="s">
        <v>147</v>
      </c>
      <c r="G1406" s="360">
        <v>8</v>
      </c>
      <c r="H1406" s="30">
        <v>2</v>
      </c>
      <c r="I1406" s="9" t="s">
        <v>1032</v>
      </c>
      <c r="J1406" s="9" t="s">
        <v>1036</v>
      </c>
      <c r="K1406" s="30">
        <v>1</v>
      </c>
      <c r="L1406" s="9" t="s">
        <v>1037</v>
      </c>
      <c r="M1406" s="30" t="s">
        <v>84</v>
      </c>
      <c r="N1406" s="30" t="s">
        <v>151</v>
      </c>
      <c r="O1406" s="24">
        <v>30</v>
      </c>
      <c r="P1406" s="24">
        <v>66</v>
      </c>
      <c r="Q1406" s="24">
        <v>17</v>
      </c>
      <c r="R1406" s="24">
        <v>0</v>
      </c>
      <c r="S1406" s="24">
        <v>0</v>
      </c>
      <c r="T1406" s="24">
        <v>113</v>
      </c>
    </row>
    <row r="1407" spans="1:20">
      <c r="A1407" s="9" t="s">
        <v>975</v>
      </c>
      <c r="B1407" s="30" t="s">
        <v>1008</v>
      </c>
      <c r="C1407" s="30" t="str">
        <f>CONCATENATE(VOL_VOLUMEN_SUMINISTROS[[#This Row],[Proyecto]],VOL_VOLUMEN_SUMINISTROS[[#This Row],[J]],VOL_VOLUMEN_SUMINISTROS[[#This Row],[FIN DE SEMANA]])</f>
        <v>1052-1TNO</v>
      </c>
      <c r="D1407" s="360" t="str">
        <f>CONCATENATE(VOL_VOLUMEN_SUMINISTROS[[#This Row],[Grupo]],VOL_VOLUMEN_SUMINISTROS[[#This Row],[Proyecto]],VOL_VOLUMEN_SUMINISTROS[[#This Row],[FIN DE SEMANA]])</f>
        <v>81052-1NO</v>
      </c>
      <c r="E1407" s="30" t="s">
        <v>146</v>
      </c>
      <c r="F1407" s="30" t="s">
        <v>147</v>
      </c>
      <c r="G1407" s="360">
        <v>8</v>
      </c>
      <c r="H1407" s="30">
        <v>2</v>
      </c>
      <c r="I1407" s="9" t="s">
        <v>1032</v>
      </c>
      <c r="J1407" s="9" t="s">
        <v>1036</v>
      </c>
      <c r="K1407" s="30">
        <v>1</v>
      </c>
      <c r="L1407" s="9" t="s">
        <v>1037</v>
      </c>
      <c r="M1407" s="30" t="s">
        <v>84</v>
      </c>
      <c r="N1407" s="30" t="s">
        <v>154</v>
      </c>
      <c r="O1407" s="24">
        <v>0</v>
      </c>
      <c r="P1407" s="24">
        <v>60</v>
      </c>
      <c r="Q1407" s="24">
        <v>114</v>
      </c>
      <c r="R1407" s="24">
        <v>0</v>
      </c>
      <c r="S1407" s="24">
        <v>0</v>
      </c>
      <c r="T1407" s="24">
        <v>174</v>
      </c>
    </row>
    <row r="1408" spans="1:20">
      <c r="A1408" s="9" t="s">
        <v>975</v>
      </c>
      <c r="B1408" s="30" t="s">
        <v>1008</v>
      </c>
      <c r="C1408" s="30" t="str">
        <f>CONCATENATE(VOL_VOLUMEN_SUMINISTROS[[#This Row],[Proyecto]],VOL_VOLUMEN_SUMINISTROS[[#This Row],[J]],VOL_VOLUMEN_SUMINISTROS[[#This Row],[FIN DE SEMANA]])</f>
        <v>1052-1MNO</v>
      </c>
      <c r="D1408" s="360" t="str">
        <f>CONCATENATE(VOL_VOLUMEN_SUMINISTROS[[#This Row],[Grupo]],VOL_VOLUMEN_SUMINISTROS[[#This Row],[Proyecto]],VOL_VOLUMEN_SUMINISTROS[[#This Row],[FIN DE SEMANA]])</f>
        <v>81052-1NO</v>
      </c>
      <c r="E1408" s="30" t="s">
        <v>146</v>
      </c>
      <c r="F1408" s="30" t="s">
        <v>147</v>
      </c>
      <c r="G1408" s="360">
        <v>8</v>
      </c>
      <c r="H1408" s="30">
        <v>2</v>
      </c>
      <c r="I1408" s="9" t="s">
        <v>1032</v>
      </c>
      <c r="J1408" s="9" t="s">
        <v>1036</v>
      </c>
      <c r="K1408" s="30">
        <v>2</v>
      </c>
      <c r="L1408" s="9" t="s">
        <v>1038</v>
      </c>
      <c r="M1408" s="30" t="s">
        <v>84</v>
      </c>
      <c r="N1408" s="30" t="s">
        <v>151</v>
      </c>
      <c r="O1408" s="24">
        <v>100</v>
      </c>
      <c r="P1408" s="24">
        <v>34</v>
      </c>
      <c r="Q1408" s="24">
        <v>0</v>
      </c>
      <c r="R1408" s="24">
        <v>0</v>
      </c>
      <c r="S1408" s="24">
        <v>0</v>
      </c>
      <c r="T1408" s="24">
        <v>134</v>
      </c>
    </row>
    <row r="1409" spans="1:20">
      <c r="A1409" s="9" t="s">
        <v>975</v>
      </c>
      <c r="B1409" s="30" t="s">
        <v>1008</v>
      </c>
      <c r="C1409" s="30" t="str">
        <f>CONCATENATE(VOL_VOLUMEN_SUMINISTROS[[#This Row],[Proyecto]],VOL_VOLUMEN_SUMINISTROS[[#This Row],[J]],VOL_VOLUMEN_SUMINISTROS[[#This Row],[FIN DE SEMANA]])</f>
        <v>1052-1TNO</v>
      </c>
      <c r="D1409" s="360" t="str">
        <f>CONCATENATE(VOL_VOLUMEN_SUMINISTROS[[#This Row],[Grupo]],VOL_VOLUMEN_SUMINISTROS[[#This Row],[Proyecto]],VOL_VOLUMEN_SUMINISTROS[[#This Row],[FIN DE SEMANA]])</f>
        <v>81052-1NO</v>
      </c>
      <c r="E1409" s="30" t="s">
        <v>146</v>
      </c>
      <c r="F1409" s="30" t="s">
        <v>147</v>
      </c>
      <c r="G1409" s="360">
        <v>8</v>
      </c>
      <c r="H1409" s="30">
        <v>2</v>
      </c>
      <c r="I1409" s="9" t="s">
        <v>1032</v>
      </c>
      <c r="J1409" s="9" t="s">
        <v>1036</v>
      </c>
      <c r="K1409" s="30">
        <v>2</v>
      </c>
      <c r="L1409" s="9" t="s">
        <v>532</v>
      </c>
      <c r="M1409" s="30" t="s">
        <v>84</v>
      </c>
      <c r="N1409" s="30" t="s">
        <v>154</v>
      </c>
      <c r="O1409" s="24">
        <v>0</v>
      </c>
      <c r="P1409" s="24">
        <v>21</v>
      </c>
      <c r="Q1409" s="24">
        <v>39</v>
      </c>
      <c r="R1409" s="24">
        <v>0</v>
      </c>
      <c r="S1409" s="24">
        <v>0</v>
      </c>
      <c r="T1409" s="24">
        <v>60</v>
      </c>
    </row>
    <row r="1410" spans="1:20">
      <c r="A1410" s="9" t="s">
        <v>975</v>
      </c>
      <c r="B1410" s="30" t="s">
        <v>1008</v>
      </c>
      <c r="C1410" s="30" t="str">
        <f>CONCATENATE(VOL_VOLUMEN_SUMINISTROS[[#This Row],[Proyecto]],VOL_VOLUMEN_SUMINISTROS[[#This Row],[J]],VOL_VOLUMEN_SUMINISTROS[[#This Row],[FIN DE SEMANA]])</f>
        <v>1052-1MNO</v>
      </c>
      <c r="D1410" s="360" t="str">
        <f>CONCATENATE(VOL_VOLUMEN_SUMINISTROS[[#This Row],[Grupo]],VOL_VOLUMEN_SUMINISTROS[[#This Row],[Proyecto]],VOL_VOLUMEN_SUMINISTROS[[#This Row],[FIN DE SEMANA]])</f>
        <v>81052-1NO</v>
      </c>
      <c r="E1410" s="30" t="s">
        <v>146</v>
      </c>
      <c r="F1410" s="30" t="s">
        <v>147</v>
      </c>
      <c r="G1410" s="360">
        <v>8</v>
      </c>
      <c r="H1410" s="30">
        <v>2</v>
      </c>
      <c r="I1410" s="9" t="s">
        <v>1032</v>
      </c>
      <c r="J1410" s="9" t="s">
        <v>1039</v>
      </c>
      <c r="K1410" s="30">
        <v>1</v>
      </c>
      <c r="L1410" s="9" t="s">
        <v>1040</v>
      </c>
      <c r="M1410" s="30" t="s">
        <v>84</v>
      </c>
      <c r="N1410" s="30" t="s">
        <v>151</v>
      </c>
      <c r="O1410" s="24">
        <v>130</v>
      </c>
      <c r="P1410" s="24">
        <v>311</v>
      </c>
      <c r="Q1410" s="24">
        <v>336</v>
      </c>
      <c r="R1410" s="24">
        <v>0</v>
      </c>
      <c r="S1410" s="24">
        <v>0</v>
      </c>
      <c r="T1410" s="24">
        <v>777</v>
      </c>
    </row>
    <row r="1411" spans="1:20">
      <c r="A1411" s="9" t="s">
        <v>975</v>
      </c>
      <c r="B1411" s="30" t="s">
        <v>1008</v>
      </c>
      <c r="C1411" s="30" t="str">
        <f>CONCATENATE(VOL_VOLUMEN_SUMINISTROS[[#This Row],[Proyecto]],VOL_VOLUMEN_SUMINISTROS[[#This Row],[J]],VOL_VOLUMEN_SUMINISTROS[[#This Row],[FIN DE SEMANA]])</f>
        <v>1052-1NNO</v>
      </c>
      <c r="D1411" s="360" t="str">
        <f>CONCATENATE(VOL_VOLUMEN_SUMINISTROS[[#This Row],[Grupo]],VOL_VOLUMEN_SUMINISTROS[[#This Row],[Proyecto]],VOL_VOLUMEN_SUMINISTROS[[#This Row],[FIN DE SEMANA]])</f>
        <v>81052-1NO</v>
      </c>
      <c r="E1411" s="30" t="s">
        <v>146</v>
      </c>
      <c r="F1411" s="30" t="s">
        <v>147</v>
      </c>
      <c r="G1411" s="360">
        <v>8</v>
      </c>
      <c r="H1411" s="30">
        <v>2</v>
      </c>
      <c r="I1411" s="9" t="s">
        <v>1032</v>
      </c>
      <c r="J1411" s="9" t="s">
        <v>1039</v>
      </c>
      <c r="K1411" s="30">
        <v>1</v>
      </c>
      <c r="L1411" s="9" t="s">
        <v>1040</v>
      </c>
      <c r="M1411" s="30" t="s">
        <v>84</v>
      </c>
      <c r="N1411" s="30" t="s">
        <v>153</v>
      </c>
      <c r="O1411" s="24">
        <v>0</v>
      </c>
      <c r="P1411" s="24">
        <v>0</v>
      </c>
      <c r="Q1411" s="24">
        <v>0</v>
      </c>
      <c r="R1411" s="24">
        <v>73</v>
      </c>
      <c r="S1411" s="24">
        <v>73</v>
      </c>
      <c r="T1411" s="24">
        <v>146</v>
      </c>
    </row>
    <row r="1412" spans="1:20">
      <c r="A1412" s="9" t="s">
        <v>975</v>
      </c>
      <c r="B1412" s="30" t="s">
        <v>1008</v>
      </c>
      <c r="C1412" s="30" t="str">
        <f>CONCATENATE(VOL_VOLUMEN_SUMINISTROS[[#This Row],[Proyecto]],VOL_VOLUMEN_SUMINISTROS[[#This Row],[J]],VOL_VOLUMEN_SUMINISTROS[[#This Row],[FIN DE SEMANA]])</f>
        <v>1052-1TNO</v>
      </c>
      <c r="D1412" s="360" t="str">
        <f>CONCATENATE(VOL_VOLUMEN_SUMINISTROS[[#This Row],[Grupo]],VOL_VOLUMEN_SUMINISTROS[[#This Row],[Proyecto]],VOL_VOLUMEN_SUMINISTROS[[#This Row],[FIN DE SEMANA]])</f>
        <v>81052-1NO</v>
      </c>
      <c r="E1412" s="30" t="s">
        <v>146</v>
      </c>
      <c r="F1412" s="30" t="s">
        <v>147</v>
      </c>
      <c r="G1412" s="360">
        <v>8</v>
      </c>
      <c r="H1412" s="30">
        <v>2</v>
      </c>
      <c r="I1412" s="9" t="s">
        <v>1032</v>
      </c>
      <c r="J1412" s="9" t="s">
        <v>1039</v>
      </c>
      <c r="K1412" s="30">
        <v>1</v>
      </c>
      <c r="L1412" s="9" t="s">
        <v>1040</v>
      </c>
      <c r="M1412" s="30" t="s">
        <v>84</v>
      </c>
      <c r="N1412" s="30" t="s">
        <v>154</v>
      </c>
      <c r="O1412" s="24">
        <v>108</v>
      </c>
      <c r="P1412" s="24">
        <v>294</v>
      </c>
      <c r="Q1412" s="24">
        <v>336</v>
      </c>
      <c r="R1412" s="24">
        <v>0</v>
      </c>
      <c r="S1412" s="24">
        <v>0</v>
      </c>
      <c r="T1412" s="24">
        <v>738</v>
      </c>
    </row>
    <row r="1413" spans="1:20">
      <c r="A1413" s="9" t="s">
        <v>975</v>
      </c>
      <c r="B1413" s="30" t="s">
        <v>1008</v>
      </c>
      <c r="C1413" s="30" t="str">
        <f>CONCATENATE(VOL_VOLUMEN_SUMINISTROS[[#This Row],[Proyecto]],VOL_VOLUMEN_SUMINISTROS[[#This Row],[J]],VOL_VOLUMEN_SUMINISTROS[[#This Row],[FIN DE SEMANA]])</f>
        <v>1052-1MNO</v>
      </c>
      <c r="D1413" s="360" t="str">
        <f>CONCATENATE(VOL_VOLUMEN_SUMINISTROS[[#This Row],[Grupo]],VOL_VOLUMEN_SUMINISTROS[[#This Row],[Proyecto]],VOL_VOLUMEN_SUMINISTROS[[#This Row],[FIN DE SEMANA]])</f>
        <v>81052-1NO</v>
      </c>
      <c r="E1413" s="30" t="s">
        <v>146</v>
      </c>
      <c r="F1413" s="30" t="s">
        <v>147</v>
      </c>
      <c r="G1413" s="360">
        <v>8</v>
      </c>
      <c r="H1413" s="30">
        <v>2</v>
      </c>
      <c r="I1413" s="9" t="s">
        <v>1032</v>
      </c>
      <c r="J1413" s="9" t="s">
        <v>1039</v>
      </c>
      <c r="K1413" s="30">
        <v>2</v>
      </c>
      <c r="L1413" s="9" t="s">
        <v>1041</v>
      </c>
      <c r="M1413" s="30" t="s">
        <v>84</v>
      </c>
      <c r="N1413" s="30" t="s">
        <v>151</v>
      </c>
      <c r="O1413" s="24">
        <v>176</v>
      </c>
      <c r="P1413" s="24">
        <v>0</v>
      </c>
      <c r="Q1413" s="24">
        <v>0</v>
      </c>
      <c r="R1413" s="24">
        <v>0</v>
      </c>
      <c r="S1413" s="24">
        <v>0</v>
      </c>
      <c r="T1413" s="24">
        <v>176</v>
      </c>
    </row>
    <row r="1414" spans="1:20">
      <c r="A1414" s="9" t="s">
        <v>975</v>
      </c>
      <c r="B1414" s="30" t="s">
        <v>1042</v>
      </c>
      <c r="C1414" s="30" t="str">
        <f>CONCATENATE(VOL_VOLUMEN_SUMINISTROS[[#This Row],[Proyecto]],VOL_VOLUMEN_SUMINISTROS[[#This Row],[J]],VOL_VOLUMEN_SUMINISTROS[[#This Row],[FIN DE SEMANA]])</f>
        <v>1052-2MNO</v>
      </c>
      <c r="D1414" s="360" t="str">
        <f>CONCATENATE(VOL_VOLUMEN_SUMINISTROS[[#This Row],[Grupo]],VOL_VOLUMEN_SUMINISTROS[[#This Row],[Proyecto]],VOL_VOLUMEN_SUMINISTROS[[#This Row],[FIN DE SEMANA]])</f>
        <v>81052-2NO</v>
      </c>
      <c r="E1414" s="30" t="s">
        <v>182</v>
      </c>
      <c r="F1414" s="30" t="s">
        <v>147</v>
      </c>
      <c r="G1414" s="360">
        <v>8</v>
      </c>
      <c r="H1414" s="30">
        <v>12</v>
      </c>
      <c r="I1414" s="9" t="s">
        <v>767</v>
      </c>
      <c r="J1414" s="9" t="s">
        <v>1015</v>
      </c>
      <c r="K1414" s="30">
        <v>1</v>
      </c>
      <c r="L1414" s="9" t="s">
        <v>152</v>
      </c>
      <c r="M1414" s="30" t="s">
        <v>84</v>
      </c>
      <c r="N1414" s="30" t="s">
        <v>151</v>
      </c>
      <c r="O1414" s="24">
        <v>2</v>
      </c>
      <c r="P1414" s="24">
        <v>22</v>
      </c>
      <c r="Q1414" s="24">
        <v>29</v>
      </c>
      <c r="R1414" s="24">
        <v>0</v>
      </c>
      <c r="S1414" s="24">
        <v>0</v>
      </c>
      <c r="T1414" s="24">
        <v>53</v>
      </c>
    </row>
    <row r="1415" spans="1:20">
      <c r="A1415" s="9" t="s">
        <v>975</v>
      </c>
      <c r="B1415" s="30" t="s">
        <v>1042</v>
      </c>
      <c r="C1415" s="30" t="str">
        <f>CONCATENATE(VOL_VOLUMEN_SUMINISTROS[[#This Row],[Proyecto]],VOL_VOLUMEN_SUMINISTROS[[#This Row],[J]],VOL_VOLUMEN_SUMINISTROS[[#This Row],[FIN DE SEMANA]])</f>
        <v>1052-2TNO</v>
      </c>
      <c r="D1415" s="360" t="str">
        <f>CONCATENATE(VOL_VOLUMEN_SUMINISTROS[[#This Row],[Grupo]],VOL_VOLUMEN_SUMINISTROS[[#This Row],[Proyecto]],VOL_VOLUMEN_SUMINISTROS[[#This Row],[FIN DE SEMANA]])</f>
        <v>81052-2NO</v>
      </c>
      <c r="E1415" s="30" t="s">
        <v>182</v>
      </c>
      <c r="F1415" s="30" t="s">
        <v>147</v>
      </c>
      <c r="G1415" s="360">
        <v>8</v>
      </c>
      <c r="H1415" s="30">
        <v>12</v>
      </c>
      <c r="I1415" s="9" t="s">
        <v>767</v>
      </c>
      <c r="J1415" s="9" t="s">
        <v>1015</v>
      </c>
      <c r="K1415" s="30">
        <v>1</v>
      </c>
      <c r="L1415" s="9" t="s">
        <v>152</v>
      </c>
      <c r="M1415" s="30" t="s">
        <v>84</v>
      </c>
      <c r="N1415" s="30" t="s">
        <v>154</v>
      </c>
      <c r="O1415" s="24">
        <v>12</v>
      </c>
      <c r="P1415" s="24">
        <v>33</v>
      </c>
      <c r="Q1415" s="24">
        <v>39</v>
      </c>
      <c r="R1415" s="24">
        <v>0</v>
      </c>
      <c r="S1415" s="24">
        <v>0</v>
      </c>
      <c r="T1415" s="24">
        <v>84</v>
      </c>
    </row>
    <row r="1416" spans="1:20">
      <c r="A1416" s="9" t="s">
        <v>975</v>
      </c>
      <c r="B1416" s="30" t="s">
        <v>1042</v>
      </c>
      <c r="C1416" s="30" t="str">
        <f>CONCATENATE(VOL_VOLUMEN_SUMINISTROS[[#This Row],[Proyecto]],VOL_VOLUMEN_SUMINISTROS[[#This Row],[J]],VOL_VOLUMEN_SUMINISTROS[[#This Row],[FIN DE SEMANA]])</f>
        <v>1052-2MNO</v>
      </c>
      <c r="D1416" s="360" t="str">
        <f>CONCATENATE(VOL_VOLUMEN_SUMINISTROS[[#This Row],[Grupo]],VOL_VOLUMEN_SUMINISTROS[[#This Row],[Proyecto]],VOL_VOLUMEN_SUMINISTROS[[#This Row],[FIN DE SEMANA]])</f>
        <v>81052-2NO</v>
      </c>
      <c r="E1416" s="30" t="s">
        <v>182</v>
      </c>
      <c r="F1416" s="30" t="s">
        <v>147</v>
      </c>
      <c r="G1416" s="360">
        <v>8</v>
      </c>
      <c r="H1416" s="30">
        <v>12</v>
      </c>
      <c r="I1416" s="9" t="s">
        <v>767</v>
      </c>
      <c r="J1416" s="9" t="s">
        <v>1015</v>
      </c>
      <c r="K1416" s="30">
        <v>2</v>
      </c>
      <c r="L1416" s="9" t="s">
        <v>1016</v>
      </c>
      <c r="M1416" s="30" t="s">
        <v>84</v>
      </c>
      <c r="N1416" s="30" t="s">
        <v>151</v>
      </c>
      <c r="O1416" s="24">
        <v>8</v>
      </c>
      <c r="P1416" s="24">
        <v>10</v>
      </c>
      <c r="Q1416" s="24">
        <v>2</v>
      </c>
      <c r="R1416" s="24">
        <v>0</v>
      </c>
      <c r="S1416" s="24">
        <v>0</v>
      </c>
      <c r="T1416" s="24">
        <v>20</v>
      </c>
    </row>
    <row r="1417" spans="1:20">
      <c r="A1417" s="9" t="s">
        <v>975</v>
      </c>
      <c r="B1417" s="30" t="s">
        <v>1042</v>
      </c>
      <c r="C1417" s="30" t="str">
        <f>CONCATENATE(VOL_VOLUMEN_SUMINISTROS[[#This Row],[Proyecto]],VOL_VOLUMEN_SUMINISTROS[[#This Row],[J]],VOL_VOLUMEN_SUMINISTROS[[#This Row],[FIN DE SEMANA]])</f>
        <v>1052-2M1NO</v>
      </c>
      <c r="D1417" s="360" t="str">
        <f>CONCATENATE(VOL_VOLUMEN_SUMINISTROS[[#This Row],[Grupo]],VOL_VOLUMEN_SUMINISTROS[[#This Row],[Proyecto]],VOL_VOLUMEN_SUMINISTROS[[#This Row],[FIN DE SEMANA]])</f>
        <v>81052-2NO</v>
      </c>
      <c r="E1417" s="30" t="s">
        <v>182</v>
      </c>
      <c r="F1417" s="30" t="s">
        <v>147</v>
      </c>
      <c r="G1417" s="360">
        <v>8</v>
      </c>
      <c r="H1417" s="30">
        <v>12</v>
      </c>
      <c r="I1417" s="9" t="s">
        <v>767</v>
      </c>
      <c r="J1417" s="9" t="s">
        <v>1015</v>
      </c>
      <c r="K1417" s="30">
        <v>2</v>
      </c>
      <c r="L1417" s="9" t="s">
        <v>1016</v>
      </c>
      <c r="M1417" s="30" t="s">
        <v>84</v>
      </c>
      <c r="N1417" s="30" t="s">
        <v>215</v>
      </c>
      <c r="O1417" s="24">
        <v>8</v>
      </c>
      <c r="P1417" s="24">
        <v>16</v>
      </c>
      <c r="Q1417" s="24">
        <v>4</v>
      </c>
      <c r="R1417" s="24">
        <v>0</v>
      </c>
      <c r="S1417" s="24">
        <v>0</v>
      </c>
      <c r="T1417" s="24">
        <v>28</v>
      </c>
    </row>
    <row r="1418" spans="1:20">
      <c r="A1418" s="9" t="s">
        <v>975</v>
      </c>
      <c r="B1418" s="30" t="s">
        <v>1042</v>
      </c>
      <c r="C1418" s="30" t="str">
        <f>CONCATENATE(VOL_VOLUMEN_SUMINISTROS[[#This Row],[Proyecto]],VOL_VOLUMEN_SUMINISTROS[[#This Row],[J]],VOL_VOLUMEN_SUMINISTROS[[#This Row],[FIN DE SEMANA]])</f>
        <v>1052-2M1NO</v>
      </c>
      <c r="D1418" s="360" t="str">
        <f>CONCATENATE(VOL_VOLUMEN_SUMINISTROS[[#This Row],[Grupo]],VOL_VOLUMEN_SUMINISTROS[[#This Row],[Proyecto]],VOL_VOLUMEN_SUMINISTROS[[#This Row],[FIN DE SEMANA]])</f>
        <v>81052-2NO</v>
      </c>
      <c r="E1418" s="30" t="s">
        <v>182</v>
      </c>
      <c r="F1418" s="30" t="s">
        <v>147</v>
      </c>
      <c r="G1418" s="360">
        <v>8</v>
      </c>
      <c r="H1418" s="30">
        <v>12</v>
      </c>
      <c r="I1418" s="9" t="s">
        <v>767</v>
      </c>
      <c r="J1418" s="9" t="s">
        <v>768</v>
      </c>
      <c r="K1418" s="30">
        <v>1</v>
      </c>
      <c r="L1418" s="9" t="s">
        <v>150</v>
      </c>
      <c r="M1418" s="30" t="s">
        <v>84</v>
      </c>
      <c r="N1418" s="30" t="s">
        <v>215</v>
      </c>
      <c r="O1418" s="24">
        <v>0</v>
      </c>
      <c r="P1418" s="24">
        <v>240</v>
      </c>
      <c r="Q1418" s="24">
        <v>838</v>
      </c>
      <c r="R1418" s="24">
        <v>0</v>
      </c>
      <c r="S1418" s="24">
        <v>0</v>
      </c>
      <c r="T1418" s="24">
        <v>1078</v>
      </c>
    </row>
    <row r="1419" spans="1:20">
      <c r="A1419" s="9" t="s">
        <v>975</v>
      </c>
      <c r="B1419" s="30" t="s">
        <v>1042</v>
      </c>
      <c r="C1419" s="30" t="str">
        <f>CONCATENATE(VOL_VOLUMEN_SUMINISTROS[[#This Row],[Proyecto]],VOL_VOLUMEN_SUMINISTROS[[#This Row],[J]],VOL_VOLUMEN_SUMINISTROS[[#This Row],[FIN DE SEMANA]])</f>
        <v>1052-2MNO</v>
      </c>
      <c r="D1419" s="360" t="str">
        <f>CONCATENATE(VOL_VOLUMEN_SUMINISTROS[[#This Row],[Grupo]],VOL_VOLUMEN_SUMINISTROS[[#This Row],[Proyecto]],VOL_VOLUMEN_SUMINISTROS[[#This Row],[FIN DE SEMANA]])</f>
        <v>81052-2NO</v>
      </c>
      <c r="E1419" s="30" t="s">
        <v>182</v>
      </c>
      <c r="F1419" s="30" t="s">
        <v>147</v>
      </c>
      <c r="G1419" s="360">
        <v>8</v>
      </c>
      <c r="H1419" s="30">
        <v>12</v>
      </c>
      <c r="I1419" s="9" t="s">
        <v>767</v>
      </c>
      <c r="J1419" s="9" t="s">
        <v>768</v>
      </c>
      <c r="K1419" s="30">
        <v>2</v>
      </c>
      <c r="L1419" s="9" t="s">
        <v>769</v>
      </c>
      <c r="M1419" s="30" t="s">
        <v>84</v>
      </c>
      <c r="N1419" s="30" t="s">
        <v>151</v>
      </c>
      <c r="O1419" s="24">
        <v>278</v>
      </c>
      <c r="P1419" s="24">
        <v>358</v>
      </c>
      <c r="Q1419" s="24">
        <v>73</v>
      </c>
      <c r="R1419" s="24">
        <v>0</v>
      </c>
      <c r="S1419" s="24">
        <v>0</v>
      </c>
      <c r="T1419" s="24">
        <v>709</v>
      </c>
    </row>
    <row r="1420" spans="1:20">
      <c r="A1420" s="9" t="s">
        <v>975</v>
      </c>
      <c r="B1420" s="30" t="s">
        <v>1042</v>
      </c>
      <c r="C1420" s="30" t="str">
        <f>CONCATENATE(VOL_VOLUMEN_SUMINISTROS[[#This Row],[Proyecto]],VOL_VOLUMEN_SUMINISTROS[[#This Row],[J]],VOL_VOLUMEN_SUMINISTROS[[#This Row],[FIN DE SEMANA]])</f>
        <v>1052-2TNO</v>
      </c>
      <c r="D1420" s="360" t="str">
        <f>CONCATENATE(VOL_VOLUMEN_SUMINISTROS[[#This Row],[Grupo]],VOL_VOLUMEN_SUMINISTROS[[#This Row],[Proyecto]],VOL_VOLUMEN_SUMINISTROS[[#This Row],[FIN DE SEMANA]])</f>
        <v>81052-2NO</v>
      </c>
      <c r="E1420" s="30" t="s">
        <v>182</v>
      </c>
      <c r="F1420" s="30" t="s">
        <v>147</v>
      </c>
      <c r="G1420" s="360">
        <v>8</v>
      </c>
      <c r="H1420" s="30">
        <v>12</v>
      </c>
      <c r="I1420" s="9" t="s">
        <v>767</v>
      </c>
      <c r="J1420" s="9" t="s">
        <v>1018</v>
      </c>
      <c r="K1420" s="30">
        <v>1</v>
      </c>
      <c r="L1420" s="9" t="s">
        <v>1019</v>
      </c>
      <c r="M1420" s="30" t="s">
        <v>84</v>
      </c>
      <c r="N1420" s="30" t="s">
        <v>154</v>
      </c>
      <c r="O1420" s="24">
        <v>0</v>
      </c>
      <c r="P1420" s="24">
        <v>177</v>
      </c>
      <c r="Q1420" s="24">
        <v>194</v>
      </c>
      <c r="R1420" s="24">
        <v>0</v>
      </c>
      <c r="S1420" s="24">
        <v>0</v>
      </c>
      <c r="T1420" s="24">
        <v>371</v>
      </c>
    </row>
    <row r="1421" spans="1:20">
      <c r="A1421" s="9" t="s">
        <v>975</v>
      </c>
      <c r="B1421" s="30" t="s">
        <v>1042</v>
      </c>
      <c r="C1421" s="30" t="str">
        <f>CONCATENATE(VOL_VOLUMEN_SUMINISTROS[[#This Row],[Proyecto]],VOL_VOLUMEN_SUMINISTROS[[#This Row],[J]],VOL_VOLUMEN_SUMINISTROS[[#This Row],[FIN DE SEMANA]])</f>
        <v>1052-2TNO</v>
      </c>
      <c r="D1421" s="360" t="str">
        <f>CONCATENATE(VOL_VOLUMEN_SUMINISTROS[[#This Row],[Grupo]],VOL_VOLUMEN_SUMINISTROS[[#This Row],[Proyecto]],VOL_VOLUMEN_SUMINISTROS[[#This Row],[FIN DE SEMANA]])</f>
        <v>81052-2NO</v>
      </c>
      <c r="E1421" s="30" t="s">
        <v>182</v>
      </c>
      <c r="F1421" s="30" t="s">
        <v>147</v>
      </c>
      <c r="G1421" s="360">
        <v>8</v>
      </c>
      <c r="H1421" s="30">
        <v>12</v>
      </c>
      <c r="I1421" s="9" t="s">
        <v>767</v>
      </c>
      <c r="J1421" s="9" t="s">
        <v>1018</v>
      </c>
      <c r="K1421" s="30">
        <v>3</v>
      </c>
      <c r="L1421" s="9" t="s">
        <v>457</v>
      </c>
      <c r="M1421" s="30" t="s">
        <v>84</v>
      </c>
      <c r="N1421" s="30" t="s">
        <v>154</v>
      </c>
      <c r="O1421" s="24">
        <v>128</v>
      </c>
      <c r="P1421" s="24">
        <v>85</v>
      </c>
      <c r="Q1421" s="24">
        <v>7</v>
      </c>
      <c r="R1421" s="24">
        <v>0</v>
      </c>
      <c r="S1421" s="24">
        <v>0</v>
      </c>
      <c r="T1421" s="24">
        <v>220</v>
      </c>
    </row>
    <row r="1422" spans="1:20">
      <c r="A1422" s="9" t="s">
        <v>975</v>
      </c>
      <c r="B1422" s="30" t="s">
        <v>1042</v>
      </c>
      <c r="C1422" s="30" t="str">
        <f>CONCATENATE(VOL_VOLUMEN_SUMINISTROS[[#This Row],[Proyecto]],VOL_VOLUMEN_SUMINISTROS[[#This Row],[J]],VOL_VOLUMEN_SUMINISTROS[[#This Row],[FIN DE SEMANA]])</f>
        <v>1052-2M1NO</v>
      </c>
      <c r="D1422" s="360" t="str">
        <f>CONCATENATE(VOL_VOLUMEN_SUMINISTROS[[#This Row],[Grupo]],VOL_VOLUMEN_SUMINISTROS[[#This Row],[Proyecto]],VOL_VOLUMEN_SUMINISTROS[[#This Row],[FIN DE SEMANA]])</f>
        <v>81052-2NO</v>
      </c>
      <c r="E1422" s="30" t="s">
        <v>182</v>
      </c>
      <c r="F1422" s="30" t="s">
        <v>147</v>
      </c>
      <c r="G1422" s="360">
        <v>8</v>
      </c>
      <c r="H1422" s="30">
        <v>12</v>
      </c>
      <c r="I1422" s="9" t="s">
        <v>767</v>
      </c>
      <c r="J1422" s="9" t="s">
        <v>1020</v>
      </c>
      <c r="K1422" s="30">
        <v>1</v>
      </c>
      <c r="L1422" s="9" t="s">
        <v>1021</v>
      </c>
      <c r="M1422" s="30" t="s">
        <v>84</v>
      </c>
      <c r="N1422" s="30" t="s">
        <v>215</v>
      </c>
      <c r="O1422" s="24">
        <v>86</v>
      </c>
      <c r="P1422" s="24">
        <v>223</v>
      </c>
      <c r="Q1422" s="24">
        <v>60</v>
      </c>
      <c r="R1422" s="24">
        <v>0</v>
      </c>
      <c r="S1422" s="24">
        <v>0</v>
      </c>
      <c r="T1422" s="24">
        <v>369</v>
      </c>
    </row>
    <row r="1423" spans="1:20">
      <c r="A1423" s="9" t="s">
        <v>975</v>
      </c>
      <c r="B1423" s="30" t="s">
        <v>1042</v>
      </c>
      <c r="C1423" s="30" t="str">
        <f>CONCATENATE(VOL_VOLUMEN_SUMINISTROS[[#This Row],[Proyecto]],VOL_VOLUMEN_SUMINISTROS[[#This Row],[J]],VOL_VOLUMEN_SUMINISTROS[[#This Row],[FIN DE SEMANA]])</f>
        <v>1052-2M1NO</v>
      </c>
      <c r="D1423" s="360" t="str">
        <f>CONCATENATE(VOL_VOLUMEN_SUMINISTROS[[#This Row],[Grupo]],VOL_VOLUMEN_SUMINISTROS[[#This Row],[Proyecto]],VOL_VOLUMEN_SUMINISTROS[[#This Row],[FIN DE SEMANA]])</f>
        <v>81052-2NO</v>
      </c>
      <c r="E1423" s="30" t="s">
        <v>182</v>
      </c>
      <c r="F1423" s="30" t="s">
        <v>147</v>
      </c>
      <c r="G1423" s="360">
        <v>8</v>
      </c>
      <c r="H1423" s="30">
        <v>12</v>
      </c>
      <c r="I1423" s="9" t="s">
        <v>767</v>
      </c>
      <c r="J1423" s="9" t="s">
        <v>1020</v>
      </c>
      <c r="K1423" s="30">
        <v>2</v>
      </c>
      <c r="L1423" s="9" t="s">
        <v>1022</v>
      </c>
      <c r="M1423" s="30" t="s">
        <v>84</v>
      </c>
      <c r="N1423" s="30" t="s">
        <v>215</v>
      </c>
      <c r="O1423" s="24">
        <v>128</v>
      </c>
      <c r="P1423" s="24">
        <v>64</v>
      </c>
      <c r="Q1423" s="24">
        <v>0</v>
      </c>
      <c r="R1423" s="24">
        <v>0</v>
      </c>
      <c r="S1423" s="24">
        <v>0</v>
      </c>
      <c r="T1423" s="24">
        <v>192</v>
      </c>
    </row>
    <row r="1424" spans="1:20">
      <c r="A1424" s="9" t="s">
        <v>975</v>
      </c>
      <c r="B1424" s="30" t="s">
        <v>1042</v>
      </c>
      <c r="C1424" s="30" t="str">
        <f>CONCATENATE(VOL_VOLUMEN_SUMINISTROS[[#This Row],[Proyecto]],VOL_VOLUMEN_SUMINISTROS[[#This Row],[J]],VOL_VOLUMEN_SUMINISTROS[[#This Row],[FIN DE SEMANA]])</f>
        <v>1052-2M1NO</v>
      </c>
      <c r="D1424" s="360" t="str">
        <f>CONCATENATE(VOL_VOLUMEN_SUMINISTROS[[#This Row],[Grupo]],VOL_VOLUMEN_SUMINISTROS[[#This Row],[Proyecto]],VOL_VOLUMEN_SUMINISTROS[[#This Row],[FIN DE SEMANA]])</f>
        <v>81052-2NO</v>
      </c>
      <c r="E1424" s="30" t="s">
        <v>182</v>
      </c>
      <c r="F1424" s="30" t="s">
        <v>147</v>
      </c>
      <c r="G1424" s="360">
        <v>8</v>
      </c>
      <c r="H1424" s="30">
        <v>12</v>
      </c>
      <c r="I1424" s="9" t="s">
        <v>767</v>
      </c>
      <c r="J1424" s="9" t="s">
        <v>1020</v>
      </c>
      <c r="K1424" s="30">
        <v>3</v>
      </c>
      <c r="L1424" s="9" t="s">
        <v>1023</v>
      </c>
      <c r="M1424" s="30" t="s">
        <v>84</v>
      </c>
      <c r="N1424" s="30" t="s">
        <v>215</v>
      </c>
      <c r="O1424" s="24">
        <v>0</v>
      </c>
      <c r="P1424" s="24">
        <v>132</v>
      </c>
      <c r="Q1424" s="24">
        <v>173</v>
      </c>
      <c r="R1424" s="24">
        <v>0</v>
      </c>
      <c r="S1424" s="24">
        <v>0</v>
      </c>
      <c r="T1424" s="24">
        <v>305</v>
      </c>
    </row>
    <row r="1425" spans="1:20">
      <c r="A1425" s="9" t="s">
        <v>975</v>
      </c>
      <c r="B1425" s="30" t="s">
        <v>1042</v>
      </c>
      <c r="C1425" s="30" t="str">
        <f>CONCATENATE(VOL_VOLUMEN_SUMINISTROS[[#This Row],[Proyecto]],VOL_VOLUMEN_SUMINISTROS[[#This Row],[J]],VOL_VOLUMEN_SUMINISTROS[[#This Row],[FIN DE SEMANA]])</f>
        <v>1052-2M1NO</v>
      </c>
      <c r="D1425" s="360" t="str">
        <f>CONCATENATE(VOL_VOLUMEN_SUMINISTROS[[#This Row],[Grupo]],VOL_VOLUMEN_SUMINISTROS[[#This Row],[Proyecto]],VOL_VOLUMEN_SUMINISTROS[[#This Row],[FIN DE SEMANA]])</f>
        <v>81052-2NO</v>
      </c>
      <c r="E1425" s="30" t="s">
        <v>182</v>
      </c>
      <c r="F1425" s="30" t="s">
        <v>147</v>
      </c>
      <c r="G1425" s="360">
        <v>8</v>
      </c>
      <c r="H1425" s="30">
        <v>12</v>
      </c>
      <c r="I1425" s="9" t="s">
        <v>767</v>
      </c>
      <c r="J1425" s="9" t="s">
        <v>1024</v>
      </c>
      <c r="K1425" s="30">
        <v>1</v>
      </c>
      <c r="L1425" s="9" t="s">
        <v>1025</v>
      </c>
      <c r="M1425" s="30" t="s">
        <v>84</v>
      </c>
      <c r="N1425" s="30" t="s">
        <v>215</v>
      </c>
      <c r="O1425" s="24">
        <v>0</v>
      </c>
      <c r="P1425" s="24">
        <v>189</v>
      </c>
      <c r="Q1425" s="24">
        <v>343</v>
      </c>
      <c r="R1425" s="24">
        <v>0</v>
      </c>
      <c r="S1425" s="24">
        <v>0</v>
      </c>
      <c r="T1425" s="24">
        <v>532</v>
      </c>
    </row>
    <row r="1426" spans="1:20">
      <c r="A1426" s="9" t="s">
        <v>975</v>
      </c>
      <c r="B1426" s="30" t="s">
        <v>1042</v>
      </c>
      <c r="C1426" s="30" t="str">
        <f>CONCATENATE(VOL_VOLUMEN_SUMINISTROS[[#This Row],[Proyecto]],VOL_VOLUMEN_SUMINISTROS[[#This Row],[J]],VOL_VOLUMEN_SUMINISTROS[[#This Row],[FIN DE SEMANA]])</f>
        <v>1052-2M1NO</v>
      </c>
      <c r="D1426" s="360" t="str">
        <f>CONCATENATE(VOL_VOLUMEN_SUMINISTROS[[#This Row],[Grupo]],VOL_VOLUMEN_SUMINISTROS[[#This Row],[Proyecto]],VOL_VOLUMEN_SUMINISTROS[[#This Row],[FIN DE SEMANA]])</f>
        <v>81052-2NO</v>
      </c>
      <c r="E1426" s="30" t="s">
        <v>182</v>
      </c>
      <c r="F1426" s="30" t="s">
        <v>147</v>
      </c>
      <c r="G1426" s="360">
        <v>8</v>
      </c>
      <c r="H1426" s="30">
        <v>12</v>
      </c>
      <c r="I1426" s="9" t="s">
        <v>767</v>
      </c>
      <c r="J1426" s="9" t="s">
        <v>1024</v>
      </c>
      <c r="K1426" s="30">
        <v>2</v>
      </c>
      <c r="L1426" s="9" t="s">
        <v>1026</v>
      </c>
      <c r="M1426" s="30" t="s">
        <v>84</v>
      </c>
      <c r="N1426" s="30" t="s">
        <v>215</v>
      </c>
      <c r="O1426" s="24">
        <v>210</v>
      </c>
      <c r="P1426" s="24">
        <v>186</v>
      </c>
      <c r="Q1426" s="24">
        <v>27</v>
      </c>
      <c r="R1426" s="24">
        <v>0</v>
      </c>
      <c r="S1426" s="24">
        <v>0</v>
      </c>
      <c r="T1426" s="24">
        <v>423</v>
      </c>
    </row>
    <row r="1427" spans="1:20">
      <c r="A1427" s="9" t="s">
        <v>975</v>
      </c>
      <c r="B1427" s="30" t="s">
        <v>1042</v>
      </c>
      <c r="C1427" s="30" t="str">
        <f>CONCATENATE(VOL_VOLUMEN_SUMINISTROS[[#This Row],[Proyecto]],VOL_VOLUMEN_SUMINISTROS[[#This Row],[J]],VOL_VOLUMEN_SUMINISTROS[[#This Row],[FIN DE SEMANA]])</f>
        <v>1052-2M1NO</v>
      </c>
      <c r="D1427" s="360" t="str">
        <f>CONCATENATE(VOL_VOLUMEN_SUMINISTROS[[#This Row],[Grupo]],VOL_VOLUMEN_SUMINISTROS[[#This Row],[Proyecto]],VOL_VOLUMEN_SUMINISTROS[[#This Row],[FIN DE SEMANA]])</f>
        <v>81052-2NO</v>
      </c>
      <c r="E1427" s="30" t="s">
        <v>182</v>
      </c>
      <c r="F1427" s="30" t="s">
        <v>147</v>
      </c>
      <c r="G1427" s="360">
        <v>8</v>
      </c>
      <c r="H1427" s="30">
        <v>12</v>
      </c>
      <c r="I1427" s="9" t="s">
        <v>767</v>
      </c>
      <c r="J1427" s="9" t="s">
        <v>1043</v>
      </c>
      <c r="K1427" s="30">
        <v>1</v>
      </c>
      <c r="L1427" s="9" t="s">
        <v>1044</v>
      </c>
      <c r="M1427" s="30" t="s">
        <v>84</v>
      </c>
      <c r="N1427" s="30" t="s">
        <v>215</v>
      </c>
      <c r="O1427" s="24">
        <v>0</v>
      </c>
      <c r="P1427" s="24">
        <v>45</v>
      </c>
      <c r="Q1427" s="24">
        <v>15</v>
      </c>
      <c r="R1427" s="24">
        <v>0</v>
      </c>
      <c r="S1427" s="24">
        <v>0</v>
      </c>
      <c r="T1427" s="24">
        <v>60</v>
      </c>
    </row>
    <row r="1428" spans="1:20">
      <c r="A1428" s="9" t="s">
        <v>975</v>
      </c>
      <c r="B1428" s="30" t="s">
        <v>1042</v>
      </c>
      <c r="C1428" s="30" t="str">
        <f>CONCATENATE(VOL_VOLUMEN_SUMINISTROS[[#This Row],[Proyecto]],VOL_VOLUMEN_SUMINISTROS[[#This Row],[J]],VOL_VOLUMEN_SUMINISTROS[[#This Row],[FIN DE SEMANA]])</f>
        <v>1052-2M1NO</v>
      </c>
      <c r="D1428" s="360" t="str">
        <f>CONCATENATE(VOL_VOLUMEN_SUMINISTROS[[#This Row],[Grupo]],VOL_VOLUMEN_SUMINISTROS[[#This Row],[Proyecto]],VOL_VOLUMEN_SUMINISTROS[[#This Row],[FIN DE SEMANA]])</f>
        <v>81052-2NO</v>
      </c>
      <c r="E1428" s="30" t="s">
        <v>182</v>
      </c>
      <c r="F1428" s="30" t="s">
        <v>147</v>
      </c>
      <c r="G1428" s="360">
        <v>8</v>
      </c>
      <c r="H1428" s="30">
        <v>12</v>
      </c>
      <c r="I1428" s="9" t="s">
        <v>767</v>
      </c>
      <c r="J1428" s="9" t="s">
        <v>1043</v>
      </c>
      <c r="K1428" s="30">
        <v>2</v>
      </c>
      <c r="L1428" s="9" t="s">
        <v>1045</v>
      </c>
      <c r="M1428" s="30" t="s">
        <v>84</v>
      </c>
      <c r="N1428" s="30" t="s">
        <v>215</v>
      </c>
      <c r="O1428" s="24">
        <v>208</v>
      </c>
      <c r="P1428" s="24">
        <v>269</v>
      </c>
      <c r="Q1428" s="24">
        <v>55</v>
      </c>
      <c r="R1428" s="24">
        <v>0</v>
      </c>
      <c r="S1428" s="24">
        <v>0</v>
      </c>
      <c r="T1428" s="24">
        <v>532</v>
      </c>
    </row>
    <row r="1429" spans="1:20">
      <c r="A1429" s="9" t="s">
        <v>975</v>
      </c>
      <c r="B1429" s="30" t="s">
        <v>1042</v>
      </c>
      <c r="C1429" s="30" t="str">
        <f>CONCATENATE(VOL_VOLUMEN_SUMINISTROS[[#This Row],[Proyecto]],VOL_VOLUMEN_SUMINISTROS[[#This Row],[J]],VOL_VOLUMEN_SUMINISTROS[[#This Row],[FIN DE SEMANA]])</f>
        <v>1052-2TNO</v>
      </c>
      <c r="D1429" s="360" t="str">
        <f>CONCATENATE(VOL_VOLUMEN_SUMINISTROS[[#This Row],[Grupo]],VOL_VOLUMEN_SUMINISTROS[[#This Row],[Proyecto]],VOL_VOLUMEN_SUMINISTROS[[#This Row],[FIN DE SEMANA]])</f>
        <v>81052-2NO</v>
      </c>
      <c r="E1429" s="30" t="s">
        <v>182</v>
      </c>
      <c r="F1429" s="30" t="s">
        <v>147</v>
      </c>
      <c r="G1429" s="360">
        <v>8</v>
      </c>
      <c r="H1429" s="30">
        <v>12</v>
      </c>
      <c r="I1429" s="9" t="s">
        <v>767</v>
      </c>
      <c r="J1429" s="9" t="s">
        <v>1043</v>
      </c>
      <c r="K1429" s="30">
        <v>2</v>
      </c>
      <c r="L1429" s="9" t="s">
        <v>1045</v>
      </c>
      <c r="M1429" s="30" t="s">
        <v>84</v>
      </c>
      <c r="N1429" s="30" t="s">
        <v>154</v>
      </c>
      <c r="O1429" s="24">
        <v>196</v>
      </c>
      <c r="P1429" s="24">
        <v>242</v>
      </c>
      <c r="Q1429" s="24">
        <v>48</v>
      </c>
      <c r="R1429" s="24">
        <v>0</v>
      </c>
      <c r="S1429" s="24">
        <v>0</v>
      </c>
      <c r="T1429" s="24">
        <v>486</v>
      </c>
    </row>
    <row r="1430" spans="1:20">
      <c r="A1430" s="9" t="s">
        <v>975</v>
      </c>
      <c r="B1430" s="30" t="s">
        <v>1042</v>
      </c>
      <c r="C1430" s="30" t="str">
        <f>CONCATENATE(VOL_VOLUMEN_SUMINISTROS[[#This Row],[Proyecto]],VOL_VOLUMEN_SUMINISTROS[[#This Row],[J]],VOL_VOLUMEN_SUMINISTROS[[#This Row],[FIN DE SEMANA]])</f>
        <v>1052-2MNO</v>
      </c>
      <c r="D1430" s="360" t="str">
        <f>CONCATENATE(VOL_VOLUMEN_SUMINISTROS[[#This Row],[Grupo]],VOL_VOLUMEN_SUMINISTROS[[#This Row],[Proyecto]],VOL_VOLUMEN_SUMINISTROS[[#This Row],[FIN DE SEMANA]])</f>
        <v>81052-2NO</v>
      </c>
      <c r="E1430" s="30" t="s">
        <v>182</v>
      </c>
      <c r="F1430" s="30" t="s">
        <v>147</v>
      </c>
      <c r="G1430" s="360">
        <v>8</v>
      </c>
      <c r="H1430" s="30">
        <v>13</v>
      </c>
      <c r="I1430" s="9" t="s">
        <v>1028</v>
      </c>
      <c r="J1430" s="9" t="s">
        <v>1029</v>
      </c>
      <c r="K1430" s="30">
        <v>1</v>
      </c>
      <c r="L1430" s="9" t="s">
        <v>1030</v>
      </c>
      <c r="M1430" s="30" t="s">
        <v>84</v>
      </c>
      <c r="N1430" s="30" t="s">
        <v>151</v>
      </c>
      <c r="O1430" s="24">
        <v>0</v>
      </c>
      <c r="P1430" s="24">
        <v>114</v>
      </c>
      <c r="Q1430" s="24">
        <v>188</v>
      </c>
      <c r="R1430" s="24">
        <v>0</v>
      </c>
      <c r="S1430" s="24">
        <v>0</v>
      </c>
      <c r="T1430" s="24">
        <v>302</v>
      </c>
    </row>
    <row r="1431" spans="1:20">
      <c r="A1431" s="9" t="s">
        <v>975</v>
      </c>
      <c r="B1431" s="30" t="s">
        <v>1042</v>
      </c>
      <c r="C1431" s="30" t="str">
        <f>CONCATENATE(VOL_VOLUMEN_SUMINISTROS[[#This Row],[Proyecto]],VOL_VOLUMEN_SUMINISTROS[[#This Row],[J]],VOL_VOLUMEN_SUMINISTROS[[#This Row],[FIN DE SEMANA]])</f>
        <v>1052-2TNO</v>
      </c>
      <c r="D1431" s="360" t="str">
        <f>CONCATENATE(VOL_VOLUMEN_SUMINISTROS[[#This Row],[Grupo]],VOL_VOLUMEN_SUMINISTROS[[#This Row],[Proyecto]],VOL_VOLUMEN_SUMINISTROS[[#This Row],[FIN DE SEMANA]])</f>
        <v>81052-2NO</v>
      </c>
      <c r="E1431" s="30" t="s">
        <v>182</v>
      </c>
      <c r="F1431" s="30" t="s">
        <v>147</v>
      </c>
      <c r="G1431" s="360">
        <v>8</v>
      </c>
      <c r="H1431" s="30">
        <v>13</v>
      </c>
      <c r="I1431" s="9" t="s">
        <v>1028</v>
      </c>
      <c r="J1431" s="9" t="s">
        <v>1029</v>
      </c>
      <c r="K1431" s="30">
        <v>1</v>
      </c>
      <c r="L1431" s="9" t="s">
        <v>1030</v>
      </c>
      <c r="M1431" s="30" t="s">
        <v>84</v>
      </c>
      <c r="N1431" s="30" t="s">
        <v>154</v>
      </c>
      <c r="O1431" s="24">
        <v>0</v>
      </c>
      <c r="P1431" s="24">
        <v>141</v>
      </c>
      <c r="Q1431" s="24">
        <v>100</v>
      </c>
      <c r="R1431" s="24">
        <v>0</v>
      </c>
      <c r="S1431" s="24">
        <v>0</v>
      </c>
      <c r="T1431" s="24">
        <v>241</v>
      </c>
    </row>
    <row r="1432" spans="1:20">
      <c r="A1432" s="9" t="s">
        <v>975</v>
      </c>
      <c r="B1432" s="30" t="s">
        <v>1042</v>
      </c>
      <c r="C1432" s="30" t="str">
        <f>CONCATENATE(VOL_VOLUMEN_SUMINISTROS[[#This Row],[Proyecto]],VOL_VOLUMEN_SUMINISTROS[[#This Row],[J]],VOL_VOLUMEN_SUMINISTROS[[#This Row],[FIN DE SEMANA]])</f>
        <v>1052-2M1NO</v>
      </c>
      <c r="D1432" s="360" t="str">
        <f>CONCATENATE(VOL_VOLUMEN_SUMINISTROS[[#This Row],[Grupo]],VOL_VOLUMEN_SUMINISTROS[[#This Row],[Proyecto]],VOL_VOLUMEN_SUMINISTROS[[#This Row],[FIN DE SEMANA]])</f>
        <v>81052-2NO</v>
      </c>
      <c r="E1432" s="30" t="s">
        <v>182</v>
      </c>
      <c r="F1432" s="30" t="s">
        <v>147</v>
      </c>
      <c r="G1432" s="360">
        <v>8</v>
      </c>
      <c r="H1432" s="30">
        <v>2</v>
      </c>
      <c r="I1432" s="9" t="s">
        <v>1032</v>
      </c>
      <c r="J1432" s="9" t="s">
        <v>1033</v>
      </c>
      <c r="K1432" s="30">
        <v>2</v>
      </c>
      <c r="L1432" s="9" t="s">
        <v>1034</v>
      </c>
      <c r="M1432" s="30" t="s">
        <v>84</v>
      </c>
      <c r="N1432" s="30" t="s">
        <v>215</v>
      </c>
      <c r="O1432" s="24">
        <v>116</v>
      </c>
      <c r="P1432" s="24">
        <v>145</v>
      </c>
      <c r="Q1432" s="24">
        <v>29</v>
      </c>
      <c r="R1432" s="24">
        <v>0</v>
      </c>
      <c r="S1432" s="24">
        <v>0</v>
      </c>
      <c r="T1432" s="24">
        <v>290</v>
      </c>
    </row>
    <row r="1433" spans="1:20">
      <c r="A1433" s="9" t="s">
        <v>975</v>
      </c>
      <c r="B1433" s="30" t="s">
        <v>1042</v>
      </c>
      <c r="C1433" s="30" t="str">
        <f>CONCATENATE(VOL_VOLUMEN_SUMINISTROS[[#This Row],[Proyecto]],VOL_VOLUMEN_SUMINISTROS[[#This Row],[J]],VOL_VOLUMEN_SUMINISTROS[[#This Row],[FIN DE SEMANA]])</f>
        <v>1052-2M1NO</v>
      </c>
      <c r="D1433" s="360" t="str">
        <f>CONCATENATE(VOL_VOLUMEN_SUMINISTROS[[#This Row],[Grupo]],VOL_VOLUMEN_SUMINISTROS[[#This Row],[Proyecto]],VOL_VOLUMEN_SUMINISTROS[[#This Row],[FIN DE SEMANA]])</f>
        <v>81052-2NO</v>
      </c>
      <c r="E1433" s="30" t="s">
        <v>182</v>
      </c>
      <c r="F1433" s="30" t="s">
        <v>147</v>
      </c>
      <c r="G1433" s="360">
        <v>8</v>
      </c>
      <c r="H1433" s="30">
        <v>2</v>
      </c>
      <c r="I1433" s="9" t="s">
        <v>1032</v>
      </c>
      <c r="J1433" s="9" t="s">
        <v>1033</v>
      </c>
      <c r="K1433" s="30">
        <v>3</v>
      </c>
      <c r="L1433" s="9" t="s">
        <v>1035</v>
      </c>
      <c r="M1433" s="30" t="s">
        <v>84</v>
      </c>
      <c r="N1433" s="30" t="s">
        <v>215</v>
      </c>
      <c r="O1433" s="24">
        <v>64</v>
      </c>
      <c r="P1433" s="24">
        <v>71</v>
      </c>
      <c r="Q1433" s="24">
        <v>13</v>
      </c>
      <c r="R1433" s="24">
        <v>0</v>
      </c>
      <c r="S1433" s="24">
        <v>0</v>
      </c>
      <c r="T1433" s="24">
        <v>148</v>
      </c>
    </row>
    <row r="1434" spans="1:20">
      <c r="A1434" s="9" t="s">
        <v>975</v>
      </c>
      <c r="B1434" s="30" t="s">
        <v>1042</v>
      </c>
      <c r="C1434" s="30" t="str">
        <f>CONCATENATE(VOL_VOLUMEN_SUMINISTROS[[#This Row],[Proyecto]],VOL_VOLUMEN_SUMINISTROS[[#This Row],[J]],VOL_VOLUMEN_SUMINISTROS[[#This Row],[FIN DE SEMANA]])</f>
        <v>1052-2M1NO</v>
      </c>
      <c r="D1434" s="360" t="str">
        <f>CONCATENATE(VOL_VOLUMEN_SUMINISTROS[[#This Row],[Grupo]],VOL_VOLUMEN_SUMINISTROS[[#This Row],[Proyecto]],VOL_VOLUMEN_SUMINISTROS[[#This Row],[FIN DE SEMANA]])</f>
        <v>81052-2NO</v>
      </c>
      <c r="E1434" s="30" t="s">
        <v>182</v>
      </c>
      <c r="F1434" s="30" t="s">
        <v>147</v>
      </c>
      <c r="G1434" s="360">
        <v>8</v>
      </c>
      <c r="H1434" s="30">
        <v>2</v>
      </c>
      <c r="I1434" s="9" t="s">
        <v>1032</v>
      </c>
      <c r="J1434" s="9" t="s">
        <v>1036</v>
      </c>
      <c r="K1434" s="30">
        <v>1</v>
      </c>
      <c r="L1434" s="9" t="s">
        <v>1037</v>
      </c>
      <c r="M1434" s="30" t="s">
        <v>84</v>
      </c>
      <c r="N1434" s="30" t="s">
        <v>215</v>
      </c>
      <c r="O1434" s="24">
        <v>28</v>
      </c>
      <c r="P1434" s="24">
        <v>119</v>
      </c>
      <c r="Q1434" s="24">
        <v>55</v>
      </c>
      <c r="R1434" s="24">
        <v>0</v>
      </c>
      <c r="S1434" s="24">
        <v>0</v>
      </c>
      <c r="T1434" s="24">
        <v>202</v>
      </c>
    </row>
    <row r="1435" spans="1:20">
      <c r="A1435" s="9" t="s">
        <v>975</v>
      </c>
      <c r="B1435" s="30" t="s">
        <v>1042</v>
      </c>
      <c r="C1435" s="30" t="str">
        <f>CONCATENATE(VOL_VOLUMEN_SUMINISTROS[[#This Row],[Proyecto]],VOL_VOLUMEN_SUMINISTROS[[#This Row],[J]],VOL_VOLUMEN_SUMINISTROS[[#This Row],[FIN DE SEMANA]])</f>
        <v>1052-2M1NO</v>
      </c>
      <c r="D1435" s="360" t="str">
        <f>CONCATENATE(VOL_VOLUMEN_SUMINISTROS[[#This Row],[Grupo]],VOL_VOLUMEN_SUMINISTROS[[#This Row],[Proyecto]],VOL_VOLUMEN_SUMINISTROS[[#This Row],[FIN DE SEMANA]])</f>
        <v>81052-2NO</v>
      </c>
      <c r="E1435" s="30" t="s">
        <v>182</v>
      </c>
      <c r="F1435" s="30" t="s">
        <v>147</v>
      </c>
      <c r="G1435" s="360">
        <v>8</v>
      </c>
      <c r="H1435" s="30">
        <v>2</v>
      </c>
      <c r="I1435" s="9" t="s">
        <v>1032</v>
      </c>
      <c r="J1435" s="9" t="s">
        <v>1036</v>
      </c>
      <c r="K1435" s="30">
        <v>2</v>
      </c>
      <c r="L1435" s="9" t="s">
        <v>1038</v>
      </c>
      <c r="M1435" s="30" t="s">
        <v>84</v>
      </c>
      <c r="N1435" s="30" t="s">
        <v>215</v>
      </c>
      <c r="O1435" s="24">
        <v>58</v>
      </c>
      <c r="P1435" s="24">
        <v>65</v>
      </c>
      <c r="Q1435" s="24">
        <v>12</v>
      </c>
      <c r="R1435" s="24">
        <v>0</v>
      </c>
      <c r="S1435" s="24">
        <v>0</v>
      </c>
      <c r="T1435" s="24">
        <v>135</v>
      </c>
    </row>
    <row r="1436" spans="1:20">
      <c r="A1436" s="9" t="s">
        <v>975</v>
      </c>
      <c r="B1436" s="30" t="s">
        <v>1042</v>
      </c>
      <c r="C1436" s="30" t="str">
        <f>CONCATENATE(VOL_VOLUMEN_SUMINISTROS[[#This Row],[Proyecto]],VOL_VOLUMEN_SUMINISTROS[[#This Row],[J]],VOL_VOLUMEN_SUMINISTROS[[#This Row],[FIN DE SEMANA]])</f>
        <v>1052-2MNO</v>
      </c>
      <c r="D1436" s="360" t="str">
        <f>CONCATENATE(VOL_VOLUMEN_SUMINISTROS[[#This Row],[Grupo]],VOL_VOLUMEN_SUMINISTROS[[#This Row],[Proyecto]],VOL_VOLUMEN_SUMINISTROS[[#This Row],[FIN DE SEMANA]])</f>
        <v>81052-2NO</v>
      </c>
      <c r="E1436" s="30" t="s">
        <v>182</v>
      </c>
      <c r="F1436" s="30" t="s">
        <v>147</v>
      </c>
      <c r="G1436" s="360">
        <v>8</v>
      </c>
      <c r="H1436" s="30">
        <v>2</v>
      </c>
      <c r="I1436" s="9" t="s">
        <v>1032</v>
      </c>
      <c r="J1436" s="9" t="s">
        <v>1039</v>
      </c>
      <c r="K1436" s="30">
        <v>1</v>
      </c>
      <c r="L1436" s="9" t="s">
        <v>1040</v>
      </c>
      <c r="M1436" s="30" t="s">
        <v>84</v>
      </c>
      <c r="N1436" s="30" t="s">
        <v>151</v>
      </c>
      <c r="O1436" s="24">
        <v>0</v>
      </c>
      <c r="P1436" s="24">
        <v>90</v>
      </c>
      <c r="Q1436" s="24">
        <v>190</v>
      </c>
      <c r="R1436" s="24">
        <v>0</v>
      </c>
      <c r="S1436" s="24">
        <v>0</v>
      </c>
      <c r="T1436" s="24">
        <v>280</v>
      </c>
    </row>
    <row r="1437" spans="1:20">
      <c r="A1437" s="9" t="s">
        <v>975</v>
      </c>
      <c r="B1437" s="30" t="s">
        <v>1042</v>
      </c>
      <c r="C1437" s="30" t="str">
        <f>CONCATENATE(VOL_VOLUMEN_SUMINISTROS[[#This Row],[Proyecto]],VOL_VOLUMEN_SUMINISTROS[[#This Row],[J]],VOL_VOLUMEN_SUMINISTROS[[#This Row],[FIN DE SEMANA]])</f>
        <v>1052-2TNO</v>
      </c>
      <c r="D1437" s="360" t="str">
        <f>CONCATENATE(VOL_VOLUMEN_SUMINISTROS[[#This Row],[Grupo]],VOL_VOLUMEN_SUMINISTROS[[#This Row],[Proyecto]],VOL_VOLUMEN_SUMINISTROS[[#This Row],[FIN DE SEMANA]])</f>
        <v>81052-2NO</v>
      </c>
      <c r="E1437" s="30" t="s">
        <v>182</v>
      </c>
      <c r="F1437" s="30" t="s">
        <v>147</v>
      </c>
      <c r="G1437" s="360">
        <v>8</v>
      </c>
      <c r="H1437" s="30">
        <v>2</v>
      </c>
      <c r="I1437" s="9" t="s">
        <v>1032</v>
      </c>
      <c r="J1437" s="9" t="s">
        <v>1039</v>
      </c>
      <c r="K1437" s="30">
        <v>1</v>
      </c>
      <c r="L1437" s="9" t="s">
        <v>1040</v>
      </c>
      <c r="M1437" s="30" t="s">
        <v>84</v>
      </c>
      <c r="N1437" s="30" t="s">
        <v>154</v>
      </c>
      <c r="O1437" s="24">
        <v>0</v>
      </c>
      <c r="P1437" s="24">
        <v>96</v>
      </c>
      <c r="Q1437" s="24">
        <v>207</v>
      </c>
      <c r="R1437" s="24">
        <v>0</v>
      </c>
      <c r="S1437" s="24">
        <v>0</v>
      </c>
      <c r="T1437" s="24">
        <v>303</v>
      </c>
    </row>
    <row r="1438" spans="1:20">
      <c r="A1438" s="9" t="s">
        <v>975</v>
      </c>
      <c r="B1438" s="30" t="s">
        <v>1046</v>
      </c>
      <c r="C1438" s="30" t="str">
        <f>CONCATENATE(VOL_VOLUMEN_SUMINISTROS[[#This Row],[Proyecto]],VOL_VOLUMEN_SUMINISTROS[[#This Row],[J]],VOL_VOLUMEN_SUMINISTROS[[#This Row],[FIN DE SEMANA]])</f>
        <v>1052-2MNO</v>
      </c>
      <c r="D1438" s="360" t="str">
        <f>CONCATENATE(VOL_VOLUMEN_SUMINISTROS[[#This Row],[Grupo]],VOL_VOLUMEN_SUMINISTROS[[#This Row],[Proyecto]],VOL_VOLUMEN_SUMINISTROS[[#This Row],[FIN DE SEMANA]])</f>
        <v>81052-2NO</v>
      </c>
      <c r="E1438" s="30" t="s">
        <v>182</v>
      </c>
      <c r="F1438" s="30" t="s">
        <v>147</v>
      </c>
      <c r="G1438" s="360">
        <v>8</v>
      </c>
      <c r="H1438" s="30">
        <v>12</v>
      </c>
      <c r="I1438" s="9" t="s">
        <v>767</v>
      </c>
      <c r="J1438" s="9" t="s">
        <v>1010</v>
      </c>
      <c r="K1438" s="30">
        <v>1</v>
      </c>
      <c r="L1438" s="9" t="s">
        <v>1011</v>
      </c>
      <c r="M1438" s="30" t="s">
        <v>84</v>
      </c>
      <c r="N1438" s="30" t="s">
        <v>151</v>
      </c>
      <c r="O1438" s="24">
        <v>0</v>
      </c>
      <c r="P1438" s="24">
        <v>0</v>
      </c>
      <c r="Q1438" s="24">
        <v>138</v>
      </c>
      <c r="R1438" s="24">
        <v>0</v>
      </c>
      <c r="S1438" s="24">
        <v>0</v>
      </c>
      <c r="T1438" s="24">
        <v>138</v>
      </c>
    </row>
    <row r="1439" spans="1:20">
      <c r="A1439" s="9" t="s">
        <v>975</v>
      </c>
      <c r="B1439" s="30" t="s">
        <v>1046</v>
      </c>
      <c r="C1439" s="30" t="str">
        <f>CONCATENATE(VOL_VOLUMEN_SUMINISTROS[[#This Row],[Proyecto]],VOL_VOLUMEN_SUMINISTROS[[#This Row],[J]],VOL_VOLUMEN_SUMINISTROS[[#This Row],[FIN DE SEMANA]])</f>
        <v>1052-2TNO</v>
      </c>
      <c r="D1439" s="360" t="str">
        <f>CONCATENATE(VOL_VOLUMEN_SUMINISTROS[[#This Row],[Grupo]],VOL_VOLUMEN_SUMINISTROS[[#This Row],[Proyecto]],VOL_VOLUMEN_SUMINISTROS[[#This Row],[FIN DE SEMANA]])</f>
        <v>81052-2NO</v>
      </c>
      <c r="E1439" s="30" t="s">
        <v>182</v>
      </c>
      <c r="F1439" s="30" t="s">
        <v>147</v>
      </c>
      <c r="G1439" s="360">
        <v>8</v>
      </c>
      <c r="H1439" s="30">
        <v>12</v>
      </c>
      <c r="I1439" s="9" t="s">
        <v>767</v>
      </c>
      <c r="J1439" s="9" t="s">
        <v>1010</v>
      </c>
      <c r="K1439" s="30">
        <v>1</v>
      </c>
      <c r="L1439" s="9" t="s">
        <v>1011</v>
      </c>
      <c r="M1439" s="30" t="s">
        <v>84</v>
      </c>
      <c r="N1439" s="30" t="s">
        <v>154</v>
      </c>
      <c r="O1439" s="24">
        <v>0</v>
      </c>
      <c r="P1439" s="24">
        <v>0</v>
      </c>
      <c r="Q1439" s="24">
        <v>73</v>
      </c>
      <c r="R1439" s="24">
        <v>0</v>
      </c>
      <c r="S1439" s="24">
        <v>0</v>
      </c>
      <c r="T1439" s="24">
        <v>73</v>
      </c>
    </row>
    <row r="1440" spans="1:20">
      <c r="A1440" s="9" t="s">
        <v>975</v>
      </c>
      <c r="B1440" s="30" t="s">
        <v>1046</v>
      </c>
      <c r="C1440" s="30" t="str">
        <f>CONCATENATE(VOL_VOLUMEN_SUMINISTROS[[#This Row],[Proyecto]],VOL_VOLUMEN_SUMINISTROS[[#This Row],[J]],VOL_VOLUMEN_SUMINISTROS[[#This Row],[FIN DE SEMANA]])</f>
        <v>1052-2MNO</v>
      </c>
      <c r="D1440" s="360" t="str">
        <f>CONCATENATE(VOL_VOLUMEN_SUMINISTROS[[#This Row],[Grupo]],VOL_VOLUMEN_SUMINISTROS[[#This Row],[Proyecto]],VOL_VOLUMEN_SUMINISTROS[[#This Row],[FIN DE SEMANA]])</f>
        <v>81052-2NO</v>
      </c>
      <c r="E1440" s="30" t="s">
        <v>182</v>
      </c>
      <c r="F1440" s="30" t="s">
        <v>147</v>
      </c>
      <c r="G1440" s="360">
        <v>8</v>
      </c>
      <c r="H1440" s="30">
        <v>12</v>
      </c>
      <c r="I1440" s="9" t="s">
        <v>767</v>
      </c>
      <c r="J1440" s="9" t="s">
        <v>1015</v>
      </c>
      <c r="K1440" s="30">
        <v>1</v>
      </c>
      <c r="L1440" s="9" t="s">
        <v>152</v>
      </c>
      <c r="M1440" s="30" t="s">
        <v>84</v>
      </c>
      <c r="N1440" s="30" t="s">
        <v>151</v>
      </c>
      <c r="O1440" s="24">
        <v>0</v>
      </c>
      <c r="P1440" s="24">
        <v>0</v>
      </c>
      <c r="Q1440" s="24">
        <v>57</v>
      </c>
      <c r="R1440" s="24">
        <v>0</v>
      </c>
      <c r="S1440" s="24">
        <v>0</v>
      </c>
      <c r="T1440" s="24">
        <v>57</v>
      </c>
    </row>
    <row r="1441" spans="1:20">
      <c r="A1441" s="9" t="s">
        <v>975</v>
      </c>
      <c r="B1441" s="30" t="s">
        <v>1046</v>
      </c>
      <c r="C1441" s="30" t="str">
        <f>CONCATENATE(VOL_VOLUMEN_SUMINISTROS[[#This Row],[Proyecto]],VOL_VOLUMEN_SUMINISTROS[[#This Row],[J]],VOL_VOLUMEN_SUMINISTROS[[#This Row],[FIN DE SEMANA]])</f>
        <v>1052-2TNO</v>
      </c>
      <c r="D1441" s="360" t="str">
        <f>CONCATENATE(VOL_VOLUMEN_SUMINISTROS[[#This Row],[Grupo]],VOL_VOLUMEN_SUMINISTROS[[#This Row],[Proyecto]],VOL_VOLUMEN_SUMINISTROS[[#This Row],[FIN DE SEMANA]])</f>
        <v>81052-2NO</v>
      </c>
      <c r="E1441" s="30" t="s">
        <v>182</v>
      </c>
      <c r="F1441" s="30" t="s">
        <v>147</v>
      </c>
      <c r="G1441" s="360">
        <v>8</v>
      </c>
      <c r="H1441" s="30">
        <v>12</v>
      </c>
      <c r="I1441" s="9" t="s">
        <v>767</v>
      </c>
      <c r="J1441" s="9" t="s">
        <v>1015</v>
      </c>
      <c r="K1441" s="30">
        <v>1</v>
      </c>
      <c r="L1441" s="9" t="s">
        <v>152</v>
      </c>
      <c r="M1441" s="30" t="s">
        <v>84</v>
      </c>
      <c r="N1441" s="30" t="s">
        <v>154</v>
      </c>
      <c r="O1441" s="24">
        <v>0</v>
      </c>
      <c r="P1441" s="24">
        <v>0</v>
      </c>
      <c r="Q1441" s="24">
        <v>76</v>
      </c>
      <c r="R1441" s="24">
        <v>0</v>
      </c>
      <c r="S1441" s="24">
        <v>0</v>
      </c>
      <c r="T1441" s="24">
        <v>76</v>
      </c>
    </row>
    <row r="1442" spans="1:20">
      <c r="A1442" s="9" t="s">
        <v>975</v>
      </c>
      <c r="B1442" s="30" t="s">
        <v>1046</v>
      </c>
      <c r="C1442" s="30" t="str">
        <f>CONCATENATE(VOL_VOLUMEN_SUMINISTROS[[#This Row],[Proyecto]],VOL_VOLUMEN_SUMINISTROS[[#This Row],[J]],VOL_VOLUMEN_SUMINISTROS[[#This Row],[FIN DE SEMANA]])</f>
        <v>1052-2M1NO</v>
      </c>
      <c r="D1442" s="360" t="str">
        <f>CONCATENATE(VOL_VOLUMEN_SUMINISTROS[[#This Row],[Grupo]],VOL_VOLUMEN_SUMINISTROS[[#This Row],[Proyecto]],VOL_VOLUMEN_SUMINISTROS[[#This Row],[FIN DE SEMANA]])</f>
        <v>81052-2NO</v>
      </c>
      <c r="E1442" s="30" t="s">
        <v>182</v>
      </c>
      <c r="F1442" s="30" t="s">
        <v>147</v>
      </c>
      <c r="G1442" s="360">
        <v>8</v>
      </c>
      <c r="H1442" s="30">
        <v>12</v>
      </c>
      <c r="I1442" s="9" t="s">
        <v>767</v>
      </c>
      <c r="J1442" s="9" t="s">
        <v>1024</v>
      </c>
      <c r="K1442" s="30">
        <v>1</v>
      </c>
      <c r="L1442" s="9" t="s">
        <v>1025</v>
      </c>
      <c r="M1442" s="30" t="s">
        <v>84</v>
      </c>
      <c r="N1442" s="30" t="s">
        <v>215</v>
      </c>
      <c r="O1442" s="24">
        <v>0</v>
      </c>
      <c r="P1442" s="24">
        <v>0</v>
      </c>
      <c r="Q1442" s="24">
        <v>47</v>
      </c>
      <c r="R1442" s="24">
        <v>0</v>
      </c>
      <c r="S1442" s="24">
        <v>0</v>
      </c>
      <c r="T1442" s="24">
        <v>47</v>
      </c>
    </row>
    <row r="1443" spans="1:20">
      <c r="A1443" s="9" t="s">
        <v>975</v>
      </c>
      <c r="B1443" s="30" t="s">
        <v>1046</v>
      </c>
      <c r="C1443" s="30" t="str">
        <f>CONCATENATE(VOL_VOLUMEN_SUMINISTROS[[#This Row],[Proyecto]],VOL_VOLUMEN_SUMINISTROS[[#This Row],[J]],VOL_VOLUMEN_SUMINISTROS[[#This Row],[FIN DE SEMANA]])</f>
        <v>1052-2M1NO</v>
      </c>
      <c r="D1443" s="360" t="str">
        <f>CONCATENATE(VOL_VOLUMEN_SUMINISTROS[[#This Row],[Grupo]],VOL_VOLUMEN_SUMINISTROS[[#This Row],[Proyecto]],VOL_VOLUMEN_SUMINISTROS[[#This Row],[FIN DE SEMANA]])</f>
        <v>81052-2NO</v>
      </c>
      <c r="E1443" s="30" t="s">
        <v>182</v>
      </c>
      <c r="F1443" s="30" t="s">
        <v>147</v>
      </c>
      <c r="G1443" s="360">
        <v>8</v>
      </c>
      <c r="H1443" s="30">
        <v>12</v>
      </c>
      <c r="I1443" s="9" t="s">
        <v>767</v>
      </c>
      <c r="J1443" s="9" t="s">
        <v>1043</v>
      </c>
      <c r="K1443" s="30">
        <v>1</v>
      </c>
      <c r="L1443" s="9" t="s">
        <v>1044</v>
      </c>
      <c r="M1443" s="30" t="s">
        <v>84</v>
      </c>
      <c r="N1443" s="30" t="s">
        <v>215</v>
      </c>
      <c r="O1443" s="24">
        <v>0</v>
      </c>
      <c r="P1443" s="24">
        <v>0</v>
      </c>
      <c r="Q1443" s="24">
        <v>88</v>
      </c>
      <c r="R1443" s="24">
        <v>0</v>
      </c>
      <c r="S1443" s="24">
        <v>0</v>
      </c>
      <c r="T1443" s="24">
        <v>88</v>
      </c>
    </row>
    <row r="1444" spans="1:20">
      <c r="A1444" s="9" t="s">
        <v>975</v>
      </c>
      <c r="B1444" s="30" t="s">
        <v>1047</v>
      </c>
      <c r="C1444" s="30" t="str">
        <f>CONCATENATE(VOL_VOLUMEN_SUMINISTROS[[#This Row],[Proyecto]],VOL_VOLUMEN_SUMINISTROS[[#This Row],[J]],VOL_VOLUMEN_SUMINISTROS[[#This Row],[FIN DE SEMANA]])</f>
        <v>1052-2TNO</v>
      </c>
      <c r="D1444" s="360" t="str">
        <f>CONCATENATE(VOL_VOLUMEN_SUMINISTROS[[#This Row],[Grupo]],VOL_VOLUMEN_SUMINISTROS[[#This Row],[Proyecto]],VOL_VOLUMEN_SUMINISTROS[[#This Row],[FIN DE SEMANA]])</f>
        <v>81052-2NO</v>
      </c>
      <c r="E1444" s="30" t="s">
        <v>182</v>
      </c>
      <c r="F1444" s="30" t="s">
        <v>147</v>
      </c>
      <c r="G1444" s="360">
        <v>8</v>
      </c>
      <c r="H1444" s="30">
        <v>12</v>
      </c>
      <c r="I1444" s="9" t="s">
        <v>767</v>
      </c>
      <c r="J1444" s="9" t="s">
        <v>1043</v>
      </c>
      <c r="K1444" s="30">
        <v>2</v>
      </c>
      <c r="L1444" s="9" t="s">
        <v>1045</v>
      </c>
      <c r="M1444" s="30" t="s">
        <v>84</v>
      </c>
      <c r="N1444" s="30" t="s">
        <v>154</v>
      </c>
      <c r="O1444" s="24">
        <v>54</v>
      </c>
      <c r="P1444" s="24">
        <v>0</v>
      </c>
      <c r="Q1444" s="24">
        <v>0</v>
      </c>
      <c r="R1444" s="24">
        <v>0</v>
      </c>
      <c r="S1444" s="24">
        <v>0</v>
      </c>
      <c r="T1444" s="24">
        <v>54</v>
      </c>
    </row>
    <row r="1445" spans="1:20">
      <c r="A1445" s="9" t="s">
        <v>1048</v>
      </c>
      <c r="B1445" s="30" t="s">
        <v>1049</v>
      </c>
      <c r="C1445" s="30" t="str">
        <f>CONCATENATE(VOL_VOLUMEN_SUMINISTROS[[#This Row],[Proyecto]],VOL_VOLUMEN_SUMINISTROS[[#This Row],[J]],VOL_VOLUMEN_SUMINISTROS[[#This Row],[FIN DE SEMANA]])</f>
        <v>1052-1MNO</v>
      </c>
      <c r="D1445" s="360" t="str">
        <f>CONCATENATE(VOL_VOLUMEN_SUMINISTROS[[#This Row],[Grupo]],VOL_VOLUMEN_SUMINISTROS[[#This Row],[Proyecto]],VOL_VOLUMEN_SUMINISTROS[[#This Row],[FIN DE SEMANA]])</f>
        <v>101052-1NO</v>
      </c>
      <c r="E1445" s="30" t="s">
        <v>146</v>
      </c>
      <c r="F1445" s="30" t="s">
        <v>147</v>
      </c>
      <c r="G1445" s="360">
        <v>10</v>
      </c>
      <c r="H1445" s="30">
        <v>8</v>
      </c>
      <c r="I1445" s="9" t="s">
        <v>148</v>
      </c>
      <c r="J1445" s="9" t="s">
        <v>1050</v>
      </c>
      <c r="K1445" s="30">
        <v>1</v>
      </c>
      <c r="L1445" s="9" t="s">
        <v>1051</v>
      </c>
      <c r="M1445" s="30" t="s">
        <v>84</v>
      </c>
      <c r="N1445" s="30" t="s">
        <v>151</v>
      </c>
      <c r="O1445" s="24">
        <v>107</v>
      </c>
      <c r="P1445" s="24">
        <v>287</v>
      </c>
      <c r="Q1445" s="24">
        <v>465</v>
      </c>
      <c r="R1445" s="24">
        <v>0</v>
      </c>
      <c r="S1445" s="24">
        <v>0</v>
      </c>
      <c r="T1445" s="24">
        <v>859</v>
      </c>
    </row>
    <row r="1446" spans="1:20">
      <c r="A1446" s="9" t="s">
        <v>1048</v>
      </c>
      <c r="B1446" s="30" t="s">
        <v>1049</v>
      </c>
      <c r="C1446" s="30" t="str">
        <f>CONCATENATE(VOL_VOLUMEN_SUMINISTROS[[#This Row],[Proyecto]],VOL_VOLUMEN_SUMINISTROS[[#This Row],[J]],VOL_VOLUMEN_SUMINISTROS[[#This Row],[FIN DE SEMANA]])</f>
        <v>1052-1TNO</v>
      </c>
      <c r="D1446" s="360" t="str">
        <f>CONCATENATE(VOL_VOLUMEN_SUMINISTROS[[#This Row],[Grupo]],VOL_VOLUMEN_SUMINISTROS[[#This Row],[Proyecto]],VOL_VOLUMEN_SUMINISTROS[[#This Row],[FIN DE SEMANA]])</f>
        <v>101052-1NO</v>
      </c>
      <c r="E1446" s="30" t="s">
        <v>146</v>
      </c>
      <c r="F1446" s="30" t="s">
        <v>147</v>
      </c>
      <c r="G1446" s="360">
        <v>10</v>
      </c>
      <c r="H1446" s="30">
        <v>8</v>
      </c>
      <c r="I1446" s="9" t="s">
        <v>148</v>
      </c>
      <c r="J1446" s="9" t="s">
        <v>1050</v>
      </c>
      <c r="K1446" s="30">
        <v>1</v>
      </c>
      <c r="L1446" s="9" t="s">
        <v>1051</v>
      </c>
      <c r="M1446" s="30" t="s">
        <v>84</v>
      </c>
      <c r="N1446" s="30" t="s">
        <v>154</v>
      </c>
      <c r="O1446" s="24">
        <v>90</v>
      </c>
      <c r="P1446" s="24">
        <v>383</v>
      </c>
      <c r="Q1446" s="24">
        <v>361</v>
      </c>
      <c r="R1446" s="24">
        <v>0</v>
      </c>
      <c r="S1446" s="24">
        <v>0</v>
      </c>
      <c r="T1446" s="24">
        <v>834</v>
      </c>
    </row>
    <row r="1447" spans="1:20">
      <c r="A1447" s="9" t="s">
        <v>1048</v>
      </c>
      <c r="B1447" s="30" t="s">
        <v>1049</v>
      </c>
      <c r="C1447" s="30" t="str">
        <f>CONCATENATE(VOL_VOLUMEN_SUMINISTROS[[#This Row],[Proyecto]],VOL_VOLUMEN_SUMINISTROS[[#This Row],[J]],VOL_VOLUMEN_SUMINISTROS[[#This Row],[FIN DE SEMANA]])</f>
        <v>1052-1MNO</v>
      </c>
      <c r="D1447" s="360" t="str">
        <f>CONCATENATE(VOL_VOLUMEN_SUMINISTROS[[#This Row],[Grupo]],VOL_VOLUMEN_SUMINISTROS[[#This Row],[Proyecto]],VOL_VOLUMEN_SUMINISTROS[[#This Row],[FIN DE SEMANA]])</f>
        <v>101052-1NO</v>
      </c>
      <c r="E1447" s="30" t="s">
        <v>146</v>
      </c>
      <c r="F1447" s="30" t="s">
        <v>147</v>
      </c>
      <c r="G1447" s="360">
        <v>10</v>
      </c>
      <c r="H1447" s="30">
        <v>8</v>
      </c>
      <c r="I1447" s="9" t="s">
        <v>148</v>
      </c>
      <c r="J1447" s="9" t="s">
        <v>1050</v>
      </c>
      <c r="K1447" s="30">
        <v>2</v>
      </c>
      <c r="L1447" s="9" t="s">
        <v>1052</v>
      </c>
      <c r="M1447" s="30" t="s">
        <v>84</v>
      </c>
      <c r="N1447" s="30" t="s">
        <v>151</v>
      </c>
      <c r="O1447" s="24">
        <v>118</v>
      </c>
      <c r="P1447" s="24">
        <v>81</v>
      </c>
      <c r="Q1447" s="24">
        <v>13</v>
      </c>
      <c r="R1447" s="24">
        <v>0</v>
      </c>
      <c r="S1447" s="24">
        <v>0</v>
      </c>
      <c r="T1447" s="24">
        <v>212</v>
      </c>
    </row>
    <row r="1448" spans="1:20">
      <c r="A1448" s="9" t="s">
        <v>1048</v>
      </c>
      <c r="B1448" s="30" t="s">
        <v>1049</v>
      </c>
      <c r="C1448" s="30" t="str">
        <f>CONCATENATE(VOL_VOLUMEN_SUMINISTROS[[#This Row],[Proyecto]],VOL_VOLUMEN_SUMINISTROS[[#This Row],[J]],VOL_VOLUMEN_SUMINISTROS[[#This Row],[FIN DE SEMANA]])</f>
        <v>1052-1TNO</v>
      </c>
      <c r="D1448" s="360" t="str">
        <f>CONCATENATE(VOL_VOLUMEN_SUMINISTROS[[#This Row],[Grupo]],VOL_VOLUMEN_SUMINISTROS[[#This Row],[Proyecto]],VOL_VOLUMEN_SUMINISTROS[[#This Row],[FIN DE SEMANA]])</f>
        <v>101052-1NO</v>
      </c>
      <c r="E1448" s="30" t="s">
        <v>146</v>
      </c>
      <c r="F1448" s="30" t="s">
        <v>147</v>
      </c>
      <c r="G1448" s="360">
        <v>10</v>
      </c>
      <c r="H1448" s="30">
        <v>8</v>
      </c>
      <c r="I1448" s="9" t="s">
        <v>148</v>
      </c>
      <c r="J1448" s="9" t="s">
        <v>1050</v>
      </c>
      <c r="K1448" s="30">
        <v>2</v>
      </c>
      <c r="L1448" s="9" t="s">
        <v>1052</v>
      </c>
      <c r="M1448" s="30" t="s">
        <v>84</v>
      </c>
      <c r="N1448" s="30" t="s">
        <v>154</v>
      </c>
      <c r="O1448" s="24">
        <v>70</v>
      </c>
      <c r="P1448" s="24">
        <v>113</v>
      </c>
      <c r="Q1448" s="24">
        <v>29</v>
      </c>
      <c r="R1448" s="24">
        <v>0</v>
      </c>
      <c r="S1448" s="24">
        <v>0</v>
      </c>
      <c r="T1448" s="24">
        <v>212</v>
      </c>
    </row>
    <row r="1449" spans="1:20">
      <c r="A1449" s="9" t="s">
        <v>1048</v>
      </c>
      <c r="B1449" s="30" t="s">
        <v>1049</v>
      </c>
      <c r="C1449" s="30" t="str">
        <f>CONCATENATE(VOL_VOLUMEN_SUMINISTROS[[#This Row],[Proyecto]],VOL_VOLUMEN_SUMINISTROS[[#This Row],[J]],VOL_VOLUMEN_SUMINISTROS[[#This Row],[FIN DE SEMANA]])</f>
        <v>1052-1MNO</v>
      </c>
      <c r="D1449" s="360" t="str">
        <f>CONCATENATE(VOL_VOLUMEN_SUMINISTROS[[#This Row],[Grupo]],VOL_VOLUMEN_SUMINISTROS[[#This Row],[Proyecto]],VOL_VOLUMEN_SUMINISTROS[[#This Row],[FIN DE SEMANA]])</f>
        <v>101052-1NO</v>
      </c>
      <c r="E1449" s="30" t="s">
        <v>146</v>
      </c>
      <c r="F1449" s="30" t="s">
        <v>147</v>
      </c>
      <c r="G1449" s="360">
        <v>10</v>
      </c>
      <c r="H1449" s="30">
        <v>8</v>
      </c>
      <c r="I1449" s="9" t="s">
        <v>148</v>
      </c>
      <c r="J1449" s="9" t="s">
        <v>1053</v>
      </c>
      <c r="K1449" s="30">
        <v>1</v>
      </c>
      <c r="L1449" s="9" t="s">
        <v>1054</v>
      </c>
      <c r="M1449" s="30" t="s">
        <v>84</v>
      </c>
      <c r="N1449" s="30" t="s">
        <v>151</v>
      </c>
      <c r="O1449" s="24">
        <v>390</v>
      </c>
      <c r="P1449" s="24">
        <v>323</v>
      </c>
      <c r="Q1449" s="24">
        <v>427</v>
      </c>
      <c r="R1449" s="24">
        <v>0</v>
      </c>
      <c r="S1449" s="24">
        <v>0</v>
      </c>
      <c r="T1449" s="24">
        <v>1140</v>
      </c>
    </row>
    <row r="1450" spans="1:20">
      <c r="A1450" s="9" t="s">
        <v>1048</v>
      </c>
      <c r="B1450" s="30" t="s">
        <v>1049</v>
      </c>
      <c r="C1450" s="30" t="str">
        <f>CONCATENATE(VOL_VOLUMEN_SUMINISTROS[[#This Row],[Proyecto]],VOL_VOLUMEN_SUMINISTROS[[#This Row],[J]],VOL_VOLUMEN_SUMINISTROS[[#This Row],[FIN DE SEMANA]])</f>
        <v>1052-1TNO</v>
      </c>
      <c r="D1450" s="360" t="str">
        <f>CONCATENATE(VOL_VOLUMEN_SUMINISTROS[[#This Row],[Grupo]],VOL_VOLUMEN_SUMINISTROS[[#This Row],[Proyecto]],VOL_VOLUMEN_SUMINISTROS[[#This Row],[FIN DE SEMANA]])</f>
        <v>101052-1NO</v>
      </c>
      <c r="E1450" s="30" t="s">
        <v>146</v>
      </c>
      <c r="F1450" s="30" t="s">
        <v>147</v>
      </c>
      <c r="G1450" s="360">
        <v>10</v>
      </c>
      <c r="H1450" s="30">
        <v>8</v>
      </c>
      <c r="I1450" s="9" t="s">
        <v>148</v>
      </c>
      <c r="J1450" s="9" t="s">
        <v>1053</v>
      </c>
      <c r="K1450" s="30">
        <v>1</v>
      </c>
      <c r="L1450" s="9" t="s">
        <v>1054</v>
      </c>
      <c r="M1450" s="30" t="s">
        <v>84</v>
      </c>
      <c r="N1450" s="30" t="s">
        <v>154</v>
      </c>
      <c r="O1450" s="24">
        <v>130</v>
      </c>
      <c r="P1450" s="24">
        <v>314</v>
      </c>
      <c r="Q1450" s="24">
        <v>407</v>
      </c>
      <c r="R1450" s="24">
        <v>0</v>
      </c>
      <c r="S1450" s="24">
        <v>0</v>
      </c>
      <c r="T1450" s="24">
        <v>851</v>
      </c>
    </row>
    <row r="1451" spans="1:20">
      <c r="A1451" s="9" t="s">
        <v>1048</v>
      </c>
      <c r="B1451" s="30" t="s">
        <v>1049</v>
      </c>
      <c r="C1451" s="30" t="str">
        <f>CONCATENATE(VOL_VOLUMEN_SUMINISTROS[[#This Row],[Proyecto]],VOL_VOLUMEN_SUMINISTROS[[#This Row],[J]],VOL_VOLUMEN_SUMINISTROS[[#This Row],[FIN DE SEMANA]])</f>
        <v>1052-1MNO</v>
      </c>
      <c r="D1451" s="360" t="str">
        <f>CONCATENATE(VOL_VOLUMEN_SUMINISTROS[[#This Row],[Grupo]],VOL_VOLUMEN_SUMINISTROS[[#This Row],[Proyecto]],VOL_VOLUMEN_SUMINISTROS[[#This Row],[FIN DE SEMANA]])</f>
        <v>101052-1NO</v>
      </c>
      <c r="E1451" s="30" t="s">
        <v>146</v>
      </c>
      <c r="F1451" s="30" t="s">
        <v>147</v>
      </c>
      <c r="G1451" s="360">
        <v>10</v>
      </c>
      <c r="H1451" s="30">
        <v>8</v>
      </c>
      <c r="I1451" s="9" t="s">
        <v>148</v>
      </c>
      <c r="J1451" s="9" t="s">
        <v>1053</v>
      </c>
      <c r="K1451" s="30">
        <v>2</v>
      </c>
      <c r="L1451" s="9" t="s">
        <v>1055</v>
      </c>
      <c r="M1451" s="30" t="s">
        <v>84</v>
      </c>
      <c r="N1451" s="30" t="s">
        <v>151</v>
      </c>
      <c r="O1451" s="24">
        <v>153</v>
      </c>
      <c r="P1451" s="24">
        <v>125</v>
      </c>
      <c r="Q1451" s="24">
        <v>24</v>
      </c>
      <c r="R1451" s="24">
        <v>0</v>
      </c>
      <c r="S1451" s="24">
        <v>0</v>
      </c>
      <c r="T1451" s="24">
        <v>302</v>
      </c>
    </row>
    <row r="1452" spans="1:20">
      <c r="A1452" s="9" t="s">
        <v>1048</v>
      </c>
      <c r="B1452" s="30" t="s">
        <v>1049</v>
      </c>
      <c r="C1452" s="30" t="str">
        <f>CONCATENATE(VOL_VOLUMEN_SUMINISTROS[[#This Row],[Proyecto]],VOL_VOLUMEN_SUMINISTROS[[#This Row],[J]],VOL_VOLUMEN_SUMINISTROS[[#This Row],[FIN DE SEMANA]])</f>
        <v>1052-1TNO</v>
      </c>
      <c r="D1452" s="360" t="str">
        <f>CONCATENATE(VOL_VOLUMEN_SUMINISTROS[[#This Row],[Grupo]],VOL_VOLUMEN_SUMINISTROS[[#This Row],[Proyecto]],VOL_VOLUMEN_SUMINISTROS[[#This Row],[FIN DE SEMANA]])</f>
        <v>101052-1NO</v>
      </c>
      <c r="E1452" s="30" t="s">
        <v>146</v>
      </c>
      <c r="F1452" s="30" t="s">
        <v>147</v>
      </c>
      <c r="G1452" s="360">
        <v>10</v>
      </c>
      <c r="H1452" s="30">
        <v>8</v>
      </c>
      <c r="I1452" s="9" t="s">
        <v>148</v>
      </c>
      <c r="J1452" s="9" t="s">
        <v>1053</v>
      </c>
      <c r="K1452" s="30">
        <v>2</v>
      </c>
      <c r="L1452" s="9" t="s">
        <v>1055</v>
      </c>
      <c r="M1452" s="30" t="s">
        <v>84</v>
      </c>
      <c r="N1452" s="30" t="s">
        <v>154</v>
      </c>
      <c r="O1452" s="24">
        <v>150</v>
      </c>
      <c r="P1452" s="24">
        <v>122</v>
      </c>
      <c r="Q1452" s="24">
        <v>22</v>
      </c>
      <c r="R1452" s="24">
        <v>0</v>
      </c>
      <c r="S1452" s="24">
        <v>0</v>
      </c>
      <c r="T1452" s="24">
        <v>294</v>
      </c>
    </row>
    <row r="1453" spans="1:20">
      <c r="A1453" s="9" t="s">
        <v>1048</v>
      </c>
      <c r="B1453" s="30" t="s">
        <v>1049</v>
      </c>
      <c r="C1453" s="30" t="str">
        <f>CONCATENATE(VOL_VOLUMEN_SUMINISTROS[[#This Row],[Proyecto]],VOL_VOLUMEN_SUMINISTROS[[#This Row],[J]],VOL_VOLUMEN_SUMINISTROS[[#This Row],[FIN DE SEMANA]])</f>
        <v>1052-1MNO</v>
      </c>
      <c r="D1453" s="360" t="str">
        <f>CONCATENATE(VOL_VOLUMEN_SUMINISTROS[[#This Row],[Grupo]],VOL_VOLUMEN_SUMINISTROS[[#This Row],[Proyecto]],VOL_VOLUMEN_SUMINISTROS[[#This Row],[FIN DE SEMANA]])</f>
        <v>101052-1NO</v>
      </c>
      <c r="E1453" s="30" t="s">
        <v>146</v>
      </c>
      <c r="F1453" s="30" t="s">
        <v>147</v>
      </c>
      <c r="G1453" s="360">
        <v>10</v>
      </c>
      <c r="H1453" s="30">
        <v>8</v>
      </c>
      <c r="I1453" s="9" t="s">
        <v>148</v>
      </c>
      <c r="J1453" s="9" t="s">
        <v>1056</v>
      </c>
      <c r="K1453" s="30">
        <v>1</v>
      </c>
      <c r="L1453" s="9" t="s">
        <v>1057</v>
      </c>
      <c r="M1453" s="30" t="s">
        <v>84</v>
      </c>
      <c r="N1453" s="30" t="s">
        <v>151</v>
      </c>
      <c r="O1453" s="24">
        <v>100</v>
      </c>
      <c r="P1453" s="24">
        <v>252</v>
      </c>
      <c r="Q1453" s="24">
        <v>467</v>
      </c>
      <c r="R1453" s="24">
        <v>0</v>
      </c>
      <c r="S1453" s="24">
        <v>0</v>
      </c>
      <c r="T1453" s="24">
        <v>819</v>
      </c>
    </row>
    <row r="1454" spans="1:20">
      <c r="A1454" s="9" t="s">
        <v>1048</v>
      </c>
      <c r="B1454" s="30" t="s">
        <v>1049</v>
      </c>
      <c r="C1454" s="30" t="str">
        <f>CONCATENATE(VOL_VOLUMEN_SUMINISTROS[[#This Row],[Proyecto]],VOL_VOLUMEN_SUMINISTROS[[#This Row],[J]],VOL_VOLUMEN_SUMINISTROS[[#This Row],[FIN DE SEMANA]])</f>
        <v>1052-1TNO</v>
      </c>
      <c r="D1454" s="360" t="str">
        <f>CONCATENATE(VOL_VOLUMEN_SUMINISTROS[[#This Row],[Grupo]],VOL_VOLUMEN_SUMINISTROS[[#This Row],[Proyecto]],VOL_VOLUMEN_SUMINISTROS[[#This Row],[FIN DE SEMANA]])</f>
        <v>101052-1NO</v>
      </c>
      <c r="E1454" s="30" t="s">
        <v>146</v>
      </c>
      <c r="F1454" s="30" t="s">
        <v>147</v>
      </c>
      <c r="G1454" s="360">
        <v>10</v>
      </c>
      <c r="H1454" s="30">
        <v>8</v>
      </c>
      <c r="I1454" s="9" t="s">
        <v>148</v>
      </c>
      <c r="J1454" s="9" t="s">
        <v>1056</v>
      </c>
      <c r="K1454" s="30">
        <v>1</v>
      </c>
      <c r="L1454" s="9" t="s">
        <v>1057</v>
      </c>
      <c r="M1454" s="30" t="s">
        <v>84</v>
      </c>
      <c r="N1454" s="30" t="s">
        <v>154</v>
      </c>
      <c r="O1454" s="24">
        <v>75</v>
      </c>
      <c r="P1454" s="24">
        <v>246</v>
      </c>
      <c r="Q1454" s="24">
        <v>467</v>
      </c>
      <c r="R1454" s="24">
        <v>0</v>
      </c>
      <c r="S1454" s="24">
        <v>0</v>
      </c>
      <c r="T1454" s="24">
        <v>788</v>
      </c>
    </row>
    <row r="1455" spans="1:20">
      <c r="A1455" s="9" t="s">
        <v>1048</v>
      </c>
      <c r="B1455" s="30" t="s">
        <v>1049</v>
      </c>
      <c r="C1455" s="30" t="str">
        <f>CONCATENATE(VOL_VOLUMEN_SUMINISTROS[[#This Row],[Proyecto]],VOL_VOLUMEN_SUMINISTROS[[#This Row],[J]],VOL_VOLUMEN_SUMINISTROS[[#This Row],[FIN DE SEMANA]])</f>
        <v>1052-1MNO</v>
      </c>
      <c r="D1455" s="360" t="str">
        <f>CONCATENATE(VOL_VOLUMEN_SUMINISTROS[[#This Row],[Grupo]],VOL_VOLUMEN_SUMINISTROS[[#This Row],[Proyecto]],VOL_VOLUMEN_SUMINISTROS[[#This Row],[FIN DE SEMANA]])</f>
        <v>101052-1NO</v>
      </c>
      <c r="E1455" s="30" t="s">
        <v>146</v>
      </c>
      <c r="F1455" s="30" t="s">
        <v>147</v>
      </c>
      <c r="G1455" s="360">
        <v>10</v>
      </c>
      <c r="H1455" s="30">
        <v>8</v>
      </c>
      <c r="I1455" s="9" t="s">
        <v>148</v>
      </c>
      <c r="J1455" s="9" t="s">
        <v>1056</v>
      </c>
      <c r="K1455" s="30">
        <v>2</v>
      </c>
      <c r="L1455" s="9" t="s">
        <v>1058</v>
      </c>
      <c r="M1455" s="30" t="s">
        <v>84</v>
      </c>
      <c r="N1455" s="30" t="s">
        <v>151</v>
      </c>
      <c r="O1455" s="24">
        <v>211</v>
      </c>
      <c r="P1455" s="24">
        <v>188</v>
      </c>
      <c r="Q1455" s="24">
        <v>35</v>
      </c>
      <c r="R1455" s="24">
        <v>0</v>
      </c>
      <c r="S1455" s="24">
        <v>0</v>
      </c>
      <c r="T1455" s="24">
        <v>434</v>
      </c>
    </row>
    <row r="1456" spans="1:20">
      <c r="A1456" s="9" t="s">
        <v>1048</v>
      </c>
      <c r="B1456" s="30" t="s">
        <v>1049</v>
      </c>
      <c r="C1456" s="30" t="str">
        <f>CONCATENATE(VOL_VOLUMEN_SUMINISTROS[[#This Row],[Proyecto]],VOL_VOLUMEN_SUMINISTROS[[#This Row],[J]],VOL_VOLUMEN_SUMINISTROS[[#This Row],[FIN DE SEMANA]])</f>
        <v>1052-1TNO</v>
      </c>
      <c r="D1456" s="360" t="str">
        <f>CONCATENATE(VOL_VOLUMEN_SUMINISTROS[[#This Row],[Grupo]],VOL_VOLUMEN_SUMINISTROS[[#This Row],[Proyecto]],VOL_VOLUMEN_SUMINISTROS[[#This Row],[FIN DE SEMANA]])</f>
        <v>101052-1NO</v>
      </c>
      <c r="E1456" s="30" t="s">
        <v>146</v>
      </c>
      <c r="F1456" s="30" t="s">
        <v>147</v>
      </c>
      <c r="G1456" s="360">
        <v>10</v>
      </c>
      <c r="H1456" s="30">
        <v>8</v>
      </c>
      <c r="I1456" s="9" t="s">
        <v>148</v>
      </c>
      <c r="J1456" s="9" t="s">
        <v>1056</v>
      </c>
      <c r="K1456" s="30">
        <v>2</v>
      </c>
      <c r="L1456" s="9" t="s">
        <v>1058</v>
      </c>
      <c r="M1456" s="30" t="s">
        <v>84</v>
      </c>
      <c r="N1456" s="30" t="s">
        <v>154</v>
      </c>
      <c r="O1456" s="24">
        <v>207</v>
      </c>
      <c r="P1456" s="24">
        <v>187</v>
      </c>
      <c r="Q1456" s="24">
        <v>35</v>
      </c>
      <c r="R1456" s="24">
        <v>0</v>
      </c>
      <c r="S1456" s="24">
        <v>0</v>
      </c>
      <c r="T1456" s="24">
        <v>429</v>
      </c>
    </row>
    <row r="1457" spans="1:20">
      <c r="A1457" s="9" t="s">
        <v>1048</v>
      </c>
      <c r="B1457" s="30" t="s">
        <v>1049</v>
      </c>
      <c r="C1457" s="30" t="str">
        <f>CONCATENATE(VOL_VOLUMEN_SUMINISTROS[[#This Row],[Proyecto]],VOL_VOLUMEN_SUMINISTROS[[#This Row],[J]],VOL_VOLUMEN_SUMINISTROS[[#This Row],[FIN DE SEMANA]])</f>
        <v>1052-1MNO</v>
      </c>
      <c r="D1457" s="360" t="str">
        <f>CONCATENATE(VOL_VOLUMEN_SUMINISTROS[[#This Row],[Grupo]],VOL_VOLUMEN_SUMINISTROS[[#This Row],[Proyecto]],VOL_VOLUMEN_SUMINISTROS[[#This Row],[FIN DE SEMANA]])</f>
        <v>101052-1NO</v>
      </c>
      <c r="E1457" s="30" t="s">
        <v>146</v>
      </c>
      <c r="F1457" s="30" t="s">
        <v>147</v>
      </c>
      <c r="G1457" s="360">
        <v>10</v>
      </c>
      <c r="H1457" s="30">
        <v>8</v>
      </c>
      <c r="I1457" s="9" t="s">
        <v>148</v>
      </c>
      <c r="J1457" s="9" t="s">
        <v>1059</v>
      </c>
      <c r="K1457" s="30">
        <v>1</v>
      </c>
      <c r="L1457" s="9" t="s">
        <v>1060</v>
      </c>
      <c r="M1457" s="30" t="s">
        <v>84</v>
      </c>
      <c r="N1457" s="30" t="s">
        <v>151</v>
      </c>
      <c r="O1457" s="24">
        <v>357</v>
      </c>
      <c r="P1457" s="24">
        <v>982</v>
      </c>
      <c r="Q1457" s="24">
        <v>2012</v>
      </c>
      <c r="R1457" s="24">
        <v>0</v>
      </c>
      <c r="S1457" s="24">
        <v>0</v>
      </c>
      <c r="T1457" s="24">
        <v>3351</v>
      </c>
    </row>
    <row r="1458" spans="1:20">
      <c r="A1458" s="9" t="s">
        <v>1048</v>
      </c>
      <c r="B1458" s="30" t="s">
        <v>1049</v>
      </c>
      <c r="C1458" s="30" t="str">
        <f>CONCATENATE(VOL_VOLUMEN_SUMINISTROS[[#This Row],[Proyecto]],VOL_VOLUMEN_SUMINISTROS[[#This Row],[J]],VOL_VOLUMEN_SUMINISTROS[[#This Row],[FIN DE SEMANA]])</f>
        <v>1052-1TNO</v>
      </c>
      <c r="D1458" s="360" t="str">
        <f>CONCATENATE(VOL_VOLUMEN_SUMINISTROS[[#This Row],[Grupo]],VOL_VOLUMEN_SUMINISTROS[[#This Row],[Proyecto]],VOL_VOLUMEN_SUMINISTROS[[#This Row],[FIN DE SEMANA]])</f>
        <v>101052-1NO</v>
      </c>
      <c r="E1458" s="30" t="s">
        <v>146</v>
      </c>
      <c r="F1458" s="30" t="s">
        <v>147</v>
      </c>
      <c r="G1458" s="360">
        <v>10</v>
      </c>
      <c r="H1458" s="30">
        <v>8</v>
      </c>
      <c r="I1458" s="9" t="s">
        <v>148</v>
      </c>
      <c r="J1458" s="9" t="s">
        <v>1059</v>
      </c>
      <c r="K1458" s="30">
        <v>1</v>
      </c>
      <c r="L1458" s="9" t="s">
        <v>1060</v>
      </c>
      <c r="M1458" s="30" t="s">
        <v>84</v>
      </c>
      <c r="N1458" s="30" t="s">
        <v>154</v>
      </c>
      <c r="O1458" s="24">
        <v>357</v>
      </c>
      <c r="P1458" s="24">
        <v>834</v>
      </c>
      <c r="Q1458" s="24">
        <v>1359</v>
      </c>
      <c r="R1458" s="24">
        <v>0</v>
      </c>
      <c r="S1458" s="24">
        <v>0</v>
      </c>
      <c r="T1458" s="24">
        <v>2550</v>
      </c>
    </row>
    <row r="1459" spans="1:20">
      <c r="A1459" s="9" t="s">
        <v>1048</v>
      </c>
      <c r="B1459" s="30" t="s">
        <v>1049</v>
      </c>
      <c r="C1459" s="30" t="str">
        <f>CONCATENATE(VOL_VOLUMEN_SUMINISTROS[[#This Row],[Proyecto]],VOL_VOLUMEN_SUMINISTROS[[#This Row],[J]],VOL_VOLUMEN_SUMINISTROS[[#This Row],[FIN DE SEMANA]])</f>
        <v>1052-1MNO</v>
      </c>
      <c r="D1459" s="360" t="str">
        <f>CONCATENATE(VOL_VOLUMEN_SUMINISTROS[[#This Row],[Grupo]],VOL_VOLUMEN_SUMINISTROS[[#This Row],[Proyecto]],VOL_VOLUMEN_SUMINISTROS[[#This Row],[FIN DE SEMANA]])</f>
        <v>101052-1NO</v>
      </c>
      <c r="E1459" s="30" t="s">
        <v>146</v>
      </c>
      <c r="F1459" s="30" t="s">
        <v>147</v>
      </c>
      <c r="G1459" s="360">
        <v>10</v>
      </c>
      <c r="H1459" s="30">
        <v>8</v>
      </c>
      <c r="I1459" s="9" t="s">
        <v>148</v>
      </c>
      <c r="J1459" s="9" t="s">
        <v>1059</v>
      </c>
      <c r="K1459" s="30">
        <v>2</v>
      </c>
      <c r="L1459" s="9" t="s">
        <v>1061</v>
      </c>
      <c r="M1459" s="30" t="s">
        <v>84</v>
      </c>
      <c r="N1459" s="30" t="s">
        <v>151</v>
      </c>
      <c r="O1459" s="24">
        <v>483</v>
      </c>
      <c r="P1459" s="24">
        <v>162</v>
      </c>
      <c r="Q1459" s="24">
        <v>0</v>
      </c>
      <c r="R1459" s="24">
        <v>0</v>
      </c>
      <c r="S1459" s="24">
        <v>0</v>
      </c>
      <c r="T1459" s="24">
        <v>645</v>
      </c>
    </row>
    <row r="1460" spans="1:20">
      <c r="A1460" s="9" t="s">
        <v>1048</v>
      </c>
      <c r="B1460" s="30" t="s">
        <v>1049</v>
      </c>
      <c r="C1460" s="30" t="str">
        <f>CONCATENATE(VOL_VOLUMEN_SUMINISTROS[[#This Row],[Proyecto]],VOL_VOLUMEN_SUMINISTROS[[#This Row],[J]],VOL_VOLUMEN_SUMINISTROS[[#This Row],[FIN DE SEMANA]])</f>
        <v>1052-1TNO</v>
      </c>
      <c r="D1460" s="360" t="str">
        <f>CONCATENATE(VOL_VOLUMEN_SUMINISTROS[[#This Row],[Grupo]],VOL_VOLUMEN_SUMINISTROS[[#This Row],[Proyecto]],VOL_VOLUMEN_SUMINISTROS[[#This Row],[FIN DE SEMANA]])</f>
        <v>101052-1NO</v>
      </c>
      <c r="E1460" s="30" t="s">
        <v>146</v>
      </c>
      <c r="F1460" s="30" t="s">
        <v>147</v>
      </c>
      <c r="G1460" s="360">
        <v>10</v>
      </c>
      <c r="H1460" s="30">
        <v>8</v>
      </c>
      <c r="I1460" s="9" t="s">
        <v>148</v>
      </c>
      <c r="J1460" s="9" t="s">
        <v>1059</v>
      </c>
      <c r="K1460" s="30">
        <v>2</v>
      </c>
      <c r="L1460" s="9" t="s">
        <v>1061</v>
      </c>
      <c r="M1460" s="30" t="s">
        <v>84</v>
      </c>
      <c r="N1460" s="30" t="s">
        <v>154</v>
      </c>
      <c r="O1460" s="24">
        <v>483</v>
      </c>
      <c r="P1460" s="24">
        <v>162</v>
      </c>
      <c r="Q1460" s="24">
        <v>0</v>
      </c>
      <c r="R1460" s="24">
        <v>0</v>
      </c>
      <c r="S1460" s="24">
        <v>0</v>
      </c>
      <c r="T1460" s="24">
        <v>645</v>
      </c>
    </row>
    <row r="1461" spans="1:20">
      <c r="A1461" s="9" t="s">
        <v>1048</v>
      </c>
      <c r="B1461" s="30" t="s">
        <v>1049</v>
      </c>
      <c r="C1461" s="30" t="str">
        <f>CONCATENATE(VOL_VOLUMEN_SUMINISTROS[[#This Row],[Proyecto]],VOL_VOLUMEN_SUMINISTROS[[#This Row],[J]],VOL_VOLUMEN_SUMINISTROS[[#This Row],[FIN DE SEMANA]])</f>
        <v>1052-1MNO</v>
      </c>
      <c r="D1461" s="360" t="str">
        <f>CONCATENATE(VOL_VOLUMEN_SUMINISTROS[[#This Row],[Grupo]],VOL_VOLUMEN_SUMINISTROS[[#This Row],[Proyecto]],VOL_VOLUMEN_SUMINISTROS[[#This Row],[FIN DE SEMANA]])</f>
        <v>101052-1NO</v>
      </c>
      <c r="E1461" s="30" t="s">
        <v>146</v>
      </c>
      <c r="F1461" s="30" t="s">
        <v>147</v>
      </c>
      <c r="G1461" s="360">
        <v>10</v>
      </c>
      <c r="H1461" s="30">
        <v>8</v>
      </c>
      <c r="I1461" s="9" t="s">
        <v>148</v>
      </c>
      <c r="J1461" s="9" t="s">
        <v>1062</v>
      </c>
      <c r="K1461" s="30">
        <v>1</v>
      </c>
      <c r="L1461" s="9" t="s">
        <v>1063</v>
      </c>
      <c r="M1461" s="30" t="s">
        <v>84</v>
      </c>
      <c r="N1461" s="30" t="s">
        <v>151</v>
      </c>
      <c r="O1461" s="24">
        <v>311</v>
      </c>
      <c r="P1461" s="24">
        <v>181</v>
      </c>
      <c r="Q1461" s="24">
        <v>36</v>
      </c>
      <c r="R1461" s="24">
        <v>0</v>
      </c>
      <c r="S1461" s="24">
        <v>0</v>
      </c>
      <c r="T1461" s="24">
        <v>528</v>
      </c>
    </row>
    <row r="1462" spans="1:20">
      <c r="A1462" s="9" t="s">
        <v>1048</v>
      </c>
      <c r="B1462" s="30" t="s">
        <v>1049</v>
      </c>
      <c r="C1462" s="30" t="str">
        <f>CONCATENATE(VOL_VOLUMEN_SUMINISTROS[[#This Row],[Proyecto]],VOL_VOLUMEN_SUMINISTROS[[#This Row],[J]],VOL_VOLUMEN_SUMINISTROS[[#This Row],[FIN DE SEMANA]])</f>
        <v>1052-1TNO</v>
      </c>
      <c r="D1462" s="360" t="str">
        <f>CONCATENATE(VOL_VOLUMEN_SUMINISTROS[[#This Row],[Grupo]],VOL_VOLUMEN_SUMINISTROS[[#This Row],[Proyecto]],VOL_VOLUMEN_SUMINISTROS[[#This Row],[FIN DE SEMANA]])</f>
        <v>101052-1NO</v>
      </c>
      <c r="E1462" s="30" t="s">
        <v>146</v>
      </c>
      <c r="F1462" s="30" t="s">
        <v>147</v>
      </c>
      <c r="G1462" s="360">
        <v>10</v>
      </c>
      <c r="H1462" s="30">
        <v>8</v>
      </c>
      <c r="I1462" s="9" t="s">
        <v>148</v>
      </c>
      <c r="J1462" s="9" t="s">
        <v>1062</v>
      </c>
      <c r="K1462" s="30">
        <v>1</v>
      </c>
      <c r="L1462" s="9" t="s">
        <v>1063</v>
      </c>
      <c r="M1462" s="30" t="s">
        <v>84</v>
      </c>
      <c r="N1462" s="30" t="s">
        <v>154</v>
      </c>
      <c r="O1462" s="24">
        <v>291</v>
      </c>
      <c r="P1462" s="24">
        <v>173</v>
      </c>
      <c r="Q1462" s="24">
        <v>35</v>
      </c>
      <c r="R1462" s="24">
        <v>0</v>
      </c>
      <c r="S1462" s="24">
        <v>0</v>
      </c>
      <c r="T1462" s="24">
        <v>499</v>
      </c>
    </row>
    <row r="1463" spans="1:20">
      <c r="A1463" s="9" t="s">
        <v>1048</v>
      </c>
      <c r="B1463" s="30" t="s">
        <v>1049</v>
      </c>
      <c r="C1463" s="30" t="str">
        <f>CONCATENATE(VOL_VOLUMEN_SUMINISTROS[[#This Row],[Proyecto]],VOL_VOLUMEN_SUMINISTROS[[#This Row],[J]],VOL_VOLUMEN_SUMINISTROS[[#This Row],[FIN DE SEMANA]])</f>
        <v>1052-1MNO</v>
      </c>
      <c r="D1463" s="360" t="str">
        <f>CONCATENATE(VOL_VOLUMEN_SUMINISTROS[[#This Row],[Grupo]],VOL_VOLUMEN_SUMINISTROS[[#This Row],[Proyecto]],VOL_VOLUMEN_SUMINISTROS[[#This Row],[FIN DE SEMANA]])</f>
        <v>101052-1NO</v>
      </c>
      <c r="E1463" s="30" t="s">
        <v>146</v>
      </c>
      <c r="F1463" s="30" t="s">
        <v>147</v>
      </c>
      <c r="G1463" s="360">
        <v>10</v>
      </c>
      <c r="H1463" s="30">
        <v>8</v>
      </c>
      <c r="I1463" s="9" t="s">
        <v>148</v>
      </c>
      <c r="J1463" s="9" t="s">
        <v>1062</v>
      </c>
      <c r="K1463" s="30">
        <v>2</v>
      </c>
      <c r="L1463" s="9" t="s">
        <v>1063</v>
      </c>
      <c r="M1463" s="30" t="s">
        <v>84</v>
      </c>
      <c r="N1463" s="30" t="s">
        <v>151</v>
      </c>
      <c r="O1463" s="24">
        <v>0</v>
      </c>
      <c r="P1463" s="24">
        <v>186</v>
      </c>
      <c r="Q1463" s="24">
        <v>145</v>
      </c>
      <c r="R1463" s="24">
        <v>0</v>
      </c>
      <c r="S1463" s="24">
        <v>0</v>
      </c>
      <c r="T1463" s="24">
        <v>331</v>
      </c>
    </row>
    <row r="1464" spans="1:20">
      <c r="A1464" s="9" t="s">
        <v>1048</v>
      </c>
      <c r="B1464" s="30" t="s">
        <v>1049</v>
      </c>
      <c r="C1464" s="30" t="str">
        <f>CONCATENATE(VOL_VOLUMEN_SUMINISTROS[[#This Row],[Proyecto]],VOL_VOLUMEN_SUMINISTROS[[#This Row],[J]],VOL_VOLUMEN_SUMINISTROS[[#This Row],[FIN DE SEMANA]])</f>
        <v>1052-1MNO</v>
      </c>
      <c r="D1464" s="360" t="str">
        <f>CONCATENATE(VOL_VOLUMEN_SUMINISTROS[[#This Row],[Grupo]],VOL_VOLUMEN_SUMINISTROS[[#This Row],[Proyecto]],VOL_VOLUMEN_SUMINISTROS[[#This Row],[FIN DE SEMANA]])</f>
        <v>101052-1NO</v>
      </c>
      <c r="E1464" s="30" t="s">
        <v>146</v>
      </c>
      <c r="F1464" s="30" t="s">
        <v>147</v>
      </c>
      <c r="G1464" s="360">
        <v>10</v>
      </c>
      <c r="H1464" s="30">
        <v>8</v>
      </c>
      <c r="I1464" s="9" t="s">
        <v>148</v>
      </c>
      <c r="J1464" s="9" t="s">
        <v>1064</v>
      </c>
      <c r="K1464" s="30">
        <v>1</v>
      </c>
      <c r="L1464" s="9" t="s">
        <v>1065</v>
      </c>
      <c r="M1464" s="30" t="s">
        <v>84</v>
      </c>
      <c r="N1464" s="30" t="s">
        <v>151</v>
      </c>
      <c r="O1464" s="24">
        <v>0</v>
      </c>
      <c r="P1464" s="24">
        <v>117</v>
      </c>
      <c r="Q1464" s="24">
        <v>258</v>
      </c>
      <c r="R1464" s="24">
        <v>0</v>
      </c>
      <c r="S1464" s="24">
        <v>0</v>
      </c>
      <c r="T1464" s="24">
        <v>375</v>
      </c>
    </row>
    <row r="1465" spans="1:20">
      <c r="A1465" s="9" t="s">
        <v>1048</v>
      </c>
      <c r="B1465" s="30" t="s">
        <v>1049</v>
      </c>
      <c r="C1465" s="30" t="str">
        <f>CONCATENATE(VOL_VOLUMEN_SUMINISTROS[[#This Row],[Proyecto]],VOL_VOLUMEN_SUMINISTROS[[#This Row],[J]],VOL_VOLUMEN_SUMINISTROS[[#This Row],[FIN DE SEMANA]])</f>
        <v>1052-1TNO</v>
      </c>
      <c r="D1465" s="360" t="str">
        <f>CONCATENATE(VOL_VOLUMEN_SUMINISTROS[[#This Row],[Grupo]],VOL_VOLUMEN_SUMINISTROS[[#This Row],[Proyecto]],VOL_VOLUMEN_SUMINISTROS[[#This Row],[FIN DE SEMANA]])</f>
        <v>101052-1NO</v>
      </c>
      <c r="E1465" s="30" t="s">
        <v>146</v>
      </c>
      <c r="F1465" s="30" t="s">
        <v>147</v>
      </c>
      <c r="G1465" s="360">
        <v>10</v>
      </c>
      <c r="H1465" s="30">
        <v>8</v>
      </c>
      <c r="I1465" s="9" t="s">
        <v>148</v>
      </c>
      <c r="J1465" s="9" t="s">
        <v>1064</v>
      </c>
      <c r="K1465" s="30">
        <v>1</v>
      </c>
      <c r="L1465" s="9" t="s">
        <v>1065</v>
      </c>
      <c r="M1465" s="30" t="s">
        <v>84</v>
      </c>
      <c r="N1465" s="30" t="s">
        <v>154</v>
      </c>
      <c r="O1465" s="24">
        <v>0</v>
      </c>
      <c r="P1465" s="24">
        <v>138</v>
      </c>
      <c r="Q1465" s="24">
        <v>235</v>
      </c>
      <c r="R1465" s="24">
        <v>0</v>
      </c>
      <c r="S1465" s="24">
        <v>0</v>
      </c>
      <c r="T1465" s="24">
        <v>373</v>
      </c>
    </row>
    <row r="1466" spans="1:20">
      <c r="A1466" s="9" t="s">
        <v>1048</v>
      </c>
      <c r="B1466" s="30" t="s">
        <v>1049</v>
      </c>
      <c r="C1466" s="30" t="str">
        <f>CONCATENATE(VOL_VOLUMEN_SUMINISTROS[[#This Row],[Proyecto]],VOL_VOLUMEN_SUMINISTROS[[#This Row],[J]],VOL_VOLUMEN_SUMINISTROS[[#This Row],[FIN DE SEMANA]])</f>
        <v>1052-1MNO</v>
      </c>
      <c r="D1466" s="360" t="str">
        <f>CONCATENATE(VOL_VOLUMEN_SUMINISTROS[[#This Row],[Grupo]],VOL_VOLUMEN_SUMINISTROS[[#This Row],[Proyecto]],VOL_VOLUMEN_SUMINISTROS[[#This Row],[FIN DE SEMANA]])</f>
        <v>101052-1NO</v>
      </c>
      <c r="E1466" s="30" t="s">
        <v>146</v>
      </c>
      <c r="F1466" s="30" t="s">
        <v>147</v>
      </c>
      <c r="G1466" s="360">
        <v>10</v>
      </c>
      <c r="H1466" s="30">
        <v>8</v>
      </c>
      <c r="I1466" s="9" t="s">
        <v>148</v>
      </c>
      <c r="J1466" s="9" t="s">
        <v>1064</v>
      </c>
      <c r="K1466" s="30">
        <v>2</v>
      </c>
      <c r="L1466" s="9" t="s">
        <v>1066</v>
      </c>
      <c r="M1466" s="30" t="s">
        <v>84</v>
      </c>
      <c r="N1466" s="30" t="s">
        <v>151</v>
      </c>
      <c r="O1466" s="24">
        <v>187</v>
      </c>
      <c r="P1466" s="24">
        <v>170</v>
      </c>
      <c r="Q1466" s="24">
        <v>34</v>
      </c>
      <c r="R1466" s="24">
        <v>0</v>
      </c>
      <c r="S1466" s="24">
        <v>0</v>
      </c>
      <c r="T1466" s="24">
        <v>391</v>
      </c>
    </row>
    <row r="1467" spans="1:20">
      <c r="A1467" s="9" t="s">
        <v>1048</v>
      </c>
      <c r="B1467" s="30" t="s">
        <v>1049</v>
      </c>
      <c r="C1467" s="30" t="str">
        <f>CONCATENATE(VOL_VOLUMEN_SUMINISTROS[[#This Row],[Proyecto]],VOL_VOLUMEN_SUMINISTROS[[#This Row],[J]],VOL_VOLUMEN_SUMINISTROS[[#This Row],[FIN DE SEMANA]])</f>
        <v>1052-1TNO</v>
      </c>
      <c r="D1467" s="360" t="str">
        <f>CONCATENATE(VOL_VOLUMEN_SUMINISTROS[[#This Row],[Grupo]],VOL_VOLUMEN_SUMINISTROS[[#This Row],[Proyecto]],VOL_VOLUMEN_SUMINISTROS[[#This Row],[FIN DE SEMANA]])</f>
        <v>101052-1NO</v>
      </c>
      <c r="E1467" s="30" t="s">
        <v>146</v>
      </c>
      <c r="F1467" s="30" t="s">
        <v>147</v>
      </c>
      <c r="G1467" s="360">
        <v>10</v>
      </c>
      <c r="H1467" s="30">
        <v>8</v>
      </c>
      <c r="I1467" s="9" t="s">
        <v>148</v>
      </c>
      <c r="J1467" s="9" t="s">
        <v>1064</v>
      </c>
      <c r="K1467" s="30">
        <v>2</v>
      </c>
      <c r="L1467" s="9" t="s">
        <v>1066</v>
      </c>
      <c r="M1467" s="30" t="s">
        <v>84</v>
      </c>
      <c r="N1467" s="30" t="s">
        <v>154</v>
      </c>
      <c r="O1467" s="24">
        <v>180</v>
      </c>
      <c r="P1467" s="24">
        <v>167</v>
      </c>
      <c r="Q1467" s="24">
        <v>34</v>
      </c>
      <c r="R1467" s="24">
        <v>0</v>
      </c>
      <c r="S1467" s="24">
        <v>0</v>
      </c>
      <c r="T1467" s="24">
        <v>381</v>
      </c>
    </row>
    <row r="1468" spans="1:20">
      <c r="A1468" s="9" t="s">
        <v>1048</v>
      </c>
      <c r="B1468" s="30" t="s">
        <v>1049</v>
      </c>
      <c r="C1468" s="30" t="str">
        <f>CONCATENATE(VOL_VOLUMEN_SUMINISTROS[[#This Row],[Proyecto]],VOL_VOLUMEN_SUMINISTROS[[#This Row],[J]],VOL_VOLUMEN_SUMINISTROS[[#This Row],[FIN DE SEMANA]])</f>
        <v>1052-1MNO</v>
      </c>
      <c r="D1468" s="360" t="str">
        <f>CONCATENATE(VOL_VOLUMEN_SUMINISTROS[[#This Row],[Grupo]],VOL_VOLUMEN_SUMINISTROS[[#This Row],[Proyecto]],VOL_VOLUMEN_SUMINISTROS[[#This Row],[FIN DE SEMANA]])</f>
        <v>101052-1NO</v>
      </c>
      <c r="E1468" s="30" t="s">
        <v>146</v>
      </c>
      <c r="F1468" s="30" t="s">
        <v>147</v>
      </c>
      <c r="G1468" s="360">
        <v>10</v>
      </c>
      <c r="H1468" s="30">
        <v>8</v>
      </c>
      <c r="I1468" s="9" t="s">
        <v>148</v>
      </c>
      <c r="J1468" s="9" t="s">
        <v>1067</v>
      </c>
      <c r="K1468" s="30">
        <v>2</v>
      </c>
      <c r="L1468" s="9" t="s">
        <v>1068</v>
      </c>
      <c r="M1468" s="30" t="s">
        <v>84</v>
      </c>
      <c r="N1468" s="30" t="s">
        <v>151</v>
      </c>
      <c r="O1468" s="24">
        <v>374</v>
      </c>
      <c r="P1468" s="24">
        <v>127</v>
      </c>
      <c r="Q1468" s="24">
        <v>0</v>
      </c>
      <c r="R1468" s="24">
        <v>0</v>
      </c>
      <c r="S1468" s="24">
        <v>0</v>
      </c>
      <c r="T1468" s="24">
        <v>501</v>
      </c>
    </row>
    <row r="1469" spans="1:20">
      <c r="A1469" s="9" t="s">
        <v>1048</v>
      </c>
      <c r="B1469" s="30" t="s">
        <v>1049</v>
      </c>
      <c r="C1469" s="30" t="str">
        <f>CONCATENATE(VOL_VOLUMEN_SUMINISTROS[[#This Row],[Proyecto]],VOL_VOLUMEN_SUMINISTROS[[#This Row],[J]],VOL_VOLUMEN_SUMINISTROS[[#This Row],[FIN DE SEMANA]])</f>
        <v>1052-1TNO</v>
      </c>
      <c r="D1469" s="360" t="str">
        <f>CONCATENATE(VOL_VOLUMEN_SUMINISTROS[[#This Row],[Grupo]],VOL_VOLUMEN_SUMINISTROS[[#This Row],[Proyecto]],VOL_VOLUMEN_SUMINISTROS[[#This Row],[FIN DE SEMANA]])</f>
        <v>101052-1NO</v>
      </c>
      <c r="E1469" s="30" t="s">
        <v>146</v>
      </c>
      <c r="F1469" s="30" t="s">
        <v>147</v>
      </c>
      <c r="G1469" s="360">
        <v>10</v>
      </c>
      <c r="H1469" s="30">
        <v>8</v>
      </c>
      <c r="I1469" s="9" t="s">
        <v>148</v>
      </c>
      <c r="J1469" s="9" t="s">
        <v>1067</v>
      </c>
      <c r="K1469" s="30">
        <v>2</v>
      </c>
      <c r="L1469" s="9" t="s">
        <v>1068</v>
      </c>
      <c r="M1469" s="30" t="s">
        <v>84</v>
      </c>
      <c r="N1469" s="30" t="s">
        <v>154</v>
      </c>
      <c r="O1469" s="24">
        <v>366</v>
      </c>
      <c r="P1469" s="24">
        <v>123</v>
      </c>
      <c r="Q1469" s="24">
        <v>0</v>
      </c>
      <c r="R1469" s="24">
        <v>0</v>
      </c>
      <c r="S1469" s="24">
        <v>0</v>
      </c>
      <c r="T1469" s="24">
        <v>489</v>
      </c>
    </row>
    <row r="1470" spans="1:20">
      <c r="A1470" s="9" t="s">
        <v>1048</v>
      </c>
      <c r="B1470" s="30" t="s">
        <v>1049</v>
      </c>
      <c r="C1470" s="30" t="str">
        <f>CONCATENATE(VOL_VOLUMEN_SUMINISTROS[[#This Row],[Proyecto]],VOL_VOLUMEN_SUMINISTROS[[#This Row],[J]],VOL_VOLUMEN_SUMINISTROS[[#This Row],[FIN DE SEMANA]])</f>
        <v>1052-1MNO</v>
      </c>
      <c r="D1470" s="360" t="str">
        <f>CONCATENATE(VOL_VOLUMEN_SUMINISTROS[[#This Row],[Grupo]],VOL_VOLUMEN_SUMINISTROS[[#This Row],[Proyecto]],VOL_VOLUMEN_SUMINISTROS[[#This Row],[FIN DE SEMANA]])</f>
        <v>101052-1NO</v>
      </c>
      <c r="E1470" s="30" t="s">
        <v>146</v>
      </c>
      <c r="F1470" s="30" t="s">
        <v>147</v>
      </c>
      <c r="G1470" s="360">
        <v>10</v>
      </c>
      <c r="H1470" s="30">
        <v>8</v>
      </c>
      <c r="I1470" s="9" t="s">
        <v>148</v>
      </c>
      <c r="J1470" s="9" t="s">
        <v>1067</v>
      </c>
      <c r="K1470" s="30">
        <v>3</v>
      </c>
      <c r="L1470" s="9" t="s">
        <v>1069</v>
      </c>
      <c r="M1470" s="30" t="s">
        <v>84</v>
      </c>
      <c r="N1470" s="30" t="s">
        <v>151</v>
      </c>
      <c r="O1470" s="24">
        <v>0</v>
      </c>
      <c r="P1470" s="24">
        <v>183</v>
      </c>
      <c r="Q1470" s="24">
        <v>61</v>
      </c>
      <c r="R1470" s="24">
        <v>0</v>
      </c>
      <c r="S1470" s="24">
        <v>0</v>
      </c>
      <c r="T1470" s="24">
        <v>244</v>
      </c>
    </row>
    <row r="1471" spans="1:20">
      <c r="A1471" s="9" t="s">
        <v>1048</v>
      </c>
      <c r="B1471" s="30" t="s">
        <v>1049</v>
      </c>
      <c r="C1471" s="30" t="str">
        <f>CONCATENATE(VOL_VOLUMEN_SUMINISTROS[[#This Row],[Proyecto]],VOL_VOLUMEN_SUMINISTROS[[#This Row],[J]],VOL_VOLUMEN_SUMINISTROS[[#This Row],[FIN DE SEMANA]])</f>
        <v>1052-1NNO</v>
      </c>
      <c r="D1471" s="360" t="str">
        <f>CONCATENATE(VOL_VOLUMEN_SUMINISTROS[[#This Row],[Grupo]],VOL_VOLUMEN_SUMINISTROS[[#This Row],[Proyecto]],VOL_VOLUMEN_SUMINISTROS[[#This Row],[FIN DE SEMANA]])</f>
        <v>121052-1NO</v>
      </c>
      <c r="E1471" s="30" t="s">
        <v>146</v>
      </c>
      <c r="F1471" s="30" t="s">
        <v>147</v>
      </c>
      <c r="G1471" s="360">
        <v>12</v>
      </c>
      <c r="H1471" s="30">
        <v>8</v>
      </c>
      <c r="I1471" s="9" t="s">
        <v>148</v>
      </c>
      <c r="J1471" s="9" t="s">
        <v>1067</v>
      </c>
      <c r="K1471" s="30">
        <v>3</v>
      </c>
      <c r="L1471" s="9" t="s">
        <v>1069</v>
      </c>
      <c r="M1471" s="30" t="s">
        <v>84</v>
      </c>
      <c r="N1471" s="30" t="s">
        <v>153</v>
      </c>
      <c r="O1471" s="24">
        <v>0</v>
      </c>
      <c r="P1471" s="24">
        <v>0</v>
      </c>
      <c r="Q1471" s="24">
        <v>0</v>
      </c>
      <c r="R1471" s="24">
        <v>61</v>
      </c>
      <c r="S1471" s="24">
        <v>39</v>
      </c>
      <c r="T1471" s="24">
        <v>100</v>
      </c>
    </row>
    <row r="1472" spans="1:20">
      <c r="A1472" s="9" t="s">
        <v>1048</v>
      </c>
      <c r="B1472" s="30" t="s">
        <v>1049</v>
      </c>
      <c r="C1472" s="30" t="str">
        <f>CONCATENATE(VOL_VOLUMEN_SUMINISTROS[[#This Row],[Proyecto]],VOL_VOLUMEN_SUMINISTROS[[#This Row],[J]],VOL_VOLUMEN_SUMINISTROS[[#This Row],[FIN DE SEMANA]])</f>
        <v>1052-1TNO</v>
      </c>
      <c r="D1472" s="360" t="str">
        <f>CONCATENATE(VOL_VOLUMEN_SUMINISTROS[[#This Row],[Grupo]],VOL_VOLUMEN_SUMINISTROS[[#This Row],[Proyecto]],VOL_VOLUMEN_SUMINISTROS[[#This Row],[FIN DE SEMANA]])</f>
        <v>101052-1NO</v>
      </c>
      <c r="E1472" s="30" t="s">
        <v>146</v>
      </c>
      <c r="F1472" s="30" t="s">
        <v>147</v>
      </c>
      <c r="G1472" s="360">
        <v>10</v>
      </c>
      <c r="H1472" s="30">
        <v>8</v>
      </c>
      <c r="I1472" s="9" t="s">
        <v>148</v>
      </c>
      <c r="J1472" s="9" t="s">
        <v>1067</v>
      </c>
      <c r="K1472" s="30">
        <v>3</v>
      </c>
      <c r="L1472" s="9" t="s">
        <v>1069</v>
      </c>
      <c r="M1472" s="30" t="s">
        <v>84</v>
      </c>
      <c r="N1472" s="30" t="s">
        <v>154</v>
      </c>
      <c r="O1472" s="24">
        <v>0</v>
      </c>
      <c r="P1472" s="24">
        <v>180</v>
      </c>
      <c r="Q1472" s="24">
        <v>60</v>
      </c>
      <c r="R1472" s="24">
        <v>0</v>
      </c>
      <c r="S1472" s="24">
        <v>0</v>
      </c>
      <c r="T1472" s="24">
        <v>240</v>
      </c>
    </row>
    <row r="1473" spans="1:20">
      <c r="A1473" s="9" t="s">
        <v>1048</v>
      </c>
      <c r="B1473" s="30" t="s">
        <v>1049</v>
      </c>
      <c r="C1473" s="30" t="str">
        <f>CONCATENATE(VOL_VOLUMEN_SUMINISTROS[[#This Row],[Proyecto]],VOL_VOLUMEN_SUMINISTROS[[#This Row],[J]],VOL_VOLUMEN_SUMINISTROS[[#This Row],[FIN DE SEMANA]])</f>
        <v>1052-1MNO</v>
      </c>
      <c r="D1473" s="360" t="str">
        <f>CONCATENATE(VOL_VOLUMEN_SUMINISTROS[[#This Row],[Grupo]],VOL_VOLUMEN_SUMINISTROS[[#This Row],[Proyecto]],VOL_VOLUMEN_SUMINISTROS[[#This Row],[FIN DE SEMANA]])</f>
        <v>101052-1NO</v>
      </c>
      <c r="E1473" s="30" t="s">
        <v>146</v>
      </c>
      <c r="F1473" s="30" t="s">
        <v>147</v>
      </c>
      <c r="G1473" s="360">
        <v>10</v>
      </c>
      <c r="H1473" s="30">
        <v>8</v>
      </c>
      <c r="I1473" s="9" t="s">
        <v>148</v>
      </c>
      <c r="J1473" s="9" t="s">
        <v>1070</v>
      </c>
      <c r="K1473" s="30">
        <v>1</v>
      </c>
      <c r="L1473" s="9" t="s">
        <v>1071</v>
      </c>
      <c r="M1473" s="30" t="s">
        <v>84</v>
      </c>
      <c r="N1473" s="30" t="s">
        <v>151</v>
      </c>
      <c r="O1473" s="24">
        <v>264</v>
      </c>
      <c r="P1473" s="24">
        <v>244</v>
      </c>
      <c r="Q1473" s="24">
        <v>695</v>
      </c>
      <c r="R1473" s="24">
        <v>0</v>
      </c>
      <c r="S1473" s="24">
        <v>0</v>
      </c>
      <c r="T1473" s="24">
        <v>1203</v>
      </c>
    </row>
    <row r="1474" spans="1:20">
      <c r="A1474" s="9" t="s">
        <v>1048</v>
      </c>
      <c r="B1474" s="30" t="s">
        <v>1049</v>
      </c>
      <c r="C1474" s="30" t="str">
        <f>CONCATENATE(VOL_VOLUMEN_SUMINISTROS[[#This Row],[Proyecto]],VOL_VOLUMEN_SUMINISTROS[[#This Row],[J]],VOL_VOLUMEN_SUMINISTROS[[#This Row],[FIN DE SEMANA]])</f>
        <v>1052-1TNO</v>
      </c>
      <c r="D1474" s="360" t="str">
        <f>CONCATENATE(VOL_VOLUMEN_SUMINISTROS[[#This Row],[Grupo]],VOL_VOLUMEN_SUMINISTROS[[#This Row],[Proyecto]],VOL_VOLUMEN_SUMINISTROS[[#This Row],[FIN DE SEMANA]])</f>
        <v>101052-1NO</v>
      </c>
      <c r="E1474" s="30" t="s">
        <v>146</v>
      </c>
      <c r="F1474" s="30" t="s">
        <v>147</v>
      </c>
      <c r="G1474" s="360">
        <v>10</v>
      </c>
      <c r="H1474" s="30">
        <v>8</v>
      </c>
      <c r="I1474" s="9" t="s">
        <v>148</v>
      </c>
      <c r="J1474" s="9" t="s">
        <v>1070</v>
      </c>
      <c r="K1474" s="30">
        <v>1</v>
      </c>
      <c r="L1474" s="9" t="s">
        <v>1071</v>
      </c>
      <c r="M1474" s="30" t="s">
        <v>84</v>
      </c>
      <c r="N1474" s="30" t="s">
        <v>154</v>
      </c>
      <c r="O1474" s="24">
        <v>316</v>
      </c>
      <c r="P1474" s="24">
        <v>684</v>
      </c>
      <c r="Q1474" s="24">
        <v>192</v>
      </c>
      <c r="R1474" s="24">
        <v>0</v>
      </c>
      <c r="S1474" s="24">
        <v>0</v>
      </c>
      <c r="T1474" s="24">
        <v>1192</v>
      </c>
    </row>
    <row r="1475" spans="1:20">
      <c r="A1475" s="9" t="s">
        <v>1048</v>
      </c>
      <c r="B1475" s="30" t="s">
        <v>1072</v>
      </c>
      <c r="C1475" s="30" t="str">
        <f>CONCATENATE(VOL_VOLUMEN_SUMINISTROS[[#This Row],[Proyecto]],VOL_VOLUMEN_SUMINISTROS[[#This Row],[J]],VOL_VOLUMEN_SUMINISTROS[[#This Row],[FIN DE SEMANA]])</f>
        <v>1052-2M1NO</v>
      </c>
      <c r="D1475" s="360" t="str">
        <f>CONCATENATE(VOL_VOLUMEN_SUMINISTROS[[#This Row],[Grupo]],VOL_VOLUMEN_SUMINISTROS[[#This Row],[Proyecto]],VOL_VOLUMEN_SUMINISTROS[[#This Row],[FIN DE SEMANA]])</f>
        <v>101052-2NO</v>
      </c>
      <c r="E1475" s="30" t="s">
        <v>182</v>
      </c>
      <c r="F1475" s="30" t="s">
        <v>147</v>
      </c>
      <c r="G1475" s="360">
        <v>10</v>
      </c>
      <c r="H1475" s="30">
        <v>8</v>
      </c>
      <c r="I1475" s="9" t="s">
        <v>148</v>
      </c>
      <c r="J1475" s="9" t="s">
        <v>1070</v>
      </c>
      <c r="K1475" s="30">
        <v>1</v>
      </c>
      <c r="L1475" s="9" t="s">
        <v>1071</v>
      </c>
      <c r="M1475" s="30" t="s">
        <v>84</v>
      </c>
      <c r="N1475" s="30" t="s">
        <v>215</v>
      </c>
      <c r="O1475" s="24">
        <v>54</v>
      </c>
      <c r="P1475" s="24">
        <v>336</v>
      </c>
      <c r="Q1475" s="24">
        <v>103</v>
      </c>
      <c r="R1475" s="24">
        <v>0</v>
      </c>
      <c r="S1475" s="24">
        <v>0</v>
      </c>
      <c r="T1475" s="24">
        <v>493</v>
      </c>
    </row>
    <row r="1476" spans="1:20">
      <c r="A1476" s="9" t="s">
        <v>1048</v>
      </c>
      <c r="B1476" s="30" t="s">
        <v>1072</v>
      </c>
      <c r="C1476" s="30" t="str">
        <f>CONCATENATE(VOL_VOLUMEN_SUMINISTROS[[#This Row],[Proyecto]],VOL_VOLUMEN_SUMINISTROS[[#This Row],[J]],VOL_VOLUMEN_SUMINISTROS[[#This Row],[FIN DE SEMANA]])</f>
        <v>1052-2TNO</v>
      </c>
      <c r="D1476" s="360" t="str">
        <f>CONCATENATE(VOL_VOLUMEN_SUMINISTROS[[#This Row],[Grupo]],VOL_VOLUMEN_SUMINISTROS[[#This Row],[Proyecto]],VOL_VOLUMEN_SUMINISTROS[[#This Row],[FIN DE SEMANA]])</f>
        <v>101052-2NO</v>
      </c>
      <c r="E1476" s="30" t="s">
        <v>182</v>
      </c>
      <c r="F1476" s="30" t="s">
        <v>147</v>
      </c>
      <c r="G1476" s="360">
        <v>10</v>
      </c>
      <c r="H1476" s="30">
        <v>8</v>
      </c>
      <c r="I1476" s="9" t="s">
        <v>148</v>
      </c>
      <c r="J1476" s="9" t="s">
        <v>1070</v>
      </c>
      <c r="K1476" s="30">
        <v>1</v>
      </c>
      <c r="L1476" s="9" t="s">
        <v>1071</v>
      </c>
      <c r="M1476" s="30" t="s">
        <v>84</v>
      </c>
      <c r="N1476" s="30" t="s">
        <v>154</v>
      </c>
      <c r="O1476" s="24">
        <v>60</v>
      </c>
      <c r="P1476" s="24">
        <v>105</v>
      </c>
      <c r="Q1476" s="24">
        <v>282</v>
      </c>
      <c r="R1476" s="24">
        <v>0</v>
      </c>
      <c r="S1476" s="24">
        <v>0</v>
      </c>
      <c r="T1476" s="24">
        <v>447</v>
      </c>
    </row>
    <row r="1477" spans="1:20">
      <c r="A1477" s="9" t="s">
        <v>1048</v>
      </c>
      <c r="B1477" s="30" t="s">
        <v>1073</v>
      </c>
      <c r="C1477" s="30" t="str">
        <f>CONCATENATE(VOL_VOLUMEN_SUMINISTROS[[#This Row],[Proyecto]],VOL_VOLUMEN_SUMINISTROS[[#This Row],[J]],VOL_VOLUMEN_SUMINISTROS[[#This Row],[FIN DE SEMANA]])</f>
        <v>1052-2MNO</v>
      </c>
      <c r="D1477" s="360" t="str">
        <f>CONCATENATE(VOL_VOLUMEN_SUMINISTROS[[#This Row],[Grupo]],VOL_VOLUMEN_SUMINISTROS[[#This Row],[Proyecto]],VOL_VOLUMEN_SUMINISTROS[[#This Row],[FIN DE SEMANA]])</f>
        <v>101052-2NO</v>
      </c>
      <c r="E1477" s="30" t="s">
        <v>182</v>
      </c>
      <c r="F1477" s="30" t="s">
        <v>147</v>
      </c>
      <c r="G1477" s="360">
        <v>10</v>
      </c>
      <c r="H1477" s="30">
        <v>8</v>
      </c>
      <c r="I1477" s="9" t="s">
        <v>148</v>
      </c>
      <c r="J1477" s="9" t="s">
        <v>1059</v>
      </c>
      <c r="K1477" s="30">
        <v>1</v>
      </c>
      <c r="L1477" s="9" t="s">
        <v>1060</v>
      </c>
      <c r="M1477" s="30" t="s">
        <v>84</v>
      </c>
      <c r="N1477" s="30" t="s">
        <v>151</v>
      </c>
      <c r="O1477" s="24">
        <v>192</v>
      </c>
      <c r="P1477" s="24">
        <v>0</v>
      </c>
      <c r="Q1477" s="24">
        <v>0</v>
      </c>
      <c r="R1477" s="24">
        <v>0</v>
      </c>
      <c r="S1477" s="24">
        <v>0</v>
      </c>
      <c r="T1477" s="24">
        <v>192</v>
      </c>
    </row>
    <row r="1478" spans="1:20">
      <c r="A1478" s="9" t="s">
        <v>1048</v>
      </c>
      <c r="B1478" s="30" t="s">
        <v>1073</v>
      </c>
      <c r="C1478" s="30" t="str">
        <f>CONCATENATE(VOL_VOLUMEN_SUMINISTROS[[#This Row],[Proyecto]],VOL_VOLUMEN_SUMINISTROS[[#This Row],[J]],VOL_VOLUMEN_SUMINISTROS[[#This Row],[FIN DE SEMANA]])</f>
        <v>1052-2TNO</v>
      </c>
      <c r="D1478" s="360" t="str">
        <f>CONCATENATE(VOL_VOLUMEN_SUMINISTROS[[#This Row],[Grupo]],VOL_VOLUMEN_SUMINISTROS[[#This Row],[Proyecto]],VOL_VOLUMEN_SUMINISTROS[[#This Row],[FIN DE SEMANA]])</f>
        <v>101052-2NO</v>
      </c>
      <c r="E1478" s="30" t="s">
        <v>182</v>
      </c>
      <c r="F1478" s="30" t="s">
        <v>147</v>
      </c>
      <c r="G1478" s="360">
        <v>10</v>
      </c>
      <c r="H1478" s="30">
        <v>8</v>
      </c>
      <c r="I1478" s="9" t="s">
        <v>148</v>
      </c>
      <c r="J1478" s="9" t="s">
        <v>1059</v>
      </c>
      <c r="K1478" s="30">
        <v>1</v>
      </c>
      <c r="L1478" s="9" t="s">
        <v>1060</v>
      </c>
      <c r="M1478" s="30" t="s">
        <v>84</v>
      </c>
      <c r="N1478" s="30" t="s">
        <v>154</v>
      </c>
      <c r="O1478" s="24">
        <v>195</v>
      </c>
      <c r="P1478" s="24">
        <v>0</v>
      </c>
      <c r="Q1478" s="24">
        <v>0</v>
      </c>
      <c r="R1478" s="24">
        <v>0</v>
      </c>
      <c r="S1478" s="24">
        <v>0</v>
      </c>
      <c r="T1478" s="24">
        <v>195</v>
      </c>
    </row>
    <row r="1479" spans="1:20">
      <c r="A1479" s="9" t="s">
        <v>1048</v>
      </c>
      <c r="B1479" s="30" t="s">
        <v>1073</v>
      </c>
      <c r="C1479" s="30" t="str">
        <f>CONCATENATE(VOL_VOLUMEN_SUMINISTROS[[#This Row],[Proyecto]],VOL_VOLUMEN_SUMINISTROS[[#This Row],[J]],VOL_VOLUMEN_SUMINISTROS[[#This Row],[FIN DE SEMANA]])</f>
        <v>1052-2MNO</v>
      </c>
      <c r="D1479" s="360" t="str">
        <f>CONCATENATE(VOL_VOLUMEN_SUMINISTROS[[#This Row],[Grupo]],VOL_VOLUMEN_SUMINISTROS[[#This Row],[Proyecto]],VOL_VOLUMEN_SUMINISTROS[[#This Row],[FIN DE SEMANA]])</f>
        <v>101052-2NO</v>
      </c>
      <c r="E1479" s="30" t="s">
        <v>182</v>
      </c>
      <c r="F1479" s="30" t="s">
        <v>147</v>
      </c>
      <c r="G1479" s="360">
        <v>10</v>
      </c>
      <c r="H1479" s="30">
        <v>8</v>
      </c>
      <c r="I1479" s="9" t="s">
        <v>148</v>
      </c>
      <c r="J1479" s="9" t="s">
        <v>1070</v>
      </c>
      <c r="K1479" s="30">
        <v>1</v>
      </c>
      <c r="L1479" s="9" t="s">
        <v>1071</v>
      </c>
      <c r="M1479" s="30" t="s">
        <v>84</v>
      </c>
      <c r="N1479" s="30" t="s">
        <v>151</v>
      </c>
      <c r="O1479" s="24">
        <v>77</v>
      </c>
      <c r="P1479" s="24">
        <v>0</v>
      </c>
      <c r="Q1479" s="24">
        <v>0</v>
      </c>
      <c r="R1479" s="24">
        <v>0</v>
      </c>
      <c r="S1479" s="24">
        <v>0</v>
      </c>
      <c r="T1479" s="24">
        <v>77</v>
      </c>
    </row>
    <row r="1480" spans="1:20">
      <c r="A1480" s="9" t="s">
        <v>1048</v>
      </c>
      <c r="B1480" s="30" t="s">
        <v>1073</v>
      </c>
      <c r="C1480" s="30" t="str">
        <f>CONCATENATE(VOL_VOLUMEN_SUMINISTROS[[#This Row],[Proyecto]],VOL_VOLUMEN_SUMINISTROS[[#This Row],[J]],VOL_VOLUMEN_SUMINISTROS[[#This Row],[FIN DE SEMANA]])</f>
        <v>1052-2TNO</v>
      </c>
      <c r="D1480" s="360" t="str">
        <f>CONCATENATE(VOL_VOLUMEN_SUMINISTROS[[#This Row],[Grupo]],VOL_VOLUMEN_SUMINISTROS[[#This Row],[Proyecto]],VOL_VOLUMEN_SUMINISTROS[[#This Row],[FIN DE SEMANA]])</f>
        <v>101052-2NO</v>
      </c>
      <c r="E1480" s="30" t="s">
        <v>182</v>
      </c>
      <c r="F1480" s="30" t="s">
        <v>147</v>
      </c>
      <c r="G1480" s="360">
        <v>10</v>
      </c>
      <c r="H1480" s="30">
        <v>8</v>
      </c>
      <c r="I1480" s="9" t="s">
        <v>148</v>
      </c>
      <c r="J1480" s="9" t="s">
        <v>1070</v>
      </c>
      <c r="K1480" s="30">
        <v>1</v>
      </c>
      <c r="L1480" s="9" t="s">
        <v>1071</v>
      </c>
      <c r="M1480" s="30" t="s">
        <v>84</v>
      </c>
      <c r="N1480" s="30" t="s">
        <v>154</v>
      </c>
      <c r="O1480" s="24">
        <v>103</v>
      </c>
      <c r="P1480" s="24">
        <v>0</v>
      </c>
      <c r="Q1480" s="24">
        <v>0</v>
      </c>
      <c r="R1480" s="24">
        <v>0</v>
      </c>
      <c r="S1480" s="24">
        <v>0</v>
      </c>
      <c r="T1480" s="24">
        <v>103</v>
      </c>
    </row>
    <row r="1481" spans="1:20">
      <c r="A1481" s="9" t="s">
        <v>1048</v>
      </c>
      <c r="B1481" s="30" t="s">
        <v>1074</v>
      </c>
      <c r="C1481" s="30" t="str">
        <f>CONCATENATE(VOL_VOLUMEN_SUMINISTROS[[#This Row],[Proyecto]],VOL_VOLUMEN_SUMINISTROS[[#This Row],[J]],VOL_VOLUMEN_SUMINISTROS[[#This Row],[FIN DE SEMANA]])</f>
        <v>1052-1MNO</v>
      </c>
      <c r="D1481" s="360" t="str">
        <f>CONCATENATE(VOL_VOLUMEN_SUMINISTROS[[#This Row],[Grupo]],VOL_VOLUMEN_SUMINISTROS[[#This Row],[Proyecto]],VOL_VOLUMEN_SUMINISTROS[[#This Row],[FIN DE SEMANA]])</f>
        <v>261052-1NO</v>
      </c>
      <c r="E1481" s="30" t="s">
        <v>146</v>
      </c>
      <c r="F1481" s="30" t="s">
        <v>147</v>
      </c>
      <c r="G1481" s="360">
        <v>26</v>
      </c>
      <c r="H1481" s="30">
        <v>18</v>
      </c>
      <c r="I1481" s="9" t="s">
        <v>307</v>
      </c>
      <c r="J1481" s="9" t="s">
        <v>1075</v>
      </c>
      <c r="K1481" s="30">
        <v>1</v>
      </c>
      <c r="L1481" s="9" t="s">
        <v>152</v>
      </c>
      <c r="M1481" s="30" t="s">
        <v>84</v>
      </c>
      <c r="N1481" s="30" t="s">
        <v>151</v>
      </c>
      <c r="O1481" s="24">
        <v>20</v>
      </c>
      <c r="P1481" s="24">
        <v>196</v>
      </c>
      <c r="Q1481" s="24">
        <v>328</v>
      </c>
      <c r="R1481" s="24">
        <v>0</v>
      </c>
      <c r="S1481" s="24">
        <v>0</v>
      </c>
      <c r="T1481" s="24">
        <v>544</v>
      </c>
    </row>
    <row r="1482" spans="1:20">
      <c r="A1482" s="9" t="s">
        <v>1048</v>
      </c>
      <c r="B1482" s="30" t="s">
        <v>1074</v>
      </c>
      <c r="C1482" s="30" t="str">
        <f>CONCATENATE(VOL_VOLUMEN_SUMINISTROS[[#This Row],[Proyecto]],VOL_VOLUMEN_SUMINISTROS[[#This Row],[J]],VOL_VOLUMEN_SUMINISTROS[[#This Row],[FIN DE SEMANA]])</f>
        <v>1052-1MNO</v>
      </c>
      <c r="D1482" s="360" t="str">
        <f>CONCATENATE(VOL_VOLUMEN_SUMINISTROS[[#This Row],[Grupo]],VOL_VOLUMEN_SUMINISTROS[[#This Row],[Proyecto]],VOL_VOLUMEN_SUMINISTROS[[#This Row],[FIN DE SEMANA]])</f>
        <v>261052-1NO</v>
      </c>
      <c r="E1482" s="30" t="s">
        <v>146</v>
      </c>
      <c r="F1482" s="30" t="s">
        <v>147</v>
      </c>
      <c r="G1482" s="360">
        <v>26</v>
      </c>
      <c r="H1482" s="30">
        <v>18</v>
      </c>
      <c r="I1482" s="9" t="s">
        <v>307</v>
      </c>
      <c r="J1482" s="9" t="s">
        <v>1075</v>
      </c>
      <c r="K1482" s="30">
        <v>2</v>
      </c>
      <c r="L1482" s="9" t="s">
        <v>1076</v>
      </c>
      <c r="M1482" s="30" t="s">
        <v>84</v>
      </c>
      <c r="N1482" s="30" t="s">
        <v>151</v>
      </c>
      <c r="O1482" s="24">
        <v>215</v>
      </c>
      <c r="P1482" s="24">
        <v>45</v>
      </c>
      <c r="Q1482" s="24">
        <v>0</v>
      </c>
      <c r="R1482" s="24">
        <v>0</v>
      </c>
      <c r="S1482" s="24">
        <v>0</v>
      </c>
      <c r="T1482" s="24">
        <v>260</v>
      </c>
    </row>
    <row r="1483" spans="1:20">
      <c r="A1483" s="9" t="s">
        <v>1048</v>
      </c>
      <c r="B1483" s="30" t="s">
        <v>1074</v>
      </c>
      <c r="C1483" s="30" t="str">
        <f>CONCATENATE(VOL_VOLUMEN_SUMINISTROS[[#This Row],[Proyecto]],VOL_VOLUMEN_SUMINISTROS[[#This Row],[J]],VOL_VOLUMEN_SUMINISTROS[[#This Row],[FIN DE SEMANA]])</f>
        <v>1052-1MNO</v>
      </c>
      <c r="D1483" s="360" t="str">
        <f>CONCATENATE(VOL_VOLUMEN_SUMINISTROS[[#This Row],[Grupo]],VOL_VOLUMEN_SUMINISTROS[[#This Row],[Proyecto]],VOL_VOLUMEN_SUMINISTROS[[#This Row],[FIN DE SEMANA]])</f>
        <v>261052-1NO</v>
      </c>
      <c r="E1483" s="30" t="s">
        <v>146</v>
      </c>
      <c r="F1483" s="30" t="s">
        <v>147</v>
      </c>
      <c r="G1483" s="360">
        <v>26</v>
      </c>
      <c r="H1483" s="30">
        <v>18</v>
      </c>
      <c r="I1483" s="9" t="s">
        <v>307</v>
      </c>
      <c r="J1483" s="9" t="s">
        <v>1075</v>
      </c>
      <c r="K1483" s="30">
        <v>3</v>
      </c>
      <c r="L1483" s="9" t="s">
        <v>457</v>
      </c>
      <c r="M1483" s="30" t="s">
        <v>84</v>
      </c>
      <c r="N1483" s="30" t="s">
        <v>151</v>
      </c>
      <c r="O1483" s="24">
        <v>86</v>
      </c>
      <c r="P1483" s="24">
        <v>118</v>
      </c>
      <c r="Q1483" s="24">
        <v>25</v>
      </c>
      <c r="R1483" s="24">
        <v>0</v>
      </c>
      <c r="S1483" s="24">
        <v>0</v>
      </c>
      <c r="T1483" s="24">
        <v>229</v>
      </c>
    </row>
    <row r="1484" spans="1:20">
      <c r="A1484" s="9" t="s">
        <v>1048</v>
      </c>
      <c r="B1484" s="30" t="s">
        <v>1074</v>
      </c>
      <c r="C1484" s="30" t="str">
        <f>CONCATENATE(VOL_VOLUMEN_SUMINISTROS[[#This Row],[Proyecto]],VOL_VOLUMEN_SUMINISTROS[[#This Row],[J]],VOL_VOLUMEN_SUMINISTROS[[#This Row],[FIN DE SEMANA]])</f>
        <v>1052-1MNO</v>
      </c>
      <c r="D1484" s="360" t="str">
        <f>CONCATENATE(VOL_VOLUMEN_SUMINISTROS[[#This Row],[Grupo]],VOL_VOLUMEN_SUMINISTROS[[#This Row],[Proyecto]],VOL_VOLUMEN_SUMINISTROS[[#This Row],[FIN DE SEMANA]])</f>
        <v>261052-1NO</v>
      </c>
      <c r="E1484" s="30" t="s">
        <v>146</v>
      </c>
      <c r="F1484" s="30" t="s">
        <v>147</v>
      </c>
      <c r="G1484" s="360">
        <v>26</v>
      </c>
      <c r="H1484" s="30">
        <v>18</v>
      </c>
      <c r="I1484" s="9" t="s">
        <v>307</v>
      </c>
      <c r="J1484" s="9" t="s">
        <v>1077</v>
      </c>
      <c r="K1484" s="30">
        <v>1</v>
      </c>
      <c r="L1484" s="9" t="s">
        <v>152</v>
      </c>
      <c r="M1484" s="30" t="s">
        <v>84</v>
      </c>
      <c r="N1484" s="30" t="s">
        <v>151</v>
      </c>
      <c r="O1484" s="24">
        <v>0</v>
      </c>
      <c r="P1484" s="24">
        <v>168</v>
      </c>
      <c r="Q1484" s="24">
        <v>484</v>
      </c>
      <c r="R1484" s="24">
        <v>0</v>
      </c>
      <c r="S1484" s="24">
        <v>0</v>
      </c>
      <c r="T1484" s="24">
        <v>652</v>
      </c>
    </row>
    <row r="1485" spans="1:20">
      <c r="A1485" s="9" t="s">
        <v>1048</v>
      </c>
      <c r="B1485" s="30" t="s">
        <v>1074</v>
      </c>
      <c r="C1485" s="30" t="str">
        <f>CONCATENATE(VOL_VOLUMEN_SUMINISTROS[[#This Row],[Proyecto]],VOL_VOLUMEN_SUMINISTROS[[#This Row],[J]],VOL_VOLUMEN_SUMINISTROS[[#This Row],[FIN DE SEMANA]])</f>
        <v>1052-1TNO</v>
      </c>
      <c r="D1485" s="360" t="str">
        <f>CONCATENATE(VOL_VOLUMEN_SUMINISTROS[[#This Row],[Grupo]],VOL_VOLUMEN_SUMINISTROS[[#This Row],[Proyecto]],VOL_VOLUMEN_SUMINISTROS[[#This Row],[FIN DE SEMANA]])</f>
        <v>261052-1NO</v>
      </c>
      <c r="E1485" s="30" t="s">
        <v>146</v>
      </c>
      <c r="F1485" s="30" t="s">
        <v>147</v>
      </c>
      <c r="G1485" s="360">
        <v>26</v>
      </c>
      <c r="H1485" s="30">
        <v>18</v>
      </c>
      <c r="I1485" s="9" t="s">
        <v>307</v>
      </c>
      <c r="J1485" s="9" t="s">
        <v>1077</v>
      </c>
      <c r="K1485" s="30">
        <v>1</v>
      </c>
      <c r="L1485" s="9" t="s">
        <v>1078</v>
      </c>
      <c r="M1485" s="30" t="s">
        <v>84</v>
      </c>
      <c r="N1485" s="30" t="s">
        <v>154</v>
      </c>
      <c r="O1485" s="24">
        <v>0</v>
      </c>
      <c r="P1485" s="24">
        <v>120</v>
      </c>
      <c r="Q1485" s="24">
        <v>288</v>
      </c>
      <c r="R1485" s="24">
        <v>0</v>
      </c>
      <c r="S1485" s="24">
        <v>0</v>
      </c>
      <c r="T1485" s="24">
        <v>408</v>
      </c>
    </row>
    <row r="1486" spans="1:20">
      <c r="A1486" s="9" t="s">
        <v>1048</v>
      </c>
      <c r="B1486" s="30" t="s">
        <v>1074</v>
      </c>
      <c r="C1486" s="30" t="str">
        <f>CONCATENATE(VOL_VOLUMEN_SUMINISTROS[[#This Row],[Proyecto]],VOL_VOLUMEN_SUMINISTROS[[#This Row],[J]],VOL_VOLUMEN_SUMINISTROS[[#This Row],[FIN DE SEMANA]])</f>
        <v>1052-1MNO</v>
      </c>
      <c r="D1486" s="360" t="str">
        <f>CONCATENATE(VOL_VOLUMEN_SUMINISTROS[[#This Row],[Grupo]],VOL_VOLUMEN_SUMINISTROS[[#This Row],[Proyecto]],VOL_VOLUMEN_SUMINISTROS[[#This Row],[FIN DE SEMANA]])</f>
        <v>261052-1NO</v>
      </c>
      <c r="E1486" s="30" t="s">
        <v>146</v>
      </c>
      <c r="F1486" s="30" t="s">
        <v>147</v>
      </c>
      <c r="G1486" s="360">
        <v>26</v>
      </c>
      <c r="H1486" s="30">
        <v>18</v>
      </c>
      <c r="I1486" s="9" t="s">
        <v>307</v>
      </c>
      <c r="J1486" s="9" t="s">
        <v>1077</v>
      </c>
      <c r="K1486" s="30">
        <v>2</v>
      </c>
      <c r="L1486" s="9" t="s">
        <v>1079</v>
      </c>
      <c r="M1486" s="30" t="s">
        <v>84</v>
      </c>
      <c r="N1486" s="30" t="s">
        <v>151</v>
      </c>
      <c r="O1486" s="24">
        <v>208</v>
      </c>
      <c r="P1486" s="24">
        <v>170</v>
      </c>
      <c r="Q1486" s="24">
        <v>36</v>
      </c>
      <c r="R1486" s="24">
        <v>0</v>
      </c>
      <c r="S1486" s="24">
        <v>0</v>
      </c>
      <c r="T1486" s="24">
        <v>414</v>
      </c>
    </row>
    <row r="1487" spans="1:20">
      <c r="A1487" s="9" t="s">
        <v>1048</v>
      </c>
      <c r="B1487" s="30" t="s">
        <v>1074</v>
      </c>
      <c r="C1487" s="30" t="str">
        <f>CONCATENATE(VOL_VOLUMEN_SUMINISTROS[[#This Row],[Proyecto]],VOL_VOLUMEN_SUMINISTROS[[#This Row],[J]],VOL_VOLUMEN_SUMINISTROS[[#This Row],[FIN DE SEMANA]])</f>
        <v>1052-1TNO</v>
      </c>
      <c r="D1487" s="360" t="str">
        <f>CONCATENATE(VOL_VOLUMEN_SUMINISTROS[[#This Row],[Grupo]],VOL_VOLUMEN_SUMINISTROS[[#This Row],[Proyecto]],VOL_VOLUMEN_SUMINISTROS[[#This Row],[FIN DE SEMANA]])</f>
        <v>261052-1NO</v>
      </c>
      <c r="E1487" s="30" t="s">
        <v>146</v>
      </c>
      <c r="F1487" s="30" t="s">
        <v>147</v>
      </c>
      <c r="G1487" s="360">
        <v>26</v>
      </c>
      <c r="H1487" s="30">
        <v>18</v>
      </c>
      <c r="I1487" s="9" t="s">
        <v>307</v>
      </c>
      <c r="J1487" s="9" t="s">
        <v>1077</v>
      </c>
      <c r="K1487" s="30">
        <v>2</v>
      </c>
      <c r="L1487" s="9" t="s">
        <v>1079</v>
      </c>
      <c r="M1487" s="30" t="s">
        <v>84</v>
      </c>
      <c r="N1487" s="30" t="s">
        <v>154</v>
      </c>
      <c r="O1487" s="24">
        <v>218</v>
      </c>
      <c r="P1487" s="24">
        <v>167</v>
      </c>
      <c r="Q1487" s="24">
        <v>34</v>
      </c>
      <c r="R1487" s="24">
        <v>0</v>
      </c>
      <c r="S1487" s="24">
        <v>0</v>
      </c>
      <c r="T1487" s="24">
        <v>419</v>
      </c>
    </row>
    <row r="1488" spans="1:20">
      <c r="A1488" s="9" t="s">
        <v>1048</v>
      </c>
      <c r="B1488" s="30" t="s">
        <v>1074</v>
      </c>
      <c r="C1488" s="30" t="str">
        <f>CONCATENATE(VOL_VOLUMEN_SUMINISTROS[[#This Row],[Proyecto]],VOL_VOLUMEN_SUMINISTROS[[#This Row],[J]],VOL_VOLUMEN_SUMINISTROS[[#This Row],[FIN DE SEMANA]])</f>
        <v>1052-1MNO</v>
      </c>
      <c r="D1488" s="360" t="str">
        <f>CONCATENATE(VOL_VOLUMEN_SUMINISTROS[[#This Row],[Grupo]],VOL_VOLUMEN_SUMINISTROS[[#This Row],[Proyecto]],VOL_VOLUMEN_SUMINISTROS[[#This Row],[FIN DE SEMANA]])</f>
        <v>261052-1NO</v>
      </c>
      <c r="E1488" s="30" t="s">
        <v>146</v>
      </c>
      <c r="F1488" s="30" t="s">
        <v>147</v>
      </c>
      <c r="G1488" s="360">
        <v>26</v>
      </c>
      <c r="H1488" s="30">
        <v>18</v>
      </c>
      <c r="I1488" s="9" t="s">
        <v>307</v>
      </c>
      <c r="J1488" s="9" t="s">
        <v>1077</v>
      </c>
      <c r="K1488" s="30">
        <v>3</v>
      </c>
      <c r="L1488" s="9" t="s">
        <v>1080</v>
      </c>
      <c r="M1488" s="30" t="s">
        <v>84</v>
      </c>
      <c r="N1488" s="30" t="s">
        <v>151</v>
      </c>
      <c r="O1488" s="24">
        <v>109</v>
      </c>
      <c r="P1488" s="24">
        <v>81</v>
      </c>
      <c r="Q1488" s="24">
        <v>18</v>
      </c>
      <c r="R1488" s="24">
        <v>0</v>
      </c>
      <c r="S1488" s="24">
        <v>0</v>
      </c>
      <c r="T1488" s="24">
        <v>208</v>
      </c>
    </row>
    <row r="1489" spans="1:20">
      <c r="A1489" s="9" t="s">
        <v>1048</v>
      </c>
      <c r="B1489" s="30" t="s">
        <v>1074</v>
      </c>
      <c r="C1489" s="30" t="str">
        <f>CONCATENATE(VOL_VOLUMEN_SUMINISTROS[[#This Row],[Proyecto]],VOL_VOLUMEN_SUMINISTROS[[#This Row],[J]],VOL_VOLUMEN_SUMINISTROS[[#This Row],[FIN DE SEMANA]])</f>
        <v>1052-1TNO</v>
      </c>
      <c r="D1489" s="360" t="str">
        <f>CONCATENATE(VOL_VOLUMEN_SUMINISTROS[[#This Row],[Grupo]],VOL_VOLUMEN_SUMINISTROS[[#This Row],[Proyecto]],VOL_VOLUMEN_SUMINISTROS[[#This Row],[FIN DE SEMANA]])</f>
        <v>261052-1NO</v>
      </c>
      <c r="E1489" s="30" t="s">
        <v>146</v>
      </c>
      <c r="F1489" s="30" t="s">
        <v>147</v>
      </c>
      <c r="G1489" s="360">
        <v>26</v>
      </c>
      <c r="H1489" s="30">
        <v>18</v>
      </c>
      <c r="I1489" s="9" t="s">
        <v>307</v>
      </c>
      <c r="J1489" s="9" t="s">
        <v>1077</v>
      </c>
      <c r="K1489" s="30">
        <v>3</v>
      </c>
      <c r="L1489" s="9" t="s">
        <v>1080</v>
      </c>
      <c r="M1489" s="30" t="s">
        <v>84</v>
      </c>
      <c r="N1489" s="30" t="s">
        <v>154</v>
      </c>
      <c r="O1489" s="24">
        <v>101</v>
      </c>
      <c r="P1489" s="24">
        <v>71</v>
      </c>
      <c r="Q1489" s="24">
        <v>15</v>
      </c>
      <c r="R1489" s="24">
        <v>0</v>
      </c>
      <c r="S1489" s="24">
        <v>0</v>
      </c>
      <c r="T1489" s="24">
        <v>187</v>
      </c>
    </row>
    <row r="1490" spans="1:20">
      <c r="A1490" s="9" t="s">
        <v>1048</v>
      </c>
      <c r="B1490" s="30" t="s">
        <v>1074</v>
      </c>
      <c r="C1490" s="30" t="str">
        <f>CONCATENATE(VOL_VOLUMEN_SUMINISTROS[[#This Row],[Proyecto]],VOL_VOLUMEN_SUMINISTROS[[#This Row],[J]],VOL_VOLUMEN_SUMINISTROS[[#This Row],[FIN DE SEMANA]])</f>
        <v>1052-1MNO</v>
      </c>
      <c r="D1490" s="360" t="str">
        <f>CONCATENATE(VOL_VOLUMEN_SUMINISTROS[[#This Row],[Grupo]],VOL_VOLUMEN_SUMINISTROS[[#This Row],[Proyecto]],VOL_VOLUMEN_SUMINISTROS[[#This Row],[FIN DE SEMANA]])</f>
        <v>261052-1NO</v>
      </c>
      <c r="E1490" s="30" t="s">
        <v>146</v>
      </c>
      <c r="F1490" s="30" t="s">
        <v>147</v>
      </c>
      <c r="G1490" s="360">
        <v>26</v>
      </c>
      <c r="H1490" s="30">
        <v>18</v>
      </c>
      <c r="I1490" s="9" t="s">
        <v>307</v>
      </c>
      <c r="J1490" s="9" t="s">
        <v>1081</v>
      </c>
      <c r="K1490" s="30">
        <v>1</v>
      </c>
      <c r="L1490" s="9" t="s">
        <v>1082</v>
      </c>
      <c r="M1490" s="30" t="s">
        <v>84</v>
      </c>
      <c r="N1490" s="30" t="s">
        <v>151</v>
      </c>
      <c r="O1490" s="24">
        <v>142</v>
      </c>
      <c r="P1490" s="24">
        <v>270</v>
      </c>
      <c r="Q1490" s="24">
        <v>290</v>
      </c>
      <c r="R1490" s="24">
        <v>0</v>
      </c>
      <c r="S1490" s="24">
        <v>0</v>
      </c>
      <c r="T1490" s="24">
        <v>702</v>
      </c>
    </row>
    <row r="1491" spans="1:20">
      <c r="A1491" s="9" t="s">
        <v>1048</v>
      </c>
      <c r="B1491" s="30" t="s">
        <v>1074</v>
      </c>
      <c r="C1491" s="30" t="str">
        <f>CONCATENATE(VOL_VOLUMEN_SUMINISTROS[[#This Row],[Proyecto]],VOL_VOLUMEN_SUMINISTROS[[#This Row],[J]],VOL_VOLUMEN_SUMINISTROS[[#This Row],[FIN DE SEMANA]])</f>
        <v>1052-1TNO</v>
      </c>
      <c r="D1491" s="360" t="str">
        <f>CONCATENATE(VOL_VOLUMEN_SUMINISTROS[[#This Row],[Grupo]],VOL_VOLUMEN_SUMINISTROS[[#This Row],[Proyecto]],VOL_VOLUMEN_SUMINISTROS[[#This Row],[FIN DE SEMANA]])</f>
        <v>261052-1NO</v>
      </c>
      <c r="E1491" s="30" t="s">
        <v>146</v>
      </c>
      <c r="F1491" s="30" t="s">
        <v>147</v>
      </c>
      <c r="G1491" s="360">
        <v>26</v>
      </c>
      <c r="H1491" s="30">
        <v>18</v>
      </c>
      <c r="I1491" s="9" t="s">
        <v>307</v>
      </c>
      <c r="J1491" s="9" t="s">
        <v>1081</v>
      </c>
      <c r="K1491" s="30">
        <v>1</v>
      </c>
      <c r="L1491" s="9" t="s">
        <v>1083</v>
      </c>
      <c r="M1491" s="30" t="s">
        <v>84</v>
      </c>
      <c r="N1491" s="30" t="s">
        <v>154</v>
      </c>
      <c r="O1491" s="24">
        <v>186</v>
      </c>
      <c r="P1491" s="24">
        <v>192</v>
      </c>
      <c r="Q1491" s="24">
        <v>234</v>
      </c>
      <c r="R1491" s="24">
        <v>0</v>
      </c>
      <c r="S1491" s="24">
        <v>0</v>
      </c>
      <c r="T1491" s="24">
        <v>612</v>
      </c>
    </row>
    <row r="1492" spans="1:20">
      <c r="A1492" s="9" t="s">
        <v>1048</v>
      </c>
      <c r="B1492" s="30" t="s">
        <v>1074</v>
      </c>
      <c r="C1492" s="30" t="str">
        <f>CONCATENATE(VOL_VOLUMEN_SUMINISTROS[[#This Row],[Proyecto]],VOL_VOLUMEN_SUMINISTROS[[#This Row],[J]],VOL_VOLUMEN_SUMINISTROS[[#This Row],[FIN DE SEMANA]])</f>
        <v>1052-1MNO</v>
      </c>
      <c r="D1492" s="360" t="str">
        <f>CONCATENATE(VOL_VOLUMEN_SUMINISTROS[[#This Row],[Grupo]],VOL_VOLUMEN_SUMINISTROS[[#This Row],[Proyecto]],VOL_VOLUMEN_SUMINISTROS[[#This Row],[FIN DE SEMANA]])</f>
        <v>261052-1NO</v>
      </c>
      <c r="E1492" s="30" t="s">
        <v>146</v>
      </c>
      <c r="F1492" s="30" t="s">
        <v>147</v>
      </c>
      <c r="G1492" s="360">
        <v>26</v>
      </c>
      <c r="H1492" s="30">
        <v>18</v>
      </c>
      <c r="I1492" s="9" t="s">
        <v>307</v>
      </c>
      <c r="J1492" s="9" t="s">
        <v>1084</v>
      </c>
      <c r="K1492" s="30">
        <v>1</v>
      </c>
      <c r="L1492" s="9" t="s">
        <v>1085</v>
      </c>
      <c r="M1492" s="30" t="s">
        <v>84</v>
      </c>
      <c r="N1492" s="30" t="s">
        <v>151</v>
      </c>
      <c r="O1492" s="24">
        <v>0</v>
      </c>
      <c r="P1492" s="24">
        <v>240</v>
      </c>
      <c r="Q1492" s="24">
        <v>592</v>
      </c>
      <c r="R1492" s="24">
        <v>0</v>
      </c>
      <c r="S1492" s="24">
        <v>0</v>
      </c>
      <c r="T1492" s="24">
        <v>832</v>
      </c>
    </row>
    <row r="1493" spans="1:20">
      <c r="A1493" s="9" t="s">
        <v>1048</v>
      </c>
      <c r="B1493" s="30" t="s">
        <v>1074</v>
      </c>
      <c r="C1493" s="30" t="str">
        <f>CONCATENATE(VOL_VOLUMEN_SUMINISTROS[[#This Row],[Proyecto]],VOL_VOLUMEN_SUMINISTROS[[#This Row],[J]],VOL_VOLUMEN_SUMINISTROS[[#This Row],[FIN DE SEMANA]])</f>
        <v>1052-1MNO</v>
      </c>
      <c r="D1493" s="360" t="str">
        <f>CONCATENATE(VOL_VOLUMEN_SUMINISTROS[[#This Row],[Grupo]],VOL_VOLUMEN_SUMINISTROS[[#This Row],[Proyecto]],VOL_VOLUMEN_SUMINISTROS[[#This Row],[FIN DE SEMANA]])</f>
        <v>261052-1NO</v>
      </c>
      <c r="E1493" s="30" t="s">
        <v>146</v>
      </c>
      <c r="F1493" s="30" t="s">
        <v>147</v>
      </c>
      <c r="G1493" s="360">
        <v>26</v>
      </c>
      <c r="H1493" s="30">
        <v>18</v>
      </c>
      <c r="I1493" s="9" t="s">
        <v>307</v>
      </c>
      <c r="J1493" s="9" t="s">
        <v>1084</v>
      </c>
      <c r="K1493" s="30">
        <v>2</v>
      </c>
      <c r="L1493" s="9" t="s">
        <v>1086</v>
      </c>
      <c r="M1493" s="30" t="s">
        <v>84</v>
      </c>
      <c r="N1493" s="30" t="s">
        <v>151</v>
      </c>
      <c r="O1493" s="24">
        <v>255</v>
      </c>
      <c r="P1493" s="24">
        <v>176</v>
      </c>
      <c r="Q1493" s="24">
        <v>35</v>
      </c>
      <c r="R1493" s="24">
        <v>0</v>
      </c>
      <c r="S1493" s="24">
        <v>0</v>
      </c>
      <c r="T1493" s="24">
        <v>466</v>
      </c>
    </row>
    <row r="1494" spans="1:20">
      <c r="A1494" s="9" t="s">
        <v>1048</v>
      </c>
      <c r="B1494" s="30" t="s">
        <v>1074</v>
      </c>
      <c r="C1494" s="30" t="str">
        <f>CONCATENATE(VOL_VOLUMEN_SUMINISTROS[[#This Row],[Proyecto]],VOL_VOLUMEN_SUMINISTROS[[#This Row],[J]],VOL_VOLUMEN_SUMINISTROS[[#This Row],[FIN DE SEMANA]])</f>
        <v>1052-1TNO</v>
      </c>
      <c r="D1494" s="360" t="str">
        <f>CONCATENATE(VOL_VOLUMEN_SUMINISTROS[[#This Row],[Grupo]],VOL_VOLUMEN_SUMINISTROS[[#This Row],[Proyecto]],VOL_VOLUMEN_SUMINISTROS[[#This Row],[FIN DE SEMANA]])</f>
        <v>261052-1NO</v>
      </c>
      <c r="E1494" s="30" t="s">
        <v>146</v>
      </c>
      <c r="F1494" s="30" t="s">
        <v>147</v>
      </c>
      <c r="G1494" s="360">
        <v>26</v>
      </c>
      <c r="H1494" s="30">
        <v>18</v>
      </c>
      <c r="I1494" s="9" t="s">
        <v>307</v>
      </c>
      <c r="J1494" s="9" t="s">
        <v>1084</v>
      </c>
      <c r="K1494" s="30">
        <v>2</v>
      </c>
      <c r="L1494" s="9" t="s">
        <v>1086</v>
      </c>
      <c r="M1494" s="30" t="s">
        <v>84</v>
      </c>
      <c r="N1494" s="30" t="s">
        <v>154</v>
      </c>
      <c r="O1494" s="24">
        <v>150</v>
      </c>
      <c r="P1494" s="24">
        <v>130</v>
      </c>
      <c r="Q1494" s="24">
        <v>27</v>
      </c>
      <c r="R1494" s="24">
        <v>0</v>
      </c>
      <c r="S1494" s="24">
        <v>0</v>
      </c>
      <c r="T1494" s="24">
        <v>307</v>
      </c>
    </row>
    <row r="1495" spans="1:20">
      <c r="A1495" s="9" t="s">
        <v>1048</v>
      </c>
      <c r="B1495" s="30" t="s">
        <v>1074</v>
      </c>
      <c r="C1495" s="30" t="str">
        <f>CONCATENATE(VOL_VOLUMEN_SUMINISTROS[[#This Row],[Proyecto]],VOL_VOLUMEN_SUMINISTROS[[#This Row],[J]],VOL_VOLUMEN_SUMINISTROS[[#This Row],[FIN DE SEMANA]])</f>
        <v>1052-1MNO</v>
      </c>
      <c r="D1495" s="360" t="str">
        <f>CONCATENATE(VOL_VOLUMEN_SUMINISTROS[[#This Row],[Grupo]],VOL_VOLUMEN_SUMINISTROS[[#This Row],[Proyecto]],VOL_VOLUMEN_SUMINISTROS[[#This Row],[FIN DE SEMANA]])</f>
        <v>261052-1NO</v>
      </c>
      <c r="E1495" s="30" t="s">
        <v>146</v>
      </c>
      <c r="F1495" s="30" t="s">
        <v>147</v>
      </c>
      <c r="G1495" s="360">
        <v>26</v>
      </c>
      <c r="H1495" s="30">
        <v>18</v>
      </c>
      <c r="I1495" s="9" t="s">
        <v>307</v>
      </c>
      <c r="J1495" s="9" t="s">
        <v>1084</v>
      </c>
      <c r="K1495" s="30">
        <v>3</v>
      </c>
      <c r="L1495" s="9" t="s">
        <v>1087</v>
      </c>
      <c r="M1495" s="30" t="s">
        <v>84</v>
      </c>
      <c r="N1495" s="30" t="s">
        <v>151</v>
      </c>
      <c r="O1495" s="24">
        <v>0</v>
      </c>
      <c r="P1495" s="24">
        <v>84</v>
      </c>
      <c r="Q1495" s="24">
        <v>28</v>
      </c>
      <c r="R1495" s="24">
        <v>0</v>
      </c>
      <c r="S1495" s="24">
        <v>0</v>
      </c>
      <c r="T1495" s="24">
        <v>112</v>
      </c>
    </row>
    <row r="1496" spans="1:20">
      <c r="A1496" s="9" t="s">
        <v>1048</v>
      </c>
      <c r="B1496" s="30" t="s">
        <v>1074</v>
      </c>
      <c r="C1496" s="30" t="str">
        <f>CONCATENATE(VOL_VOLUMEN_SUMINISTROS[[#This Row],[Proyecto]],VOL_VOLUMEN_SUMINISTROS[[#This Row],[J]],VOL_VOLUMEN_SUMINISTROS[[#This Row],[FIN DE SEMANA]])</f>
        <v>1052-1TNO</v>
      </c>
      <c r="D1496" s="360" t="str">
        <f>CONCATENATE(VOL_VOLUMEN_SUMINISTROS[[#This Row],[Grupo]],VOL_VOLUMEN_SUMINISTROS[[#This Row],[Proyecto]],VOL_VOLUMEN_SUMINISTROS[[#This Row],[FIN DE SEMANA]])</f>
        <v>261052-1NO</v>
      </c>
      <c r="E1496" s="30" t="s">
        <v>146</v>
      </c>
      <c r="F1496" s="30" t="s">
        <v>147</v>
      </c>
      <c r="G1496" s="360">
        <v>26</v>
      </c>
      <c r="H1496" s="30">
        <v>18</v>
      </c>
      <c r="I1496" s="9" t="s">
        <v>307</v>
      </c>
      <c r="J1496" s="9" t="s">
        <v>1084</v>
      </c>
      <c r="K1496" s="30">
        <v>3</v>
      </c>
      <c r="L1496" s="9" t="s">
        <v>1087</v>
      </c>
      <c r="M1496" s="30" t="s">
        <v>84</v>
      </c>
      <c r="N1496" s="30" t="s">
        <v>154</v>
      </c>
      <c r="O1496" s="24">
        <v>0</v>
      </c>
      <c r="P1496" s="24">
        <v>114</v>
      </c>
      <c r="Q1496" s="24">
        <v>38</v>
      </c>
      <c r="R1496" s="24">
        <v>0</v>
      </c>
      <c r="S1496" s="24">
        <v>0</v>
      </c>
      <c r="T1496" s="24">
        <v>152</v>
      </c>
    </row>
    <row r="1497" spans="1:20">
      <c r="A1497" s="9" t="s">
        <v>1048</v>
      </c>
      <c r="B1497" s="30" t="s">
        <v>1074</v>
      </c>
      <c r="C1497" s="30" t="str">
        <f>CONCATENATE(VOL_VOLUMEN_SUMINISTROS[[#This Row],[Proyecto]],VOL_VOLUMEN_SUMINISTROS[[#This Row],[J]],VOL_VOLUMEN_SUMINISTROS[[#This Row],[FIN DE SEMANA]])</f>
        <v>1052-1MNO</v>
      </c>
      <c r="D1497" s="360" t="str">
        <f>CONCATENATE(VOL_VOLUMEN_SUMINISTROS[[#This Row],[Grupo]],VOL_VOLUMEN_SUMINISTROS[[#This Row],[Proyecto]],VOL_VOLUMEN_SUMINISTROS[[#This Row],[FIN DE SEMANA]])</f>
        <v>261052-1NO</v>
      </c>
      <c r="E1497" s="30" t="s">
        <v>146</v>
      </c>
      <c r="F1497" s="30" t="s">
        <v>147</v>
      </c>
      <c r="G1497" s="360">
        <v>26</v>
      </c>
      <c r="H1497" s="30">
        <v>18</v>
      </c>
      <c r="I1497" s="9" t="s">
        <v>307</v>
      </c>
      <c r="J1497" s="9" t="s">
        <v>1084</v>
      </c>
      <c r="K1497" s="30">
        <v>4</v>
      </c>
      <c r="L1497" s="9" t="s">
        <v>1088</v>
      </c>
      <c r="M1497" s="30" t="s">
        <v>84</v>
      </c>
      <c r="N1497" s="30" t="s">
        <v>151</v>
      </c>
      <c r="O1497" s="24">
        <v>0</v>
      </c>
      <c r="P1497" s="24">
        <v>0</v>
      </c>
      <c r="Q1497" s="24">
        <v>211</v>
      </c>
      <c r="R1497" s="24">
        <v>0</v>
      </c>
      <c r="S1497" s="24">
        <v>0</v>
      </c>
      <c r="T1497" s="24">
        <v>211</v>
      </c>
    </row>
    <row r="1498" spans="1:20">
      <c r="A1498" s="9" t="s">
        <v>1048</v>
      </c>
      <c r="B1498" s="30" t="s">
        <v>1074</v>
      </c>
      <c r="C1498" s="30" t="str">
        <f>CONCATENATE(VOL_VOLUMEN_SUMINISTROS[[#This Row],[Proyecto]],VOL_VOLUMEN_SUMINISTROS[[#This Row],[J]],VOL_VOLUMEN_SUMINISTROS[[#This Row],[FIN DE SEMANA]])</f>
        <v>1052-1TNO</v>
      </c>
      <c r="D1498" s="360" t="str">
        <f>CONCATENATE(VOL_VOLUMEN_SUMINISTROS[[#This Row],[Grupo]],VOL_VOLUMEN_SUMINISTROS[[#This Row],[Proyecto]],VOL_VOLUMEN_SUMINISTROS[[#This Row],[FIN DE SEMANA]])</f>
        <v>261052-1NO</v>
      </c>
      <c r="E1498" s="30" t="s">
        <v>146</v>
      </c>
      <c r="F1498" s="30" t="s">
        <v>147</v>
      </c>
      <c r="G1498" s="360">
        <v>26</v>
      </c>
      <c r="H1498" s="30">
        <v>18</v>
      </c>
      <c r="I1498" s="9" t="s">
        <v>307</v>
      </c>
      <c r="J1498" s="9" t="s">
        <v>1084</v>
      </c>
      <c r="K1498" s="30">
        <v>4</v>
      </c>
      <c r="L1498" s="9" t="s">
        <v>1088</v>
      </c>
      <c r="M1498" s="30" t="s">
        <v>84</v>
      </c>
      <c r="N1498" s="30" t="s">
        <v>154</v>
      </c>
      <c r="O1498" s="24">
        <v>0</v>
      </c>
      <c r="P1498" s="24">
        <v>0</v>
      </c>
      <c r="Q1498" s="24">
        <v>196</v>
      </c>
      <c r="R1498" s="24">
        <v>0</v>
      </c>
      <c r="S1498" s="24">
        <v>0</v>
      </c>
      <c r="T1498" s="24">
        <v>196</v>
      </c>
    </row>
    <row r="1499" spans="1:20">
      <c r="A1499" s="9" t="s">
        <v>1048</v>
      </c>
      <c r="B1499" s="30" t="s">
        <v>1074</v>
      </c>
      <c r="C1499" s="30" t="str">
        <f>CONCATENATE(VOL_VOLUMEN_SUMINISTROS[[#This Row],[Proyecto]],VOL_VOLUMEN_SUMINISTROS[[#This Row],[J]],VOL_VOLUMEN_SUMINISTROS[[#This Row],[FIN DE SEMANA]])</f>
        <v>1052-1MNO</v>
      </c>
      <c r="D1499" s="360" t="str">
        <f>CONCATENATE(VOL_VOLUMEN_SUMINISTROS[[#This Row],[Grupo]],VOL_VOLUMEN_SUMINISTROS[[#This Row],[Proyecto]],VOL_VOLUMEN_SUMINISTROS[[#This Row],[FIN DE SEMANA]])</f>
        <v>261052-1NO</v>
      </c>
      <c r="E1499" s="30" t="s">
        <v>146</v>
      </c>
      <c r="F1499" s="30" t="s">
        <v>147</v>
      </c>
      <c r="G1499" s="360">
        <v>26</v>
      </c>
      <c r="H1499" s="30">
        <v>18</v>
      </c>
      <c r="I1499" s="9" t="s">
        <v>307</v>
      </c>
      <c r="J1499" s="9" t="s">
        <v>1089</v>
      </c>
      <c r="K1499" s="30">
        <v>1</v>
      </c>
      <c r="L1499" s="9" t="s">
        <v>317</v>
      </c>
      <c r="M1499" s="30" t="s">
        <v>84</v>
      </c>
      <c r="N1499" s="30" t="s">
        <v>151</v>
      </c>
      <c r="O1499" s="24">
        <v>248</v>
      </c>
      <c r="P1499" s="24">
        <v>267</v>
      </c>
      <c r="Q1499" s="24">
        <v>211</v>
      </c>
      <c r="R1499" s="24">
        <v>0</v>
      </c>
      <c r="S1499" s="24">
        <v>0</v>
      </c>
      <c r="T1499" s="24">
        <v>726</v>
      </c>
    </row>
    <row r="1500" spans="1:20">
      <c r="A1500" s="9" t="s">
        <v>1048</v>
      </c>
      <c r="B1500" s="30" t="s">
        <v>1074</v>
      </c>
      <c r="C1500" s="30" t="str">
        <f>CONCATENATE(VOL_VOLUMEN_SUMINISTROS[[#This Row],[Proyecto]],VOL_VOLUMEN_SUMINISTROS[[#This Row],[J]],VOL_VOLUMEN_SUMINISTROS[[#This Row],[FIN DE SEMANA]])</f>
        <v>1052-1MNO</v>
      </c>
      <c r="D1500" s="360" t="str">
        <f>CONCATENATE(VOL_VOLUMEN_SUMINISTROS[[#This Row],[Grupo]],VOL_VOLUMEN_SUMINISTROS[[#This Row],[Proyecto]],VOL_VOLUMEN_SUMINISTROS[[#This Row],[FIN DE SEMANA]])</f>
        <v>261052-1NO</v>
      </c>
      <c r="E1500" s="30" t="s">
        <v>146</v>
      </c>
      <c r="F1500" s="30" t="s">
        <v>147</v>
      </c>
      <c r="G1500" s="360">
        <v>26</v>
      </c>
      <c r="H1500" s="30">
        <v>18</v>
      </c>
      <c r="I1500" s="9" t="s">
        <v>307</v>
      </c>
      <c r="J1500" s="9" t="s">
        <v>1090</v>
      </c>
      <c r="K1500" s="30">
        <v>1</v>
      </c>
      <c r="L1500" s="9" t="s">
        <v>152</v>
      </c>
      <c r="M1500" s="30" t="s">
        <v>84</v>
      </c>
      <c r="N1500" s="30" t="s">
        <v>151</v>
      </c>
      <c r="O1500" s="24">
        <v>147</v>
      </c>
      <c r="P1500" s="24">
        <v>272</v>
      </c>
      <c r="Q1500" s="24">
        <v>442</v>
      </c>
      <c r="R1500" s="24">
        <v>0</v>
      </c>
      <c r="S1500" s="24">
        <v>0</v>
      </c>
      <c r="T1500" s="24">
        <v>861</v>
      </c>
    </row>
    <row r="1501" spans="1:20">
      <c r="A1501" s="9" t="s">
        <v>1048</v>
      </c>
      <c r="B1501" s="30" t="s">
        <v>1074</v>
      </c>
      <c r="C1501" s="30" t="str">
        <f>CONCATENATE(VOL_VOLUMEN_SUMINISTROS[[#This Row],[Proyecto]],VOL_VOLUMEN_SUMINISTROS[[#This Row],[J]],VOL_VOLUMEN_SUMINISTROS[[#This Row],[FIN DE SEMANA]])</f>
        <v>1052-1NNO</v>
      </c>
      <c r="D1501" s="360" t="str">
        <f>CONCATENATE(VOL_VOLUMEN_SUMINISTROS[[#This Row],[Grupo]],VOL_VOLUMEN_SUMINISTROS[[#This Row],[Proyecto]],VOL_VOLUMEN_SUMINISTROS[[#This Row],[FIN DE SEMANA]])</f>
        <v>261052-1NO</v>
      </c>
      <c r="E1501" s="30" t="s">
        <v>146</v>
      </c>
      <c r="F1501" s="30" t="s">
        <v>147</v>
      </c>
      <c r="G1501" s="360">
        <v>26</v>
      </c>
      <c r="H1501" s="30">
        <v>18</v>
      </c>
      <c r="I1501" s="9" t="s">
        <v>307</v>
      </c>
      <c r="J1501" s="9" t="s">
        <v>1090</v>
      </c>
      <c r="K1501" s="30">
        <v>1</v>
      </c>
      <c r="L1501" s="9" t="s">
        <v>152</v>
      </c>
      <c r="M1501" s="30" t="s">
        <v>84</v>
      </c>
      <c r="N1501" s="30" t="s">
        <v>153</v>
      </c>
      <c r="O1501" s="24">
        <v>0</v>
      </c>
      <c r="P1501" s="24">
        <v>0</v>
      </c>
      <c r="Q1501" s="24">
        <v>0</v>
      </c>
      <c r="R1501" s="24">
        <v>110</v>
      </c>
      <c r="S1501" s="24">
        <v>140</v>
      </c>
      <c r="T1501" s="24">
        <v>250</v>
      </c>
    </row>
    <row r="1502" spans="1:20">
      <c r="A1502" s="9" t="s">
        <v>1048</v>
      </c>
      <c r="B1502" s="30" t="s">
        <v>1074</v>
      </c>
      <c r="C1502" s="30" t="str">
        <f>CONCATENATE(VOL_VOLUMEN_SUMINISTROS[[#This Row],[Proyecto]],VOL_VOLUMEN_SUMINISTROS[[#This Row],[J]],VOL_VOLUMEN_SUMINISTROS[[#This Row],[FIN DE SEMANA]])</f>
        <v>1052-1TNO</v>
      </c>
      <c r="D1502" s="360" t="str">
        <f>CONCATENATE(VOL_VOLUMEN_SUMINISTROS[[#This Row],[Grupo]],VOL_VOLUMEN_SUMINISTROS[[#This Row],[Proyecto]],VOL_VOLUMEN_SUMINISTROS[[#This Row],[FIN DE SEMANA]])</f>
        <v>261052-1NO</v>
      </c>
      <c r="E1502" s="30" t="s">
        <v>146</v>
      </c>
      <c r="F1502" s="30" t="s">
        <v>147</v>
      </c>
      <c r="G1502" s="360">
        <v>26</v>
      </c>
      <c r="H1502" s="30">
        <v>18</v>
      </c>
      <c r="I1502" s="9" t="s">
        <v>307</v>
      </c>
      <c r="J1502" s="9" t="s">
        <v>1090</v>
      </c>
      <c r="K1502" s="30">
        <v>1</v>
      </c>
      <c r="L1502" s="9" t="s">
        <v>152</v>
      </c>
      <c r="M1502" s="30" t="s">
        <v>84</v>
      </c>
      <c r="N1502" s="30" t="s">
        <v>154</v>
      </c>
      <c r="O1502" s="24">
        <v>118</v>
      </c>
      <c r="P1502" s="24">
        <v>203</v>
      </c>
      <c r="Q1502" s="24">
        <v>230</v>
      </c>
      <c r="R1502" s="24">
        <v>0</v>
      </c>
      <c r="S1502" s="24">
        <v>0</v>
      </c>
      <c r="T1502" s="24">
        <v>551</v>
      </c>
    </row>
    <row r="1503" spans="1:20">
      <c r="A1503" s="9" t="s">
        <v>1048</v>
      </c>
      <c r="B1503" s="30" t="s">
        <v>1074</v>
      </c>
      <c r="C1503" s="30" t="str">
        <f>CONCATENATE(VOL_VOLUMEN_SUMINISTROS[[#This Row],[Proyecto]],VOL_VOLUMEN_SUMINISTROS[[#This Row],[J]],VOL_VOLUMEN_SUMINISTROS[[#This Row],[FIN DE SEMANA]])</f>
        <v>1052-1MNO</v>
      </c>
      <c r="D1503" s="360" t="str">
        <f>CONCATENATE(VOL_VOLUMEN_SUMINISTROS[[#This Row],[Grupo]],VOL_VOLUMEN_SUMINISTROS[[#This Row],[Proyecto]],VOL_VOLUMEN_SUMINISTROS[[#This Row],[FIN DE SEMANA]])</f>
        <v>261052-1NO</v>
      </c>
      <c r="E1503" s="30" t="s">
        <v>146</v>
      </c>
      <c r="F1503" s="30" t="s">
        <v>147</v>
      </c>
      <c r="G1503" s="360">
        <v>26</v>
      </c>
      <c r="H1503" s="30">
        <v>18</v>
      </c>
      <c r="I1503" s="9" t="s">
        <v>307</v>
      </c>
      <c r="J1503" s="9" t="s">
        <v>1091</v>
      </c>
      <c r="K1503" s="30">
        <v>1</v>
      </c>
      <c r="L1503" s="9" t="s">
        <v>1092</v>
      </c>
      <c r="M1503" s="30" t="s">
        <v>84</v>
      </c>
      <c r="N1503" s="30" t="s">
        <v>151</v>
      </c>
      <c r="O1503" s="24">
        <v>239</v>
      </c>
      <c r="P1503" s="24">
        <v>284</v>
      </c>
      <c r="Q1503" s="24">
        <v>71</v>
      </c>
      <c r="R1503" s="24">
        <v>0</v>
      </c>
      <c r="S1503" s="24">
        <v>0</v>
      </c>
      <c r="T1503" s="24">
        <v>594</v>
      </c>
    </row>
    <row r="1504" spans="1:20">
      <c r="A1504" s="9" t="s">
        <v>1048</v>
      </c>
      <c r="B1504" s="30" t="s">
        <v>1074</v>
      </c>
      <c r="C1504" s="30" t="str">
        <f>CONCATENATE(VOL_VOLUMEN_SUMINISTROS[[#This Row],[Proyecto]],VOL_VOLUMEN_SUMINISTROS[[#This Row],[J]],VOL_VOLUMEN_SUMINISTROS[[#This Row],[FIN DE SEMANA]])</f>
        <v>1052-1TNO</v>
      </c>
      <c r="D1504" s="360" t="str">
        <f>CONCATENATE(VOL_VOLUMEN_SUMINISTROS[[#This Row],[Grupo]],VOL_VOLUMEN_SUMINISTROS[[#This Row],[Proyecto]],VOL_VOLUMEN_SUMINISTROS[[#This Row],[FIN DE SEMANA]])</f>
        <v>261052-1NO</v>
      </c>
      <c r="E1504" s="30" t="s">
        <v>146</v>
      </c>
      <c r="F1504" s="30" t="s">
        <v>147</v>
      </c>
      <c r="G1504" s="360">
        <v>26</v>
      </c>
      <c r="H1504" s="30">
        <v>18</v>
      </c>
      <c r="I1504" s="9" t="s">
        <v>307</v>
      </c>
      <c r="J1504" s="9" t="s">
        <v>1091</v>
      </c>
      <c r="K1504" s="30">
        <v>1</v>
      </c>
      <c r="L1504" s="9" t="s">
        <v>1092</v>
      </c>
      <c r="M1504" s="30" t="s">
        <v>84</v>
      </c>
      <c r="N1504" s="30" t="s">
        <v>154</v>
      </c>
      <c r="O1504" s="24">
        <v>150</v>
      </c>
      <c r="P1504" s="24">
        <v>181</v>
      </c>
      <c r="Q1504" s="24">
        <v>252</v>
      </c>
      <c r="R1504" s="24">
        <v>0</v>
      </c>
      <c r="S1504" s="24">
        <v>0</v>
      </c>
      <c r="T1504" s="24">
        <v>583</v>
      </c>
    </row>
    <row r="1505" spans="1:20">
      <c r="A1505" s="9" t="s">
        <v>1048</v>
      </c>
      <c r="B1505" s="30" t="s">
        <v>1074</v>
      </c>
      <c r="C1505" s="30" t="str">
        <f>CONCATENATE(VOL_VOLUMEN_SUMINISTROS[[#This Row],[Proyecto]],VOL_VOLUMEN_SUMINISTROS[[#This Row],[J]],VOL_VOLUMEN_SUMINISTROS[[#This Row],[FIN DE SEMANA]])</f>
        <v>1052-1MNO</v>
      </c>
      <c r="D1505" s="360" t="str">
        <f>CONCATENATE(VOL_VOLUMEN_SUMINISTROS[[#This Row],[Grupo]],VOL_VOLUMEN_SUMINISTROS[[#This Row],[Proyecto]],VOL_VOLUMEN_SUMINISTROS[[#This Row],[FIN DE SEMANA]])</f>
        <v>261052-1NO</v>
      </c>
      <c r="E1505" s="30" t="s">
        <v>146</v>
      </c>
      <c r="F1505" s="30" t="s">
        <v>147</v>
      </c>
      <c r="G1505" s="360">
        <v>26</v>
      </c>
      <c r="H1505" s="30">
        <v>18</v>
      </c>
      <c r="I1505" s="9" t="s">
        <v>307</v>
      </c>
      <c r="J1505" s="9" t="s">
        <v>1091</v>
      </c>
      <c r="K1505" s="30">
        <v>2</v>
      </c>
      <c r="L1505" s="9" t="s">
        <v>1093</v>
      </c>
      <c r="M1505" s="30" t="s">
        <v>84</v>
      </c>
      <c r="N1505" s="30" t="s">
        <v>151</v>
      </c>
      <c r="O1505" s="24">
        <v>122</v>
      </c>
      <c r="P1505" s="24">
        <v>117</v>
      </c>
      <c r="Q1505" s="24">
        <v>27</v>
      </c>
      <c r="R1505" s="24">
        <v>0</v>
      </c>
      <c r="S1505" s="24">
        <v>0</v>
      </c>
      <c r="T1505" s="24">
        <v>266</v>
      </c>
    </row>
    <row r="1506" spans="1:20">
      <c r="A1506" s="9" t="s">
        <v>1048</v>
      </c>
      <c r="B1506" s="30" t="s">
        <v>1074</v>
      </c>
      <c r="C1506" s="30" t="str">
        <f>CONCATENATE(VOL_VOLUMEN_SUMINISTROS[[#This Row],[Proyecto]],VOL_VOLUMEN_SUMINISTROS[[#This Row],[J]],VOL_VOLUMEN_SUMINISTROS[[#This Row],[FIN DE SEMANA]])</f>
        <v>1052-1TNO</v>
      </c>
      <c r="D1506" s="360" t="str">
        <f>CONCATENATE(VOL_VOLUMEN_SUMINISTROS[[#This Row],[Grupo]],VOL_VOLUMEN_SUMINISTROS[[#This Row],[Proyecto]],VOL_VOLUMEN_SUMINISTROS[[#This Row],[FIN DE SEMANA]])</f>
        <v>261052-1NO</v>
      </c>
      <c r="E1506" s="30" t="s">
        <v>146</v>
      </c>
      <c r="F1506" s="30" t="s">
        <v>147</v>
      </c>
      <c r="G1506" s="360">
        <v>26</v>
      </c>
      <c r="H1506" s="30">
        <v>18</v>
      </c>
      <c r="I1506" s="9" t="s">
        <v>307</v>
      </c>
      <c r="J1506" s="9" t="s">
        <v>1091</v>
      </c>
      <c r="K1506" s="30">
        <v>2</v>
      </c>
      <c r="L1506" s="9" t="s">
        <v>1093</v>
      </c>
      <c r="M1506" s="30" t="s">
        <v>84</v>
      </c>
      <c r="N1506" s="30" t="s">
        <v>154</v>
      </c>
      <c r="O1506" s="24">
        <v>93</v>
      </c>
      <c r="P1506" s="24">
        <v>130</v>
      </c>
      <c r="Q1506" s="24">
        <v>32</v>
      </c>
      <c r="R1506" s="24">
        <v>0</v>
      </c>
      <c r="S1506" s="24">
        <v>0</v>
      </c>
      <c r="T1506" s="24">
        <v>255</v>
      </c>
    </row>
    <row r="1507" spans="1:20">
      <c r="A1507" s="9" t="s">
        <v>1048</v>
      </c>
      <c r="B1507" s="30" t="s">
        <v>1074</v>
      </c>
      <c r="C1507" s="30" t="str">
        <f>CONCATENATE(VOL_VOLUMEN_SUMINISTROS[[#This Row],[Proyecto]],VOL_VOLUMEN_SUMINISTROS[[#This Row],[J]],VOL_VOLUMEN_SUMINISTROS[[#This Row],[FIN DE SEMANA]])</f>
        <v>1052-1MNO</v>
      </c>
      <c r="D1507" s="360" t="str">
        <f>CONCATENATE(VOL_VOLUMEN_SUMINISTROS[[#This Row],[Grupo]],VOL_VOLUMEN_SUMINISTROS[[#This Row],[Proyecto]],VOL_VOLUMEN_SUMINISTROS[[#This Row],[FIN DE SEMANA]])</f>
        <v>261052-1NO</v>
      </c>
      <c r="E1507" s="30" t="s">
        <v>146</v>
      </c>
      <c r="F1507" s="30" t="s">
        <v>147</v>
      </c>
      <c r="G1507" s="360">
        <v>26</v>
      </c>
      <c r="H1507" s="30">
        <v>18</v>
      </c>
      <c r="I1507" s="9" t="s">
        <v>307</v>
      </c>
      <c r="J1507" s="9" t="s">
        <v>1091</v>
      </c>
      <c r="K1507" s="30">
        <v>3</v>
      </c>
      <c r="L1507" s="9" t="s">
        <v>1094</v>
      </c>
      <c r="M1507" s="30" t="s">
        <v>84</v>
      </c>
      <c r="N1507" s="30" t="s">
        <v>151</v>
      </c>
      <c r="O1507" s="24">
        <v>102</v>
      </c>
      <c r="P1507" s="24">
        <v>90</v>
      </c>
      <c r="Q1507" s="24">
        <v>19</v>
      </c>
      <c r="R1507" s="24">
        <v>0</v>
      </c>
      <c r="S1507" s="24">
        <v>0</v>
      </c>
      <c r="T1507" s="24">
        <v>211</v>
      </c>
    </row>
    <row r="1508" spans="1:20">
      <c r="A1508" s="9" t="s">
        <v>1048</v>
      </c>
      <c r="B1508" s="30" t="s">
        <v>1074</v>
      </c>
      <c r="C1508" s="30" t="str">
        <f>CONCATENATE(VOL_VOLUMEN_SUMINISTROS[[#This Row],[Proyecto]],VOL_VOLUMEN_SUMINISTROS[[#This Row],[J]],VOL_VOLUMEN_SUMINISTROS[[#This Row],[FIN DE SEMANA]])</f>
        <v>1052-1TNO</v>
      </c>
      <c r="D1508" s="360" t="str">
        <f>CONCATENATE(VOL_VOLUMEN_SUMINISTROS[[#This Row],[Grupo]],VOL_VOLUMEN_SUMINISTROS[[#This Row],[Proyecto]],VOL_VOLUMEN_SUMINISTROS[[#This Row],[FIN DE SEMANA]])</f>
        <v>261052-1NO</v>
      </c>
      <c r="E1508" s="30" t="s">
        <v>146</v>
      </c>
      <c r="F1508" s="30" t="s">
        <v>147</v>
      </c>
      <c r="G1508" s="360">
        <v>26</v>
      </c>
      <c r="H1508" s="30">
        <v>18</v>
      </c>
      <c r="I1508" s="9" t="s">
        <v>307</v>
      </c>
      <c r="J1508" s="9" t="s">
        <v>1091</v>
      </c>
      <c r="K1508" s="30">
        <v>3</v>
      </c>
      <c r="L1508" s="9" t="s">
        <v>1094</v>
      </c>
      <c r="M1508" s="30" t="s">
        <v>84</v>
      </c>
      <c r="N1508" s="30" t="s">
        <v>154</v>
      </c>
      <c r="O1508" s="24">
        <v>61</v>
      </c>
      <c r="P1508" s="24">
        <v>69</v>
      </c>
      <c r="Q1508" s="24">
        <v>15</v>
      </c>
      <c r="R1508" s="24">
        <v>0</v>
      </c>
      <c r="S1508" s="24">
        <v>0</v>
      </c>
      <c r="T1508" s="24">
        <v>145</v>
      </c>
    </row>
    <row r="1509" spans="1:20">
      <c r="A1509" s="9" t="s">
        <v>1048</v>
      </c>
      <c r="B1509" s="30" t="s">
        <v>1074</v>
      </c>
      <c r="C1509" s="30" t="str">
        <f>CONCATENATE(VOL_VOLUMEN_SUMINISTROS[[#This Row],[Proyecto]],VOL_VOLUMEN_SUMINISTROS[[#This Row],[J]],VOL_VOLUMEN_SUMINISTROS[[#This Row],[FIN DE SEMANA]])</f>
        <v>1052-1MNO</v>
      </c>
      <c r="D1509" s="360" t="str">
        <f>CONCATENATE(VOL_VOLUMEN_SUMINISTROS[[#This Row],[Grupo]],VOL_VOLUMEN_SUMINISTROS[[#This Row],[Proyecto]],VOL_VOLUMEN_SUMINISTROS[[#This Row],[FIN DE SEMANA]])</f>
        <v>261052-1NO</v>
      </c>
      <c r="E1509" s="30" t="s">
        <v>146</v>
      </c>
      <c r="F1509" s="30" t="s">
        <v>147</v>
      </c>
      <c r="G1509" s="360">
        <v>26</v>
      </c>
      <c r="H1509" s="30">
        <v>18</v>
      </c>
      <c r="I1509" s="9" t="s">
        <v>307</v>
      </c>
      <c r="J1509" s="9" t="s">
        <v>1095</v>
      </c>
      <c r="K1509" s="30">
        <v>1</v>
      </c>
      <c r="L1509" s="9" t="s">
        <v>1096</v>
      </c>
      <c r="M1509" s="30" t="s">
        <v>84</v>
      </c>
      <c r="N1509" s="30" t="s">
        <v>151</v>
      </c>
      <c r="O1509" s="24">
        <v>148</v>
      </c>
      <c r="P1509" s="24">
        <v>289</v>
      </c>
      <c r="Q1509" s="24">
        <v>405</v>
      </c>
      <c r="R1509" s="24">
        <v>0</v>
      </c>
      <c r="S1509" s="24">
        <v>0</v>
      </c>
      <c r="T1509" s="24">
        <v>842</v>
      </c>
    </row>
    <row r="1510" spans="1:20">
      <c r="A1510" s="9" t="s">
        <v>1048</v>
      </c>
      <c r="B1510" s="30" t="s">
        <v>1074</v>
      </c>
      <c r="C1510" s="30" t="str">
        <f>CONCATENATE(VOL_VOLUMEN_SUMINISTROS[[#This Row],[Proyecto]],VOL_VOLUMEN_SUMINISTROS[[#This Row],[J]],VOL_VOLUMEN_SUMINISTROS[[#This Row],[FIN DE SEMANA]])</f>
        <v>1052-1TNO</v>
      </c>
      <c r="D1510" s="360" t="str">
        <f>CONCATENATE(VOL_VOLUMEN_SUMINISTROS[[#This Row],[Grupo]],VOL_VOLUMEN_SUMINISTROS[[#This Row],[Proyecto]],VOL_VOLUMEN_SUMINISTROS[[#This Row],[FIN DE SEMANA]])</f>
        <v>261052-1NO</v>
      </c>
      <c r="E1510" s="30" t="s">
        <v>146</v>
      </c>
      <c r="F1510" s="30" t="s">
        <v>147</v>
      </c>
      <c r="G1510" s="360">
        <v>26</v>
      </c>
      <c r="H1510" s="30">
        <v>18</v>
      </c>
      <c r="I1510" s="9" t="s">
        <v>307</v>
      </c>
      <c r="J1510" s="9" t="s">
        <v>1095</v>
      </c>
      <c r="K1510" s="30">
        <v>1</v>
      </c>
      <c r="L1510" s="9" t="s">
        <v>1096</v>
      </c>
      <c r="M1510" s="30" t="s">
        <v>84</v>
      </c>
      <c r="N1510" s="30" t="s">
        <v>154</v>
      </c>
      <c r="O1510" s="24">
        <v>144</v>
      </c>
      <c r="P1510" s="24">
        <v>250</v>
      </c>
      <c r="Q1510" s="24">
        <v>401</v>
      </c>
      <c r="R1510" s="24">
        <v>0</v>
      </c>
      <c r="S1510" s="24">
        <v>0</v>
      </c>
      <c r="T1510" s="24">
        <v>795</v>
      </c>
    </row>
    <row r="1511" spans="1:20">
      <c r="A1511" s="9" t="s">
        <v>1048</v>
      </c>
      <c r="B1511" s="30" t="s">
        <v>1074</v>
      </c>
      <c r="C1511" s="30" t="str">
        <f>CONCATENATE(VOL_VOLUMEN_SUMINISTROS[[#This Row],[Proyecto]],VOL_VOLUMEN_SUMINISTROS[[#This Row],[J]],VOL_VOLUMEN_SUMINISTROS[[#This Row],[FIN DE SEMANA]])</f>
        <v>1052-1MNO</v>
      </c>
      <c r="D1511" s="360" t="str">
        <f>CONCATENATE(VOL_VOLUMEN_SUMINISTROS[[#This Row],[Grupo]],VOL_VOLUMEN_SUMINISTROS[[#This Row],[Proyecto]],VOL_VOLUMEN_SUMINISTROS[[#This Row],[FIN DE SEMANA]])</f>
        <v>261052-1NO</v>
      </c>
      <c r="E1511" s="30" t="s">
        <v>146</v>
      </c>
      <c r="F1511" s="30" t="s">
        <v>147</v>
      </c>
      <c r="G1511" s="360">
        <v>26</v>
      </c>
      <c r="H1511" s="30">
        <v>18</v>
      </c>
      <c r="I1511" s="9" t="s">
        <v>307</v>
      </c>
      <c r="J1511" s="9" t="s">
        <v>1097</v>
      </c>
      <c r="K1511" s="30">
        <v>1</v>
      </c>
      <c r="L1511" s="9" t="s">
        <v>1098</v>
      </c>
      <c r="M1511" s="30" t="s">
        <v>84</v>
      </c>
      <c r="N1511" s="30" t="s">
        <v>151</v>
      </c>
      <c r="O1511" s="24">
        <v>204</v>
      </c>
      <c r="P1511" s="24">
        <v>199</v>
      </c>
      <c r="Q1511" s="24">
        <v>40</v>
      </c>
      <c r="R1511" s="24">
        <v>0</v>
      </c>
      <c r="S1511" s="24">
        <v>0</v>
      </c>
      <c r="T1511" s="24">
        <v>443</v>
      </c>
    </row>
    <row r="1512" spans="1:20">
      <c r="A1512" s="9" t="s">
        <v>1048</v>
      </c>
      <c r="B1512" s="30" t="s">
        <v>1074</v>
      </c>
      <c r="C1512" s="30" t="str">
        <f>CONCATENATE(VOL_VOLUMEN_SUMINISTROS[[#This Row],[Proyecto]],VOL_VOLUMEN_SUMINISTROS[[#This Row],[J]],VOL_VOLUMEN_SUMINISTROS[[#This Row],[FIN DE SEMANA]])</f>
        <v>1052-1TNO</v>
      </c>
      <c r="D1512" s="360" t="str">
        <f>CONCATENATE(VOL_VOLUMEN_SUMINISTROS[[#This Row],[Grupo]],VOL_VOLUMEN_SUMINISTROS[[#This Row],[Proyecto]],VOL_VOLUMEN_SUMINISTROS[[#This Row],[FIN DE SEMANA]])</f>
        <v>261052-1NO</v>
      </c>
      <c r="E1512" s="30" t="s">
        <v>146</v>
      </c>
      <c r="F1512" s="30" t="s">
        <v>147</v>
      </c>
      <c r="G1512" s="360">
        <v>26</v>
      </c>
      <c r="H1512" s="30">
        <v>18</v>
      </c>
      <c r="I1512" s="9" t="s">
        <v>307</v>
      </c>
      <c r="J1512" s="9" t="s">
        <v>1097</v>
      </c>
      <c r="K1512" s="30">
        <v>1</v>
      </c>
      <c r="L1512" s="9" t="s">
        <v>1098</v>
      </c>
      <c r="M1512" s="30" t="s">
        <v>84</v>
      </c>
      <c r="N1512" s="30" t="s">
        <v>154</v>
      </c>
      <c r="O1512" s="24">
        <v>255</v>
      </c>
      <c r="P1512" s="24">
        <v>156</v>
      </c>
      <c r="Q1512" s="24">
        <v>28</v>
      </c>
      <c r="R1512" s="24">
        <v>0</v>
      </c>
      <c r="S1512" s="24">
        <v>0</v>
      </c>
      <c r="T1512" s="24">
        <v>439</v>
      </c>
    </row>
    <row r="1513" spans="1:20">
      <c r="A1513" s="9" t="s">
        <v>1048</v>
      </c>
      <c r="B1513" s="30" t="s">
        <v>1074</v>
      </c>
      <c r="C1513" s="30" t="str">
        <f>CONCATENATE(VOL_VOLUMEN_SUMINISTROS[[#This Row],[Proyecto]],VOL_VOLUMEN_SUMINISTROS[[#This Row],[J]],VOL_VOLUMEN_SUMINISTROS[[#This Row],[FIN DE SEMANA]])</f>
        <v>1052-1MNO</v>
      </c>
      <c r="D1513" s="360" t="str">
        <f>CONCATENATE(VOL_VOLUMEN_SUMINISTROS[[#This Row],[Grupo]],VOL_VOLUMEN_SUMINISTROS[[#This Row],[Proyecto]],VOL_VOLUMEN_SUMINISTROS[[#This Row],[FIN DE SEMANA]])</f>
        <v>261052-1NO</v>
      </c>
      <c r="E1513" s="30" t="s">
        <v>146</v>
      </c>
      <c r="F1513" s="30" t="s">
        <v>147</v>
      </c>
      <c r="G1513" s="360">
        <v>26</v>
      </c>
      <c r="H1513" s="30">
        <v>18</v>
      </c>
      <c r="I1513" s="9" t="s">
        <v>307</v>
      </c>
      <c r="J1513" s="9" t="s">
        <v>1097</v>
      </c>
      <c r="K1513" s="30">
        <v>2</v>
      </c>
      <c r="L1513" s="9" t="s">
        <v>1099</v>
      </c>
      <c r="M1513" s="30" t="s">
        <v>84</v>
      </c>
      <c r="N1513" s="30" t="s">
        <v>151</v>
      </c>
      <c r="O1513" s="24">
        <v>0</v>
      </c>
      <c r="P1513" s="24">
        <v>144</v>
      </c>
      <c r="Q1513" s="24">
        <v>325</v>
      </c>
      <c r="R1513" s="24">
        <v>0</v>
      </c>
      <c r="S1513" s="24">
        <v>0</v>
      </c>
      <c r="T1513" s="24">
        <v>469</v>
      </c>
    </row>
    <row r="1514" spans="1:20">
      <c r="A1514" s="9" t="s">
        <v>1048</v>
      </c>
      <c r="B1514" s="30" t="s">
        <v>1074</v>
      </c>
      <c r="C1514" s="30" t="str">
        <f>CONCATENATE(VOL_VOLUMEN_SUMINISTROS[[#This Row],[Proyecto]],VOL_VOLUMEN_SUMINISTROS[[#This Row],[J]],VOL_VOLUMEN_SUMINISTROS[[#This Row],[FIN DE SEMANA]])</f>
        <v>1052-1TNO</v>
      </c>
      <c r="D1514" s="360" t="str">
        <f>CONCATENATE(VOL_VOLUMEN_SUMINISTROS[[#This Row],[Grupo]],VOL_VOLUMEN_SUMINISTROS[[#This Row],[Proyecto]],VOL_VOLUMEN_SUMINISTROS[[#This Row],[FIN DE SEMANA]])</f>
        <v>261052-1NO</v>
      </c>
      <c r="E1514" s="30" t="s">
        <v>146</v>
      </c>
      <c r="F1514" s="30" t="s">
        <v>147</v>
      </c>
      <c r="G1514" s="360">
        <v>26</v>
      </c>
      <c r="H1514" s="30">
        <v>18</v>
      </c>
      <c r="I1514" s="9" t="s">
        <v>307</v>
      </c>
      <c r="J1514" s="9" t="s">
        <v>1097</v>
      </c>
      <c r="K1514" s="30">
        <v>2</v>
      </c>
      <c r="L1514" s="9" t="s">
        <v>1099</v>
      </c>
      <c r="M1514" s="30" t="s">
        <v>84</v>
      </c>
      <c r="N1514" s="30" t="s">
        <v>154</v>
      </c>
      <c r="O1514" s="24">
        <v>0</v>
      </c>
      <c r="P1514" s="24">
        <v>99</v>
      </c>
      <c r="Q1514" s="24">
        <v>312</v>
      </c>
      <c r="R1514" s="24">
        <v>0</v>
      </c>
      <c r="S1514" s="24">
        <v>0</v>
      </c>
      <c r="T1514" s="24">
        <v>411</v>
      </c>
    </row>
    <row r="1515" spans="1:20">
      <c r="A1515" s="9" t="s">
        <v>1048</v>
      </c>
      <c r="B1515" s="30" t="s">
        <v>1100</v>
      </c>
      <c r="C1515" s="30" t="str">
        <f>CONCATENATE(VOL_VOLUMEN_SUMINISTROS[[#This Row],[Proyecto]],VOL_VOLUMEN_SUMINISTROS[[#This Row],[J]],VOL_VOLUMEN_SUMINISTROS[[#This Row],[FIN DE SEMANA]])</f>
        <v>1052-2MNO</v>
      </c>
      <c r="D1515" s="360" t="str">
        <f>CONCATENATE(VOL_VOLUMEN_SUMINISTROS[[#This Row],[Grupo]],VOL_VOLUMEN_SUMINISTROS[[#This Row],[Proyecto]],VOL_VOLUMEN_SUMINISTROS[[#This Row],[FIN DE SEMANA]])</f>
        <v>261052-2NO</v>
      </c>
      <c r="E1515" s="30" t="s">
        <v>182</v>
      </c>
      <c r="F1515" s="30" t="s">
        <v>147</v>
      </c>
      <c r="G1515" s="360">
        <v>26</v>
      </c>
      <c r="H1515" s="30">
        <v>18</v>
      </c>
      <c r="I1515" s="9" t="s">
        <v>307</v>
      </c>
      <c r="J1515" s="9" t="s">
        <v>1077</v>
      </c>
      <c r="K1515" s="30">
        <v>1</v>
      </c>
      <c r="L1515" s="9" t="s">
        <v>152</v>
      </c>
      <c r="M1515" s="30" t="s">
        <v>84</v>
      </c>
      <c r="N1515" s="30" t="s">
        <v>151</v>
      </c>
      <c r="O1515" s="24">
        <v>0</v>
      </c>
      <c r="P1515" s="24">
        <v>0</v>
      </c>
      <c r="Q1515" s="24">
        <v>170</v>
      </c>
      <c r="R1515" s="24">
        <v>0</v>
      </c>
      <c r="S1515" s="24">
        <v>0</v>
      </c>
      <c r="T1515" s="24">
        <v>170</v>
      </c>
    </row>
    <row r="1516" spans="1:20">
      <c r="A1516" s="9" t="s">
        <v>1048</v>
      </c>
      <c r="B1516" s="30" t="s">
        <v>1100</v>
      </c>
      <c r="C1516" s="30" t="str">
        <f>CONCATENATE(VOL_VOLUMEN_SUMINISTROS[[#This Row],[Proyecto]],VOL_VOLUMEN_SUMINISTROS[[#This Row],[J]],VOL_VOLUMEN_SUMINISTROS[[#This Row],[FIN DE SEMANA]])</f>
        <v>1052-2TNO</v>
      </c>
      <c r="D1516" s="360" t="str">
        <f>CONCATENATE(VOL_VOLUMEN_SUMINISTROS[[#This Row],[Grupo]],VOL_VOLUMEN_SUMINISTROS[[#This Row],[Proyecto]],VOL_VOLUMEN_SUMINISTROS[[#This Row],[FIN DE SEMANA]])</f>
        <v>261052-2NO</v>
      </c>
      <c r="E1516" s="30" t="s">
        <v>182</v>
      </c>
      <c r="F1516" s="30" t="s">
        <v>147</v>
      </c>
      <c r="G1516" s="360">
        <v>26</v>
      </c>
      <c r="H1516" s="30">
        <v>18</v>
      </c>
      <c r="I1516" s="9" t="s">
        <v>307</v>
      </c>
      <c r="J1516" s="9" t="s">
        <v>1077</v>
      </c>
      <c r="K1516" s="30">
        <v>1</v>
      </c>
      <c r="L1516" s="9" t="s">
        <v>1078</v>
      </c>
      <c r="M1516" s="30" t="s">
        <v>84</v>
      </c>
      <c r="N1516" s="30" t="s">
        <v>154</v>
      </c>
      <c r="O1516" s="24">
        <v>0</v>
      </c>
      <c r="P1516" s="24">
        <v>0</v>
      </c>
      <c r="Q1516" s="24">
        <v>257</v>
      </c>
      <c r="R1516" s="24">
        <v>0</v>
      </c>
      <c r="S1516" s="24">
        <v>0</v>
      </c>
      <c r="T1516" s="24">
        <v>257</v>
      </c>
    </row>
    <row r="1517" spans="1:20">
      <c r="A1517" s="9" t="s">
        <v>1048</v>
      </c>
      <c r="B1517" s="30" t="s">
        <v>1100</v>
      </c>
      <c r="C1517" s="30" t="str">
        <f>CONCATENATE(VOL_VOLUMEN_SUMINISTROS[[#This Row],[Proyecto]],VOL_VOLUMEN_SUMINISTROS[[#This Row],[J]],VOL_VOLUMEN_SUMINISTROS[[#This Row],[FIN DE SEMANA]])</f>
        <v>1052-2MNO</v>
      </c>
      <c r="D1517" s="360" t="str">
        <f>CONCATENATE(VOL_VOLUMEN_SUMINISTROS[[#This Row],[Grupo]],VOL_VOLUMEN_SUMINISTROS[[#This Row],[Proyecto]],VOL_VOLUMEN_SUMINISTROS[[#This Row],[FIN DE SEMANA]])</f>
        <v>261052-2NO</v>
      </c>
      <c r="E1517" s="30" t="s">
        <v>182</v>
      </c>
      <c r="F1517" s="30" t="s">
        <v>147</v>
      </c>
      <c r="G1517" s="360">
        <v>26</v>
      </c>
      <c r="H1517" s="30">
        <v>18</v>
      </c>
      <c r="I1517" s="9" t="s">
        <v>307</v>
      </c>
      <c r="J1517" s="9" t="s">
        <v>1081</v>
      </c>
      <c r="K1517" s="30">
        <v>1</v>
      </c>
      <c r="L1517" s="9" t="s">
        <v>1082</v>
      </c>
      <c r="M1517" s="30" t="s">
        <v>84</v>
      </c>
      <c r="N1517" s="30" t="s">
        <v>151</v>
      </c>
      <c r="O1517" s="24">
        <v>0</v>
      </c>
      <c r="P1517" s="24">
        <v>120</v>
      </c>
      <c r="Q1517" s="24">
        <v>174</v>
      </c>
      <c r="R1517" s="24">
        <v>0</v>
      </c>
      <c r="S1517" s="24">
        <v>0</v>
      </c>
      <c r="T1517" s="24">
        <v>294</v>
      </c>
    </row>
    <row r="1518" spans="1:20">
      <c r="A1518" s="9" t="s">
        <v>1048</v>
      </c>
      <c r="B1518" s="30" t="s">
        <v>1100</v>
      </c>
      <c r="C1518" s="30" t="str">
        <f>CONCATENATE(VOL_VOLUMEN_SUMINISTROS[[#This Row],[Proyecto]],VOL_VOLUMEN_SUMINISTROS[[#This Row],[J]],VOL_VOLUMEN_SUMINISTROS[[#This Row],[FIN DE SEMANA]])</f>
        <v>1052-2TNO</v>
      </c>
      <c r="D1518" s="360" t="str">
        <f>CONCATENATE(VOL_VOLUMEN_SUMINISTROS[[#This Row],[Grupo]],VOL_VOLUMEN_SUMINISTROS[[#This Row],[Proyecto]],VOL_VOLUMEN_SUMINISTROS[[#This Row],[FIN DE SEMANA]])</f>
        <v>261052-2NO</v>
      </c>
      <c r="E1518" s="30" t="s">
        <v>182</v>
      </c>
      <c r="F1518" s="30" t="s">
        <v>147</v>
      </c>
      <c r="G1518" s="360">
        <v>26</v>
      </c>
      <c r="H1518" s="30">
        <v>18</v>
      </c>
      <c r="I1518" s="9" t="s">
        <v>307</v>
      </c>
      <c r="J1518" s="9" t="s">
        <v>1081</v>
      </c>
      <c r="K1518" s="30">
        <v>1</v>
      </c>
      <c r="L1518" s="9" t="s">
        <v>1083</v>
      </c>
      <c r="M1518" s="30" t="s">
        <v>84</v>
      </c>
      <c r="N1518" s="30" t="s">
        <v>154</v>
      </c>
      <c r="O1518" s="24">
        <v>0</v>
      </c>
      <c r="P1518" s="24">
        <v>150</v>
      </c>
      <c r="Q1518" s="24">
        <v>224</v>
      </c>
      <c r="R1518" s="24">
        <v>0</v>
      </c>
      <c r="S1518" s="24">
        <v>0</v>
      </c>
      <c r="T1518" s="24">
        <v>374</v>
      </c>
    </row>
    <row r="1519" spans="1:20">
      <c r="A1519" s="9" t="s">
        <v>1048</v>
      </c>
      <c r="B1519" s="30" t="s">
        <v>1100</v>
      </c>
      <c r="C1519" s="30" t="str">
        <f>CONCATENATE(VOL_VOLUMEN_SUMINISTROS[[#This Row],[Proyecto]],VOL_VOLUMEN_SUMINISTROS[[#This Row],[J]],VOL_VOLUMEN_SUMINISTROS[[#This Row],[FIN DE SEMANA]])</f>
        <v>1052-2MNO</v>
      </c>
      <c r="D1519" s="360" t="str">
        <f>CONCATENATE(VOL_VOLUMEN_SUMINISTROS[[#This Row],[Grupo]],VOL_VOLUMEN_SUMINISTROS[[#This Row],[Proyecto]],VOL_VOLUMEN_SUMINISTROS[[#This Row],[FIN DE SEMANA]])</f>
        <v>261052-2NO</v>
      </c>
      <c r="E1519" s="30" t="s">
        <v>182</v>
      </c>
      <c r="F1519" s="30" t="s">
        <v>147</v>
      </c>
      <c r="G1519" s="360">
        <v>26</v>
      </c>
      <c r="H1519" s="30">
        <v>18</v>
      </c>
      <c r="I1519" s="9" t="s">
        <v>307</v>
      </c>
      <c r="J1519" s="9" t="s">
        <v>1084</v>
      </c>
      <c r="K1519" s="30">
        <v>2</v>
      </c>
      <c r="L1519" s="9" t="s">
        <v>1086</v>
      </c>
      <c r="M1519" s="30" t="s">
        <v>84</v>
      </c>
      <c r="N1519" s="30" t="s">
        <v>151</v>
      </c>
      <c r="O1519" s="24">
        <v>68</v>
      </c>
      <c r="P1519" s="24">
        <v>109</v>
      </c>
      <c r="Q1519" s="24">
        <v>25</v>
      </c>
      <c r="R1519" s="24">
        <v>0</v>
      </c>
      <c r="S1519" s="24">
        <v>0</v>
      </c>
      <c r="T1519" s="24">
        <v>202</v>
      </c>
    </row>
    <row r="1520" spans="1:20">
      <c r="A1520" s="9" t="s">
        <v>1048</v>
      </c>
      <c r="B1520" s="30" t="s">
        <v>1100</v>
      </c>
      <c r="C1520" s="30" t="str">
        <f>CONCATENATE(VOL_VOLUMEN_SUMINISTROS[[#This Row],[Proyecto]],VOL_VOLUMEN_SUMINISTROS[[#This Row],[J]],VOL_VOLUMEN_SUMINISTROS[[#This Row],[FIN DE SEMANA]])</f>
        <v>1052-2M1NO</v>
      </c>
      <c r="D1520" s="360" t="str">
        <f>CONCATENATE(VOL_VOLUMEN_SUMINISTROS[[#This Row],[Grupo]],VOL_VOLUMEN_SUMINISTROS[[#This Row],[Proyecto]],VOL_VOLUMEN_SUMINISTROS[[#This Row],[FIN DE SEMANA]])</f>
        <v>261052-2NO</v>
      </c>
      <c r="E1520" s="30" t="s">
        <v>182</v>
      </c>
      <c r="F1520" s="30" t="s">
        <v>147</v>
      </c>
      <c r="G1520" s="360">
        <v>26</v>
      </c>
      <c r="H1520" s="30">
        <v>18</v>
      </c>
      <c r="I1520" s="9" t="s">
        <v>307</v>
      </c>
      <c r="J1520" s="9" t="s">
        <v>1090</v>
      </c>
      <c r="K1520" s="30">
        <v>1</v>
      </c>
      <c r="L1520" s="9" t="s">
        <v>152</v>
      </c>
      <c r="M1520" s="30" t="s">
        <v>84</v>
      </c>
      <c r="N1520" s="30" t="s">
        <v>215</v>
      </c>
      <c r="O1520" s="24">
        <v>60</v>
      </c>
      <c r="P1520" s="24">
        <v>120</v>
      </c>
      <c r="Q1520" s="24">
        <v>100</v>
      </c>
      <c r="R1520" s="24">
        <v>0</v>
      </c>
      <c r="S1520" s="24">
        <v>0</v>
      </c>
      <c r="T1520" s="24">
        <v>280</v>
      </c>
    </row>
    <row r="1521" spans="1:20">
      <c r="A1521" s="9" t="s">
        <v>1048</v>
      </c>
      <c r="B1521" s="30" t="s">
        <v>1100</v>
      </c>
      <c r="C1521" s="30" t="str">
        <f>CONCATENATE(VOL_VOLUMEN_SUMINISTROS[[#This Row],[Proyecto]],VOL_VOLUMEN_SUMINISTROS[[#This Row],[J]],VOL_VOLUMEN_SUMINISTROS[[#This Row],[FIN DE SEMANA]])</f>
        <v>1052-2TNO</v>
      </c>
      <c r="D1521" s="360" t="str">
        <f>CONCATENATE(VOL_VOLUMEN_SUMINISTROS[[#This Row],[Grupo]],VOL_VOLUMEN_SUMINISTROS[[#This Row],[Proyecto]],VOL_VOLUMEN_SUMINISTROS[[#This Row],[FIN DE SEMANA]])</f>
        <v>261052-2NO</v>
      </c>
      <c r="E1521" s="30" t="s">
        <v>182</v>
      </c>
      <c r="F1521" s="30" t="s">
        <v>147</v>
      </c>
      <c r="G1521" s="360">
        <v>26</v>
      </c>
      <c r="H1521" s="30">
        <v>18</v>
      </c>
      <c r="I1521" s="9" t="s">
        <v>307</v>
      </c>
      <c r="J1521" s="9" t="s">
        <v>1090</v>
      </c>
      <c r="K1521" s="30">
        <v>1</v>
      </c>
      <c r="L1521" s="9" t="s">
        <v>152</v>
      </c>
      <c r="M1521" s="30" t="s">
        <v>84</v>
      </c>
      <c r="N1521" s="30" t="s">
        <v>154</v>
      </c>
      <c r="O1521" s="24">
        <v>0</v>
      </c>
      <c r="P1521" s="24">
        <v>0</v>
      </c>
      <c r="Q1521" s="24">
        <v>80</v>
      </c>
      <c r="R1521" s="24">
        <v>0</v>
      </c>
      <c r="S1521" s="24">
        <v>0</v>
      </c>
      <c r="T1521" s="24">
        <v>80</v>
      </c>
    </row>
    <row r="1522" spans="1:20">
      <c r="A1522" s="9" t="s">
        <v>1048</v>
      </c>
      <c r="B1522" s="30" t="s">
        <v>1100</v>
      </c>
      <c r="C1522" s="30" t="str">
        <f>CONCATENATE(VOL_VOLUMEN_SUMINISTROS[[#This Row],[Proyecto]],VOL_VOLUMEN_SUMINISTROS[[#This Row],[J]],VOL_VOLUMEN_SUMINISTROS[[#This Row],[FIN DE SEMANA]])</f>
        <v>1052-2MSI</v>
      </c>
      <c r="D1522" s="360" t="str">
        <f>CONCATENATE(VOL_VOLUMEN_SUMINISTROS[[#This Row],[Grupo]],VOL_VOLUMEN_SUMINISTROS[[#This Row],[Proyecto]],VOL_VOLUMEN_SUMINISTROS[[#This Row],[FIN DE SEMANA]])</f>
        <v>261052-2SI</v>
      </c>
      <c r="E1522" s="30" t="s">
        <v>182</v>
      </c>
      <c r="F1522" s="30" t="s">
        <v>147</v>
      </c>
      <c r="G1522" s="360">
        <v>26</v>
      </c>
      <c r="H1522" s="30">
        <v>18</v>
      </c>
      <c r="I1522" s="9" t="s">
        <v>307</v>
      </c>
      <c r="J1522" s="9" t="s">
        <v>1091</v>
      </c>
      <c r="K1522" s="30">
        <v>1</v>
      </c>
      <c r="L1522" s="9" t="s">
        <v>1092</v>
      </c>
      <c r="M1522" s="30" t="s">
        <v>105</v>
      </c>
      <c r="N1522" s="30" t="s">
        <v>151</v>
      </c>
      <c r="O1522" s="24">
        <v>74</v>
      </c>
      <c r="P1522" s="24">
        <v>223</v>
      </c>
      <c r="Q1522" s="24">
        <v>182</v>
      </c>
      <c r="R1522" s="24">
        <v>0</v>
      </c>
      <c r="S1522" s="24">
        <v>0</v>
      </c>
      <c r="T1522" s="24">
        <v>479</v>
      </c>
    </row>
    <row r="1523" spans="1:20">
      <c r="A1523" s="9" t="s">
        <v>1048</v>
      </c>
      <c r="B1523" s="30" t="s">
        <v>1100</v>
      </c>
      <c r="C1523" s="30" t="str">
        <f>CONCATENATE(VOL_VOLUMEN_SUMINISTROS[[#This Row],[Proyecto]],VOL_VOLUMEN_SUMINISTROS[[#This Row],[J]],VOL_VOLUMEN_SUMINISTROS[[#This Row],[FIN DE SEMANA]])</f>
        <v>1052-2TNO</v>
      </c>
      <c r="D1523" s="360" t="str">
        <f>CONCATENATE(VOL_VOLUMEN_SUMINISTROS[[#This Row],[Grupo]],VOL_VOLUMEN_SUMINISTROS[[#This Row],[Proyecto]],VOL_VOLUMEN_SUMINISTROS[[#This Row],[FIN DE SEMANA]])</f>
        <v>261052-2NO</v>
      </c>
      <c r="E1523" s="30" t="s">
        <v>182</v>
      </c>
      <c r="F1523" s="30" t="s">
        <v>147</v>
      </c>
      <c r="G1523" s="360">
        <v>26</v>
      </c>
      <c r="H1523" s="30">
        <v>18</v>
      </c>
      <c r="I1523" s="9" t="s">
        <v>307</v>
      </c>
      <c r="J1523" s="9" t="s">
        <v>1091</v>
      </c>
      <c r="K1523" s="30">
        <v>1</v>
      </c>
      <c r="L1523" s="9" t="s">
        <v>1092</v>
      </c>
      <c r="M1523" s="30" t="s">
        <v>84</v>
      </c>
      <c r="N1523" s="30" t="s">
        <v>154</v>
      </c>
      <c r="O1523" s="24">
        <v>44</v>
      </c>
      <c r="P1523" s="24">
        <v>22</v>
      </c>
      <c r="Q1523" s="24">
        <v>0</v>
      </c>
      <c r="R1523" s="24">
        <v>0</v>
      </c>
      <c r="S1523" s="24">
        <v>0</v>
      </c>
      <c r="T1523" s="24">
        <v>66</v>
      </c>
    </row>
    <row r="1524" spans="1:20">
      <c r="A1524" s="9" t="s">
        <v>1048</v>
      </c>
      <c r="B1524" s="30" t="s">
        <v>1100</v>
      </c>
      <c r="C1524" s="30" t="str">
        <f>CONCATENATE(VOL_VOLUMEN_SUMINISTROS[[#This Row],[Proyecto]],VOL_VOLUMEN_SUMINISTROS[[#This Row],[J]],VOL_VOLUMEN_SUMINISTROS[[#This Row],[FIN DE SEMANA]])</f>
        <v>1052-2MNO</v>
      </c>
      <c r="D1524" s="360" t="str">
        <f>CONCATENATE(VOL_VOLUMEN_SUMINISTROS[[#This Row],[Grupo]],VOL_VOLUMEN_SUMINISTROS[[#This Row],[Proyecto]],VOL_VOLUMEN_SUMINISTROS[[#This Row],[FIN DE SEMANA]])</f>
        <v>261052-2NO</v>
      </c>
      <c r="E1524" s="30" t="s">
        <v>182</v>
      </c>
      <c r="F1524" s="30" t="s">
        <v>147</v>
      </c>
      <c r="G1524" s="360">
        <v>26</v>
      </c>
      <c r="H1524" s="30">
        <v>18</v>
      </c>
      <c r="I1524" s="9" t="s">
        <v>307</v>
      </c>
      <c r="J1524" s="9" t="s">
        <v>1091</v>
      </c>
      <c r="K1524" s="30">
        <v>2</v>
      </c>
      <c r="L1524" s="9" t="s">
        <v>1093</v>
      </c>
      <c r="M1524" s="30" t="s">
        <v>84</v>
      </c>
      <c r="N1524" s="30" t="s">
        <v>151</v>
      </c>
      <c r="O1524" s="24">
        <v>72</v>
      </c>
      <c r="P1524" s="24">
        <v>117</v>
      </c>
      <c r="Q1524" s="24">
        <v>27</v>
      </c>
      <c r="R1524" s="24">
        <v>0</v>
      </c>
      <c r="S1524" s="24">
        <v>0</v>
      </c>
      <c r="T1524" s="24">
        <v>216</v>
      </c>
    </row>
    <row r="1525" spans="1:20">
      <c r="A1525" s="9" t="s">
        <v>1048</v>
      </c>
      <c r="B1525" s="30" t="s">
        <v>1100</v>
      </c>
      <c r="C1525" s="30" t="str">
        <f>CONCATENATE(VOL_VOLUMEN_SUMINISTROS[[#This Row],[Proyecto]],VOL_VOLUMEN_SUMINISTROS[[#This Row],[J]],VOL_VOLUMEN_SUMINISTROS[[#This Row],[FIN DE SEMANA]])</f>
        <v>1052-2TNO</v>
      </c>
      <c r="D1525" s="360" t="str">
        <f>CONCATENATE(VOL_VOLUMEN_SUMINISTROS[[#This Row],[Grupo]],VOL_VOLUMEN_SUMINISTROS[[#This Row],[Proyecto]],VOL_VOLUMEN_SUMINISTROS[[#This Row],[FIN DE SEMANA]])</f>
        <v>261052-2NO</v>
      </c>
      <c r="E1525" s="30" t="s">
        <v>182</v>
      </c>
      <c r="F1525" s="30" t="s">
        <v>147</v>
      </c>
      <c r="G1525" s="360">
        <v>26</v>
      </c>
      <c r="H1525" s="30">
        <v>18</v>
      </c>
      <c r="I1525" s="9" t="s">
        <v>307</v>
      </c>
      <c r="J1525" s="9" t="s">
        <v>1091</v>
      </c>
      <c r="K1525" s="30">
        <v>2</v>
      </c>
      <c r="L1525" s="9" t="s">
        <v>1093</v>
      </c>
      <c r="M1525" s="30" t="s">
        <v>84</v>
      </c>
      <c r="N1525" s="30" t="s">
        <v>154</v>
      </c>
      <c r="O1525" s="24">
        <v>68</v>
      </c>
      <c r="P1525" s="24">
        <v>130</v>
      </c>
      <c r="Q1525" s="24">
        <v>32</v>
      </c>
      <c r="R1525" s="24">
        <v>0</v>
      </c>
      <c r="S1525" s="24">
        <v>0</v>
      </c>
      <c r="T1525" s="24">
        <v>230</v>
      </c>
    </row>
    <row r="1526" spans="1:20">
      <c r="A1526" s="9" t="s">
        <v>1048</v>
      </c>
      <c r="B1526" s="30" t="s">
        <v>1100</v>
      </c>
      <c r="C1526" s="30" t="str">
        <f>CONCATENATE(VOL_VOLUMEN_SUMINISTROS[[#This Row],[Proyecto]],VOL_VOLUMEN_SUMINISTROS[[#This Row],[J]],VOL_VOLUMEN_SUMINISTROS[[#This Row],[FIN DE SEMANA]])</f>
        <v>1052-2MNO</v>
      </c>
      <c r="D1526" s="360" t="str">
        <f>CONCATENATE(VOL_VOLUMEN_SUMINISTROS[[#This Row],[Grupo]],VOL_VOLUMEN_SUMINISTROS[[#This Row],[Proyecto]],VOL_VOLUMEN_SUMINISTROS[[#This Row],[FIN DE SEMANA]])</f>
        <v>261052-2NO</v>
      </c>
      <c r="E1526" s="30" t="s">
        <v>182</v>
      </c>
      <c r="F1526" s="30" t="s">
        <v>147</v>
      </c>
      <c r="G1526" s="360">
        <v>26</v>
      </c>
      <c r="H1526" s="30">
        <v>18</v>
      </c>
      <c r="I1526" s="9" t="s">
        <v>307</v>
      </c>
      <c r="J1526" s="9" t="s">
        <v>1091</v>
      </c>
      <c r="K1526" s="30">
        <v>3</v>
      </c>
      <c r="L1526" s="9" t="s">
        <v>1094</v>
      </c>
      <c r="M1526" s="30" t="s">
        <v>84</v>
      </c>
      <c r="N1526" s="30" t="s">
        <v>151</v>
      </c>
      <c r="O1526" s="24">
        <v>66</v>
      </c>
      <c r="P1526" s="24">
        <v>90</v>
      </c>
      <c r="Q1526" s="24">
        <v>19</v>
      </c>
      <c r="R1526" s="24">
        <v>0</v>
      </c>
      <c r="S1526" s="24">
        <v>0</v>
      </c>
      <c r="T1526" s="24">
        <v>175</v>
      </c>
    </row>
    <row r="1527" spans="1:20">
      <c r="A1527" s="9" t="s">
        <v>1048</v>
      </c>
      <c r="B1527" s="30" t="s">
        <v>1100</v>
      </c>
      <c r="C1527" s="30" t="str">
        <f>CONCATENATE(VOL_VOLUMEN_SUMINISTROS[[#This Row],[Proyecto]],VOL_VOLUMEN_SUMINISTROS[[#This Row],[J]],VOL_VOLUMEN_SUMINISTROS[[#This Row],[FIN DE SEMANA]])</f>
        <v>1052-2TNO</v>
      </c>
      <c r="D1527" s="360" t="str">
        <f>CONCATENATE(VOL_VOLUMEN_SUMINISTROS[[#This Row],[Grupo]],VOL_VOLUMEN_SUMINISTROS[[#This Row],[Proyecto]],VOL_VOLUMEN_SUMINISTROS[[#This Row],[FIN DE SEMANA]])</f>
        <v>261052-2NO</v>
      </c>
      <c r="E1527" s="30" t="s">
        <v>182</v>
      </c>
      <c r="F1527" s="30" t="s">
        <v>147</v>
      </c>
      <c r="G1527" s="360">
        <v>26</v>
      </c>
      <c r="H1527" s="30">
        <v>18</v>
      </c>
      <c r="I1527" s="9" t="s">
        <v>307</v>
      </c>
      <c r="J1527" s="9" t="s">
        <v>1091</v>
      </c>
      <c r="K1527" s="30">
        <v>3</v>
      </c>
      <c r="L1527" s="9" t="s">
        <v>1094</v>
      </c>
      <c r="M1527" s="30" t="s">
        <v>84</v>
      </c>
      <c r="N1527" s="30" t="s">
        <v>154</v>
      </c>
      <c r="O1527" s="24">
        <v>50</v>
      </c>
      <c r="P1527" s="24">
        <v>70</v>
      </c>
      <c r="Q1527" s="24">
        <v>15</v>
      </c>
      <c r="R1527" s="24">
        <v>0</v>
      </c>
      <c r="S1527" s="24">
        <v>0</v>
      </c>
      <c r="T1527" s="24">
        <v>135</v>
      </c>
    </row>
    <row r="1528" spans="1:20">
      <c r="A1528" s="9" t="s">
        <v>1048</v>
      </c>
      <c r="B1528" s="30" t="s">
        <v>1100</v>
      </c>
      <c r="C1528" s="30" t="str">
        <f>CONCATENATE(VOL_VOLUMEN_SUMINISTROS[[#This Row],[Proyecto]],VOL_VOLUMEN_SUMINISTROS[[#This Row],[J]],VOL_VOLUMEN_SUMINISTROS[[#This Row],[FIN DE SEMANA]])</f>
        <v>1052-2MNO</v>
      </c>
      <c r="D1528" s="360" t="str">
        <f>CONCATENATE(VOL_VOLUMEN_SUMINISTROS[[#This Row],[Grupo]],VOL_VOLUMEN_SUMINISTROS[[#This Row],[Proyecto]],VOL_VOLUMEN_SUMINISTROS[[#This Row],[FIN DE SEMANA]])</f>
        <v>261052-2NO</v>
      </c>
      <c r="E1528" s="30" t="s">
        <v>182</v>
      </c>
      <c r="F1528" s="30" t="s">
        <v>147</v>
      </c>
      <c r="G1528" s="360">
        <v>26</v>
      </c>
      <c r="H1528" s="30">
        <v>18</v>
      </c>
      <c r="I1528" s="9" t="s">
        <v>307</v>
      </c>
      <c r="J1528" s="9" t="s">
        <v>1095</v>
      </c>
      <c r="K1528" s="30">
        <v>1</v>
      </c>
      <c r="L1528" s="9" t="s">
        <v>1096</v>
      </c>
      <c r="M1528" s="30" t="s">
        <v>84</v>
      </c>
      <c r="N1528" s="30" t="s">
        <v>151</v>
      </c>
      <c r="O1528" s="24">
        <v>92</v>
      </c>
      <c r="P1528" s="24">
        <v>415</v>
      </c>
      <c r="Q1528" s="24">
        <v>441</v>
      </c>
      <c r="R1528" s="24">
        <v>0</v>
      </c>
      <c r="S1528" s="24">
        <v>0</v>
      </c>
      <c r="T1528" s="24">
        <v>948</v>
      </c>
    </row>
    <row r="1529" spans="1:20">
      <c r="A1529" s="9" t="s">
        <v>1048</v>
      </c>
      <c r="B1529" s="30" t="s">
        <v>1100</v>
      </c>
      <c r="C1529" s="30" t="str">
        <f>CONCATENATE(VOL_VOLUMEN_SUMINISTROS[[#This Row],[Proyecto]],VOL_VOLUMEN_SUMINISTROS[[#This Row],[J]],VOL_VOLUMEN_SUMINISTROS[[#This Row],[FIN DE SEMANA]])</f>
        <v>1052-2TNO</v>
      </c>
      <c r="D1529" s="360" t="str">
        <f>CONCATENATE(VOL_VOLUMEN_SUMINISTROS[[#This Row],[Grupo]],VOL_VOLUMEN_SUMINISTROS[[#This Row],[Proyecto]],VOL_VOLUMEN_SUMINISTROS[[#This Row],[FIN DE SEMANA]])</f>
        <v>261052-2NO</v>
      </c>
      <c r="E1529" s="30" t="s">
        <v>182</v>
      </c>
      <c r="F1529" s="30" t="s">
        <v>147</v>
      </c>
      <c r="G1529" s="360">
        <v>26</v>
      </c>
      <c r="H1529" s="30">
        <v>18</v>
      </c>
      <c r="I1529" s="9" t="s">
        <v>307</v>
      </c>
      <c r="J1529" s="9" t="s">
        <v>1095</v>
      </c>
      <c r="K1529" s="30">
        <v>1</v>
      </c>
      <c r="L1529" s="9" t="s">
        <v>1096</v>
      </c>
      <c r="M1529" s="30" t="s">
        <v>84</v>
      </c>
      <c r="N1529" s="30" t="s">
        <v>154</v>
      </c>
      <c r="O1529" s="24">
        <v>106</v>
      </c>
      <c r="P1529" s="24">
        <v>131</v>
      </c>
      <c r="Q1529" s="24">
        <v>26</v>
      </c>
      <c r="R1529" s="24">
        <v>0</v>
      </c>
      <c r="S1529" s="24">
        <v>0</v>
      </c>
      <c r="T1529" s="24">
        <v>263</v>
      </c>
    </row>
    <row r="1530" spans="1:20">
      <c r="A1530" s="9" t="s">
        <v>1048</v>
      </c>
      <c r="B1530" s="30" t="s">
        <v>1100</v>
      </c>
      <c r="C1530" s="30" t="str">
        <f>CONCATENATE(VOL_VOLUMEN_SUMINISTROS[[#This Row],[Proyecto]],VOL_VOLUMEN_SUMINISTROS[[#This Row],[J]],VOL_VOLUMEN_SUMINISTROS[[#This Row],[FIN DE SEMANA]])</f>
        <v>1052-2M1NO</v>
      </c>
      <c r="D1530" s="360" t="str">
        <f>CONCATENATE(VOL_VOLUMEN_SUMINISTROS[[#This Row],[Grupo]],VOL_VOLUMEN_SUMINISTROS[[#This Row],[Proyecto]],VOL_VOLUMEN_SUMINISTROS[[#This Row],[FIN DE SEMANA]])</f>
        <v>101052-2NO</v>
      </c>
      <c r="E1530" s="30" t="s">
        <v>182</v>
      </c>
      <c r="F1530" s="30" t="s">
        <v>147</v>
      </c>
      <c r="G1530" s="360">
        <v>10</v>
      </c>
      <c r="H1530" s="30">
        <v>8</v>
      </c>
      <c r="I1530" s="9" t="s">
        <v>148</v>
      </c>
      <c r="J1530" s="9" t="s">
        <v>1050</v>
      </c>
      <c r="K1530" s="30">
        <v>2</v>
      </c>
      <c r="L1530" s="9" t="s">
        <v>1052</v>
      </c>
      <c r="M1530" s="30" t="s">
        <v>84</v>
      </c>
      <c r="N1530" s="30" t="s">
        <v>215</v>
      </c>
      <c r="O1530" s="24">
        <v>0</v>
      </c>
      <c r="P1530" s="24">
        <v>27</v>
      </c>
      <c r="Q1530" s="24">
        <v>9</v>
      </c>
      <c r="R1530" s="24">
        <v>0</v>
      </c>
      <c r="S1530" s="24">
        <v>0</v>
      </c>
      <c r="T1530" s="24">
        <v>36</v>
      </c>
    </row>
    <row r="1531" spans="1:20">
      <c r="A1531" s="9" t="s">
        <v>1048</v>
      </c>
      <c r="B1531" s="30" t="s">
        <v>1100</v>
      </c>
      <c r="C1531" s="30" t="str">
        <f>CONCATENATE(VOL_VOLUMEN_SUMINISTROS[[#This Row],[Proyecto]],VOL_VOLUMEN_SUMINISTROS[[#This Row],[J]],VOL_VOLUMEN_SUMINISTROS[[#This Row],[FIN DE SEMANA]])</f>
        <v>1052-2M1NO</v>
      </c>
      <c r="D1531" s="360" t="str">
        <f>CONCATENATE(VOL_VOLUMEN_SUMINISTROS[[#This Row],[Grupo]],VOL_VOLUMEN_SUMINISTROS[[#This Row],[Proyecto]],VOL_VOLUMEN_SUMINISTROS[[#This Row],[FIN DE SEMANA]])</f>
        <v>101052-2NO</v>
      </c>
      <c r="E1531" s="30" t="s">
        <v>182</v>
      </c>
      <c r="F1531" s="30" t="s">
        <v>147</v>
      </c>
      <c r="G1531" s="360">
        <v>10</v>
      </c>
      <c r="H1531" s="30">
        <v>8</v>
      </c>
      <c r="I1531" s="9" t="s">
        <v>148</v>
      </c>
      <c r="J1531" s="9" t="s">
        <v>1050</v>
      </c>
      <c r="K1531" s="30">
        <v>3</v>
      </c>
      <c r="L1531" s="9" t="s">
        <v>1101</v>
      </c>
      <c r="M1531" s="30" t="s">
        <v>84</v>
      </c>
      <c r="N1531" s="30" t="s">
        <v>215</v>
      </c>
      <c r="O1531" s="24">
        <v>0</v>
      </c>
      <c r="P1531" s="24">
        <v>174</v>
      </c>
      <c r="Q1531" s="24">
        <v>158</v>
      </c>
      <c r="R1531" s="24">
        <v>0</v>
      </c>
      <c r="S1531" s="24">
        <v>0</v>
      </c>
      <c r="T1531" s="24">
        <v>332</v>
      </c>
    </row>
    <row r="1532" spans="1:20">
      <c r="A1532" s="9" t="s">
        <v>1048</v>
      </c>
      <c r="B1532" s="30" t="s">
        <v>1100</v>
      </c>
      <c r="C1532" s="30" t="str">
        <f>CONCATENATE(VOL_VOLUMEN_SUMINISTROS[[#This Row],[Proyecto]],VOL_VOLUMEN_SUMINISTROS[[#This Row],[J]],VOL_VOLUMEN_SUMINISTROS[[#This Row],[FIN DE SEMANA]])</f>
        <v>1052-2TNO</v>
      </c>
      <c r="D1532" s="360" t="str">
        <f>CONCATENATE(VOL_VOLUMEN_SUMINISTROS[[#This Row],[Grupo]],VOL_VOLUMEN_SUMINISTROS[[#This Row],[Proyecto]],VOL_VOLUMEN_SUMINISTROS[[#This Row],[FIN DE SEMANA]])</f>
        <v>101052-2NO</v>
      </c>
      <c r="E1532" s="30" t="s">
        <v>182</v>
      </c>
      <c r="F1532" s="30" t="s">
        <v>147</v>
      </c>
      <c r="G1532" s="360">
        <v>10</v>
      </c>
      <c r="H1532" s="30">
        <v>8</v>
      </c>
      <c r="I1532" s="9" t="s">
        <v>148</v>
      </c>
      <c r="J1532" s="9" t="s">
        <v>1050</v>
      </c>
      <c r="K1532" s="30">
        <v>3</v>
      </c>
      <c r="L1532" s="9" t="s">
        <v>1101</v>
      </c>
      <c r="M1532" s="30" t="s">
        <v>84</v>
      </c>
      <c r="N1532" s="30" t="s">
        <v>154</v>
      </c>
      <c r="O1532" s="24">
        <v>0</v>
      </c>
      <c r="P1532" s="24">
        <v>159</v>
      </c>
      <c r="Q1532" s="24">
        <v>173</v>
      </c>
      <c r="R1532" s="24">
        <v>0</v>
      </c>
      <c r="S1532" s="24">
        <v>0</v>
      </c>
      <c r="T1532" s="24">
        <v>332</v>
      </c>
    </row>
    <row r="1533" spans="1:20">
      <c r="A1533" s="9" t="s">
        <v>1048</v>
      </c>
      <c r="B1533" s="30" t="s">
        <v>1102</v>
      </c>
      <c r="C1533" s="30" t="str">
        <f>CONCATENATE(VOL_VOLUMEN_SUMINISTROS[[#This Row],[Proyecto]],VOL_VOLUMEN_SUMINISTROS[[#This Row],[J]],VOL_VOLUMEN_SUMINISTROS[[#This Row],[FIN DE SEMANA]])</f>
        <v>1052-2M1NO</v>
      </c>
      <c r="D1533" s="360" t="str">
        <f>CONCATENATE(VOL_VOLUMEN_SUMINISTROS[[#This Row],[Grupo]],VOL_VOLUMEN_SUMINISTROS[[#This Row],[Proyecto]],VOL_VOLUMEN_SUMINISTROS[[#This Row],[FIN DE SEMANA]])</f>
        <v>261052-2NO</v>
      </c>
      <c r="E1533" s="30" t="s">
        <v>182</v>
      </c>
      <c r="F1533" s="30" t="s">
        <v>147</v>
      </c>
      <c r="G1533" s="360">
        <v>26</v>
      </c>
      <c r="H1533" s="30">
        <v>18</v>
      </c>
      <c r="I1533" s="9" t="s">
        <v>307</v>
      </c>
      <c r="J1533" s="9" t="s">
        <v>1075</v>
      </c>
      <c r="K1533" s="30">
        <v>1</v>
      </c>
      <c r="L1533" s="9" t="s">
        <v>152</v>
      </c>
      <c r="M1533" s="30" t="s">
        <v>84</v>
      </c>
      <c r="N1533" s="30" t="s">
        <v>215</v>
      </c>
      <c r="O1533" s="24">
        <v>20</v>
      </c>
      <c r="P1533" s="24">
        <v>199</v>
      </c>
      <c r="Q1533" s="24">
        <v>219</v>
      </c>
      <c r="R1533" s="24">
        <v>0</v>
      </c>
      <c r="S1533" s="24">
        <v>0</v>
      </c>
      <c r="T1533" s="24">
        <v>438</v>
      </c>
    </row>
    <row r="1534" spans="1:20">
      <c r="A1534" s="9" t="s">
        <v>1048</v>
      </c>
      <c r="B1534" s="30" t="s">
        <v>1102</v>
      </c>
      <c r="C1534" s="30" t="str">
        <f>CONCATENATE(VOL_VOLUMEN_SUMINISTROS[[#This Row],[Proyecto]],VOL_VOLUMEN_SUMINISTROS[[#This Row],[J]],VOL_VOLUMEN_SUMINISTROS[[#This Row],[FIN DE SEMANA]])</f>
        <v>1052-2TNO</v>
      </c>
      <c r="D1534" s="360" t="str">
        <f>CONCATENATE(VOL_VOLUMEN_SUMINISTROS[[#This Row],[Grupo]],VOL_VOLUMEN_SUMINISTROS[[#This Row],[Proyecto]],VOL_VOLUMEN_SUMINISTROS[[#This Row],[FIN DE SEMANA]])</f>
        <v>261052-2NO</v>
      </c>
      <c r="E1534" s="30" t="s">
        <v>182</v>
      </c>
      <c r="F1534" s="30" t="s">
        <v>147</v>
      </c>
      <c r="G1534" s="360">
        <v>26</v>
      </c>
      <c r="H1534" s="30">
        <v>18</v>
      </c>
      <c r="I1534" s="9" t="s">
        <v>307</v>
      </c>
      <c r="J1534" s="9" t="s">
        <v>1075</v>
      </c>
      <c r="K1534" s="30">
        <v>1</v>
      </c>
      <c r="L1534" s="9" t="s">
        <v>152</v>
      </c>
      <c r="M1534" s="30" t="s">
        <v>84</v>
      </c>
      <c r="N1534" s="30" t="s">
        <v>154</v>
      </c>
      <c r="O1534" s="24">
        <v>0</v>
      </c>
      <c r="P1534" s="24">
        <v>0</v>
      </c>
      <c r="Q1534" s="24">
        <v>30</v>
      </c>
      <c r="R1534" s="24">
        <v>0</v>
      </c>
      <c r="S1534" s="24">
        <v>0</v>
      </c>
      <c r="T1534" s="24">
        <v>30</v>
      </c>
    </row>
    <row r="1535" spans="1:20">
      <c r="A1535" s="9" t="s">
        <v>1048</v>
      </c>
      <c r="B1535" s="30" t="s">
        <v>1102</v>
      </c>
      <c r="C1535" s="30" t="str">
        <f>CONCATENATE(VOL_VOLUMEN_SUMINISTROS[[#This Row],[Proyecto]],VOL_VOLUMEN_SUMINISTROS[[#This Row],[J]],VOL_VOLUMEN_SUMINISTROS[[#This Row],[FIN DE SEMANA]])</f>
        <v>1052-2M1NO</v>
      </c>
      <c r="D1535" s="360" t="str">
        <f>CONCATENATE(VOL_VOLUMEN_SUMINISTROS[[#This Row],[Grupo]],VOL_VOLUMEN_SUMINISTROS[[#This Row],[Proyecto]],VOL_VOLUMEN_SUMINISTROS[[#This Row],[FIN DE SEMANA]])</f>
        <v>261052-2NO</v>
      </c>
      <c r="E1535" s="30" t="s">
        <v>182</v>
      </c>
      <c r="F1535" s="30" t="s">
        <v>147</v>
      </c>
      <c r="G1535" s="360">
        <v>26</v>
      </c>
      <c r="H1535" s="30">
        <v>18</v>
      </c>
      <c r="I1535" s="9" t="s">
        <v>307</v>
      </c>
      <c r="J1535" s="9" t="s">
        <v>1075</v>
      </c>
      <c r="K1535" s="30">
        <v>2</v>
      </c>
      <c r="L1535" s="9" t="s">
        <v>1076</v>
      </c>
      <c r="M1535" s="30" t="s">
        <v>84</v>
      </c>
      <c r="N1535" s="30" t="s">
        <v>215</v>
      </c>
      <c r="O1535" s="24">
        <v>90</v>
      </c>
      <c r="P1535" s="24">
        <v>45</v>
      </c>
      <c r="Q1535" s="24">
        <v>0</v>
      </c>
      <c r="R1535" s="24">
        <v>0</v>
      </c>
      <c r="S1535" s="24">
        <v>0</v>
      </c>
      <c r="T1535" s="24">
        <v>135</v>
      </c>
    </row>
    <row r="1536" spans="1:20">
      <c r="A1536" s="9" t="s">
        <v>1048</v>
      </c>
      <c r="B1536" s="30" t="s">
        <v>1102</v>
      </c>
      <c r="C1536" s="30" t="str">
        <f>CONCATENATE(VOL_VOLUMEN_SUMINISTROS[[#This Row],[Proyecto]],VOL_VOLUMEN_SUMINISTROS[[#This Row],[J]],VOL_VOLUMEN_SUMINISTROS[[#This Row],[FIN DE SEMANA]])</f>
        <v>1052-2M1NO</v>
      </c>
      <c r="D1536" s="360" t="str">
        <f>CONCATENATE(VOL_VOLUMEN_SUMINISTROS[[#This Row],[Grupo]],VOL_VOLUMEN_SUMINISTROS[[#This Row],[Proyecto]],VOL_VOLUMEN_SUMINISTROS[[#This Row],[FIN DE SEMANA]])</f>
        <v>261052-2NO</v>
      </c>
      <c r="E1536" s="30" t="s">
        <v>182</v>
      </c>
      <c r="F1536" s="30" t="s">
        <v>147</v>
      </c>
      <c r="G1536" s="360">
        <v>26</v>
      </c>
      <c r="H1536" s="30">
        <v>18</v>
      </c>
      <c r="I1536" s="9" t="s">
        <v>307</v>
      </c>
      <c r="J1536" s="9" t="s">
        <v>1075</v>
      </c>
      <c r="K1536" s="30">
        <v>3</v>
      </c>
      <c r="L1536" s="9" t="s">
        <v>457</v>
      </c>
      <c r="M1536" s="30" t="s">
        <v>84</v>
      </c>
      <c r="N1536" s="30" t="s">
        <v>215</v>
      </c>
      <c r="O1536" s="24">
        <v>86</v>
      </c>
      <c r="P1536" s="24">
        <v>118</v>
      </c>
      <c r="Q1536" s="24">
        <v>25</v>
      </c>
      <c r="R1536" s="24">
        <v>0</v>
      </c>
      <c r="S1536" s="24">
        <v>0</v>
      </c>
      <c r="T1536" s="24">
        <v>229</v>
      </c>
    </row>
    <row r="1537" spans="1:20">
      <c r="A1537" s="9" t="s">
        <v>1048</v>
      </c>
      <c r="B1537" s="30" t="s">
        <v>1102</v>
      </c>
      <c r="C1537" s="30" t="str">
        <f>CONCATENATE(VOL_VOLUMEN_SUMINISTROS[[#This Row],[Proyecto]],VOL_VOLUMEN_SUMINISTROS[[#This Row],[J]],VOL_VOLUMEN_SUMINISTROS[[#This Row],[FIN DE SEMANA]])</f>
        <v>1052-2MNO</v>
      </c>
      <c r="D1537" s="360" t="str">
        <f>CONCATENATE(VOL_VOLUMEN_SUMINISTROS[[#This Row],[Grupo]],VOL_VOLUMEN_SUMINISTROS[[#This Row],[Proyecto]],VOL_VOLUMEN_SUMINISTROS[[#This Row],[FIN DE SEMANA]])</f>
        <v>261052-2NO</v>
      </c>
      <c r="E1537" s="30" t="s">
        <v>182</v>
      </c>
      <c r="F1537" s="30" t="s">
        <v>147</v>
      </c>
      <c r="G1537" s="360">
        <v>26</v>
      </c>
      <c r="H1537" s="30">
        <v>18</v>
      </c>
      <c r="I1537" s="9" t="s">
        <v>307</v>
      </c>
      <c r="J1537" s="9" t="s">
        <v>1084</v>
      </c>
      <c r="K1537" s="30">
        <v>1</v>
      </c>
      <c r="L1537" s="9" t="s">
        <v>1085</v>
      </c>
      <c r="M1537" s="30" t="s">
        <v>84</v>
      </c>
      <c r="N1537" s="30" t="s">
        <v>151</v>
      </c>
      <c r="O1537" s="24">
        <v>0</v>
      </c>
      <c r="P1537" s="24">
        <v>0</v>
      </c>
      <c r="Q1537" s="24">
        <v>274</v>
      </c>
      <c r="R1537" s="24">
        <v>0</v>
      </c>
      <c r="S1537" s="24">
        <v>0</v>
      </c>
      <c r="T1537" s="24">
        <v>274</v>
      </c>
    </row>
    <row r="1538" spans="1:20">
      <c r="A1538" s="9" t="s">
        <v>1048</v>
      </c>
      <c r="B1538" s="30" t="s">
        <v>1102</v>
      </c>
      <c r="C1538" s="30" t="str">
        <f>CONCATENATE(VOL_VOLUMEN_SUMINISTROS[[#This Row],[Proyecto]],VOL_VOLUMEN_SUMINISTROS[[#This Row],[J]],VOL_VOLUMEN_SUMINISTROS[[#This Row],[FIN DE SEMANA]])</f>
        <v>1052-2M1NO</v>
      </c>
      <c r="D1538" s="360" t="str">
        <f>CONCATENATE(VOL_VOLUMEN_SUMINISTROS[[#This Row],[Grupo]],VOL_VOLUMEN_SUMINISTROS[[#This Row],[Proyecto]],VOL_VOLUMEN_SUMINISTROS[[#This Row],[FIN DE SEMANA]])</f>
        <v>261052-2NO</v>
      </c>
      <c r="E1538" s="30" t="s">
        <v>182</v>
      </c>
      <c r="F1538" s="30" t="s">
        <v>147</v>
      </c>
      <c r="G1538" s="360">
        <v>26</v>
      </c>
      <c r="H1538" s="30">
        <v>18</v>
      </c>
      <c r="I1538" s="9" t="s">
        <v>307</v>
      </c>
      <c r="J1538" s="9" t="s">
        <v>1084</v>
      </c>
      <c r="K1538" s="30">
        <v>1</v>
      </c>
      <c r="L1538" s="9" t="s">
        <v>1085</v>
      </c>
      <c r="M1538" s="30" t="s">
        <v>84</v>
      </c>
      <c r="N1538" s="30" t="s">
        <v>215</v>
      </c>
      <c r="O1538" s="24">
        <v>0</v>
      </c>
      <c r="P1538" s="24">
        <v>270</v>
      </c>
      <c r="Q1538" s="24">
        <v>355</v>
      </c>
      <c r="R1538" s="24">
        <v>0</v>
      </c>
      <c r="S1538" s="24">
        <v>0</v>
      </c>
      <c r="T1538" s="24">
        <v>625</v>
      </c>
    </row>
    <row r="1539" spans="1:20">
      <c r="A1539" s="9" t="s">
        <v>1048</v>
      </c>
      <c r="B1539" s="30" t="s">
        <v>1102</v>
      </c>
      <c r="C1539" s="30" t="str">
        <f>CONCATENATE(VOL_VOLUMEN_SUMINISTROS[[#This Row],[Proyecto]],VOL_VOLUMEN_SUMINISTROS[[#This Row],[J]],VOL_VOLUMEN_SUMINISTROS[[#This Row],[FIN DE SEMANA]])</f>
        <v>1052-2M1NO</v>
      </c>
      <c r="D1539" s="360" t="str">
        <f>CONCATENATE(VOL_VOLUMEN_SUMINISTROS[[#This Row],[Grupo]],VOL_VOLUMEN_SUMINISTROS[[#This Row],[Proyecto]],VOL_VOLUMEN_SUMINISTROS[[#This Row],[FIN DE SEMANA]])</f>
        <v>261052-2NO</v>
      </c>
      <c r="E1539" s="30" t="s">
        <v>182</v>
      </c>
      <c r="F1539" s="30" t="s">
        <v>147</v>
      </c>
      <c r="G1539" s="360">
        <v>26</v>
      </c>
      <c r="H1539" s="30">
        <v>18</v>
      </c>
      <c r="I1539" s="9" t="s">
        <v>307</v>
      </c>
      <c r="J1539" s="9" t="s">
        <v>1089</v>
      </c>
      <c r="K1539" s="30">
        <v>1</v>
      </c>
      <c r="L1539" s="9" t="s">
        <v>317</v>
      </c>
      <c r="M1539" s="30" t="s">
        <v>84</v>
      </c>
      <c r="N1539" s="30" t="s">
        <v>215</v>
      </c>
      <c r="O1539" s="24">
        <v>138</v>
      </c>
      <c r="P1539" s="24">
        <v>267</v>
      </c>
      <c r="Q1539" s="24">
        <v>221</v>
      </c>
      <c r="R1539" s="24">
        <v>0</v>
      </c>
      <c r="S1539" s="24">
        <v>0</v>
      </c>
      <c r="T1539" s="24">
        <v>626</v>
      </c>
    </row>
    <row r="1540" spans="1:20">
      <c r="A1540" s="9" t="s">
        <v>1048</v>
      </c>
      <c r="B1540" s="30" t="s">
        <v>1103</v>
      </c>
      <c r="C1540" s="30" t="str">
        <f>CONCATENATE(VOL_VOLUMEN_SUMINISTROS[[#This Row],[Proyecto]],VOL_VOLUMEN_SUMINISTROS[[#This Row],[J]],VOL_VOLUMEN_SUMINISTROS[[#This Row],[FIN DE SEMANA]])</f>
        <v>1052-2MNO</v>
      </c>
      <c r="D1540" s="360" t="str">
        <f>CONCATENATE(VOL_VOLUMEN_SUMINISTROS[[#This Row],[Grupo]],VOL_VOLUMEN_SUMINISTROS[[#This Row],[Proyecto]],VOL_VOLUMEN_SUMINISTROS[[#This Row],[FIN DE SEMANA]])</f>
        <v>261052-2NO</v>
      </c>
      <c r="E1540" s="30" t="s">
        <v>182</v>
      </c>
      <c r="F1540" s="30" t="s">
        <v>147</v>
      </c>
      <c r="G1540" s="360">
        <v>26</v>
      </c>
      <c r="H1540" s="30">
        <v>18</v>
      </c>
      <c r="I1540" s="9" t="s">
        <v>307</v>
      </c>
      <c r="J1540" s="9" t="s">
        <v>1081</v>
      </c>
      <c r="K1540" s="30">
        <v>1</v>
      </c>
      <c r="L1540" s="9" t="s">
        <v>1082</v>
      </c>
      <c r="M1540" s="30" t="s">
        <v>84</v>
      </c>
      <c r="N1540" s="30" t="s">
        <v>151</v>
      </c>
      <c r="O1540" s="24">
        <v>27</v>
      </c>
      <c r="P1540" s="24">
        <v>0</v>
      </c>
      <c r="Q1540" s="24">
        <v>0</v>
      </c>
      <c r="R1540" s="24">
        <v>0</v>
      </c>
      <c r="S1540" s="24">
        <v>0</v>
      </c>
      <c r="T1540" s="24">
        <v>27</v>
      </c>
    </row>
    <row r="1541" spans="1:20">
      <c r="A1541" s="9" t="s">
        <v>1048</v>
      </c>
      <c r="B1541" s="30" t="s">
        <v>1103</v>
      </c>
      <c r="C1541" s="30" t="str">
        <f>CONCATENATE(VOL_VOLUMEN_SUMINISTROS[[#This Row],[Proyecto]],VOL_VOLUMEN_SUMINISTROS[[#This Row],[J]],VOL_VOLUMEN_SUMINISTROS[[#This Row],[FIN DE SEMANA]])</f>
        <v>1052-2TNO</v>
      </c>
      <c r="D1541" s="360" t="str">
        <f>CONCATENATE(VOL_VOLUMEN_SUMINISTROS[[#This Row],[Grupo]],VOL_VOLUMEN_SUMINISTROS[[#This Row],[Proyecto]],VOL_VOLUMEN_SUMINISTROS[[#This Row],[FIN DE SEMANA]])</f>
        <v>261052-2NO</v>
      </c>
      <c r="E1541" s="30" t="s">
        <v>182</v>
      </c>
      <c r="F1541" s="30" t="s">
        <v>147</v>
      </c>
      <c r="G1541" s="360">
        <v>26</v>
      </c>
      <c r="H1541" s="30">
        <v>18</v>
      </c>
      <c r="I1541" s="9" t="s">
        <v>307</v>
      </c>
      <c r="J1541" s="9" t="s">
        <v>1081</v>
      </c>
      <c r="K1541" s="30">
        <v>1</v>
      </c>
      <c r="L1541" s="9" t="s">
        <v>1083</v>
      </c>
      <c r="M1541" s="30" t="s">
        <v>84</v>
      </c>
      <c r="N1541" s="30" t="s">
        <v>154</v>
      </c>
      <c r="O1541" s="24">
        <v>100</v>
      </c>
      <c r="P1541" s="24">
        <v>0</v>
      </c>
      <c r="Q1541" s="24">
        <v>0</v>
      </c>
      <c r="R1541" s="24">
        <v>0</v>
      </c>
      <c r="S1541" s="24">
        <v>0</v>
      </c>
      <c r="T1541" s="24">
        <v>100</v>
      </c>
    </row>
    <row r="1542" spans="1:20">
      <c r="A1542" s="9" t="s">
        <v>1048</v>
      </c>
      <c r="B1542" s="30" t="s">
        <v>1103</v>
      </c>
      <c r="C1542" s="30" t="str">
        <f>CONCATENATE(VOL_VOLUMEN_SUMINISTROS[[#This Row],[Proyecto]],VOL_VOLUMEN_SUMINISTROS[[#This Row],[J]],VOL_VOLUMEN_SUMINISTROS[[#This Row],[FIN DE SEMANA]])</f>
        <v>1052-2TNO</v>
      </c>
      <c r="D1542" s="360" t="str">
        <f>CONCATENATE(VOL_VOLUMEN_SUMINISTROS[[#This Row],[Grupo]],VOL_VOLUMEN_SUMINISTROS[[#This Row],[Proyecto]],VOL_VOLUMEN_SUMINISTROS[[#This Row],[FIN DE SEMANA]])</f>
        <v>261052-2NO</v>
      </c>
      <c r="E1542" s="30" t="s">
        <v>182</v>
      </c>
      <c r="F1542" s="30" t="s">
        <v>147</v>
      </c>
      <c r="G1542" s="360">
        <v>26</v>
      </c>
      <c r="H1542" s="30">
        <v>18</v>
      </c>
      <c r="I1542" s="9" t="s">
        <v>307</v>
      </c>
      <c r="J1542" s="9" t="s">
        <v>1084</v>
      </c>
      <c r="K1542" s="30">
        <v>2</v>
      </c>
      <c r="L1542" s="9" t="s">
        <v>1086</v>
      </c>
      <c r="M1542" s="30" t="s">
        <v>84</v>
      </c>
      <c r="N1542" s="30" t="s">
        <v>154</v>
      </c>
      <c r="O1542" s="24">
        <v>68</v>
      </c>
      <c r="P1542" s="24">
        <v>0</v>
      </c>
      <c r="Q1542" s="24">
        <v>0</v>
      </c>
      <c r="R1542" s="24">
        <v>0</v>
      </c>
      <c r="S1542" s="24">
        <v>0</v>
      </c>
      <c r="T1542" s="24">
        <v>68</v>
      </c>
    </row>
    <row r="1543" spans="1:20">
      <c r="A1543" s="9" t="s">
        <v>1048</v>
      </c>
      <c r="B1543" s="30" t="s">
        <v>1103</v>
      </c>
      <c r="C1543" s="30" t="str">
        <f>CONCATENATE(VOL_VOLUMEN_SUMINISTROS[[#This Row],[Proyecto]],VOL_VOLUMEN_SUMINISTROS[[#This Row],[J]],VOL_VOLUMEN_SUMINISTROS[[#This Row],[FIN DE SEMANA]])</f>
        <v>1052-2MNO</v>
      </c>
      <c r="D1543" s="360" t="str">
        <f>CONCATENATE(VOL_VOLUMEN_SUMINISTROS[[#This Row],[Grupo]],VOL_VOLUMEN_SUMINISTROS[[#This Row],[Proyecto]],VOL_VOLUMEN_SUMINISTROS[[#This Row],[FIN DE SEMANA]])</f>
        <v>261052-2NO</v>
      </c>
      <c r="E1543" s="30" t="s">
        <v>182</v>
      </c>
      <c r="F1543" s="30" t="s">
        <v>147</v>
      </c>
      <c r="G1543" s="360">
        <v>26</v>
      </c>
      <c r="H1543" s="30">
        <v>18</v>
      </c>
      <c r="I1543" s="9" t="s">
        <v>307</v>
      </c>
      <c r="J1543" s="9" t="s">
        <v>1091</v>
      </c>
      <c r="K1543" s="30">
        <v>1</v>
      </c>
      <c r="L1543" s="9" t="s">
        <v>1092</v>
      </c>
      <c r="M1543" s="30" t="s">
        <v>84</v>
      </c>
      <c r="N1543" s="30" t="s">
        <v>151</v>
      </c>
      <c r="O1543" s="24">
        <v>95</v>
      </c>
      <c r="P1543" s="24">
        <v>0</v>
      </c>
      <c r="Q1543" s="24">
        <v>0</v>
      </c>
      <c r="R1543" s="24">
        <v>0</v>
      </c>
      <c r="S1543" s="24">
        <v>0</v>
      </c>
      <c r="T1543" s="24">
        <v>95</v>
      </c>
    </row>
    <row r="1544" spans="1:20">
      <c r="A1544" s="9" t="s">
        <v>1048</v>
      </c>
      <c r="B1544" s="30" t="s">
        <v>1103</v>
      </c>
      <c r="C1544" s="30" t="str">
        <f>CONCATENATE(VOL_VOLUMEN_SUMINISTROS[[#This Row],[Proyecto]],VOL_VOLUMEN_SUMINISTROS[[#This Row],[J]],VOL_VOLUMEN_SUMINISTROS[[#This Row],[FIN DE SEMANA]])</f>
        <v>1052-2TNO</v>
      </c>
      <c r="D1544" s="360" t="str">
        <f>CONCATENATE(VOL_VOLUMEN_SUMINISTROS[[#This Row],[Grupo]],VOL_VOLUMEN_SUMINISTROS[[#This Row],[Proyecto]],VOL_VOLUMEN_SUMINISTROS[[#This Row],[FIN DE SEMANA]])</f>
        <v>261052-2NO</v>
      </c>
      <c r="E1544" s="30" t="s">
        <v>182</v>
      </c>
      <c r="F1544" s="30" t="s">
        <v>147</v>
      </c>
      <c r="G1544" s="360">
        <v>26</v>
      </c>
      <c r="H1544" s="30">
        <v>18</v>
      </c>
      <c r="I1544" s="9" t="s">
        <v>307</v>
      </c>
      <c r="J1544" s="9" t="s">
        <v>1091</v>
      </c>
      <c r="K1544" s="30">
        <v>1</v>
      </c>
      <c r="L1544" s="9" t="s">
        <v>1092</v>
      </c>
      <c r="M1544" s="30" t="s">
        <v>84</v>
      </c>
      <c r="N1544" s="30" t="s">
        <v>154</v>
      </c>
      <c r="O1544" s="24">
        <v>95</v>
      </c>
      <c r="P1544" s="24">
        <v>0</v>
      </c>
      <c r="Q1544" s="24">
        <v>0</v>
      </c>
      <c r="R1544" s="24">
        <v>0</v>
      </c>
      <c r="S1544" s="24">
        <v>0</v>
      </c>
      <c r="T1544" s="24">
        <v>95</v>
      </c>
    </row>
    <row r="1545" spans="1:20">
      <c r="A1545" s="9" t="s">
        <v>1048</v>
      </c>
      <c r="B1545" s="30" t="s">
        <v>1103</v>
      </c>
      <c r="C1545" s="30" t="str">
        <f>CONCATENATE(VOL_VOLUMEN_SUMINISTROS[[#This Row],[Proyecto]],VOL_VOLUMEN_SUMINISTROS[[#This Row],[J]],VOL_VOLUMEN_SUMINISTROS[[#This Row],[FIN DE SEMANA]])</f>
        <v>1052-2MNO</v>
      </c>
      <c r="D1545" s="360" t="str">
        <f>CONCATENATE(VOL_VOLUMEN_SUMINISTROS[[#This Row],[Grupo]],VOL_VOLUMEN_SUMINISTROS[[#This Row],[Proyecto]],VOL_VOLUMEN_SUMINISTROS[[#This Row],[FIN DE SEMANA]])</f>
        <v>261052-2NO</v>
      </c>
      <c r="E1545" s="30" t="s">
        <v>182</v>
      </c>
      <c r="F1545" s="30" t="s">
        <v>147</v>
      </c>
      <c r="G1545" s="360">
        <v>26</v>
      </c>
      <c r="H1545" s="30">
        <v>18</v>
      </c>
      <c r="I1545" s="9" t="s">
        <v>307</v>
      </c>
      <c r="J1545" s="9" t="s">
        <v>1091</v>
      </c>
      <c r="K1545" s="30">
        <v>2</v>
      </c>
      <c r="L1545" s="9" t="s">
        <v>1093</v>
      </c>
      <c r="M1545" s="30" t="s">
        <v>84</v>
      </c>
      <c r="N1545" s="30" t="s">
        <v>151</v>
      </c>
      <c r="O1545" s="24">
        <v>50</v>
      </c>
      <c r="P1545" s="24">
        <v>0</v>
      </c>
      <c r="Q1545" s="24">
        <v>0</v>
      </c>
      <c r="R1545" s="24">
        <v>0</v>
      </c>
      <c r="S1545" s="24">
        <v>0</v>
      </c>
      <c r="T1545" s="24">
        <v>50</v>
      </c>
    </row>
    <row r="1546" spans="1:20">
      <c r="A1546" s="9" t="s">
        <v>1048</v>
      </c>
      <c r="B1546" s="30" t="s">
        <v>1103</v>
      </c>
      <c r="C1546" s="30" t="str">
        <f>CONCATENATE(VOL_VOLUMEN_SUMINISTROS[[#This Row],[Proyecto]],VOL_VOLUMEN_SUMINISTROS[[#This Row],[J]],VOL_VOLUMEN_SUMINISTROS[[#This Row],[FIN DE SEMANA]])</f>
        <v>1052-2TNO</v>
      </c>
      <c r="D1546" s="360" t="str">
        <f>CONCATENATE(VOL_VOLUMEN_SUMINISTROS[[#This Row],[Grupo]],VOL_VOLUMEN_SUMINISTROS[[#This Row],[Proyecto]],VOL_VOLUMEN_SUMINISTROS[[#This Row],[FIN DE SEMANA]])</f>
        <v>261052-2NO</v>
      </c>
      <c r="E1546" s="30" t="s">
        <v>182</v>
      </c>
      <c r="F1546" s="30" t="s">
        <v>147</v>
      </c>
      <c r="G1546" s="360">
        <v>26</v>
      </c>
      <c r="H1546" s="30">
        <v>18</v>
      </c>
      <c r="I1546" s="9" t="s">
        <v>307</v>
      </c>
      <c r="J1546" s="9" t="s">
        <v>1091</v>
      </c>
      <c r="K1546" s="30">
        <v>2</v>
      </c>
      <c r="L1546" s="9" t="s">
        <v>1093</v>
      </c>
      <c r="M1546" s="30" t="s">
        <v>84</v>
      </c>
      <c r="N1546" s="30" t="s">
        <v>154</v>
      </c>
      <c r="O1546" s="24">
        <v>25</v>
      </c>
      <c r="P1546" s="24">
        <v>0</v>
      </c>
      <c r="Q1546" s="24">
        <v>0</v>
      </c>
      <c r="R1546" s="24">
        <v>0</v>
      </c>
      <c r="S1546" s="24">
        <v>0</v>
      </c>
      <c r="T1546" s="24">
        <v>25</v>
      </c>
    </row>
    <row r="1547" spans="1:20">
      <c r="A1547" s="9" t="s">
        <v>1048</v>
      </c>
      <c r="B1547" s="30" t="s">
        <v>1103</v>
      </c>
      <c r="C1547" s="30" t="str">
        <f>CONCATENATE(VOL_VOLUMEN_SUMINISTROS[[#This Row],[Proyecto]],VOL_VOLUMEN_SUMINISTROS[[#This Row],[J]],VOL_VOLUMEN_SUMINISTROS[[#This Row],[FIN DE SEMANA]])</f>
        <v>1052-2MNO</v>
      </c>
      <c r="D1547" s="360" t="str">
        <f>CONCATENATE(VOL_VOLUMEN_SUMINISTROS[[#This Row],[Grupo]],VOL_VOLUMEN_SUMINISTROS[[#This Row],[Proyecto]],VOL_VOLUMEN_SUMINISTROS[[#This Row],[FIN DE SEMANA]])</f>
        <v>261052-2NO</v>
      </c>
      <c r="E1547" s="30" t="s">
        <v>182</v>
      </c>
      <c r="F1547" s="30" t="s">
        <v>147</v>
      </c>
      <c r="G1547" s="360">
        <v>26</v>
      </c>
      <c r="H1547" s="30">
        <v>18</v>
      </c>
      <c r="I1547" s="9" t="s">
        <v>307</v>
      </c>
      <c r="J1547" s="9" t="s">
        <v>1091</v>
      </c>
      <c r="K1547" s="30">
        <v>3</v>
      </c>
      <c r="L1547" s="9" t="s">
        <v>1094</v>
      </c>
      <c r="M1547" s="30" t="s">
        <v>84</v>
      </c>
      <c r="N1547" s="30" t="s">
        <v>151</v>
      </c>
      <c r="O1547" s="24">
        <v>33</v>
      </c>
      <c r="P1547" s="24">
        <v>0</v>
      </c>
      <c r="Q1547" s="24">
        <v>0</v>
      </c>
      <c r="R1547" s="24">
        <v>0</v>
      </c>
      <c r="S1547" s="24">
        <v>0</v>
      </c>
      <c r="T1547" s="24">
        <v>33</v>
      </c>
    </row>
    <row r="1548" spans="1:20">
      <c r="A1548" s="9" t="s">
        <v>1048</v>
      </c>
      <c r="B1548" s="30" t="s">
        <v>1103</v>
      </c>
      <c r="C1548" s="30" t="str">
        <f>CONCATENATE(VOL_VOLUMEN_SUMINISTROS[[#This Row],[Proyecto]],VOL_VOLUMEN_SUMINISTROS[[#This Row],[J]],VOL_VOLUMEN_SUMINISTROS[[#This Row],[FIN DE SEMANA]])</f>
        <v>1052-2TNO</v>
      </c>
      <c r="D1548" s="360" t="str">
        <f>CONCATENATE(VOL_VOLUMEN_SUMINISTROS[[#This Row],[Grupo]],VOL_VOLUMEN_SUMINISTROS[[#This Row],[Proyecto]],VOL_VOLUMEN_SUMINISTROS[[#This Row],[FIN DE SEMANA]])</f>
        <v>261052-2NO</v>
      </c>
      <c r="E1548" s="30" t="s">
        <v>182</v>
      </c>
      <c r="F1548" s="30" t="s">
        <v>147</v>
      </c>
      <c r="G1548" s="360">
        <v>26</v>
      </c>
      <c r="H1548" s="30">
        <v>18</v>
      </c>
      <c r="I1548" s="9" t="s">
        <v>307</v>
      </c>
      <c r="J1548" s="9" t="s">
        <v>1091</v>
      </c>
      <c r="K1548" s="30">
        <v>3</v>
      </c>
      <c r="L1548" s="9" t="s">
        <v>1094</v>
      </c>
      <c r="M1548" s="30" t="s">
        <v>84</v>
      </c>
      <c r="N1548" s="30" t="s">
        <v>154</v>
      </c>
      <c r="O1548" s="24">
        <v>18</v>
      </c>
      <c r="P1548" s="24">
        <v>0</v>
      </c>
      <c r="Q1548" s="24">
        <v>0</v>
      </c>
      <c r="R1548" s="24">
        <v>0</v>
      </c>
      <c r="S1548" s="24">
        <v>0</v>
      </c>
      <c r="T1548" s="24">
        <v>18</v>
      </c>
    </row>
    <row r="1549" spans="1:20">
      <c r="A1549" s="9" t="s">
        <v>1104</v>
      </c>
      <c r="B1549" s="30" t="s">
        <v>1105</v>
      </c>
      <c r="C1549" s="30" t="str">
        <f>CONCATENATE(VOL_VOLUMEN_SUMINISTROS[[#This Row],[Proyecto]],VOL_VOLUMEN_SUMINISTROS[[#This Row],[J]],VOL_VOLUMEN_SUMINISTROS[[#This Row],[FIN DE SEMANA]])</f>
        <v>1052-1MNO</v>
      </c>
      <c r="D1549" s="360" t="str">
        <f>CONCATENATE(VOL_VOLUMEN_SUMINISTROS[[#This Row],[Grupo]],VOL_VOLUMEN_SUMINISTROS[[#This Row],[Proyecto]],VOL_VOLUMEN_SUMINISTROS[[#This Row],[FIN DE SEMANA]])</f>
        <v>151052-1NO</v>
      </c>
      <c r="E1549" s="30" t="s">
        <v>146</v>
      </c>
      <c r="F1549" s="30" t="s">
        <v>147</v>
      </c>
      <c r="G1549" s="360">
        <v>15</v>
      </c>
      <c r="H1549" s="30">
        <v>5</v>
      </c>
      <c r="I1549" s="9" t="s">
        <v>763</v>
      </c>
      <c r="J1549" s="9" t="s">
        <v>1106</v>
      </c>
      <c r="K1549" s="30">
        <v>1</v>
      </c>
      <c r="L1549" s="9" t="s">
        <v>1107</v>
      </c>
      <c r="M1549" s="30" t="s">
        <v>84</v>
      </c>
      <c r="N1549" s="30" t="s">
        <v>151</v>
      </c>
      <c r="O1549" s="24">
        <v>200</v>
      </c>
      <c r="P1549" s="24">
        <v>232</v>
      </c>
      <c r="Q1549" s="24">
        <v>207</v>
      </c>
      <c r="R1549" s="24">
        <v>0</v>
      </c>
      <c r="S1549" s="24">
        <v>0</v>
      </c>
      <c r="T1549" s="24">
        <v>639</v>
      </c>
    </row>
    <row r="1550" spans="1:20">
      <c r="A1550" s="9" t="s">
        <v>1104</v>
      </c>
      <c r="B1550" s="30" t="s">
        <v>1105</v>
      </c>
      <c r="C1550" s="30" t="str">
        <f>CONCATENATE(VOL_VOLUMEN_SUMINISTROS[[#This Row],[Proyecto]],VOL_VOLUMEN_SUMINISTROS[[#This Row],[J]],VOL_VOLUMEN_SUMINISTROS[[#This Row],[FIN DE SEMANA]])</f>
        <v>1052-1TNO</v>
      </c>
      <c r="D1550" s="360" t="str">
        <f>CONCATENATE(VOL_VOLUMEN_SUMINISTROS[[#This Row],[Grupo]],VOL_VOLUMEN_SUMINISTROS[[#This Row],[Proyecto]],VOL_VOLUMEN_SUMINISTROS[[#This Row],[FIN DE SEMANA]])</f>
        <v>151052-1NO</v>
      </c>
      <c r="E1550" s="30" t="s">
        <v>146</v>
      </c>
      <c r="F1550" s="30" t="s">
        <v>147</v>
      </c>
      <c r="G1550" s="360">
        <v>15</v>
      </c>
      <c r="H1550" s="30">
        <v>5</v>
      </c>
      <c r="I1550" s="9" t="s">
        <v>763</v>
      </c>
      <c r="J1550" s="9" t="s">
        <v>1106</v>
      </c>
      <c r="K1550" s="30">
        <v>1</v>
      </c>
      <c r="L1550" s="9" t="s">
        <v>1107</v>
      </c>
      <c r="M1550" s="30" t="s">
        <v>84</v>
      </c>
      <c r="N1550" s="30" t="s">
        <v>154</v>
      </c>
      <c r="O1550" s="24">
        <v>167</v>
      </c>
      <c r="P1550" s="24">
        <v>212</v>
      </c>
      <c r="Q1550" s="24">
        <v>199</v>
      </c>
      <c r="R1550" s="24">
        <v>0</v>
      </c>
      <c r="S1550" s="24">
        <v>0</v>
      </c>
      <c r="T1550" s="24">
        <v>578</v>
      </c>
    </row>
    <row r="1551" spans="1:20">
      <c r="A1551" s="9" t="s">
        <v>1104</v>
      </c>
      <c r="B1551" s="30" t="s">
        <v>1105</v>
      </c>
      <c r="C1551" s="30" t="str">
        <f>CONCATENATE(VOL_VOLUMEN_SUMINISTROS[[#This Row],[Proyecto]],VOL_VOLUMEN_SUMINISTROS[[#This Row],[J]],VOL_VOLUMEN_SUMINISTROS[[#This Row],[FIN DE SEMANA]])</f>
        <v>1052-1MNO</v>
      </c>
      <c r="D1551" s="360" t="str">
        <f>CONCATENATE(VOL_VOLUMEN_SUMINISTROS[[#This Row],[Grupo]],VOL_VOLUMEN_SUMINISTROS[[#This Row],[Proyecto]],VOL_VOLUMEN_SUMINISTROS[[#This Row],[FIN DE SEMANA]])</f>
        <v>151052-1NO</v>
      </c>
      <c r="E1551" s="30" t="s">
        <v>146</v>
      </c>
      <c r="F1551" s="30" t="s">
        <v>147</v>
      </c>
      <c r="G1551" s="360">
        <v>15</v>
      </c>
      <c r="H1551" s="30">
        <v>5</v>
      </c>
      <c r="I1551" s="9" t="s">
        <v>763</v>
      </c>
      <c r="J1551" s="9" t="s">
        <v>1108</v>
      </c>
      <c r="K1551" s="30">
        <v>1</v>
      </c>
      <c r="L1551" s="9" t="s">
        <v>1109</v>
      </c>
      <c r="M1551" s="30" t="s">
        <v>84</v>
      </c>
      <c r="N1551" s="30" t="s">
        <v>151</v>
      </c>
      <c r="O1551" s="24">
        <v>0</v>
      </c>
      <c r="P1551" s="24">
        <v>282</v>
      </c>
      <c r="Q1551" s="24">
        <v>331</v>
      </c>
      <c r="R1551" s="24">
        <v>0</v>
      </c>
      <c r="S1551" s="24">
        <v>0</v>
      </c>
      <c r="T1551" s="24">
        <v>613</v>
      </c>
    </row>
    <row r="1552" spans="1:20">
      <c r="A1552" s="9" t="s">
        <v>1104</v>
      </c>
      <c r="B1552" s="30" t="s">
        <v>1105</v>
      </c>
      <c r="C1552" s="30" t="str">
        <f>CONCATENATE(VOL_VOLUMEN_SUMINISTROS[[#This Row],[Proyecto]],VOL_VOLUMEN_SUMINISTROS[[#This Row],[J]],VOL_VOLUMEN_SUMINISTROS[[#This Row],[FIN DE SEMANA]])</f>
        <v>1052-1TNO</v>
      </c>
      <c r="D1552" s="360" t="str">
        <f>CONCATENATE(VOL_VOLUMEN_SUMINISTROS[[#This Row],[Grupo]],VOL_VOLUMEN_SUMINISTROS[[#This Row],[Proyecto]],VOL_VOLUMEN_SUMINISTROS[[#This Row],[FIN DE SEMANA]])</f>
        <v>151052-1NO</v>
      </c>
      <c r="E1552" s="30" t="s">
        <v>146</v>
      </c>
      <c r="F1552" s="30" t="s">
        <v>147</v>
      </c>
      <c r="G1552" s="360">
        <v>15</v>
      </c>
      <c r="H1552" s="30">
        <v>5</v>
      </c>
      <c r="I1552" s="9" t="s">
        <v>763</v>
      </c>
      <c r="J1552" s="9" t="s">
        <v>1108</v>
      </c>
      <c r="K1552" s="30">
        <v>1</v>
      </c>
      <c r="L1552" s="9" t="s">
        <v>1109</v>
      </c>
      <c r="M1552" s="30" t="s">
        <v>84</v>
      </c>
      <c r="N1552" s="30" t="s">
        <v>154</v>
      </c>
      <c r="O1552" s="24">
        <v>328</v>
      </c>
      <c r="P1552" s="24">
        <v>145</v>
      </c>
      <c r="Q1552" s="24">
        <v>10</v>
      </c>
      <c r="R1552" s="24">
        <v>0</v>
      </c>
      <c r="S1552" s="24">
        <v>0</v>
      </c>
      <c r="T1552" s="24">
        <v>483</v>
      </c>
    </row>
    <row r="1553" spans="1:20">
      <c r="A1553" s="9" t="s">
        <v>1104</v>
      </c>
      <c r="B1553" s="30" t="s">
        <v>1105</v>
      </c>
      <c r="C1553" s="30" t="str">
        <f>CONCATENATE(VOL_VOLUMEN_SUMINISTROS[[#This Row],[Proyecto]],VOL_VOLUMEN_SUMINISTROS[[#This Row],[J]],VOL_VOLUMEN_SUMINISTROS[[#This Row],[FIN DE SEMANA]])</f>
        <v>1052-1MNO</v>
      </c>
      <c r="D1553" s="360" t="str">
        <f>CONCATENATE(VOL_VOLUMEN_SUMINISTROS[[#This Row],[Grupo]],VOL_VOLUMEN_SUMINISTROS[[#This Row],[Proyecto]],VOL_VOLUMEN_SUMINISTROS[[#This Row],[FIN DE SEMANA]])</f>
        <v>151052-1NO</v>
      </c>
      <c r="E1553" s="30" t="s">
        <v>146</v>
      </c>
      <c r="F1553" s="30" t="s">
        <v>147</v>
      </c>
      <c r="G1553" s="360">
        <v>15</v>
      </c>
      <c r="H1553" s="30">
        <v>5</v>
      </c>
      <c r="I1553" s="9" t="s">
        <v>763</v>
      </c>
      <c r="J1553" s="9" t="s">
        <v>1110</v>
      </c>
      <c r="K1553" s="30">
        <v>1</v>
      </c>
      <c r="L1553" s="9" t="s">
        <v>1111</v>
      </c>
      <c r="M1553" s="30" t="s">
        <v>84</v>
      </c>
      <c r="N1553" s="30" t="s">
        <v>151</v>
      </c>
      <c r="O1553" s="24">
        <v>0</v>
      </c>
      <c r="P1553" s="24">
        <v>168</v>
      </c>
      <c r="Q1553" s="24">
        <v>380</v>
      </c>
      <c r="R1553" s="24">
        <v>0</v>
      </c>
      <c r="S1553" s="24">
        <v>0</v>
      </c>
      <c r="T1553" s="24">
        <v>548</v>
      </c>
    </row>
    <row r="1554" spans="1:20">
      <c r="A1554" s="9" t="s">
        <v>1104</v>
      </c>
      <c r="B1554" s="30" t="s">
        <v>1105</v>
      </c>
      <c r="C1554" s="30" t="str">
        <f>CONCATENATE(VOL_VOLUMEN_SUMINISTROS[[#This Row],[Proyecto]],VOL_VOLUMEN_SUMINISTROS[[#This Row],[J]],VOL_VOLUMEN_SUMINISTROS[[#This Row],[FIN DE SEMANA]])</f>
        <v>1052-1TNO</v>
      </c>
      <c r="D1554" s="360" t="str">
        <f>CONCATENATE(VOL_VOLUMEN_SUMINISTROS[[#This Row],[Grupo]],VOL_VOLUMEN_SUMINISTROS[[#This Row],[Proyecto]],VOL_VOLUMEN_SUMINISTROS[[#This Row],[FIN DE SEMANA]])</f>
        <v>151052-1NO</v>
      </c>
      <c r="E1554" s="30" t="s">
        <v>146</v>
      </c>
      <c r="F1554" s="30" t="s">
        <v>147</v>
      </c>
      <c r="G1554" s="360">
        <v>15</v>
      </c>
      <c r="H1554" s="30">
        <v>5</v>
      </c>
      <c r="I1554" s="9" t="s">
        <v>763</v>
      </c>
      <c r="J1554" s="9" t="s">
        <v>1110</v>
      </c>
      <c r="K1554" s="30">
        <v>1</v>
      </c>
      <c r="L1554" s="9" t="s">
        <v>1111</v>
      </c>
      <c r="M1554" s="30" t="s">
        <v>84</v>
      </c>
      <c r="N1554" s="30" t="s">
        <v>154</v>
      </c>
      <c r="O1554" s="24">
        <v>0</v>
      </c>
      <c r="P1554" s="24">
        <v>201</v>
      </c>
      <c r="Q1554" s="24">
        <v>274</v>
      </c>
      <c r="R1554" s="24">
        <v>0</v>
      </c>
      <c r="S1554" s="24">
        <v>0</v>
      </c>
      <c r="T1554" s="24">
        <v>475</v>
      </c>
    </row>
    <row r="1555" spans="1:20">
      <c r="A1555" s="9" t="s">
        <v>1104</v>
      </c>
      <c r="B1555" s="30" t="s">
        <v>1105</v>
      </c>
      <c r="C1555" s="30" t="str">
        <f>CONCATENATE(VOL_VOLUMEN_SUMINISTROS[[#This Row],[Proyecto]],VOL_VOLUMEN_SUMINISTROS[[#This Row],[J]],VOL_VOLUMEN_SUMINISTROS[[#This Row],[FIN DE SEMANA]])</f>
        <v>1052-1MNO</v>
      </c>
      <c r="D1555" s="360" t="str">
        <f>CONCATENATE(VOL_VOLUMEN_SUMINISTROS[[#This Row],[Grupo]],VOL_VOLUMEN_SUMINISTROS[[#This Row],[Proyecto]],VOL_VOLUMEN_SUMINISTROS[[#This Row],[FIN DE SEMANA]])</f>
        <v>151052-1NO</v>
      </c>
      <c r="E1555" s="30" t="s">
        <v>146</v>
      </c>
      <c r="F1555" s="30" t="s">
        <v>147</v>
      </c>
      <c r="G1555" s="360">
        <v>15</v>
      </c>
      <c r="H1555" s="30">
        <v>5</v>
      </c>
      <c r="I1555" s="9" t="s">
        <v>763</v>
      </c>
      <c r="J1555" s="9" t="s">
        <v>1110</v>
      </c>
      <c r="K1555" s="30">
        <v>2</v>
      </c>
      <c r="L1555" s="9" t="s">
        <v>1112</v>
      </c>
      <c r="M1555" s="30" t="s">
        <v>84</v>
      </c>
      <c r="N1555" s="30" t="s">
        <v>151</v>
      </c>
      <c r="O1555" s="24">
        <v>261</v>
      </c>
      <c r="P1555" s="24">
        <v>240</v>
      </c>
      <c r="Q1555" s="24">
        <v>50</v>
      </c>
      <c r="R1555" s="24">
        <v>0</v>
      </c>
      <c r="S1555" s="24">
        <v>0</v>
      </c>
      <c r="T1555" s="24">
        <v>551</v>
      </c>
    </row>
    <row r="1556" spans="1:20">
      <c r="A1556" s="9" t="s">
        <v>1104</v>
      </c>
      <c r="B1556" s="30" t="s">
        <v>1105</v>
      </c>
      <c r="C1556" s="30" t="str">
        <f>CONCATENATE(VOL_VOLUMEN_SUMINISTROS[[#This Row],[Proyecto]],VOL_VOLUMEN_SUMINISTROS[[#This Row],[J]],VOL_VOLUMEN_SUMINISTROS[[#This Row],[FIN DE SEMANA]])</f>
        <v>1052-1TNO</v>
      </c>
      <c r="D1556" s="360" t="str">
        <f>CONCATENATE(VOL_VOLUMEN_SUMINISTROS[[#This Row],[Grupo]],VOL_VOLUMEN_SUMINISTROS[[#This Row],[Proyecto]],VOL_VOLUMEN_SUMINISTROS[[#This Row],[FIN DE SEMANA]])</f>
        <v>151052-1NO</v>
      </c>
      <c r="E1556" s="30" t="s">
        <v>146</v>
      </c>
      <c r="F1556" s="30" t="s">
        <v>147</v>
      </c>
      <c r="G1556" s="360">
        <v>15</v>
      </c>
      <c r="H1556" s="30">
        <v>5</v>
      </c>
      <c r="I1556" s="9" t="s">
        <v>763</v>
      </c>
      <c r="J1556" s="9" t="s">
        <v>1110</v>
      </c>
      <c r="K1556" s="30">
        <v>2</v>
      </c>
      <c r="L1556" s="9" t="s">
        <v>1112</v>
      </c>
      <c r="M1556" s="30" t="s">
        <v>84</v>
      </c>
      <c r="N1556" s="30" t="s">
        <v>154</v>
      </c>
      <c r="O1556" s="24">
        <v>279</v>
      </c>
      <c r="P1556" s="24">
        <v>203</v>
      </c>
      <c r="Q1556" s="24">
        <v>38</v>
      </c>
      <c r="R1556" s="24">
        <v>0</v>
      </c>
      <c r="S1556" s="24">
        <v>0</v>
      </c>
      <c r="T1556" s="24">
        <v>520</v>
      </c>
    </row>
    <row r="1557" spans="1:20">
      <c r="A1557" s="9" t="s">
        <v>1104</v>
      </c>
      <c r="B1557" s="30" t="s">
        <v>1105</v>
      </c>
      <c r="C1557" s="30" t="str">
        <f>CONCATENATE(VOL_VOLUMEN_SUMINISTROS[[#This Row],[Proyecto]],VOL_VOLUMEN_SUMINISTROS[[#This Row],[J]],VOL_VOLUMEN_SUMINISTROS[[#This Row],[FIN DE SEMANA]])</f>
        <v>1052-1MNO</v>
      </c>
      <c r="D1557" s="360" t="str">
        <f>CONCATENATE(VOL_VOLUMEN_SUMINISTROS[[#This Row],[Grupo]],VOL_VOLUMEN_SUMINISTROS[[#This Row],[Proyecto]],VOL_VOLUMEN_SUMINISTROS[[#This Row],[FIN DE SEMANA]])</f>
        <v>151052-1NO</v>
      </c>
      <c r="E1557" s="30" t="s">
        <v>146</v>
      </c>
      <c r="F1557" s="30" t="s">
        <v>147</v>
      </c>
      <c r="G1557" s="360">
        <v>15</v>
      </c>
      <c r="H1557" s="30">
        <v>5</v>
      </c>
      <c r="I1557" s="9" t="s">
        <v>763</v>
      </c>
      <c r="J1557" s="9" t="s">
        <v>1113</v>
      </c>
      <c r="K1557" s="30">
        <v>1</v>
      </c>
      <c r="L1557" s="9" t="s">
        <v>1114</v>
      </c>
      <c r="M1557" s="30" t="s">
        <v>84</v>
      </c>
      <c r="N1557" s="30" t="s">
        <v>151</v>
      </c>
      <c r="O1557" s="24">
        <v>172</v>
      </c>
      <c r="P1557" s="24">
        <v>223</v>
      </c>
      <c r="Q1557" s="24">
        <v>165</v>
      </c>
      <c r="R1557" s="24">
        <v>0</v>
      </c>
      <c r="S1557" s="24">
        <v>0</v>
      </c>
      <c r="T1557" s="24">
        <v>560</v>
      </c>
    </row>
    <row r="1558" spans="1:20">
      <c r="A1558" s="9" t="s">
        <v>1104</v>
      </c>
      <c r="B1558" s="30" t="s">
        <v>1105</v>
      </c>
      <c r="C1558" s="30" t="str">
        <f>CONCATENATE(VOL_VOLUMEN_SUMINISTROS[[#This Row],[Proyecto]],VOL_VOLUMEN_SUMINISTROS[[#This Row],[J]],VOL_VOLUMEN_SUMINISTROS[[#This Row],[FIN DE SEMANA]])</f>
        <v>1052-1TNO</v>
      </c>
      <c r="D1558" s="360" t="str">
        <f>CONCATENATE(VOL_VOLUMEN_SUMINISTROS[[#This Row],[Grupo]],VOL_VOLUMEN_SUMINISTROS[[#This Row],[Proyecto]],VOL_VOLUMEN_SUMINISTROS[[#This Row],[FIN DE SEMANA]])</f>
        <v>151052-1NO</v>
      </c>
      <c r="E1558" s="30" t="s">
        <v>146</v>
      </c>
      <c r="F1558" s="30" t="s">
        <v>147</v>
      </c>
      <c r="G1558" s="360">
        <v>15</v>
      </c>
      <c r="H1558" s="30">
        <v>5</v>
      </c>
      <c r="I1558" s="9" t="s">
        <v>763</v>
      </c>
      <c r="J1558" s="9" t="s">
        <v>1113</v>
      </c>
      <c r="K1558" s="30">
        <v>1</v>
      </c>
      <c r="L1558" s="9" t="s">
        <v>1114</v>
      </c>
      <c r="M1558" s="30" t="s">
        <v>84</v>
      </c>
      <c r="N1558" s="30" t="s">
        <v>154</v>
      </c>
      <c r="O1558" s="24">
        <v>100</v>
      </c>
      <c r="P1558" s="24">
        <v>205</v>
      </c>
      <c r="Q1558" s="24">
        <v>230</v>
      </c>
      <c r="R1558" s="24">
        <v>0</v>
      </c>
      <c r="S1558" s="24">
        <v>0</v>
      </c>
      <c r="T1558" s="24">
        <v>535</v>
      </c>
    </row>
    <row r="1559" spans="1:20">
      <c r="A1559" s="9" t="s">
        <v>1104</v>
      </c>
      <c r="B1559" s="30" t="s">
        <v>1105</v>
      </c>
      <c r="C1559" s="30" t="str">
        <f>CONCATENATE(VOL_VOLUMEN_SUMINISTROS[[#This Row],[Proyecto]],VOL_VOLUMEN_SUMINISTROS[[#This Row],[J]],VOL_VOLUMEN_SUMINISTROS[[#This Row],[FIN DE SEMANA]])</f>
        <v>1052-1MNO</v>
      </c>
      <c r="D1559" s="360" t="str">
        <f>CONCATENATE(VOL_VOLUMEN_SUMINISTROS[[#This Row],[Grupo]],VOL_VOLUMEN_SUMINISTROS[[#This Row],[Proyecto]],VOL_VOLUMEN_SUMINISTROS[[#This Row],[FIN DE SEMANA]])</f>
        <v>151052-1NO</v>
      </c>
      <c r="E1559" s="30" t="s">
        <v>146</v>
      </c>
      <c r="F1559" s="30" t="s">
        <v>147</v>
      </c>
      <c r="G1559" s="360">
        <v>15</v>
      </c>
      <c r="H1559" s="30">
        <v>5</v>
      </c>
      <c r="I1559" s="9" t="s">
        <v>763</v>
      </c>
      <c r="J1559" s="9" t="s">
        <v>1115</v>
      </c>
      <c r="K1559" s="30">
        <v>1</v>
      </c>
      <c r="L1559" s="9" t="s">
        <v>1116</v>
      </c>
      <c r="M1559" s="30" t="s">
        <v>84</v>
      </c>
      <c r="N1559" s="30" t="s">
        <v>151</v>
      </c>
      <c r="O1559" s="24">
        <v>279</v>
      </c>
      <c r="P1559" s="24">
        <v>236</v>
      </c>
      <c r="Q1559" s="24">
        <v>48</v>
      </c>
      <c r="R1559" s="24">
        <v>0</v>
      </c>
      <c r="S1559" s="24">
        <v>0</v>
      </c>
      <c r="T1559" s="24">
        <v>563</v>
      </c>
    </row>
    <row r="1560" spans="1:20">
      <c r="A1560" s="9" t="s">
        <v>1104</v>
      </c>
      <c r="B1560" s="30" t="s">
        <v>1105</v>
      </c>
      <c r="C1560" s="30" t="str">
        <f>CONCATENATE(VOL_VOLUMEN_SUMINISTROS[[#This Row],[Proyecto]],VOL_VOLUMEN_SUMINISTROS[[#This Row],[J]],VOL_VOLUMEN_SUMINISTROS[[#This Row],[FIN DE SEMANA]])</f>
        <v>1052-1TNO</v>
      </c>
      <c r="D1560" s="360" t="str">
        <f>CONCATENATE(VOL_VOLUMEN_SUMINISTROS[[#This Row],[Grupo]],VOL_VOLUMEN_SUMINISTROS[[#This Row],[Proyecto]],VOL_VOLUMEN_SUMINISTROS[[#This Row],[FIN DE SEMANA]])</f>
        <v>151052-1NO</v>
      </c>
      <c r="E1560" s="30" t="s">
        <v>146</v>
      </c>
      <c r="F1560" s="30" t="s">
        <v>147</v>
      </c>
      <c r="G1560" s="360">
        <v>15</v>
      </c>
      <c r="H1560" s="30">
        <v>5</v>
      </c>
      <c r="I1560" s="9" t="s">
        <v>763</v>
      </c>
      <c r="J1560" s="9" t="s">
        <v>1115</v>
      </c>
      <c r="K1560" s="30">
        <v>1</v>
      </c>
      <c r="L1560" s="9" t="s">
        <v>1116</v>
      </c>
      <c r="M1560" s="30" t="s">
        <v>84</v>
      </c>
      <c r="N1560" s="30" t="s">
        <v>154</v>
      </c>
      <c r="O1560" s="24">
        <v>249</v>
      </c>
      <c r="P1560" s="24">
        <v>231</v>
      </c>
      <c r="Q1560" s="24">
        <v>49</v>
      </c>
      <c r="R1560" s="24">
        <v>0</v>
      </c>
      <c r="S1560" s="24">
        <v>0</v>
      </c>
      <c r="T1560" s="24">
        <v>529</v>
      </c>
    </row>
    <row r="1561" spans="1:20">
      <c r="A1561" s="9" t="s">
        <v>1104</v>
      </c>
      <c r="B1561" s="30" t="s">
        <v>1105</v>
      </c>
      <c r="C1561" s="30" t="str">
        <f>CONCATENATE(VOL_VOLUMEN_SUMINISTROS[[#This Row],[Proyecto]],VOL_VOLUMEN_SUMINISTROS[[#This Row],[J]],VOL_VOLUMEN_SUMINISTROS[[#This Row],[FIN DE SEMANA]])</f>
        <v>1052-1MNO</v>
      </c>
      <c r="D1561" s="360" t="str">
        <f>CONCATENATE(VOL_VOLUMEN_SUMINISTROS[[#This Row],[Grupo]],VOL_VOLUMEN_SUMINISTROS[[#This Row],[Proyecto]],VOL_VOLUMEN_SUMINISTROS[[#This Row],[FIN DE SEMANA]])</f>
        <v>151052-1NO</v>
      </c>
      <c r="E1561" s="30" t="s">
        <v>146</v>
      </c>
      <c r="F1561" s="30" t="s">
        <v>147</v>
      </c>
      <c r="G1561" s="360">
        <v>15</v>
      </c>
      <c r="H1561" s="30">
        <v>5</v>
      </c>
      <c r="I1561" s="9" t="s">
        <v>763</v>
      </c>
      <c r="J1561" s="9" t="s">
        <v>1115</v>
      </c>
      <c r="K1561" s="30">
        <v>2</v>
      </c>
      <c r="L1561" s="9" t="s">
        <v>1117</v>
      </c>
      <c r="M1561" s="30" t="s">
        <v>84</v>
      </c>
      <c r="N1561" s="30" t="s">
        <v>151</v>
      </c>
      <c r="O1561" s="24">
        <v>0</v>
      </c>
      <c r="P1561" s="24">
        <v>162</v>
      </c>
      <c r="Q1561" s="24">
        <v>452</v>
      </c>
      <c r="R1561" s="24">
        <v>0</v>
      </c>
      <c r="S1561" s="24">
        <v>0</v>
      </c>
      <c r="T1561" s="24">
        <v>614</v>
      </c>
    </row>
    <row r="1562" spans="1:20">
      <c r="A1562" s="9" t="s">
        <v>1104</v>
      </c>
      <c r="B1562" s="30" t="s">
        <v>1105</v>
      </c>
      <c r="C1562" s="30" t="str">
        <f>CONCATENATE(VOL_VOLUMEN_SUMINISTROS[[#This Row],[Proyecto]],VOL_VOLUMEN_SUMINISTROS[[#This Row],[J]],VOL_VOLUMEN_SUMINISTROS[[#This Row],[FIN DE SEMANA]])</f>
        <v>1052-1TNO</v>
      </c>
      <c r="D1562" s="360" t="str">
        <f>CONCATENATE(VOL_VOLUMEN_SUMINISTROS[[#This Row],[Grupo]],VOL_VOLUMEN_SUMINISTROS[[#This Row],[Proyecto]],VOL_VOLUMEN_SUMINISTROS[[#This Row],[FIN DE SEMANA]])</f>
        <v>151052-1NO</v>
      </c>
      <c r="E1562" s="30" t="s">
        <v>146</v>
      </c>
      <c r="F1562" s="30" t="s">
        <v>147</v>
      </c>
      <c r="G1562" s="360">
        <v>15</v>
      </c>
      <c r="H1562" s="30">
        <v>5</v>
      </c>
      <c r="I1562" s="9" t="s">
        <v>763</v>
      </c>
      <c r="J1562" s="9" t="s">
        <v>1115</v>
      </c>
      <c r="K1562" s="30">
        <v>2</v>
      </c>
      <c r="L1562" s="9" t="s">
        <v>1117</v>
      </c>
      <c r="M1562" s="30" t="s">
        <v>84</v>
      </c>
      <c r="N1562" s="30" t="s">
        <v>154</v>
      </c>
      <c r="O1562" s="24">
        <v>0</v>
      </c>
      <c r="P1562" s="24">
        <v>213</v>
      </c>
      <c r="Q1562" s="24">
        <v>238</v>
      </c>
      <c r="R1562" s="24">
        <v>0</v>
      </c>
      <c r="S1562" s="24">
        <v>0</v>
      </c>
      <c r="T1562" s="24">
        <v>451</v>
      </c>
    </row>
    <row r="1563" spans="1:20">
      <c r="A1563" s="9" t="s">
        <v>1104</v>
      </c>
      <c r="B1563" s="30" t="s">
        <v>1105</v>
      </c>
      <c r="C1563" s="30" t="str">
        <f>CONCATENATE(VOL_VOLUMEN_SUMINISTROS[[#This Row],[Proyecto]],VOL_VOLUMEN_SUMINISTROS[[#This Row],[J]],VOL_VOLUMEN_SUMINISTROS[[#This Row],[FIN DE SEMANA]])</f>
        <v>1052-1MNO</v>
      </c>
      <c r="D1563" s="360" t="str">
        <f>CONCATENATE(VOL_VOLUMEN_SUMINISTROS[[#This Row],[Grupo]],VOL_VOLUMEN_SUMINISTROS[[#This Row],[Proyecto]],VOL_VOLUMEN_SUMINISTROS[[#This Row],[FIN DE SEMANA]])</f>
        <v>151052-1NO</v>
      </c>
      <c r="E1563" s="30" t="s">
        <v>146</v>
      </c>
      <c r="F1563" s="30" t="s">
        <v>147</v>
      </c>
      <c r="G1563" s="360">
        <v>15</v>
      </c>
      <c r="H1563" s="30">
        <v>5</v>
      </c>
      <c r="I1563" s="9" t="s">
        <v>763</v>
      </c>
      <c r="J1563" s="9" t="s">
        <v>1118</v>
      </c>
      <c r="K1563" s="30">
        <v>1</v>
      </c>
      <c r="L1563" s="9" t="s">
        <v>1119</v>
      </c>
      <c r="M1563" s="30" t="s">
        <v>84</v>
      </c>
      <c r="N1563" s="30" t="s">
        <v>151</v>
      </c>
      <c r="O1563" s="24">
        <v>213</v>
      </c>
      <c r="P1563" s="24">
        <v>335</v>
      </c>
      <c r="Q1563" s="24">
        <v>356</v>
      </c>
      <c r="R1563" s="24">
        <v>0</v>
      </c>
      <c r="S1563" s="24">
        <v>0</v>
      </c>
      <c r="T1563" s="24">
        <v>904</v>
      </c>
    </row>
    <row r="1564" spans="1:20">
      <c r="A1564" s="9" t="s">
        <v>1104</v>
      </c>
      <c r="B1564" s="30" t="s">
        <v>1105</v>
      </c>
      <c r="C1564" s="30" t="str">
        <f>CONCATENATE(VOL_VOLUMEN_SUMINISTROS[[#This Row],[Proyecto]],VOL_VOLUMEN_SUMINISTROS[[#This Row],[J]],VOL_VOLUMEN_SUMINISTROS[[#This Row],[FIN DE SEMANA]])</f>
        <v>1052-1TNO</v>
      </c>
      <c r="D1564" s="360" t="str">
        <f>CONCATENATE(VOL_VOLUMEN_SUMINISTROS[[#This Row],[Grupo]],VOL_VOLUMEN_SUMINISTROS[[#This Row],[Proyecto]],VOL_VOLUMEN_SUMINISTROS[[#This Row],[FIN DE SEMANA]])</f>
        <v>151052-1NO</v>
      </c>
      <c r="E1564" s="30" t="s">
        <v>146</v>
      </c>
      <c r="F1564" s="30" t="s">
        <v>147</v>
      </c>
      <c r="G1564" s="360">
        <v>15</v>
      </c>
      <c r="H1564" s="30">
        <v>5</v>
      </c>
      <c r="I1564" s="9" t="s">
        <v>763</v>
      </c>
      <c r="J1564" s="9" t="s">
        <v>1118</v>
      </c>
      <c r="K1564" s="30">
        <v>1</v>
      </c>
      <c r="L1564" s="9" t="s">
        <v>1119</v>
      </c>
      <c r="M1564" s="30" t="s">
        <v>84</v>
      </c>
      <c r="N1564" s="30" t="s">
        <v>154</v>
      </c>
      <c r="O1564" s="24">
        <v>201</v>
      </c>
      <c r="P1564" s="24">
        <v>302</v>
      </c>
      <c r="Q1564" s="24">
        <v>347</v>
      </c>
      <c r="R1564" s="24">
        <v>0</v>
      </c>
      <c r="S1564" s="24">
        <v>0</v>
      </c>
      <c r="T1564" s="24">
        <v>850</v>
      </c>
    </row>
    <row r="1565" spans="1:20">
      <c r="A1565" s="9" t="s">
        <v>1104</v>
      </c>
      <c r="B1565" s="30" t="s">
        <v>1105</v>
      </c>
      <c r="C1565" s="30" t="str">
        <f>CONCATENATE(VOL_VOLUMEN_SUMINISTROS[[#This Row],[Proyecto]],VOL_VOLUMEN_SUMINISTROS[[#This Row],[J]],VOL_VOLUMEN_SUMINISTROS[[#This Row],[FIN DE SEMANA]])</f>
        <v>1052-1MNO</v>
      </c>
      <c r="D1565" s="360" t="str">
        <f>CONCATENATE(VOL_VOLUMEN_SUMINISTROS[[#This Row],[Grupo]],VOL_VOLUMEN_SUMINISTROS[[#This Row],[Proyecto]],VOL_VOLUMEN_SUMINISTROS[[#This Row],[FIN DE SEMANA]])</f>
        <v>151052-1NO</v>
      </c>
      <c r="E1565" s="30" t="s">
        <v>146</v>
      </c>
      <c r="F1565" s="30" t="s">
        <v>147</v>
      </c>
      <c r="G1565" s="360">
        <v>15</v>
      </c>
      <c r="H1565" s="30">
        <v>5</v>
      </c>
      <c r="I1565" s="9" t="s">
        <v>763</v>
      </c>
      <c r="J1565" s="9" t="s">
        <v>1120</v>
      </c>
      <c r="K1565" s="30">
        <v>1</v>
      </c>
      <c r="L1565" s="9" t="s">
        <v>1121</v>
      </c>
      <c r="M1565" s="30" t="s">
        <v>84</v>
      </c>
      <c r="N1565" s="30" t="s">
        <v>151</v>
      </c>
      <c r="O1565" s="24">
        <v>237</v>
      </c>
      <c r="P1565" s="24">
        <v>312</v>
      </c>
      <c r="Q1565" s="24">
        <v>406</v>
      </c>
      <c r="R1565" s="24">
        <v>0</v>
      </c>
      <c r="S1565" s="24">
        <v>0</v>
      </c>
      <c r="T1565" s="24">
        <v>955</v>
      </c>
    </row>
    <row r="1566" spans="1:20">
      <c r="A1566" s="9" t="s">
        <v>1104</v>
      </c>
      <c r="B1566" s="30" t="s">
        <v>1105</v>
      </c>
      <c r="C1566" s="30" t="str">
        <f>CONCATENATE(VOL_VOLUMEN_SUMINISTROS[[#This Row],[Proyecto]],VOL_VOLUMEN_SUMINISTROS[[#This Row],[J]],VOL_VOLUMEN_SUMINISTROS[[#This Row],[FIN DE SEMANA]])</f>
        <v>1052-1TNO</v>
      </c>
      <c r="D1566" s="360" t="str">
        <f>CONCATENATE(VOL_VOLUMEN_SUMINISTROS[[#This Row],[Grupo]],VOL_VOLUMEN_SUMINISTROS[[#This Row],[Proyecto]],VOL_VOLUMEN_SUMINISTROS[[#This Row],[FIN DE SEMANA]])</f>
        <v>151052-1NO</v>
      </c>
      <c r="E1566" s="30" t="s">
        <v>146</v>
      </c>
      <c r="F1566" s="30" t="s">
        <v>147</v>
      </c>
      <c r="G1566" s="360">
        <v>15</v>
      </c>
      <c r="H1566" s="30">
        <v>5</v>
      </c>
      <c r="I1566" s="9" t="s">
        <v>763</v>
      </c>
      <c r="J1566" s="9" t="s">
        <v>1120</v>
      </c>
      <c r="K1566" s="30">
        <v>1</v>
      </c>
      <c r="L1566" s="9" t="s">
        <v>1121</v>
      </c>
      <c r="M1566" s="30" t="s">
        <v>84</v>
      </c>
      <c r="N1566" s="30" t="s">
        <v>154</v>
      </c>
      <c r="O1566" s="24">
        <v>232</v>
      </c>
      <c r="P1566" s="24">
        <v>288</v>
      </c>
      <c r="Q1566" s="24">
        <v>327</v>
      </c>
      <c r="R1566" s="24">
        <v>0</v>
      </c>
      <c r="S1566" s="24">
        <v>0</v>
      </c>
      <c r="T1566" s="24">
        <v>847</v>
      </c>
    </row>
    <row r="1567" spans="1:20">
      <c r="A1567" s="9" t="s">
        <v>1104</v>
      </c>
      <c r="B1567" s="30" t="s">
        <v>1105</v>
      </c>
      <c r="C1567" s="30" t="str">
        <f>CONCATENATE(VOL_VOLUMEN_SUMINISTROS[[#This Row],[Proyecto]],VOL_VOLUMEN_SUMINISTROS[[#This Row],[J]],VOL_VOLUMEN_SUMINISTROS[[#This Row],[FIN DE SEMANA]])</f>
        <v>1052-1MNO</v>
      </c>
      <c r="D1567" s="360" t="str">
        <f>CONCATENATE(VOL_VOLUMEN_SUMINISTROS[[#This Row],[Grupo]],VOL_VOLUMEN_SUMINISTROS[[#This Row],[Proyecto]],VOL_VOLUMEN_SUMINISTROS[[#This Row],[FIN DE SEMANA]])</f>
        <v>151052-1NO</v>
      </c>
      <c r="E1567" s="30" t="s">
        <v>146</v>
      </c>
      <c r="F1567" s="30" t="s">
        <v>147</v>
      </c>
      <c r="G1567" s="360">
        <v>15</v>
      </c>
      <c r="H1567" s="30">
        <v>5</v>
      </c>
      <c r="I1567" s="9" t="s">
        <v>763</v>
      </c>
      <c r="J1567" s="9" t="s">
        <v>1122</v>
      </c>
      <c r="K1567" s="30">
        <v>1</v>
      </c>
      <c r="L1567" s="9" t="s">
        <v>1123</v>
      </c>
      <c r="M1567" s="30" t="s">
        <v>84</v>
      </c>
      <c r="N1567" s="30" t="s">
        <v>151</v>
      </c>
      <c r="O1567" s="24">
        <v>0</v>
      </c>
      <c r="P1567" s="24">
        <v>96</v>
      </c>
      <c r="Q1567" s="24">
        <v>138</v>
      </c>
      <c r="R1567" s="24">
        <v>0</v>
      </c>
      <c r="S1567" s="24">
        <v>0</v>
      </c>
      <c r="T1567" s="24">
        <v>234</v>
      </c>
    </row>
    <row r="1568" spans="1:20">
      <c r="A1568" s="9" t="s">
        <v>1104</v>
      </c>
      <c r="B1568" s="30" t="s">
        <v>1105</v>
      </c>
      <c r="C1568" s="30" t="str">
        <f>CONCATENATE(VOL_VOLUMEN_SUMINISTROS[[#This Row],[Proyecto]],VOL_VOLUMEN_SUMINISTROS[[#This Row],[J]],VOL_VOLUMEN_SUMINISTROS[[#This Row],[FIN DE SEMANA]])</f>
        <v>1052-1TNO</v>
      </c>
      <c r="D1568" s="360" t="str">
        <f>CONCATENATE(VOL_VOLUMEN_SUMINISTROS[[#This Row],[Grupo]],VOL_VOLUMEN_SUMINISTROS[[#This Row],[Proyecto]],VOL_VOLUMEN_SUMINISTROS[[#This Row],[FIN DE SEMANA]])</f>
        <v>151052-1NO</v>
      </c>
      <c r="E1568" s="30" t="s">
        <v>146</v>
      </c>
      <c r="F1568" s="30" t="s">
        <v>147</v>
      </c>
      <c r="G1568" s="360">
        <v>15</v>
      </c>
      <c r="H1568" s="30">
        <v>5</v>
      </c>
      <c r="I1568" s="9" t="s">
        <v>763</v>
      </c>
      <c r="J1568" s="9" t="s">
        <v>1122</v>
      </c>
      <c r="K1568" s="30">
        <v>1</v>
      </c>
      <c r="L1568" s="9" t="s">
        <v>1123</v>
      </c>
      <c r="M1568" s="30" t="s">
        <v>84</v>
      </c>
      <c r="N1568" s="30" t="s">
        <v>154</v>
      </c>
      <c r="O1568" s="24">
        <v>0</v>
      </c>
      <c r="P1568" s="24">
        <v>84</v>
      </c>
      <c r="Q1568" s="24">
        <v>75</v>
      </c>
      <c r="R1568" s="24">
        <v>0</v>
      </c>
      <c r="S1568" s="24">
        <v>0</v>
      </c>
      <c r="T1568" s="24">
        <v>159</v>
      </c>
    </row>
    <row r="1569" spans="1:20">
      <c r="A1569" s="9" t="s">
        <v>1104</v>
      </c>
      <c r="B1569" s="30" t="s">
        <v>1105</v>
      </c>
      <c r="C1569" s="30" t="str">
        <f>CONCATENATE(VOL_VOLUMEN_SUMINISTROS[[#This Row],[Proyecto]],VOL_VOLUMEN_SUMINISTROS[[#This Row],[J]],VOL_VOLUMEN_SUMINISTROS[[#This Row],[FIN DE SEMANA]])</f>
        <v>1052-1MNO</v>
      </c>
      <c r="D1569" s="360" t="str">
        <f>CONCATENATE(VOL_VOLUMEN_SUMINISTROS[[#This Row],[Grupo]],VOL_VOLUMEN_SUMINISTROS[[#This Row],[Proyecto]],VOL_VOLUMEN_SUMINISTROS[[#This Row],[FIN DE SEMANA]])</f>
        <v>151052-1NO</v>
      </c>
      <c r="E1569" s="30" t="s">
        <v>146</v>
      </c>
      <c r="F1569" s="30" t="s">
        <v>147</v>
      </c>
      <c r="G1569" s="360">
        <v>15</v>
      </c>
      <c r="H1569" s="30">
        <v>5</v>
      </c>
      <c r="I1569" s="9" t="s">
        <v>763</v>
      </c>
      <c r="J1569" s="9" t="s">
        <v>1122</v>
      </c>
      <c r="K1569" s="30">
        <v>2</v>
      </c>
      <c r="L1569" s="9" t="s">
        <v>1124</v>
      </c>
      <c r="M1569" s="30" t="s">
        <v>84</v>
      </c>
      <c r="N1569" s="30" t="s">
        <v>151</v>
      </c>
      <c r="O1569" s="24">
        <v>150</v>
      </c>
      <c r="P1569" s="24">
        <v>186</v>
      </c>
      <c r="Q1569" s="24">
        <v>37</v>
      </c>
      <c r="R1569" s="24">
        <v>0</v>
      </c>
      <c r="S1569" s="24">
        <v>0</v>
      </c>
      <c r="T1569" s="24">
        <v>373</v>
      </c>
    </row>
    <row r="1570" spans="1:20">
      <c r="A1570" s="9" t="s">
        <v>1104</v>
      </c>
      <c r="B1570" s="30" t="s">
        <v>1105</v>
      </c>
      <c r="C1570" s="30" t="str">
        <f>CONCATENATE(VOL_VOLUMEN_SUMINISTROS[[#This Row],[Proyecto]],VOL_VOLUMEN_SUMINISTROS[[#This Row],[J]],VOL_VOLUMEN_SUMINISTROS[[#This Row],[FIN DE SEMANA]])</f>
        <v>1052-1TNO</v>
      </c>
      <c r="D1570" s="360" t="str">
        <f>CONCATENATE(VOL_VOLUMEN_SUMINISTROS[[#This Row],[Grupo]],VOL_VOLUMEN_SUMINISTROS[[#This Row],[Proyecto]],VOL_VOLUMEN_SUMINISTROS[[#This Row],[FIN DE SEMANA]])</f>
        <v>151052-1NO</v>
      </c>
      <c r="E1570" s="30" t="s">
        <v>146</v>
      </c>
      <c r="F1570" s="30" t="s">
        <v>147</v>
      </c>
      <c r="G1570" s="360">
        <v>15</v>
      </c>
      <c r="H1570" s="30">
        <v>5</v>
      </c>
      <c r="I1570" s="9" t="s">
        <v>763</v>
      </c>
      <c r="J1570" s="9" t="s">
        <v>1122</v>
      </c>
      <c r="K1570" s="30">
        <v>2</v>
      </c>
      <c r="L1570" s="9" t="s">
        <v>1124</v>
      </c>
      <c r="M1570" s="30" t="s">
        <v>84</v>
      </c>
      <c r="N1570" s="30" t="s">
        <v>154</v>
      </c>
      <c r="O1570" s="24">
        <v>110</v>
      </c>
      <c r="P1570" s="24">
        <v>115</v>
      </c>
      <c r="Q1570" s="24">
        <v>20</v>
      </c>
      <c r="R1570" s="24">
        <v>0</v>
      </c>
      <c r="S1570" s="24">
        <v>0</v>
      </c>
      <c r="T1570" s="24">
        <v>245</v>
      </c>
    </row>
    <row r="1571" spans="1:20">
      <c r="A1571" s="9" t="s">
        <v>1104</v>
      </c>
      <c r="B1571" s="30" t="s">
        <v>1105</v>
      </c>
      <c r="C1571" s="30" t="str">
        <f>CONCATENATE(VOL_VOLUMEN_SUMINISTROS[[#This Row],[Proyecto]],VOL_VOLUMEN_SUMINISTROS[[#This Row],[J]],VOL_VOLUMEN_SUMINISTROS[[#This Row],[FIN DE SEMANA]])</f>
        <v>1052-1MNO</v>
      </c>
      <c r="D1571" s="360" t="str">
        <f>CONCATENATE(VOL_VOLUMEN_SUMINISTROS[[#This Row],[Grupo]],VOL_VOLUMEN_SUMINISTROS[[#This Row],[Proyecto]],VOL_VOLUMEN_SUMINISTROS[[#This Row],[FIN DE SEMANA]])</f>
        <v>151052-1NO</v>
      </c>
      <c r="E1571" s="30" t="s">
        <v>146</v>
      </c>
      <c r="F1571" s="30" t="s">
        <v>147</v>
      </c>
      <c r="G1571" s="360">
        <v>15</v>
      </c>
      <c r="H1571" s="30">
        <v>5</v>
      </c>
      <c r="I1571" s="9" t="s">
        <v>763</v>
      </c>
      <c r="J1571" s="9" t="s">
        <v>1122</v>
      </c>
      <c r="K1571" s="30">
        <v>3</v>
      </c>
      <c r="L1571" s="9" t="s">
        <v>532</v>
      </c>
      <c r="M1571" s="30" t="s">
        <v>84</v>
      </c>
      <c r="N1571" s="30" t="s">
        <v>151</v>
      </c>
      <c r="O1571" s="24">
        <v>203</v>
      </c>
      <c r="P1571" s="24">
        <v>0</v>
      </c>
      <c r="Q1571" s="24">
        <v>0</v>
      </c>
      <c r="R1571" s="24">
        <v>0</v>
      </c>
      <c r="S1571" s="24">
        <v>0</v>
      </c>
      <c r="T1571" s="24">
        <v>203</v>
      </c>
    </row>
    <row r="1572" spans="1:20">
      <c r="A1572" s="9" t="s">
        <v>1104</v>
      </c>
      <c r="B1572" s="30" t="s">
        <v>1105</v>
      </c>
      <c r="C1572" s="30" t="str">
        <f>CONCATENATE(VOL_VOLUMEN_SUMINISTROS[[#This Row],[Proyecto]],VOL_VOLUMEN_SUMINISTROS[[#This Row],[J]],VOL_VOLUMEN_SUMINISTROS[[#This Row],[FIN DE SEMANA]])</f>
        <v>1052-1MNO</v>
      </c>
      <c r="D1572" s="360" t="str">
        <f>CONCATENATE(VOL_VOLUMEN_SUMINISTROS[[#This Row],[Grupo]],VOL_VOLUMEN_SUMINISTROS[[#This Row],[Proyecto]],VOL_VOLUMEN_SUMINISTROS[[#This Row],[FIN DE SEMANA]])</f>
        <v>151052-1NO</v>
      </c>
      <c r="E1572" s="30" t="s">
        <v>146</v>
      </c>
      <c r="F1572" s="30" t="s">
        <v>147</v>
      </c>
      <c r="G1572" s="360">
        <v>15</v>
      </c>
      <c r="H1572" s="30">
        <v>5</v>
      </c>
      <c r="I1572" s="9" t="s">
        <v>763</v>
      </c>
      <c r="J1572" s="9" t="s">
        <v>1125</v>
      </c>
      <c r="K1572" s="30">
        <v>1</v>
      </c>
      <c r="L1572" s="9" t="s">
        <v>1126</v>
      </c>
      <c r="M1572" s="30" t="s">
        <v>84</v>
      </c>
      <c r="N1572" s="30" t="s">
        <v>151</v>
      </c>
      <c r="O1572" s="24">
        <v>202</v>
      </c>
      <c r="P1572" s="24">
        <v>303</v>
      </c>
      <c r="Q1572" s="24">
        <v>377</v>
      </c>
      <c r="R1572" s="24">
        <v>0</v>
      </c>
      <c r="S1572" s="24">
        <v>0</v>
      </c>
      <c r="T1572" s="24">
        <v>882</v>
      </c>
    </row>
    <row r="1573" spans="1:20">
      <c r="A1573" s="9" t="s">
        <v>1104</v>
      </c>
      <c r="B1573" s="30" t="s">
        <v>1105</v>
      </c>
      <c r="C1573" s="30" t="str">
        <f>CONCATENATE(VOL_VOLUMEN_SUMINISTROS[[#This Row],[Proyecto]],VOL_VOLUMEN_SUMINISTROS[[#This Row],[J]],VOL_VOLUMEN_SUMINISTROS[[#This Row],[FIN DE SEMANA]])</f>
        <v>1052-1TNO</v>
      </c>
      <c r="D1573" s="360" t="str">
        <f>CONCATENATE(VOL_VOLUMEN_SUMINISTROS[[#This Row],[Grupo]],VOL_VOLUMEN_SUMINISTROS[[#This Row],[Proyecto]],VOL_VOLUMEN_SUMINISTROS[[#This Row],[FIN DE SEMANA]])</f>
        <v>151052-1NO</v>
      </c>
      <c r="E1573" s="30" t="s">
        <v>146</v>
      </c>
      <c r="F1573" s="30" t="s">
        <v>147</v>
      </c>
      <c r="G1573" s="360">
        <v>15</v>
      </c>
      <c r="H1573" s="30">
        <v>5</v>
      </c>
      <c r="I1573" s="9" t="s">
        <v>763</v>
      </c>
      <c r="J1573" s="9" t="s">
        <v>1125</v>
      </c>
      <c r="K1573" s="30">
        <v>1</v>
      </c>
      <c r="L1573" s="9" t="s">
        <v>1126</v>
      </c>
      <c r="M1573" s="30" t="s">
        <v>84</v>
      </c>
      <c r="N1573" s="30" t="s">
        <v>154</v>
      </c>
      <c r="O1573" s="24">
        <v>198</v>
      </c>
      <c r="P1573" s="24">
        <v>292</v>
      </c>
      <c r="Q1573" s="24">
        <v>329</v>
      </c>
      <c r="R1573" s="24">
        <v>0</v>
      </c>
      <c r="S1573" s="24">
        <v>0</v>
      </c>
      <c r="T1573" s="24">
        <v>819</v>
      </c>
    </row>
    <row r="1574" spans="1:20">
      <c r="A1574" s="9" t="s">
        <v>1104</v>
      </c>
      <c r="B1574" s="30" t="s">
        <v>1105</v>
      </c>
      <c r="C1574" s="30" t="str">
        <f>CONCATENATE(VOL_VOLUMEN_SUMINISTROS[[#This Row],[Proyecto]],VOL_VOLUMEN_SUMINISTROS[[#This Row],[J]],VOL_VOLUMEN_SUMINISTROS[[#This Row],[FIN DE SEMANA]])</f>
        <v>1052-1MNO</v>
      </c>
      <c r="D1574" s="360" t="str">
        <f>CONCATENATE(VOL_VOLUMEN_SUMINISTROS[[#This Row],[Grupo]],VOL_VOLUMEN_SUMINISTROS[[#This Row],[Proyecto]],VOL_VOLUMEN_SUMINISTROS[[#This Row],[FIN DE SEMANA]])</f>
        <v>151052-1NO</v>
      </c>
      <c r="E1574" s="30" t="s">
        <v>146</v>
      </c>
      <c r="F1574" s="30" t="s">
        <v>147</v>
      </c>
      <c r="G1574" s="360">
        <v>15</v>
      </c>
      <c r="H1574" s="30">
        <v>5</v>
      </c>
      <c r="I1574" s="9" t="s">
        <v>763</v>
      </c>
      <c r="J1574" s="9" t="s">
        <v>1125</v>
      </c>
      <c r="K1574" s="30">
        <v>2</v>
      </c>
      <c r="L1574" s="9" t="s">
        <v>1127</v>
      </c>
      <c r="M1574" s="30" t="s">
        <v>84</v>
      </c>
      <c r="N1574" s="30" t="s">
        <v>151</v>
      </c>
      <c r="O1574" s="24">
        <v>0</v>
      </c>
      <c r="P1574" s="24">
        <v>201</v>
      </c>
      <c r="Q1574" s="24">
        <v>230</v>
      </c>
      <c r="R1574" s="24">
        <v>0</v>
      </c>
      <c r="S1574" s="24">
        <v>0</v>
      </c>
      <c r="T1574" s="24">
        <v>431</v>
      </c>
    </row>
    <row r="1575" spans="1:20">
      <c r="A1575" s="9" t="s">
        <v>1104</v>
      </c>
      <c r="B1575" s="30" t="s">
        <v>1105</v>
      </c>
      <c r="C1575" s="30" t="str">
        <f>CONCATENATE(VOL_VOLUMEN_SUMINISTROS[[#This Row],[Proyecto]],VOL_VOLUMEN_SUMINISTROS[[#This Row],[J]],VOL_VOLUMEN_SUMINISTROS[[#This Row],[FIN DE SEMANA]])</f>
        <v>1052-1TNO</v>
      </c>
      <c r="D1575" s="360" t="str">
        <f>CONCATENATE(VOL_VOLUMEN_SUMINISTROS[[#This Row],[Grupo]],VOL_VOLUMEN_SUMINISTROS[[#This Row],[Proyecto]],VOL_VOLUMEN_SUMINISTROS[[#This Row],[FIN DE SEMANA]])</f>
        <v>151052-1NO</v>
      </c>
      <c r="E1575" s="30" t="s">
        <v>146</v>
      </c>
      <c r="F1575" s="30" t="s">
        <v>147</v>
      </c>
      <c r="G1575" s="360">
        <v>15</v>
      </c>
      <c r="H1575" s="30">
        <v>5</v>
      </c>
      <c r="I1575" s="9" t="s">
        <v>763</v>
      </c>
      <c r="J1575" s="9" t="s">
        <v>1125</v>
      </c>
      <c r="K1575" s="30">
        <v>2</v>
      </c>
      <c r="L1575" s="9" t="s">
        <v>1127</v>
      </c>
      <c r="M1575" s="30" t="s">
        <v>84</v>
      </c>
      <c r="N1575" s="30" t="s">
        <v>154</v>
      </c>
      <c r="O1575" s="24">
        <v>16</v>
      </c>
      <c r="P1575" s="24">
        <v>200</v>
      </c>
      <c r="Q1575" s="24">
        <v>220</v>
      </c>
      <c r="R1575" s="24">
        <v>0</v>
      </c>
      <c r="S1575" s="24">
        <v>0</v>
      </c>
      <c r="T1575" s="24">
        <v>436</v>
      </c>
    </row>
    <row r="1576" spans="1:20">
      <c r="A1576" s="9" t="s">
        <v>1104</v>
      </c>
      <c r="B1576" s="30" t="s">
        <v>1105</v>
      </c>
      <c r="C1576" s="30" t="str">
        <f>CONCATENATE(VOL_VOLUMEN_SUMINISTROS[[#This Row],[Proyecto]],VOL_VOLUMEN_SUMINISTROS[[#This Row],[J]],VOL_VOLUMEN_SUMINISTROS[[#This Row],[FIN DE SEMANA]])</f>
        <v>1052-1MNO</v>
      </c>
      <c r="D1576" s="360" t="str">
        <f>CONCATENATE(VOL_VOLUMEN_SUMINISTROS[[#This Row],[Grupo]],VOL_VOLUMEN_SUMINISTROS[[#This Row],[Proyecto]],VOL_VOLUMEN_SUMINISTROS[[#This Row],[FIN DE SEMANA]])</f>
        <v>151052-1NO</v>
      </c>
      <c r="E1576" s="30" t="s">
        <v>146</v>
      </c>
      <c r="F1576" s="30" t="s">
        <v>147</v>
      </c>
      <c r="G1576" s="360">
        <v>15</v>
      </c>
      <c r="H1576" s="30">
        <v>5</v>
      </c>
      <c r="I1576" s="9" t="s">
        <v>763</v>
      </c>
      <c r="J1576" s="9" t="s">
        <v>1125</v>
      </c>
      <c r="K1576" s="30">
        <v>3</v>
      </c>
      <c r="L1576" s="9" t="s">
        <v>1128</v>
      </c>
      <c r="M1576" s="30" t="s">
        <v>84</v>
      </c>
      <c r="N1576" s="30" t="s">
        <v>151</v>
      </c>
      <c r="O1576" s="24">
        <v>184</v>
      </c>
      <c r="P1576" s="24">
        <v>56</v>
      </c>
      <c r="Q1576" s="24">
        <v>0</v>
      </c>
      <c r="R1576" s="24">
        <v>0</v>
      </c>
      <c r="S1576" s="24">
        <v>0</v>
      </c>
      <c r="T1576" s="24">
        <v>240</v>
      </c>
    </row>
    <row r="1577" spans="1:20">
      <c r="A1577" s="9" t="s">
        <v>1104</v>
      </c>
      <c r="B1577" s="30" t="s">
        <v>1105</v>
      </c>
      <c r="C1577" s="30" t="str">
        <f>CONCATENATE(VOL_VOLUMEN_SUMINISTROS[[#This Row],[Proyecto]],VOL_VOLUMEN_SUMINISTROS[[#This Row],[J]],VOL_VOLUMEN_SUMINISTROS[[#This Row],[FIN DE SEMANA]])</f>
        <v>1052-1TNO</v>
      </c>
      <c r="D1577" s="360" t="str">
        <f>CONCATENATE(VOL_VOLUMEN_SUMINISTROS[[#This Row],[Grupo]],VOL_VOLUMEN_SUMINISTROS[[#This Row],[Proyecto]],VOL_VOLUMEN_SUMINISTROS[[#This Row],[FIN DE SEMANA]])</f>
        <v>151052-1NO</v>
      </c>
      <c r="E1577" s="30" t="s">
        <v>146</v>
      </c>
      <c r="F1577" s="30" t="s">
        <v>147</v>
      </c>
      <c r="G1577" s="360">
        <v>15</v>
      </c>
      <c r="H1577" s="30">
        <v>5</v>
      </c>
      <c r="I1577" s="9" t="s">
        <v>763</v>
      </c>
      <c r="J1577" s="9" t="s">
        <v>1125</v>
      </c>
      <c r="K1577" s="30">
        <v>3</v>
      </c>
      <c r="L1577" s="9" t="s">
        <v>1128</v>
      </c>
      <c r="M1577" s="30" t="s">
        <v>84</v>
      </c>
      <c r="N1577" s="30" t="s">
        <v>154</v>
      </c>
      <c r="O1577" s="24">
        <v>198</v>
      </c>
      <c r="P1577" s="24">
        <v>50</v>
      </c>
      <c r="Q1577" s="24">
        <v>0</v>
      </c>
      <c r="R1577" s="24">
        <v>0</v>
      </c>
      <c r="S1577" s="24">
        <v>0</v>
      </c>
      <c r="T1577" s="24">
        <v>248</v>
      </c>
    </row>
    <row r="1578" spans="1:20">
      <c r="A1578" s="9" t="s">
        <v>1104</v>
      </c>
      <c r="B1578" s="30" t="s">
        <v>1105</v>
      </c>
      <c r="C1578" s="30" t="str">
        <f>CONCATENATE(VOL_VOLUMEN_SUMINISTROS[[#This Row],[Proyecto]],VOL_VOLUMEN_SUMINISTROS[[#This Row],[J]],VOL_VOLUMEN_SUMINISTROS[[#This Row],[FIN DE SEMANA]])</f>
        <v>1052-1MNO</v>
      </c>
      <c r="D1578" s="360" t="str">
        <f>CONCATENATE(VOL_VOLUMEN_SUMINISTROS[[#This Row],[Grupo]],VOL_VOLUMEN_SUMINISTROS[[#This Row],[Proyecto]],VOL_VOLUMEN_SUMINISTROS[[#This Row],[FIN DE SEMANA]])</f>
        <v>151052-1NO</v>
      </c>
      <c r="E1578" s="30" t="s">
        <v>146</v>
      </c>
      <c r="F1578" s="30" t="s">
        <v>147</v>
      </c>
      <c r="G1578" s="360">
        <v>15</v>
      </c>
      <c r="H1578" s="30">
        <v>5</v>
      </c>
      <c r="I1578" s="9" t="s">
        <v>763</v>
      </c>
      <c r="J1578" s="9" t="s">
        <v>1129</v>
      </c>
      <c r="K1578" s="30">
        <v>2</v>
      </c>
      <c r="L1578" s="9" t="s">
        <v>1130</v>
      </c>
      <c r="M1578" s="30" t="s">
        <v>84</v>
      </c>
      <c r="N1578" s="30" t="s">
        <v>151</v>
      </c>
      <c r="O1578" s="24">
        <v>223</v>
      </c>
      <c r="P1578" s="24">
        <v>50</v>
      </c>
      <c r="Q1578" s="24">
        <v>0</v>
      </c>
      <c r="R1578" s="24">
        <v>0</v>
      </c>
      <c r="S1578" s="24">
        <v>0</v>
      </c>
      <c r="T1578" s="24">
        <v>273</v>
      </c>
    </row>
    <row r="1579" spans="1:20">
      <c r="A1579" s="9" t="s">
        <v>1104</v>
      </c>
      <c r="B1579" s="30" t="s">
        <v>1105</v>
      </c>
      <c r="C1579" s="30" t="str">
        <f>CONCATENATE(VOL_VOLUMEN_SUMINISTROS[[#This Row],[Proyecto]],VOL_VOLUMEN_SUMINISTROS[[#This Row],[J]],VOL_VOLUMEN_SUMINISTROS[[#This Row],[FIN DE SEMANA]])</f>
        <v>1052-1TNO</v>
      </c>
      <c r="D1579" s="360" t="str">
        <f>CONCATENATE(VOL_VOLUMEN_SUMINISTROS[[#This Row],[Grupo]],VOL_VOLUMEN_SUMINISTROS[[#This Row],[Proyecto]],VOL_VOLUMEN_SUMINISTROS[[#This Row],[FIN DE SEMANA]])</f>
        <v>151052-1NO</v>
      </c>
      <c r="E1579" s="30" t="s">
        <v>146</v>
      </c>
      <c r="F1579" s="30" t="s">
        <v>147</v>
      </c>
      <c r="G1579" s="360">
        <v>15</v>
      </c>
      <c r="H1579" s="30">
        <v>5</v>
      </c>
      <c r="I1579" s="9" t="s">
        <v>763</v>
      </c>
      <c r="J1579" s="9" t="s">
        <v>1129</v>
      </c>
      <c r="K1579" s="30">
        <v>2</v>
      </c>
      <c r="L1579" s="9" t="s">
        <v>1130</v>
      </c>
      <c r="M1579" s="30" t="s">
        <v>84</v>
      </c>
      <c r="N1579" s="30" t="s">
        <v>154</v>
      </c>
      <c r="O1579" s="24">
        <v>221</v>
      </c>
      <c r="P1579" s="24">
        <v>39</v>
      </c>
      <c r="Q1579" s="24">
        <v>0</v>
      </c>
      <c r="R1579" s="24">
        <v>0</v>
      </c>
      <c r="S1579" s="24">
        <v>0</v>
      </c>
      <c r="T1579" s="24">
        <v>260</v>
      </c>
    </row>
    <row r="1580" spans="1:20">
      <c r="A1580" s="9" t="s">
        <v>1104</v>
      </c>
      <c r="B1580" s="30" t="s">
        <v>1105</v>
      </c>
      <c r="C1580" s="30" t="str">
        <f>CONCATENATE(VOL_VOLUMEN_SUMINISTROS[[#This Row],[Proyecto]],VOL_VOLUMEN_SUMINISTROS[[#This Row],[J]],VOL_VOLUMEN_SUMINISTROS[[#This Row],[FIN DE SEMANA]])</f>
        <v>1052-1MNO</v>
      </c>
      <c r="D1580" s="360" t="str">
        <f>CONCATENATE(VOL_VOLUMEN_SUMINISTROS[[#This Row],[Grupo]],VOL_VOLUMEN_SUMINISTROS[[#This Row],[Proyecto]],VOL_VOLUMEN_SUMINISTROS[[#This Row],[FIN DE SEMANA]])</f>
        <v>151052-1NO</v>
      </c>
      <c r="E1580" s="30" t="s">
        <v>146</v>
      </c>
      <c r="F1580" s="30" t="s">
        <v>147</v>
      </c>
      <c r="G1580" s="360">
        <v>15</v>
      </c>
      <c r="H1580" s="30">
        <v>5</v>
      </c>
      <c r="I1580" s="9" t="s">
        <v>763</v>
      </c>
      <c r="J1580" s="9" t="s">
        <v>1131</v>
      </c>
      <c r="K1580" s="30">
        <v>1</v>
      </c>
      <c r="L1580" s="9" t="s">
        <v>1132</v>
      </c>
      <c r="M1580" s="30" t="s">
        <v>84</v>
      </c>
      <c r="N1580" s="30" t="s">
        <v>151</v>
      </c>
      <c r="O1580" s="24">
        <v>157</v>
      </c>
      <c r="P1580" s="24">
        <v>279</v>
      </c>
      <c r="Q1580" s="24">
        <v>288</v>
      </c>
      <c r="R1580" s="24">
        <v>0</v>
      </c>
      <c r="S1580" s="24">
        <v>0</v>
      </c>
      <c r="T1580" s="24">
        <v>724</v>
      </c>
    </row>
    <row r="1581" spans="1:20">
      <c r="A1581" s="9" t="s">
        <v>1104</v>
      </c>
      <c r="B1581" s="30" t="s">
        <v>1105</v>
      </c>
      <c r="C1581" s="30" t="str">
        <f>CONCATENATE(VOL_VOLUMEN_SUMINISTROS[[#This Row],[Proyecto]],VOL_VOLUMEN_SUMINISTROS[[#This Row],[J]],VOL_VOLUMEN_SUMINISTROS[[#This Row],[FIN DE SEMANA]])</f>
        <v>1052-1TNO</v>
      </c>
      <c r="D1581" s="360" t="str">
        <f>CONCATENATE(VOL_VOLUMEN_SUMINISTROS[[#This Row],[Grupo]],VOL_VOLUMEN_SUMINISTROS[[#This Row],[Proyecto]],VOL_VOLUMEN_SUMINISTROS[[#This Row],[FIN DE SEMANA]])</f>
        <v>151052-1NO</v>
      </c>
      <c r="E1581" s="30" t="s">
        <v>146</v>
      </c>
      <c r="F1581" s="30" t="s">
        <v>147</v>
      </c>
      <c r="G1581" s="360">
        <v>15</v>
      </c>
      <c r="H1581" s="30">
        <v>5</v>
      </c>
      <c r="I1581" s="9" t="s">
        <v>763</v>
      </c>
      <c r="J1581" s="9" t="s">
        <v>1131</v>
      </c>
      <c r="K1581" s="30">
        <v>1</v>
      </c>
      <c r="L1581" s="9" t="s">
        <v>1132</v>
      </c>
      <c r="M1581" s="30" t="s">
        <v>84</v>
      </c>
      <c r="N1581" s="30" t="s">
        <v>154</v>
      </c>
      <c r="O1581" s="24">
        <v>230</v>
      </c>
      <c r="P1581" s="24">
        <v>203</v>
      </c>
      <c r="Q1581" s="24">
        <v>251</v>
      </c>
      <c r="R1581" s="24">
        <v>0</v>
      </c>
      <c r="S1581" s="24">
        <v>0</v>
      </c>
      <c r="T1581" s="24">
        <v>684</v>
      </c>
    </row>
    <row r="1582" spans="1:20">
      <c r="A1582" s="9" t="s">
        <v>1104</v>
      </c>
      <c r="B1582" s="30" t="s">
        <v>1105</v>
      </c>
      <c r="C1582" s="30" t="str">
        <f>CONCATENATE(VOL_VOLUMEN_SUMINISTROS[[#This Row],[Proyecto]],VOL_VOLUMEN_SUMINISTROS[[#This Row],[J]],VOL_VOLUMEN_SUMINISTROS[[#This Row],[FIN DE SEMANA]])</f>
        <v>1052-1MNO</v>
      </c>
      <c r="D1582" s="360" t="str">
        <f>CONCATENATE(VOL_VOLUMEN_SUMINISTROS[[#This Row],[Grupo]],VOL_VOLUMEN_SUMINISTROS[[#This Row],[Proyecto]],VOL_VOLUMEN_SUMINISTROS[[#This Row],[FIN DE SEMANA]])</f>
        <v>151052-1NO</v>
      </c>
      <c r="E1582" s="30" t="s">
        <v>146</v>
      </c>
      <c r="F1582" s="30" t="s">
        <v>147</v>
      </c>
      <c r="G1582" s="360">
        <v>15</v>
      </c>
      <c r="H1582" s="30">
        <v>5</v>
      </c>
      <c r="I1582" s="9" t="s">
        <v>763</v>
      </c>
      <c r="J1582" s="9" t="s">
        <v>1133</v>
      </c>
      <c r="K1582" s="30">
        <v>1</v>
      </c>
      <c r="L1582" s="9" t="s">
        <v>1134</v>
      </c>
      <c r="M1582" s="30" t="s">
        <v>84</v>
      </c>
      <c r="N1582" s="30" t="s">
        <v>151</v>
      </c>
      <c r="O1582" s="24">
        <v>198</v>
      </c>
      <c r="P1582" s="24">
        <v>294</v>
      </c>
      <c r="Q1582" s="24">
        <v>235</v>
      </c>
      <c r="R1582" s="24">
        <v>0</v>
      </c>
      <c r="S1582" s="24">
        <v>0</v>
      </c>
      <c r="T1582" s="24">
        <v>727</v>
      </c>
    </row>
    <row r="1583" spans="1:20">
      <c r="A1583" s="9" t="s">
        <v>1104</v>
      </c>
      <c r="B1583" s="30" t="s">
        <v>1105</v>
      </c>
      <c r="C1583" s="30" t="str">
        <f>CONCATENATE(VOL_VOLUMEN_SUMINISTROS[[#This Row],[Proyecto]],VOL_VOLUMEN_SUMINISTROS[[#This Row],[J]],VOL_VOLUMEN_SUMINISTROS[[#This Row],[FIN DE SEMANA]])</f>
        <v>1052-1TNO</v>
      </c>
      <c r="D1583" s="360" t="str">
        <f>CONCATENATE(VOL_VOLUMEN_SUMINISTROS[[#This Row],[Grupo]],VOL_VOLUMEN_SUMINISTROS[[#This Row],[Proyecto]],VOL_VOLUMEN_SUMINISTROS[[#This Row],[FIN DE SEMANA]])</f>
        <v>151052-1NO</v>
      </c>
      <c r="E1583" s="30" t="s">
        <v>146</v>
      </c>
      <c r="F1583" s="30" t="s">
        <v>147</v>
      </c>
      <c r="G1583" s="360">
        <v>15</v>
      </c>
      <c r="H1583" s="30">
        <v>5</v>
      </c>
      <c r="I1583" s="9" t="s">
        <v>763</v>
      </c>
      <c r="J1583" s="9" t="s">
        <v>1133</v>
      </c>
      <c r="K1583" s="30">
        <v>1</v>
      </c>
      <c r="L1583" s="9" t="s">
        <v>1134</v>
      </c>
      <c r="M1583" s="30" t="s">
        <v>84</v>
      </c>
      <c r="N1583" s="30" t="s">
        <v>154</v>
      </c>
      <c r="O1583" s="24">
        <v>131</v>
      </c>
      <c r="P1583" s="24">
        <v>230</v>
      </c>
      <c r="Q1583" s="24">
        <v>353</v>
      </c>
      <c r="R1583" s="24">
        <v>0</v>
      </c>
      <c r="S1583" s="24">
        <v>0</v>
      </c>
      <c r="T1583" s="24">
        <v>714</v>
      </c>
    </row>
    <row r="1584" spans="1:20">
      <c r="A1584" s="9" t="s">
        <v>1104</v>
      </c>
      <c r="B1584" s="30" t="s">
        <v>1105</v>
      </c>
      <c r="C1584" s="30" t="str">
        <f>CONCATENATE(VOL_VOLUMEN_SUMINISTROS[[#This Row],[Proyecto]],VOL_VOLUMEN_SUMINISTROS[[#This Row],[J]],VOL_VOLUMEN_SUMINISTROS[[#This Row],[FIN DE SEMANA]])</f>
        <v>1052-1MNO</v>
      </c>
      <c r="D1584" s="360" t="str">
        <f>CONCATENATE(VOL_VOLUMEN_SUMINISTROS[[#This Row],[Grupo]],VOL_VOLUMEN_SUMINISTROS[[#This Row],[Proyecto]],VOL_VOLUMEN_SUMINISTROS[[#This Row],[FIN DE SEMANA]])</f>
        <v>151052-1NO</v>
      </c>
      <c r="E1584" s="30" t="s">
        <v>146</v>
      </c>
      <c r="F1584" s="30" t="s">
        <v>147</v>
      </c>
      <c r="G1584" s="360">
        <v>15</v>
      </c>
      <c r="H1584" s="30">
        <v>5</v>
      </c>
      <c r="I1584" s="9" t="s">
        <v>763</v>
      </c>
      <c r="J1584" s="9" t="s">
        <v>1135</v>
      </c>
      <c r="K1584" s="30">
        <v>1</v>
      </c>
      <c r="L1584" s="9" t="s">
        <v>1136</v>
      </c>
      <c r="M1584" s="30" t="s">
        <v>84</v>
      </c>
      <c r="N1584" s="30" t="s">
        <v>151</v>
      </c>
      <c r="O1584" s="24">
        <v>0</v>
      </c>
      <c r="P1584" s="24">
        <v>153</v>
      </c>
      <c r="Q1584" s="24">
        <v>359</v>
      </c>
      <c r="R1584" s="24">
        <v>0</v>
      </c>
      <c r="S1584" s="24">
        <v>0</v>
      </c>
      <c r="T1584" s="24">
        <v>512</v>
      </c>
    </row>
    <row r="1585" spans="1:20">
      <c r="A1585" s="9" t="s">
        <v>1104</v>
      </c>
      <c r="B1585" s="30" t="s">
        <v>1105</v>
      </c>
      <c r="C1585" s="30" t="str">
        <f>CONCATENATE(VOL_VOLUMEN_SUMINISTROS[[#This Row],[Proyecto]],VOL_VOLUMEN_SUMINISTROS[[#This Row],[J]],VOL_VOLUMEN_SUMINISTROS[[#This Row],[FIN DE SEMANA]])</f>
        <v>1052-1TNO</v>
      </c>
      <c r="D1585" s="360" t="str">
        <f>CONCATENATE(VOL_VOLUMEN_SUMINISTROS[[#This Row],[Grupo]],VOL_VOLUMEN_SUMINISTROS[[#This Row],[Proyecto]],VOL_VOLUMEN_SUMINISTROS[[#This Row],[FIN DE SEMANA]])</f>
        <v>151052-1NO</v>
      </c>
      <c r="E1585" s="30" t="s">
        <v>146</v>
      </c>
      <c r="F1585" s="30" t="s">
        <v>147</v>
      </c>
      <c r="G1585" s="360">
        <v>15</v>
      </c>
      <c r="H1585" s="30">
        <v>5</v>
      </c>
      <c r="I1585" s="9" t="s">
        <v>763</v>
      </c>
      <c r="J1585" s="9" t="s">
        <v>1135</v>
      </c>
      <c r="K1585" s="30">
        <v>1</v>
      </c>
      <c r="L1585" s="9" t="s">
        <v>1136</v>
      </c>
      <c r="M1585" s="30" t="s">
        <v>84</v>
      </c>
      <c r="N1585" s="30" t="s">
        <v>154</v>
      </c>
      <c r="O1585" s="24">
        <v>0</v>
      </c>
      <c r="P1585" s="24">
        <v>144</v>
      </c>
      <c r="Q1585" s="24">
        <v>170</v>
      </c>
      <c r="R1585" s="24">
        <v>0</v>
      </c>
      <c r="S1585" s="24">
        <v>0</v>
      </c>
      <c r="T1585" s="24">
        <v>314</v>
      </c>
    </row>
    <row r="1586" spans="1:20">
      <c r="A1586" s="9" t="s">
        <v>1104</v>
      </c>
      <c r="B1586" s="30" t="s">
        <v>1105</v>
      </c>
      <c r="C1586" s="30" t="str">
        <f>CONCATENATE(VOL_VOLUMEN_SUMINISTROS[[#This Row],[Proyecto]],VOL_VOLUMEN_SUMINISTROS[[#This Row],[J]],VOL_VOLUMEN_SUMINISTROS[[#This Row],[FIN DE SEMANA]])</f>
        <v>1052-1MNO</v>
      </c>
      <c r="D1586" s="360" t="str">
        <f>CONCATENATE(VOL_VOLUMEN_SUMINISTROS[[#This Row],[Grupo]],VOL_VOLUMEN_SUMINISTROS[[#This Row],[Proyecto]],VOL_VOLUMEN_SUMINISTROS[[#This Row],[FIN DE SEMANA]])</f>
        <v>151052-1NO</v>
      </c>
      <c r="E1586" s="30" t="s">
        <v>146</v>
      </c>
      <c r="F1586" s="30" t="s">
        <v>147</v>
      </c>
      <c r="G1586" s="360">
        <v>15</v>
      </c>
      <c r="H1586" s="30">
        <v>5</v>
      </c>
      <c r="I1586" s="9" t="s">
        <v>763</v>
      </c>
      <c r="J1586" s="9" t="s">
        <v>1135</v>
      </c>
      <c r="K1586" s="30">
        <v>2</v>
      </c>
      <c r="L1586" s="9" t="s">
        <v>1137</v>
      </c>
      <c r="M1586" s="30" t="s">
        <v>84</v>
      </c>
      <c r="N1586" s="30" t="s">
        <v>151</v>
      </c>
      <c r="O1586" s="24">
        <v>183</v>
      </c>
      <c r="P1586" s="24">
        <v>125</v>
      </c>
      <c r="Q1586" s="24">
        <v>20</v>
      </c>
      <c r="R1586" s="24">
        <v>0</v>
      </c>
      <c r="S1586" s="24">
        <v>0</v>
      </c>
      <c r="T1586" s="24">
        <v>328</v>
      </c>
    </row>
    <row r="1587" spans="1:20">
      <c r="A1587" s="9" t="s">
        <v>1104</v>
      </c>
      <c r="B1587" s="30" t="s">
        <v>1105</v>
      </c>
      <c r="C1587" s="30" t="str">
        <f>CONCATENATE(VOL_VOLUMEN_SUMINISTROS[[#This Row],[Proyecto]],VOL_VOLUMEN_SUMINISTROS[[#This Row],[J]],VOL_VOLUMEN_SUMINISTROS[[#This Row],[FIN DE SEMANA]])</f>
        <v>1052-1TNO</v>
      </c>
      <c r="D1587" s="360" t="str">
        <f>CONCATENATE(VOL_VOLUMEN_SUMINISTROS[[#This Row],[Grupo]],VOL_VOLUMEN_SUMINISTROS[[#This Row],[Proyecto]],VOL_VOLUMEN_SUMINISTROS[[#This Row],[FIN DE SEMANA]])</f>
        <v>151052-1NO</v>
      </c>
      <c r="E1587" s="30" t="s">
        <v>146</v>
      </c>
      <c r="F1587" s="30" t="s">
        <v>147</v>
      </c>
      <c r="G1587" s="360">
        <v>15</v>
      </c>
      <c r="H1587" s="30">
        <v>5</v>
      </c>
      <c r="I1587" s="9" t="s">
        <v>763</v>
      </c>
      <c r="J1587" s="9" t="s">
        <v>1135</v>
      </c>
      <c r="K1587" s="30">
        <v>2</v>
      </c>
      <c r="L1587" s="9" t="s">
        <v>1137</v>
      </c>
      <c r="M1587" s="30" t="s">
        <v>84</v>
      </c>
      <c r="N1587" s="30" t="s">
        <v>154</v>
      </c>
      <c r="O1587" s="24">
        <v>157</v>
      </c>
      <c r="P1587" s="24">
        <v>128</v>
      </c>
      <c r="Q1587" s="24">
        <v>26</v>
      </c>
      <c r="R1587" s="24">
        <v>0</v>
      </c>
      <c r="S1587" s="24">
        <v>0</v>
      </c>
      <c r="T1587" s="24">
        <v>311</v>
      </c>
    </row>
    <row r="1588" spans="1:20">
      <c r="A1588" s="9" t="s">
        <v>1104</v>
      </c>
      <c r="B1588" s="30" t="s">
        <v>1105</v>
      </c>
      <c r="C1588" s="30" t="str">
        <f>CONCATENATE(VOL_VOLUMEN_SUMINISTROS[[#This Row],[Proyecto]],VOL_VOLUMEN_SUMINISTROS[[#This Row],[J]],VOL_VOLUMEN_SUMINISTROS[[#This Row],[FIN DE SEMANA]])</f>
        <v>1052-1MNO</v>
      </c>
      <c r="D1588" s="360" t="str">
        <f>CONCATENATE(VOL_VOLUMEN_SUMINISTROS[[#This Row],[Grupo]],VOL_VOLUMEN_SUMINISTROS[[#This Row],[Proyecto]],VOL_VOLUMEN_SUMINISTROS[[#This Row],[FIN DE SEMANA]])</f>
        <v>151052-1NO</v>
      </c>
      <c r="E1588" s="30" t="s">
        <v>146</v>
      </c>
      <c r="F1588" s="30" t="s">
        <v>147</v>
      </c>
      <c r="G1588" s="360">
        <v>15</v>
      </c>
      <c r="H1588" s="30">
        <v>5</v>
      </c>
      <c r="I1588" s="9" t="s">
        <v>763</v>
      </c>
      <c r="J1588" s="9" t="s">
        <v>1138</v>
      </c>
      <c r="K1588" s="30">
        <v>2</v>
      </c>
      <c r="L1588" s="9" t="s">
        <v>1139</v>
      </c>
      <c r="M1588" s="30" t="s">
        <v>84</v>
      </c>
      <c r="N1588" s="30" t="s">
        <v>151</v>
      </c>
      <c r="O1588" s="24">
        <v>267</v>
      </c>
      <c r="P1588" s="24">
        <v>201</v>
      </c>
      <c r="Q1588" s="24">
        <v>37</v>
      </c>
      <c r="R1588" s="24">
        <v>0</v>
      </c>
      <c r="S1588" s="24">
        <v>0</v>
      </c>
      <c r="T1588" s="24">
        <v>505</v>
      </c>
    </row>
    <row r="1589" spans="1:20">
      <c r="A1589" s="9" t="s">
        <v>1104</v>
      </c>
      <c r="B1589" s="30" t="s">
        <v>1105</v>
      </c>
      <c r="C1589" s="30" t="str">
        <f>CONCATENATE(VOL_VOLUMEN_SUMINISTROS[[#This Row],[Proyecto]],VOL_VOLUMEN_SUMINISTROS[[#This Row],[J]],VOL_VOLUMEN_SUMINISTROS[[#This Row],[FIN DE SEMANA]])</f>
        <v>1052-1TNO</v>
      </c>
      <c r="D1589" s="360" t="str">
        <f>CONCATENATE(VOL_VOLUMEN_SUMINISTROS[[#This Row],[Grupo]],VOL_VOLUMEN_SUMINISTROS[[#This Row],[Proyecto]],VOL_VOLUMEN_SUMINISTROS[[#This Row],[FIN DE SEMANA]])</f>
        <v>151052-1NO</v>
      </c>
      <c r="E1589" s="30" t="s">
        <v>146</v>
      </c>
      <c r="F1589" s="30" t="s">
        <v>147</v>
      </c>
      <c r="G1589" s="360">
        <v>15</v>
      </c>
      <c r="H1589" s="30">
        <v>5</v>
      </c>
      <c r="I1589" s="9" t="s">
        <v>763</v>
      </c>
      <c r="J1589" s="9" t="s">
        <v>1138</v>
      </c>
      <c r="K1589" s="30">
        <v>2</v>
      </c>
      <c r="L1589" s="9" t="s">
        <v>1139</v>
      </c>
      <c r="M1589" s="30" t="s">
        <v>84</v>
      </c>
      <c r="N1589" s="30" t="s">
        <v>154</v>
      </c>
      <c r="O1589" s="24">
        <v>272</v>
      </c>
      <c r="P1589" s="24">
        <v>209</v>
      </c>
      <c r="Q1589" s="24">
        <v>39</v>
      </c>
      <c r="R1589" s="24">
        <v>0</v>
      </c>
      <c r="S1589" s="24">
        <v>0</v>
      </c>
      <c r="T1589" s="24">
        <v>520</v>
      </c>
    </row>
    <row r="1590" spans="1:20">
      <c r="A1590" s="9" t="s">
        <v>1104</v>
      </c>
      <c r="B1590" s="30" t="s">
        <v>1105</v>
      </c>
      <c r="C1590" s="30" t="str">
        <f>CONCATENATE(VOL_VOLUMEN_SUMINISTROS[[#This Row],[Proyecto]],VOL_VOLUMEN_SUMINISTROS[[#This Row],[J]],VOL_VOLUMEN_SUMINISTROS[[#This Row],[FIN DE SEMANA]])</f>
        <v>1052-1MNO</v>
      </c>
      <c r="D1590" s="360" t="str">
        <f>CONCATENATE(VOL_VOLUMEN_SUMINISTROS[[#This Row],[Grupo]],VOL_VOLUMEN_SUMINISTROS[[#This Row],[Proyecto]],VOL_VOLUMEN_SUMINISTROS[[#This Row],[FIN DE SEMANA]])</f>
        <v>151052-1NO</v>
      </c>
      <c r="E1590" s="30" t="s">
        <v>146</v>
      </c>
      <c r="F1590" s="30" t="s">
        <v>147</v>
      </c>
      <c r="G1590" s="360">
        <v>15</v>
      </c>
      <c r="H1590" s="30">
        <v>5</v>
      </c>
      <c r="I1590" s="9" t="s">
        <v>763</v>
      </c>
      <c r="J1590" s="9" t="s">
        <v>1138</v>
      </c>
      <c r="K1590" s="30">
        <v>3</v>
      </c>
      <c r="L1590" s="9" t="s">
        <v>1140</v>
      </c>
      <c r="M1590" s="30" t="s">
        <v>84</v>
      </c>
      <c r="N1590" s="30" t="s">
        <v>151</v>
      </c>
      <c r="O1590" s="24">
        <v>98</v>
      </c>
      <c r="P1590" s="24">
        <v>82</v>
      </c>
      <c r="Q1590" s="24">
        <v>16</v>
      </c>
      <c r="R1590" s="24">
        <v>0</v>
      </c>
      <c r="S1590" s="24">
        <v>0</v>
      </c>
      <c r="T1590" s="24">
        <v>196</v>
      </c>
    </row>
    <row r="1591" spans="1:20">
      <c r="A1591" s="9" t="s">
        <v>1104</v>
      </c>
      <c r="B1591" s="30" t="s">
        <v>1105</v>
      </c>
      <c r="C1591" s="30" t="str">
        <f>CONCATENATE(VOL_VOLUMEN_SUMINISTROS[[#This Row],[Proyecto]],VOL_VOLUMEN_SUMINISTROS[[#This Row],[J]],VOL_VOLUMEN_SUMINISTROS[[#This Row],[FIN DE SEMANA]])</f>
        <v>1052-1TNO</v>
      </c>
      <c r="D1591" s="360" t="str">
        <f>CONCATENATE(VOL_VOLUMEN_SUMINISTROS[[#This Row],[Grupo]],VOL_VOLUMEN_SUMINISTROS[[#This Row],[Proyecto]],VOL_VOLUMEN_SUMINISTROS[[#This Row],[FIN DE SEMANA]])</f>
        <v>151052-1NO</v>
      </c>
      <c r="E1591" s="30" t="s">
        <v>146</v>
      </c>
      <c r="F1591" s="30" t="s">
        <v>147</v>
      </c>
      <c r="G1591" s="360">
        <v>15</v>
      </c>
      <c r="H1591" s="30">
        <v>5</v>
      </c>
      <c r="I1591" s="9" t="s">
        <v>763</v>
      </c>
      <c r="J1591" s="9" t="s">
        <v>1138</v>
      </c>
      <c r="K1591" s="30">
        <v>3</v>
      </c>
      <c r="L1591" s="9" t="s">
        <v>1140</v>
      </c>
      <c r="M1591" s="30" t="s">
        <v>84</v>
      </c>
      <c r="N1591" s="30" t="s">
        <v>154</v>
      </c>
      <c r="O1591" s="24">
        <v>98</v>
      </c>
      <c r="P1591" s="24">
        <v>85</v>
      </c>
      <c r="Q1591" s="24">
        <v>17</v>
      </c>
      <c r="R1591" s="24">
        <v>0</v>
      </c>
      <c r="S1591" s="24">
        <v>0</v>
      </c>
      <c r="T1591" s="24">
        <v>200</v>
      </c>
    </row>
    <row r="1592" spans="1:20">
      <c r="A1592" s="9" t="s">
        <v>1104</v>
      </c>
      <c r="B1592" s="30" t="s">
        <v>1105</v>
      </c>
      <c r="C1592" s="30" t="str">
        <f>CONCATENATE(VOL_VOLUMEN_SUMINISTROS[[#This Row],[Proyecto]],VOL_VOLUMEN_SUMINISTROS[[#This Row],[J]],VOL_VOLUMEN_SUMINISTROS[[#This Row],[FIN DE SEMANA]])</f>
        <v>1052-1MNO</v>
      </c>
      <c r="D1592" s="360" t="str">
        <f>CONCATENATE(VOL_VOLUMEN_SUMINISTROS[[#This Row],[Grupo]],VOL_VOLUMEN_SUMINISTROS[[#This Row],[Proyecto]],VOL_VOLUMEN_SUMINISTROS[[#This Row],[FIN DE SEMANA]])</f>
        <v>151052-1NO</v>
      </c>
      <c r="E1592" s="30" t="s">
        <v>146</v>
      </c>
      <c r="F1592" s="30" t="s">
        <v>147</v>
      </c>
      <c r="G1592" s="360">
        <v>15</v>
      </c>
      <c r="H1592" s="30">
        <v>5</v>
      </c>
      <c r="I1592" s="9" t="s">
        <v>763</v>
      </c>
      <c r="J1592" s="9" t="s">
        <v>1141</v>
      </c>
      <c r="K1592" s="30">
        <v>1</v>
      </c>
      <c r="L1592" s="9" t="s">
        <v>1142</v>
      </c>
      <c r="M1592" s="30" t="s">
        <v>84</v>
      </c>
      <c r="N1592" s="30" t="s">
        <v>151</v>
      </c>
      <c r="O1592" s="24">
        <v>9</v>
      </c>
      <c r="P1592" s="24">
        <v>10</v>
      </c>
      <c r="Q1592" s="24">
        <v>2</v>
      </c>
      <c r="R1592" s="24">
        <v>0</v>
      </c>
      <c r="S1592" s="24">
        <v>0</v>
      </c>
      <c r="T1592" s="24">
        <v>21</v>
      </c>
    </row>
    <row r="1593" spans="1:20">
      <c r="A1593" s="9" t="s">
        <v>1104</v>
      </c>
      <c r="B1593" s="30" t="s">
        <v>1105</v>
      </c>
      <c r="C1593" s="30" t="str">
        <f>CONCATENATE(VOL_VOLUMEN_SUMINISTROS[[#This Row],[Proyecto]],VOL_VOLUMEN_SUMINISTROS[[#This Row],[J]],VOL_VOLUMEN_SUMINISTROS[[#This Row],[FIN DE SEMANA]])</f>
        <v>1052-1MNO</v>
      </c>
      <c r="D1593" s="360" t="str">
        <f>CONCATENATE(VOL_VOLUMEN_SUMINISTROS[[#This Row],[Grupo]],VOL_VOLUMEN_SUMINISTROS[[#This Row],[Proyecto]],VOL_VOLUMEN_SUMINISTROS[[#This Row],[FIN DE SEMANA]])</f>
        <v>151052-1NO</v>
      </c>
      <c r="E1593" s="30" t="s">
        <v>146</v>
      </c>
      <c r="F1593" s="30" t="s">
        <v>147</v>
      </c>
      <c r="G1593" s="360">
        <v>15</v>
      </c>
      <c r="H1593" s="30">
        <v>5</v>
      </c>
      <c r="I1593" s="9" t="s">
        <v>763</v>
      </c>
      <c r="J1593" s="9" t="s">
        <v>1143</v>
      </c>
      <c r="K1593" s="30">
        <v>1</v>
      </c>
      <c r="L1593" s="9" t="s">
        <v>1144</v>
      </c>
      <c r="M1593" s="30" t="s">
        <v>84</v>
      </c>
      <c r="N1593" s="30" t="s">
        <v>151</v>
      </c>
      <c r="O1593" s="24">
        <v>53</v>
      </c>
      <c r="P1593" s="24">
        <v>83</v>
      </c>
      <c r="Q1593" s="24">
        <v>22</v>
      </c>
      <c r="R1593" s="24">
        <v>0</v>
      </c>
      <c r="S1593" s="24">
        <v>0</v>
      </c>
      <c r="T1593" s="24">
        <v>158</v>
      </c>
    </row>
    <row r="1594" spans="1:20">
      <c r="A1594" s="9" t="s">
        <v>1104</v>
      </c>
      <c r="B1594" s="30" t="s">
        <v>1105</v>
      </c>
      <c r="C1594" s="30" t="str">
        <f>CONCATENATE(VOL_VOLUMEN_SUMINISTROS[[#This Row],[Proyecto]],VOL_VOLUMEN_SUMINISTROS[[#This Row],[J]],VOL_VOLUMEN_SUMINISTROS[[#This Row],[FIN DE SEMANA]])</f>
        <v>1052-1MNO</v>
      </c>
      <c r="D1594" s="360" t="str">
        <f>CONCATENATE(VOL_VOLUMEN_SUMINISTROS[[#This Row],[Grupo]],VOL_VOLUMEN_SUMINISTROS[[#This Row],[Proyecto]],VOL_VOLUMEN_SUMINISTROS[[#This Row],[FIN DE SEMANA]])</f>
        <v>151052-1NO</v>
      </c>
      <c r="E1594" s="30" t="s">
        <v>146</v>
      </c>
      <c r="F1594" s="30" t="s">
        <v>147</v>
      </c>
      <c r="G1594" s="360">
        <v>15</v>
      </c>
      <c r="H1594" s="30">
        <v>5</v>
      </c>
      <c r="I1594" s="9" t="s">
        <v>763</v>
      </c>
      <c r="J1594" s="9" t="s">
        <v>1145</v>
      </c>
      <c r="K1594" s="30">
        <v>1</v>
      </c>
      <c r="L1594" s="9" t="s">
        <v>1146</v>
      </c>
      <c r="M1594" s="30" t="s">
        <v>84</v>
      </c>
      <c r="N1594" s="30" t="s">
        <v>151</v>
      </c>
      <c r="O1594" s="24">
        <v>8</v>
      </c>
      <c r="P1594" s="24">
        <v>8</v>
      </c>
      <c r="Q1594" s="24">
        <v>2</v>
      </c>
      <c r="R1594" s="24">
        <v>0</v>
      </c>
      <c r="S1594" s="24">
        <v>0</v>
      </c>
      <c r="T1594" s="24">
        <v>18</v>
      </c>
    </row>
    <row r="1595" spans="1:20">
      <c r="A1595" s="9" t="s">
        <v>1104</v>
      </c>
      <c r="B1595" s="30" t="s">
        <v>1105</v>
      </c>
      <c r="C1595" s="30" t="str">
        <f>CONCATENATE(VOL_VOLUMEN_SUMINISTROS[[#This Row],[Proyecto]],VOL_VOLUMEN_SUMINISTROS[[#This Row],[J]],VOL_VOLUMEN_SUMINISTROS[[#This Row],[FIN DE SEMANA]])</f>
        <v>1052-1MNO</v>
      </c>
      <c r="D1595" s="360" t="str">
        <f>CONCATENATE(VOL_VOLUMEN_SUMINISTROS[[#This Row],[Grupo]],VOL_VOLUMEN_SUMINISTROS[[#This Row],[Proyecto]],VOL_VOLUMEN_SUMINISTROS[[#This Row],[FIN DE SEMANA]])</f>
        <v>151052-1NO</v>
      </c>
      <c r="E1595" s="30" t="s">
        <v>146</v>
      </c>
      <c r="F1595" s="30" t="s">
        <v>147</v>
      </c>
      <c r="G1595" s="360">
        <v>15</v>
      </c>
      <c r="H1595" s="30">
        <v>5</v>
      </c>
      <c r="I1595" s="9" t="s">
        <v>763</v>
      </c>
      <c r="J1595" s="9" t="s">
        <v>1147</v>
      </c>
      <c r="K1595" s="30">
        <v>1</v>
      </c>
      <c r="L1595" s="9" t="s">
        <v>1148</v>
      </c>
      <c r="M1595" s="30" t="s">
        <v>84</v>
      </c>
      <c r="N1595" s="30" t="s">
        <v>151</v>
      </c>
      <c r="O1595" s="24">
        <v>19</v>
      </c>
      <c r="P1595" s="24">
        <v>6</v>
      </c>
      <c r="Q1595" s="24">
        <v>1</v>
      </c>
      <c r="R1595" s="24">
        <v>0</v>
      </c>
      <c r="S1595" s="24">
        <v>0</v>
      </c>
      <c r="T1595" s="24">
        <v>26</v>
      </c>
    </row>
    <row r="1596" spans="1:20">
      <c r="A1596" s="9" t="s">
        <v>1104</v>
      </c>
      <c r="B1596" s="30" t="s">
        <v>1105</v>
      </c>
      <c r="C1596" s="30" t="str">
        <f>CONCATENATE(VOL_VOLUMEN_SUMINISTROS[[#This Row],[Proyecto]],VOL_VOLUMEN_SUMINISTROS[[#This Row],[J]],VOL_VOLUMEN_SUMINISTROS[[#This Row],[FIN DE SEMANA]])</f>
        <v>1052-1MNO</v>
      </c>
      <c r="D1596" s="360" t="str">
        <f>CONCATENATE(VOL_VOLUMEN_SUMINISTROS[[#This Row],[Grupo]],VOL_VOLUMEN_SUMINISTROS[[#This Row],[Proyecto]],VOL_VOLUMEN_SUMINISTROS[[#This Row],[FIN DE SEMANA]])</f>
        <v>151052-1NO</v>
      </c>
      <c r="E1596" s="30" t="s">
        <v>146</v>
      </c>
      <c r="F1596" s="30" t="s">
        <v>147</v>
      </c>
      <c r="G1596" s="360">
        <v>15</v>
      </c>
      <c r="H1596" s="30">
        <v>5</v>
      </c>
      <c r="I1596" s="9" t="s">
        <v>763</v>
      </c>
      <c r="J1596" s="9" t="s">
        <v>1149</v>
      </c>
      <c r="K1596" s="30">
        <v>1</v>
      </c>
      <c r="L1596" s="9" t="s">
        <v>1150</v>
      </c>
      <c r="M1596" s="30" t="s">
        <v>84</v>
      </c>
      <c r="N1596" s="30" t="s">
        <v>151</v>
      </c>
      <c r="O1596" s="24">
        <v>32</v>
      </c>
      <c r="P1596" s="24">
        <v>20</v>
      </c>
      <c r="Q1596" s="24">
        <v>4</v>
      </c>
      <c r="R1596" s="24">
        <v>0</v>
      </c>
      <c r="S1596" s="24">
        <v>0</v>
      </c>
      <c r="T1596" s="24">
        <v>56</v>
      </c>
    </row>
    <row r="1597" spans="1:20">
      <c r="A1597" s="9" t="s">
        <v>1104</v>
      </c>
      <c r="B1597" s="30" t="s">
        <v>1105</v>
      </c>
      <c r="C1597" s="30" t="str">
        <f>CONCATENATE(VOL_VOLUMEN_SUMINISTROS[[#This Row],[Proyecto]],VOL_VOLUMEN_SUMINISTROS[[#This Row],[J]],VOL_VOLUMEN_SUMINISTROS[[#This Row],[FIN DE SEMANA]])</f>
        <v>1052-1MNO</v>
      </c>
      <c r="D1597" s="360" t="str">
        <f>CONCATENATE(VOL_VOLUMEN_SUMINISTROS[[#This Row],[Grupo]],VOL_VOLUMEN_SUMINISTROS[[#This Row],[Proyecto]],VOL_VOLUMEN_SUMINISTROS[[#This Row],[FIN DE SEMANA]])</f>
        <v>151052-1NO</v>
      </c>
      <c r="E1597" s="30" t="s">
        <v>146</v>
      </c>
      <c r="F1597" s="30" t="s">
        <v>147</v>
      </c>
      <c r="G1597" s="360">
        <v>15</v>
      </c>
      <c r="H1597" s="30">
        <v>5</v>
      </c>
      <c r="I1597" s="9" t="s">
        <v>763</v>
      </c>
      <c r="J1597" s="9" t="s">
        <v>1151</v>
      </c>
      <c r="K1597" s="30">
        <v>1</v>
      </c>
      <c r="L1597" s="9" t="s">
        <v>1152</v>
      </c>
      <c r="M1597" s="30" t="s">
        <v>84</v>
      </c>
      <c r="N1597" s="30" t="s">
        <v>151</v>
      </c>
      <c r="O1597" s="24">
        <v>6</v>
      </c>
      <c r="P1597" s="24">
        <v>5</v>
      </c>
      <c r="Q1597" s="24">
        <v>1</v>
      </c>
      <c r="R1597" s="24">
        <v>0</v>
      </c>
      <c r="S1597" s="24">
        <v>0</v>
      </c>
      <c r="T1597" s="24">
        <v>12</v>
      </c>
    </row>
    <row r="1598" spans="1:20">
      <c r="A1598" s="9" t="s">
        <v>1104</v>
      </c>
      <c r="B1598" s="30" t="s">
        <v>1105</v>
      </c>
      <c r="C1598" s="30" t="str">
        <f>CONCATENATE(VOL_VOLUMEN_SUMINISTROS[[#This Row],[Proyecto]],VOL_VOLUMEN_SUMINISTROS[[#This Row],[J]],VOL_VOLUMEN_SUMINISTROS[[#This Row],[FIN DE SEMANA]])</f>
        <v>1052-1MNO</v>
      </c>
      <c r="D1598" s="360" t="str">
        <f>CONCATENATE(VOL_VOLUMEN_SUMINISTROS[[#This Row],[Grupo]],VOL_VOLUMEN_SUMINISTROS[[#This Row],[Proyecto]],VOL_VOLUMEN_SUMINISTROS[[#This Row],[FIN DE SEMANA]])</f>
        <v>151052-1NO</v>
      </c>
      <c r="E1598" s="30" t="s">
        <v>146</v>
      </c>
      <c r="F1598" s="30" t="s">
        <v>147</v>
      </c>
      <c r="G1598" s="360">
        <v>15</v>
      </c>
      <c r="H1598" s="30">
        <v>5</v>
      </c>
      <c r="I1598" s="9" t="s">
        <v>763</v>
      </c>
      <c r="J1598" s="9" t="s">
        <v>1153</v>
      </c>
      <c r="K1598" s="30">
        <v>1</v>
      </c>
      <c r="L1598" s="9" t="s">
        <v>1154</v>
      </c>
      <c r="M1598" s="30" t="s">
        <v>84</v>
      </c>
      <c r="N1598" s="30" t="s">
        <v>151</v>
      </c>
      <c r="O1598" s="24">
        <v>6</v>
      </c>
      <c r="P1598" s="24">
        <v>9</v>
      </c>
      <c r="Q1598" s="24">
        <v>2</v>
      </c>
      <c r="R1598" s="24">
        <v>0</v>
      </c>
      <c r="S1598" s="24">
        <v>0</v>
      </c>
      <c r="T1598" s="24">
        <v>17</v>
      </c>
    </row>
    <row r="1599" spans="1:20">
      <c r="A1599" s="9" t="s">
        <v>1104</v>
      </c>
      <c r="B1599" s="30" t="s">
        <v>1105</v>
      </c>
      <c r="C1599" s="30" t="str">
        <f>CONCATENATE(VOL_VOLUMEN_SUMINISTROS[[#This Row],[Proyecto]],VOL_VOLUMEN_SUMINISTROS[[#This Row],[J]],VOL_VOLUMEN_SUMINISTROS[[#This Row],[FIN DE SEMANA]])</f>
        <v>1052-1MNO</v>
      </c>
      <c r="D1599" s="360" t="str">
        <f>CONCATENATE(VOL_VOLUMEN_SUMINISTROS[[#This Row],[Grupo]],VOL_VOLUMEN_SUMINISTROS[[#This Row],[Proyecto]],VOL_VOLUMEN_SUMINISTROS[[#This Row],[FIN DE SEMANA]])</f>
        <v>151052-1NO</v>
      </c>
      <c r="E1599" s="30" t="s">
        <v>146</v>
      </c>
      <c r="F1599" s="30" t="s">
        <v>147</v>
      </c>
      <c r="G1599" s="360">
        <v>15</v>
      </c>
      <c r="H1599" s="30">
        <v>5</v>
      </c>
      <c r="I1599" s="9" t="s">
        <v>763</v>
      </c>
      <c r="J1599" s="9" t="s">
        <v>1155</v>
      </c>
      <c r="K1599" s="30">
        <v>1</v>
      </c>
      <c r="L1599" s="9" t="s">
        <v>1156</v>
      </c>
      <c r="M1599" s="30" t="s">
        <v>84</v>
      </c>
      <c r="N1599" s="30" t="s">
        <v>151</v>
      </c>
      <c r="O1599" s="24">
        <v>22</v>
      </c>
      <c r="P1599" s="24">
        <v>13</v>
      </c>
      <c r="Q1599" s="24">
        <v>3</v>
      </c>
      <c r="R1599" s="24">
        <v>0</v>
      </c>
      <c r="S1599" s="24">
        <v>0</v>
      </c>
      <c r="T1599" s="24">
        <v>38</v>
      </c>
    </row>
    <row r="1600" spans="1:20">
      <c r="A1600" s="9" t="s">
        <v>1104</v>
      </c>
      <c r="B1600" s="30" t="s">
        <v>1105</v>
      </c>
      <c r="C1600" s="30" t="str">
        <f>CONCATENATE(VOL_VOLUMEN_SUMINISTROS[[#This Row],[Proyecto]],VOL_VOLUMEN_SUMINISTROS[[#This Row],[J]],VOL_VOLUMEN_SUMINISTROS[[#This Row],[FIN DE SEMANA]])</f>
        <v>1052-1MNO</v>
      </c>
      <c r="D1600" s="360" t="str">
        <f>CONCATENATE(VOL_VOLUMEN_SUMINISTROS[[#This Row],[Grupo]],VOL_VOLUMEN_SUMINISTROS[[#This Row],[Proyecto]],VOL_VOLUMEN_SUMINISTROS[[#This Row],[FIN DE SEMANA]])</f>
        <v>151052-1NO</v>
      </c>
      <c r="E1600" s="30" t="s">
        <v>146</v>
      </c>
      <c r="F1600" s="30" t="s">
        <v>147</v>
      </c>
      <c r="G1600" s="360">
        <v>15</v>
      </c>
      <c r="H1600" s="30">
        <v>5</v>
      </c>
      <c r="I1600" s="9" t="s">
        <v>763</v>
      </c>
      <c r="J1600" s="9" t="s">
        <v>1157</v>
      </c>
      <c r="K1600" s="30">
        <v>1</v>
      </c>
      <c r="L1600" s="9" t="s">
        <v>1158</v>
      </c>
      <c r="M1600" s="30" t="s">
        <v>84</v>
      </c>
      <c r="N1600" s="30" t="s">
        <v>151</v>
      </c>
      <c r="O1600" s="24">
        <v>18</v>
      </c>
      <c r="P1600" s="24">
        <v>16</v>
      </c>
      <c r="Q1600" s="24">
        <v>4</v>
      </c>
      <c r="R1600" s="24">
        <v>0</v>
      </c>
      <c r="S1600" s="24">
        <v>0</v>
      </c>
      <c r="T1600" s="24">
        <v>38</v>
      </c>
    </row>
    <row r="1601" spans="1:20">
      <c r="A1601" s="9" t="s">
        <v>1104</v>
      </c>
      <c r="B1601" s="30" t="s">
        <v>1105</v>
      </c>
      <c r="C1601" s="30" t="str">
        <f>CONCATENATE(VOL_VOLUMEN_SUMINISTROS[[#This Row],[Proyecto]],VOL_VOLUMEN_SUMINISTROS[[#This Row],[J]],VOL_VOLUMEN_SUMINISTROS[[#This Row],[FIN DE SEMANA]])</f>
        <v>1052-1MNO</v>
      </c>
      <c r="D1601" s="360" t="str">
        <f>CONCATENATE(VOL_VOLUMEN_SUMINISTROS[[#This Row],[Grupo]],VOL_VOLUMEN_SUMINISTROS[[#This Row],[Proyecto]],VOL_VOLUMEN_SUMINISTROS[[#This Row],[FIN DE SEMANA]])</f>
        <v>151052-1NO</v>
      </c>
      <c r="E1601" s="30" t="s">
        <v>146</v>
      </c>
      <c r="F1601" s="30" t="s">
        <v>147</v>
      </c>
      <c r="G1601" s="360">
        <v>15</v>
      </c>
      <c r="H1601" s="30">
        <v>5</v>
      </c>
      <c r="I1601" s="9" t="s">
        <v>763</v>
      </c>
      <c r="J1601" s="9" t="s">
        <v>1159</v>
      </c>
      <c r="K1601" s="30">
        <v>1</v>
      </c>
      <c r="L1601" s="9" t="s">
        <v>1160</v>
      </c>
      <c r="M1601" s="30" t="s">
        <v>84</v>
      </c>
      <c r="N1601" s="30" t="s">
        <v>151</v>
      </c>
      <c r="O1601" s="24">
        <v>12</v>
      </c>
      <c r="P1601" s="24">
        <v>12</v>
      </c>
      <c r="Q1601" s="24">
        <v>3</v>
      </c>
      <c r="R1601" s="24">
        <v>0</v>
      </c>
      <c r="S1601" s="24">
        <v>0</v>
      </c>
      <c r="T1601" s="24">
        <v>27</v>
      </c>
    </row>
    <row r="1602" spans="1:20">
      <c r="A1602" s="9" t="s">
        <v>1104</v>
      </c>
      <c r="B1602" s="30" t="s">
        <v>1161</v>
      </c>
      <c r="C1602" s="30" t="str">
        <f>CONCATENATE(VOL_VOLUMEN_SUMINISTROS[[#This Row],[Proyecto]],VOL_VOLUMEN_SUMINISTROS[[#This Row],[J]],VOL_VOLUMEN_SUMINISTROS[[#This Row],[FIN DE SEMANA]])</f>
        <v>1052-2M1NO</v>
      </c>
      <c r="D1602" s="360" t="str">
        <f>CONCATENATE(VOL_VOLUMEN_SUMINISTROS[[#This Row],[Grupo]],VOL_VOLUMEN_SUMINISTROS[[#This Row],[Proyecto]],VOL_VOLUMEN_SUMINISTROS[[#This Row],[FIN DE SEMANA]])</f>
        <v>151052-2NO</v>
      </c>
      <c r="E1602" s="30" t="s">
        <v>182</v>
      </c>
      <c r="F1602" s="30" t="s">
        <v>147</v>
      </c>
      <c r="G1602" s="360">
        <v>15</v>
      </c>
      <c r="H1602" s="30">
        <v>5</v>
      </c>
      <c r="I1602" s="9" t="s">
        <v>763</v>
      </c>
      <c r="J1602" s="9" t="s">
        <v>1120</v>
      </c>
      <c r="K1602" s="30">
        <v>1</v>
      </c>
      <c r="L1602" s="9" t="s">
        <v>1121</v>
      </c>
      <c r="M1602" s="30" t="s">
        <v>84</v>
      </c>
      <c r="N1602" s="30" t="s">
        <v>215</v>
      </c>
      <c r="O1602" s="24">
        <v>102</v>
      </c>
      <c r="P1602" s="24">
        <v>51</v>
      </c>
      <c r="Q1602" s="24">
        <v>0</v>
      </c>
      <c r="R1602" s="24">
        <v>0</v>
      </c>
      <c r="S1602" s="24">
        <v>0</v>
      </c>
      <c r="T1602" s="24">
        <v>153</v>
      </c>
    </row>
    <row r="1603" spans="1:20">
      <c r="A1603" s="9" t="s">
        <v>1104</v>
      </c>
      <c r="B1603" s="30" t="s">
        <v>1161</v>
      </c>
      <c r="C1603" s="30" t="str">
        <f>CONCATENATE(VOL_VOLUMEN_SUMINISTROS[[#This Row],[Proyecto]],VOL_VOLUMEN_SUMINISTROS[[#This Row],[J]],VOL_VOLUMEN_SUMINISTROS[[#This Row],[FIN DE SEMANA]])</f>
        <v>1052-2TNO</v>
      </c>
      <c r="D1603" s="360" t="str">
        <f>CONCATENATE(VOL_VOLUMEN_SUMINISTROS[[#This Row],[Grupo]],VOL_VOLUMEN_SUMINISTROS[[#This Row],[Proyecto]],VOL_VOLUMEN_SUMINISTROS[[#This Row],[FIN DE SEMANA]])</f>
        <v>151052-2NO</v>
      </c>
      <c r="E1603" s="30" t="s">
        <v>182</v>
      </c>
      <c r="F1603" s="30" t="s">
        <v>147</v>
      </c>
      <c r="G1603" s="360">
        <v>15</v>
      </c>
      <c r="H1603" s="30">
        <v>5</v>
      </c>
      <c r="I1603" s="9" t="s">
        <v>763</v>
      </c>
      <c r="J1603" s="9" t="s">
        <v>1120</v>
      </c>
      <c r="K1603" s="30">
        <v>1</v>
      </c>
      <c r="L1603" s="9" t="s">
        <v>1121</v>
      </c>
      <c r="M1603" s="30" t="s">
        <v>84</v>
      </c>
      <c r="N1603" s="30" t="s">
        <v>154</v>
      </c>
      <c r="O1603" s="24">
        <v>104</v>
      </c>
      <c r="P1603" s="24">
        <v>52</v>
      </c>
      <c r="Q1603" s="24">
        <v>0</v>
      </c>
      <c r="R1603" s="24">
        <v>0</v>
      </c>
      <c r="S1603" s="24">
        <v>0</v>
      </c>
      <c r="T1603" s="24">
        <v>156</v>
      </c>
    </row>
    <row r="1604" spans="1:20">
      <c r="A1604" s="9" t="s">
        <v>1104</v>
      </c>
      <c r="B1604" s="30" t="s">
        <v>1162</v>
      </c>
      <c r="C1604" s="30" t="str">
        <f>CONCATENATE(VOL_VOLUMEN_SUMINISTROS[[#This Row],[Proyecto]],VOL_VOLUMEN_SUMINISTROS[[#This Row],[J]],VOL_VOLUMEN_SUMINISTROS[[#This Row],[FIN DE SEMANA]])</f>
        <v>1052-2MNO</v>
      </c>
      <c r="D1604" s="360" t="str">
        <f>CONCATENATE(VOL_VOLUMEN_SUMINISTROS[[#This Row],[Grupo]],VOL_VOLUMEN_SUMINISTROS[[#This Row],[Proyecto]],VOL_VOLUMEN_SUMINISTROS[[#This Row],[FIN DE SEMANA]])</f>
        <v>151052-2NO</v>
      </c>
      <c r="E1604" s="30" t="s">
        <v>182</v>
      </c>
      <c r="F1604" s="30" t="s">
        <v>147</v>
      </c>
      <c r="G1604" s="360">
        <v>15</v>
      </c>
      <c r="H1604" s="30">
        <v>5</v>
      </c>
      <c r="I1604" s="9" t="s">
        <v>763</v>
      </c>
      <c r="J1604" s="9" t="s">
        <v>1113</v>
      </c>
      <c r="K1604" s="30">
        <v>1</v>
      </c>
      <c r="L1604" s="9" t="s">
        <v>1114</v>
      </c>
      <c r="M1604" s="30" t="s">
        <v>84</v>
      </c>
      <c r="N1604" s="30" t="s">
        <v>151</v>
      </c>
      <c r="O1604" s="24">
        <v>0</v>
      </c>
      <c r="P1604" s="24">
        <v>0</v>
      </c>
      <c r="Q1604" s="24">
        <v>67</v>
      </c>
      <c r="R1604" s="24">
        <v>0</v>
      </c>
      <c r="S1604" s="24">
        <v>0</v>
      </c>
      <c r="T1604" s="24">
        <v>67</v>
      </c>
    </row>
    <row r="1605" spans="1:20">
      <c r="A1605" s="9" t="s">
        <v>1104</v>
      </c>
      <c r="B1605" s="30" t="s">
        <v>1162</v>
      </c>
      <c r="C1605" s="30" t="str">
        <f>CONCATENATE(VOL_VOLUMEN_SUMINISTROS[[#This Row],[Proyecto]],VOL_VOLUMEN_SUMINISTROS[[#This Row],[J]],VOL_VOLUMEN_SUMINISTROS[[#This Row],[FIN DE SEMANA]])</f>
        <v>1052-2TNO</v>
      </c>
      <c r="D1605" s="360" t="str">
        <f>CONCATENATE(VOL_VOLUMEN_SUMINISTROS[[#This Row],[Grupo]],VOL_VOLUMEN_SUMINISTROS[[#This Row],[Proyecto]],VOL_VOLUMEN_SUMINISTROS[[#This Row],[FIN DE SEMANA]])</f>
        <v>151052-2NO</v>
      </c>
      <c r="E1605" s="30" t="s">
        <v>182</v>
      </c>
      <c r="F1605" s="30" t="s">
        <v>147</v>
      </c>
      <c r="G1605" s="360">
        <v>15</v>
      </c>
      <c r="H1605" s="30">
        <v>5</v>
      </c>
      <c r="I1605" s="9" t="s">
        <v>763</v>
      </c>
      <c r="J1605" s="9" t="s">
        <v>1113</v>
      </c>
      <c r="K1605" s="30">
        <v>1</v>
      </c>
      <c r="L1605" s="9" t="s">
        <v>1114</v>
      </c>
      <c r="M1605" s="30" t="s">
        <v>84</v>
      </c>
      <c r="N1605" s="30" t="s">
        <v>154</v>
      </c>
      <c r="O1605" s="24">
        <v>0</v>
      </c>
      <c r="P1605" s="24">
        <v>0</v>
      </c>
      <c r="Q1605" s="24">
        <v>67</v>
      </c>
      <c r="R1605" s="24">
        <v>0</v>
      </c>
      <c r="S1605" s="24">
        <v>0</v>
      </c>
      <c r="T1605" s="24">
        <v>67</v>
      </c>
    </row>
    <row r="1606" spans="1:20">
      <c r="A1606" s="9" t="s">
        <v>1104</v>
      </c>
      <c r="B1606" s="30" t="s">
        <v>1162</v>
      </c>
      <c r="C1606" s="30" t="str">
        <f>CONCATENATE(VOL_VOLUMEN_SUMINISTROS[[#This Row],[Proyecto]],VOL_VOLUMEN_SUMINISTROS[[#This Row],[J]],VOL_VOLUMEN_SUMINISTROS[[#This Row],[FIN DE SEMANA]])</f>
        <v>1052-2MNO</v>
      </c>
      <c r="D1606" s="360" t="str">
        <f>CONCATENATE(VOL_VOLUMEN_SUMINISTROS[[#This Row],[Grupo]],VOL_VOLUMEN_SUMINISTROS[[#This Row],[Proyecto]],VOL_VOLUMEN_SUMINISTROS[[#This Row],[FIN DE SEMANA]])</f>
        <v>151052-2NO</v>
      </c>
      <c r="E1606" s="30" t="s">
        <v>182</v>
      </c>
      <c r="F1606" s="30" t="s">
        <v>147</v>
      </c>
      <c r="G1606" s="360">
        <v>15</v>
      </c>
      <c r="H1606" s="30">
        <v>5</v>
      </c>
      <c r="I1606" s="9" t="s">
        <v>763</v>
      </c>
      <c r="J1606" s="9" t="s">
        <v>1125</v>
      </c>
      <c r="K1606" s="30">
        <v>1</v>
      </c>
      <c r="L1606" s="9" t="s">
        <v>1126</v>
      </c>
      <c r="M1606" s="30" t="s">
        <v>84</v>
      </c>
      <c r="N1606" s="30" t="s">
        <v>151</v>
      </c>
      <c r="O1606" s="24">
        <v>0</v>
      </c>
      <c r="P1606" s="24">
        <v>0</v>
      </c>
      <c r="Q1606" s="24">
        <v>150</v>
      </c>
      <c r="R1606" s="24">
        <v>0</v>
      </c>
      <c r="S1606" s="24">
        <v>0</v>
      </c>
      <c r="T1606" s="24">
        <v>150</v>
      </c>
    </row>
    <row r="1607" spans="1:20">
      <c r="A1607" s="9" t="s">
        <v>1104</v>
      </c>
      <c r="B1607" s="30" t="s">
        <v>1162</v>
      </c>
      <c r="C1607" s="30" t="str">
        <f>CONCATENATE(VOL_VOLUMEN_SUMINISTROS[[#This Row],[Proyecto]],VOL_VOLUMEN_SUMINISTROS[[#This Row],[J]],VOL_VOLUMEN_SUMINISTROS[[#This Row],[FIN DE SEMANA]])</f>
        <v>1052-2TNO</v>
      </c>
      <c r="D1607" s="360" t="str">
        <f>CONCATENATE(VOL_VOLUMEN_SUMINISTROS[[#This Row],[Grupo]],VOL_VOLUMEN_SUMINISTROS[[#This Row],[Proyecto]],VOL_VOLUMEN_SUMINISTROS[[#This Row],[FIN DE SEMANA]])</f>
        <v>151052-2NO</v>
      </c>
      <c r="E1607" s="30" t="s">
        <v>182</v>
      </c>
      <c r="F1607" s="30" t="s">
        <v>147</v>
      </c>
      <c r="G1607" s="360">
        <v>15</v>
      </c>
      <c r="H1607" s="30">
        <v>5</v>
      </c>
      <c r="I1607" s="9" t="s">
        <v>763</v>
      </c>
      <c r="J1607" s="9" t="s">
        <v>1125</v>
      </c>
      <c r="K1607" s="30">
        <v>1</v>
      </c>
      <c r="L1607" s="9" t="s">
        <v>1126</v>
      </c>
      <c r="M1607" s="30" t="s">
        <v>84</v>
      </c>
      <c r="N1607" s="30" t="s">
        <v>154</v>
      </c>
      <c r="O1607" s="24">
        <v>0</v>
      </c>
      <c r="P1607" s="24">
        <v>0</v>
      </c>
      <c r="Q1607" s="24">
        <v>138</v>
      </c>
      <c r="R1607" s="24">
        <v>0</v>
      </c>
      <c r="S1607" s="24">
        <v>0</v>
      </c>
      <c r="T1607" s="24">
        <v>138</v>
      </c>
    </row>
    <row r="1608" spans="1:20">
      <c r="A1608" s="9" t="s">
        <v>1104</v>
      </c>
      <c r="B1608" s="30" t="s">
        <v>1162</v>
      </c>
      <c r="C1608" s="30" t="str">
        <f>CONCATENATE(VOL_VOLUMEN_SUMINISTROS[[#This Row],[Proyecto]],VOL_VOLUMEN_SUMINISTROS[[#This Row],[J]],VOL_VOLUMEN_SUMINISTROS[[#This Row],[FIN DE SEMANA]])</f>
        <v>1052-2MNO</v>
      </c>
      <c r="D1608" s="360" t="str">
        <f>CONCATENATE(VOL_VOLUMEN_SUMINISTROS[[#This Row],[Grupo]],VOL_VOLUMEN_SUMINISTROS[[#This Row],[Proyecto]],VOL_VOLUMEN_SUMINISTROS[[#This Row],[FIN DE SEMANA]])</f>
        <v>151052-2NO</v>
      </c>
      <c r="E1608" s="30" t="s">
        <v>182</v>
      </c>
      <c r="F1608" s="30" t="s">
        <v>147</v>
      </c>
      <c r="G1608" s="360">
        <v>15</v>
      </c>
      <c r="H1608" s="30">
        <v>5</v>
      </c>
      <c r="I1608" s="9" t="s">
        <v>763</v>
      </c>
      <c r="J1608" s="9" t="s">
        <v>1131</v>
      </c>
      <c r="K1608" s="30">
        <v>1</v>
      </c>
      <c r="L1608" s="9" t="s">
        <v>1132</v>
      </c>
      <c r="M1608" s="30" t="s">
        <v>84</v>
      </c>
      <c r="N1608" s="30" t="s">
        <v>151</v>
      </c>
      <c r="O1608" s="24">
        <v>0</v>
      </c>
      <c r="P1608" s="24">
        <v>0</v>
      </c>
      <c r="Q1608" s="24">
        <v>63</v>
      </c>
      <c r="R1608" s="24">
        <v>0</v>
      </c>
      <c r="S1608" s="24">
        <v>0</v>
      </c>
      <c r="T1608" s="24">
        <v>63</v>
      </c>
    </row>
    <row r="1609" spans="1:20">
      <c r="A1609" s="9" t="s">
        <v>1104</v>
      </c>
      <c r="B1609" s="30" t="s">
        <v>1162</v>
      </c>
      <c r="C1609" s="30" t="str">
        <f>CONCATENATE(VOL_VOLUMEN_SUMINISTROS[[#This Row],[Proyecto]],VOL_VOLUMEN_SUMINISTROS[[#This Row],[J]],VOL_VOLUMEN_SUMINISTROS[[#This Row],[FIN DE SEMANA]])</f>
        <v>1052-2TNO</v>
      </c>
      <c r="D1609" s="360" t="str">
        <f>CONCATENATE(VOL_VOLUMEN_SUMINISTROS[[#This Row],[Grupo]],VOL_VOLUMEN_SUMINISTROS[[#This Row],[Proyecto]],VOL_VOLUMEN_SUMINISTROS[[#This Row],[FIN DE SEMANA]])</f>
        <v>151052-2NO</v>
      </c>
      <c r="E1609" s="30" t="s">
        <v>182</v>
      </c>
      <c r="F1609" s="30" t="s">
        <v>147</v>
      </c>
      <c r="G1609" s="360">
        <v>15</v>
      </c>
      <c r="H1609" s="30">
        <v>5</v>
      </c>
      <c r="I1609" s="9" t="s">
        <v>763</v>
      </c>
      <c r="J1609" s="9" t="s">
        <v>1131</v>
      </c>
      <c r="K1609" s="30">
        <v>1</v>
      </c>
      <c r="L1609" s="9" t="s">
        <v>1132</v>
      </c>
      <c r="M1609" s="30" t="s">
        <v>84</v>
      </c>
      <c r="N1609" s="30" t="s">
        <v>154</v>
      </c>
      <c r="O1609" s="24">
        <v>0</v>
      </c>
      <c r="P1609" s="24">
        <v>0</v>
      </c>
      <c r="Q1609" s="24">
        <v>75</v>
      </c>
      <c r="R1609" s="24">
        <v>0</v>
      </c>
      <c r="S1609" s="24">
        <v>0</v>
      </c>
      <c r="T1609" s="24">
        <v>75</v>
      </c>
    </row>
    <row r="1610" spans="1:20">
      <c r="A1610" s="9" t="s">
        <v>1104</v>
      </c>
      <c r="B1610" s="30" t="s">
        <v>1163</v>
      </c>
      <c r="C1610" s="30" t="str">
        <f>CONCATENATE(VOL_VOLUMEN_SUMINISTROS[[#This Row],[Proyecto]],VOL_VOLUMEN_SUMINISTROS[[#This Row],[J]],VOL_VOLUMEN_SUMINISTROS[[#This Row],[FIN DE SEMANA]])</f>
        <v>1052-2MNO</v>
      </c>
      <c r="D1610" s="360" t="str">
        <f>CONCATENATE(VOL_VOLUMEN_SUMINISTROS[[#This Row],[Grupo]],VOL_VOLUMEN_SUMINISTROS[[#This Row],[Proyecto]],VOL_VOLUMEN_SUMINISTROS[[#This Row],[FIN DE SEMANA]])</f>
        <v>151052-2NO</v>
      </c>
      <c r="E1610" s="30" t="s">
        <v>182</v>
      </c>
      <c r="F1610" s="30" t="s">
        <v>147</v>
      </c>
      <c r="G1610" s="360">
        <v>15</v>
      </c>
      <c r="H1610" s="30">
        <v>5</v>
      </c>
      <c r="I1610" s="9" t="s">
        <v>763</v>
      </c>
      <c r="J1610" s="9" t="s">
        <v>1118</v>
      </c>
      <c r="K1610" s="30">
        <v>1</v>
      </c>
      <c r="L1610" s="9" t="s">
        <v>1119</v>
      </c>
      <c r="M1610" s="30" t="s">
        <v>84</v>
      </c>
      <c r="N1610" s="30" t="s">
        <v>151</v>
      </c>
      <c r="O1610" s="24">
        <v>84</v>
      </c>
      <c r="P1610" s="24">
        <v>0</v>
      </c>
      <c r="Q1610" s="24">
        <v>0</v>
      </c>
      <c r="R1610" s="24">
        <v>0</v>
      </c>
      <c r="S1610" s="24">
        <v>0</v>
      </c>
      <c r="T1610" s="24">
        <v>84</v>
      </c>
    </row>
    <row r="1611" spans="1:20">
      <c r="A1611" s="9" t="s">
        <v>1104</v>
      </c>
      <c r="B1611" s="30" t="s">
        <v>1163</v>
      </c>
      <c r="C1611" s="30" t="str">
        <f>CONCATENATE(VOL_VOLUMEN_SUMINISTROS[[#This Row],[Proyecto]],VOL_VOLUMEN_SUMINISTROS[[#This Row],[J]],VOL_VOLUMEN_SUMINISTROS[[#This Row],[FIN DE SEMANA]])</f>
        <v>1052-2TNO</v>
      </c>
      <c r="D1611" s="360" t="str">
        <f>CONCATENATE(VOL_VOLUMEN_SUMINISTROS[[#This Row],[Grupo]],VOL_VOLUMEN_SUMINISTROS[[#This Row],[Proyecto]],VOL_VOLUMEN_SUMINISTROS[[#This Row],[FIN DE SEMANA]])</f>
        <v>151052-2NO</v>
      </c>
      <c r="E1611" s="30" t="s">
        <v>182</v>
      </c>
      <c r="F1611" s="30" t="s">
        <v>147</v>
      </c>
      <c r="G1611" s="360">
        <v>15</v>
      </c>
      <c r="H1611" s="30">
        <v>5</v>
      </c>
      <c r="I1611" s="9" t="s">
        <v>763</v>
      </c>
      <c r="J1611" s="9" t="s">
        <v>1118</v>
      </c>
      <c r="K1611" s="30">
        <v>1</v>
      </c>
      <c r="L1611" s="9" t="s">
        <v>1119</v>
      </c>
      <c r="M1611" s="30" t="s">
        <v>84</v>
      </c>
      <c r="N1611" s="30" t="s">
        <v>154</v>
      </c>
      <c r="O1611" s="24">
        <v>85</v>
      </c>
      <c r="P1611" s="24">
        <v>0</v>
      </c>
      <c r="Q1611" s="24">
        <v>0</v>
      </c>
      <c r="R1611" s="24">
        <v>0</v>
      </c>
      <c r="S1611" s="24">
        <v>0</v>
      </c>
      <c r="T1611" s="24">
        <v>85</v>
      </c>
    </row>
    <row r="1612" spans="1:20">
      <c r="A1612" s="9" t="s">
        <v>1104</v>
      </c>
      <c r="B1612" s="30" t="s">
        <v>1163</v>
      </c>
      <c r="C1612" s="30" t="str">
        <f>CONCATENATE(VOL_VOLUMEN_SUMINISTROS[[#This Row],[Proyecto]],VOL_VOLUMEN_SUMINISTROS[[#This Row],[J]],VOL_VOLUMEN_SUMINISTROS[[#This Row],[FIN DE SEMANA]])</f>
        <v>1052-2MNO</v>
      </c>
      <c r="D1612" s="360" t="str">
        <f>CONCATENATE(VOL_VOLUMEN_SUMINISTROS[[#This Row],[Grupo]],VOL_VOLUMEN_SUMINISTROS[[#This Row],[Proyecto]],VOL_VOLUMEN_SUMINISTROS[[#This Row],[FIN DE SEMANA]])</f>
        <v>151052-2NO</v>
      </c>
      <c r="E1612" s="30" t="s">
        <v>182</v>
      </c>
      <c r="F1612" s="30" t="s">
        <v>147</v>
      </c>
      <c r="G1612" s="360">
        <v>15</v>
      </c>
      <c r="H1612" s="30">
        <v>5</v>
      </c>
      <c r="I1612" s="9" t="s">
        <v>763</v>
      </c>
      <c r="J1612" s="9" t="s">
        <v>1120</v>
      </c>
      <c r="K1612" s="30">
        <v>1</v>
      </c>
      <c r="L1612" s="9" t="s">
        <v>1121</v>
      </c>
      <c r="M1612" s="30" t="s">
        <v>84</v>
      </c>
      <c r="N1612" s="30" t="s">
        <v>151</v>
      </c>
      <c r="O1612" s="24">
        <v>86</v>
      </c>
      <c r="P1612" s="24">
        <v>0</v>
      </c>
      <c r="Q1612" s="24">
        <v>0</v>
      </c>
      <c r="R1612" s="24">
        <v>0</v>
      </c>
      <c r="S1612" s="24">
        <v>0</v>
      </c>
      <c r="T1612" s="24">
        <v>86</v>
      </c>
    </row>
    <row r="1613" spans="1:20">
      <c r="A1613" s="9" t="s">
        <v>1104</v>
      </c>
      <c r="B1613" s="30" t="s">
        <v>1163</v>
      </c>
      <c r="C1613" s="30" t="str">
        <f>CONCATENATE(VOL_VOLUMEN_SUMINISTROS[[#This Row],[Proyecto]],VOL_VOLUMEN_SUMINISTROS[[#This Row],[J]],VOL_VOLUMEN_SUMINISTROS[[#This Row],[FIN DE SEMANA]])</f>
        <v>1052-2TNO</v>
      </c>
      <c r="D1613" s="360" t="str">
        <f>CONCATENATE(VOL_VOLUMEN_SUMINISTROS[[#This Row],[Grupo]],VOL_VOLUMEN_SUMINISTROS[[#This Row],[Proyecto]],VOL_VOLUMEN_SUMINISTROS[[#This Row],[FIN DE SEMANA]])</f>
        <v>151052-2NO</v>
      </c>
      <c r="E1613" s="30" t="s">
        <v>182</v>
      </c>
      <c r="F1613" s="30" t="s">
        <v>147</v>
      </c>
      <c r="G1613" s="360">
        <v>15</v>
      </c>
      <c r="H1613" s="30">
        <v>5</v>
      </c>
      <c r="I1613" s="9" t="s">
        <v>763</v>
      </c>
      <c r="J1613" s="9" t="s">
        <v>1120</v>
      </c>
      <c r="K1613" s="30">
        <v>1</v>
      </c>
      <c r="L1613" s="9" t="s">
        <v>1121</v>
      </c>
      <c r="M1613" s="30" t="s">
        <v>84</v>
      </c>
      <c r="N1613" s="30" t="s">
        <v>154</v>
      </c>
      <c r="O1613" s="24">
        <v>95</v>
      </c>
      <c r="P1613" s="24">
        <v>0</v>
      </c>
      <c r="Q1613" s="24">
        <v>0</v>
      </c>
      <c r="R1613" s="24">
        <v>0</v>
      </c>
      <c r="S1613" s="24">
        <v>0</v>
      </c>
      <c r="T1613" s="24">
        <v>95</v>
      </c>
    </row>
    <row r="1614" spans="1:20">
      <c r="A1614" s="9" t="s">
        <v>1104</v>
      </c>
      <c r="B1614" s="30" t="s">
        <v>1164</v>
      </c>
      <c r="C1614" s="30" t="str">
        <f>CONCATENATE(VOL_VOLUMEN_SUMINISTROS[[#This Row],[Proyecto]],VOL_VOLUMEN_SUMINISTROS[[#This Row],[J]],VOL_VOLUMEN_SUMINISTROS[[#This Row],[FIN DE SEMANA]])</f>
        <v>1052-1MNO</v>
      </c>
      <c r="D1614" s="360" t="str">
        <f>CONCATENATE(VOL_VOLUMEN_SUMINISTROS[[#This Row],[Grupo]],VOL_VOLUMEN_SUMINISTROS[[#This Row],[Proyecto]],VOL_VOLUMEN_SUMINISTROS[[#This Row],[FIN DE SEMANA]])</f>
        <v>161052-1NO</v>
      </c>
      <c r="E1614" s="30" t="s">
        <v>146</v>
      </c>
      <c r="F1614" s="30" t="s">
        <v>147</v>
      </c>
      <c r="G1614" s="360">
        <v>16</v>
      </c>
      <c r="H1614" s="30">
        <v>1</v>
      </c>
      <c r="I1614" s="9" t="s">
        <v>396</v>
      </c>
      <c r="J1614" s="9" t="s">
        <v>1165</v>
      </c>
      <c r="K1614" s="30">
        <v>2</v>
      </c>
      <c r="L1614" s="9" t="s">
        <v>1166</v>
      </c>
      <c r="M1614" s="30" t="s">
        <v>84</v>
      </c>
      <c r="N1614" s="30" t="s">
        <v>151</v>
      </c>
      <c r="O1614" s="24">
        <v>211</v>
      </c>
      <c r="P1614" s="24">
        <v>119</v>
      </c>
      <c r="Q1614" s="24">
        <v>17</v>
      </c>
      <c r="R1614" s="24">
        <v>0</v>
      </c>
      <c r="S1614" s="24">
        <v>0</v>
      </c>
      <c r="T1614" s="24">
        <v>347</v>
      </c>
    </row>
    <row r="1615" spans="1:20">
      <c r="A1615" s="9" t="s">
        <v>1104</v>
      </c>
      <c r="B1615" s="30" t="s">
        <v>1164</v>
      </c>
      <c r="C1615" s="30" t="str">
        <f>CONCATENATE(VOL_VOLUMEN_SUMINISTROS[[#This Row],[Proyecto]],VOL_VOLUMEN_SUMINISTROS[[#This Row],[J]],VOL_VOLUMEN_SUMINISTROS[[#This Row],[FIN DE SEMANA]])</f>
        <v>1052-1TNO</v>
      </c>
      <c r="D1615" s="360" t="str">
        <f>CONCATENATE(VOL_VOLUMEN_SUMINISTROS[[#This Row],[Grupo]],VOL_VOLUMEN_SUMINISTROS[[#This Row],[Proyecto]],VOL_VOLUMEN_SUMINISTROS[[#This Row],[FIN DE SEMANA]])</f>
        <v>161052-1NO</v>
      </c>
      <c r="E1615" s="30" t="s">
        <v>146</v>
      </c>
      <c r="F1615" s="30" t="s">
        <v>147</v>
      </c>
      <c r="G1615" s="360">
        <v>16</v>
      </c>
      <c r="H1615" s="30">
        <v>1</v>
      </c>
      <c r="I1615" s="9" t="s">
        <v>396</v>
      </c>
      <c r="J1615" s="9" t="s">
        <v>1165</v>
      </c>
      <c r="K1615" s="30">
        <v>2</v>
      </c>
      <c r="L1615" s="9" t="s">
        <v>1166</v>
      </c>
      <c r="M1615" s="30" t="s">
        <v>84</v>
      </c>
      <c r="N1615" s="30" t="s">
        <v>154</v>
      </c>
      <c r="O1615" s="24">
        <v>181</v>
      </c>
      <c r="P1615" s="24">
        <v>120</v>
      </c>
      <c r="Q1615" s="24">
        <v>18</v>
      </c>
      <c r="R1615" s="24">
        <v>0</v>
      </c>
      <c r="S1615" s="24">
        <v>0</v>
      </c>
      <c r="T1615" s="24">
        <v>319</v>
      </c>
    </row>
    <row r="1616" spans="1:20">
      <c r="A1616" s="9" t="s">
        <v>1104</v>
      </c>
      <c r="B1616" s="30" t="s">
        <v>1164</v>
      </c>
      <c r="C1616" s="30" t="str">
        <f>CONCATENATE(VOL_VOLUMEN_SUMINISTROS[[#This Row],[Proyecto]],VOL_VOLUMEN_SUMINISTROS[[#This Row],[J]],VOL_VOLUMEN_SUMINISTROS[[#This Row],[FIN DE SEMANA]])</f>
        <v>1052-1MNO</v>
      </c>
      <c r="D1616" s="360" t="str">
        <f>CONCATENATE(VOL_VOLUMEN_SUMINISTROS[[#This Row],[Grupo]],VOL_VOLUMEN_SUMINISTROS[[#This Row],[Proyecto]],VOL_VOLUMEN_SUMINISTROS[[#This Row],[FIN DE SEMANA]])</f>
        <v>161052-1NO</v>
      </c>
      <c r="E1616" s="30" t="s">
        <v>146</v>
      </c>
      <c r="F1616" s="30" t="s">
        <v>147</v>
      </c>
      <c r="G1616" s="360">
        <v>16</v>
      </c>
      <c r="H1616" s="30">
        <v>1</v>
      </c>
      <c r="I1616" s="9" t="s">
        <v>396</v>
      </c>
      <c r="J1616" s="9" t="s">
        <v>1167</v>
      </c>
      <c r="K1616" s="30">
        <v>1</v>
      </c>
      <c r="L1616" s="9" t="s">
        <v>1168</v>
      </c>
      <c r="M1616" s="30" t="s">
        <v>84</v>
      </c>
      <c r="N1616" s="30" t="s">
        <v>151</v>
      </c>
      <c r="O1616" s="24">
        <v>0</v>
      </c>
      <c r="P1616" s="24">
        <v>189</v>
      </c>
      <c r="Q1616" s="24">
        <v>358</v>
      </c>
      <c r="R1616" s="24">
        <v>0</v>
      </c>
      <c r="S1616" s="24">
        <v>0</v>
      </c>
      <c r="T1616" s="24">
        <v>547</v>
      </c>
    </row>
    <row r="1617" spans="1:20">
      <c r="A1617" s="9" t="s">
        <v>1104</v>
      </c>
      <c r="B1617" s="30" t="s">
        <v>1164</v>
      </c>
      <c r="C1617" s="30" t="str">
        <f>CONCATENATE(VOL_VOLUMEN_SUMINISTROS[[#This Row],[Proyecto]],VOL_VOLUMEN_SUMINISTROS[[#This Row],[J]],VOL_VOLUMEN_SUMINISTROS[[#This Row],[FIN DE SEMANA]])</f>
        <v>1052-1TNO</v>
      </c>
      <c r="D1617" s="360" t="str">
        <f>CONCATENATE(VOL_VOLUMEN_SUMINISTROS[[#This Row],[Grupo]],VOL_VOLUMEN_SUMINISTROS[[#This Row],[Proyecto]],VOL_VOLUMEN_SUMINISTROS[[#This Row],[FIN DE SEMANA]])</f>
        <v>161052-1NO</v>
      </c>
      <c r="E1617" s="30" t="s">
        <v>146</v>
      </c>
      <c r="F1617" s="30" t="s">
        <v>147</v>
      </c>
      <c r="G1617" s="360">
        <v>16</v>
      </c>
      <c r="H1617" s="30">
        <v>1</v>
      </c>
      <c r="I1617" s="9" t="s">
        <v>396</v>
      </c>
      <c r="J1617" s="9" t="s">
        <v>1167</v>
      </c>
      <c r="K1617" s="30">
        <v>1</v>
      </c>
      <c r="L1617" s="9" t="s">
        <v>1168</v>
      </c>
      <c r="M1617" s="30" t="s">
        <v>84</v>
      </c>
      <c r="N1617" s="30" t="s">
        <v>154</v>
      </c>
      <c r="O1617" s="24">
        <v>0</v>
      </c>
      <c r="P1617" s="24">
        <v>162</v>
      </c>
      <c r="Q1617" s="24">
        <v>354</v>
      </c>
      <c r="R1617" s="24">
        <v>0</v>
      </c>
      <c r="S1617" s="24">
        <v>0</v>
      </c>
      <c r="T1617" s="24">
        <v>516</v>
      </c>
    </row>
    <row r="1618" spans="1:20">
      <c r="A1618" s="9" t="s">
        <v>1104</v>
      </c>
      <c r="B1618" s="30" t="s">
        <v>1164</v>
      </c>
      <c r="C1618" s="30" t="str">
        <f>CONCATENATE(VOL_VOLUMEN_SUMINISTROS[[#This Row],[Proyecto]],VOL_VOLUMEN_SUMINISTROS[[#This Row],[J]],VOL_VOLUMEN_SUMINISTROS[[#This Row],[FIN DE SEMANA]])</f>
        <v>1052-1MNO</v>
      </c>
      <c r="D1618" s="360" t="str">
        <f>CONCATENATE(VOL_VOLUMEN_SUMINISTROS[[#This Row],[Grupo]],VOL_VOLUMEN_SUMINISTROS[[#This Row],[Proyecto]],VOL_VOLUMEN_SUMINISTROS[[#This Row],[FIN DE SEMANA]])</f>
        <v>161052-1NO</v>
      </c>
      <c r="E1618" s="30" t="s">
        <v>146</v>
      </c>
      <c r="F1618" s="30" t="s">
        <v>147</v>
      </c>
      <c r="G1618" s="360">
        <v>16</v>
      </c>
      <c r="H1618" s="30">
        <v>1</v>
      </c>
      <c r="I1618" s="9" t="s">
        <v>396</v>
      </c>
      <c r="J1618" s="9" t="s">
        <v>1167</v>
      </c>
      <c r="K1618" s="30">
        <v>2</v>
      </c>
      <c r="L1618" s="9" t="s">
        <v>1169</v>
      </c>
      <c r="M1618" s="30" t="s">
        <v>84</v>
      </c>
      <c r="N1618" s="30" t="s">
        <v>151</v>
      </c>
      <c r="O1618" s="24">
        <v>88</v>
      </c>
      <c r="P1618" s="24">
        <v>203</v>
      </c>
      <c r="Q1618" s="24">
        <v>53</v>
      </c>
      <c r="R1618" s="24">
        <v>0</v>
      </c>
      <c r="S1618" s="24">
        <v>0</v>
      </c>
      <c r="T1618" s="24">
        <v>344</v>
      </c>
    </row>
    <row r="1619" spans="1:20">
      <c r="A1619" s="9" t="s">
        <v>1104</v>
      </c>
      <c r="B1619" s="30" t="s">
        <v>1164</v>
      </c>
      <c r="C1619" s="30" t="str">
        <f>CONCATENATE(VOL_VOLUMEN_SUMINISTROS[[#This Row],[Proyecto]],VOL_VOLUMEN_SUMINISTROS[[#This Row],[J]],VOL_VOLUMEN_SUMINISTROS[[#This Row],[FIN DE SEMANA]])</f>
        <v>1052-1TNO</v>
      </c>
      <c r="D1619" s="360" t="str">
        <f>CONCATENATE(VOL_VOLUMEN_SUMINISTROS[[#This Row],[Grupo]],VOL_VOLUMEN_SUMINISTROS[[#This Row],[Proyecto]],VOL_VOLUMEN_SUMINISTROS[[#This Row],[FIN DE SEMANA]])</f>
        <v>161052-1NO</v>
      </c>
      <c r="E1619" s="30" t="s">
        <v>146</v>
      </c>
      <c r="F1619" s="30" t="s">
        <v>147</v>
      </c>
      <c r="G1619" s="360">
        <v>16</v>
      </c>
      <c r="H1619" s="30">
        <v>1</v>
      </c>
      <c r="I1619" s="9" t="s">
        <v>396</v>
      </c>
      <c r="J1619" s="9" t="s">
        <v>1167</v>
      </c>
      <c r="K1619" s="30">
        <v>2</v>
      </c>
      <c r="L1619" s="9" t="s">
        <v>1169</v>
      </c>
      <c r="M1619" s="30" t="s">
        <v>84</v>
      </c>
      <c r="N1619" s="30" t="s">
        <v>154</v>
      </c>
      <c r="O1619" s="24">
        <v>84</v>
      </c>
      <c r="P1619" s="24">
        <v>180</v>
      </c>
      <c r="Q1619" s="24">
        <v>46</v>
      </c>
      <c r="R1619" s="24">
        <v>0</v>
      </c>
      <c r="S1619" s="24">
        <v>0</v>
      </c>
      <c r="T1619" s="24">
        <v>310</v>
      </c>
    </row>
    <row r="1620" spans="1:20">
      <c r="A1620" s="9" t="s">
        <v>1104</v>
      </c>
      <c r="B1620" s="30" t="s">
        <v>1164</v>
      </c>
      <c r="C1620" s="30" t="str">
        <f>CONCATENATE(VOL_VOLUMEN_SUMINISTROS[[#This Row],[Proyecto]],VOL_VOLUMEN_SUMINISTROS[[#This Row],[J]],VOL_VOLUMEN_SUMINISTROS[[#This Row],[FIN DE SEMANA]])</f>
        <v>1052-1MNO</v>
      </c>
      <c r="D1620" s="360" t="str">
        <f>CONCATENATE(VOL_VOLUMEN_SUMINISTROS[[#This Row],[Grupo]],VOL_VOLUMEN_SUMINISTROS[[#This Row],[Proyecto]],VOL_VOLUMEN_SUMINISTROS[[#This Row],[FIN DE SEMANA]])</f>
        <v>161052-1NO</v>
      </c>
      <c r="E1620" s="30" t="s">
        <v>146</v>
      </c>
      <c r="F1620" s="30" t="s">
        <v>147</v>
      </c>
      <c r="G1620" s="360">
        <v>16</v>
      </c>
      <c r="H1620" s="30">
        <v>1</v>
      </c>
      <c r="I1620" s="9" t="s">
        <v>396</v>
      </c>
      <c r="J1620" s="9" t="s">
        <v>1167</v>
      </c>
      <c r="K1620" s="30">
        <v>3</v>
      </c>
      <c r="L1620" s="9" t="s">
        <v>1170</v>
      </c>
      <c r="M1620" s="30" t="s">
        <v>84</v>
      </c>
      <c r="N1620" s="30" t="s">
        <v>151</v>
      </c>
      <c r="O1620" s="24">
        <v>234</v>
      </c>
      <c r="P1620" s="24">
        <v>59</v>
      </c>
      <c r="Q1620" s="24">
        <v>0</v>
      </c>
      <c r="R1620" s="24">
        <v>0</v>
      </c>
      <c r="S1620" s="24">
        <v>0</v>
      </c>
      <c r="T1620" s="24">
        <v>293</v>
      </c>
    </row>
    <row r="1621" spans="1:20">
      <c r="A1621" s="9" t="s">
        <v>1104</v>
      </c>
      <c r="B1621" s="30" t="s">
        <v>1164</v>
      </c>
      <c r="C1621" s="30" t="str">
        <f>CONCATENATE(VOL_VOLUMEN_SUMINISTROS[[#This Row],[Proyecto]],VOL_VOLUMEN_SUMINISTROS[[#This Row],[J]],VOL_VOLUMEN_SUMINISTROS[[#This Row],[FIN DE SEMANA]])</f>
        <v>1052-1TNO</v>
      </c>
      <c r="D1621" s="360" t="str">
        <f>CONCATENATE(VOL_VOLUMEN_SUMINISTROS[[#This Row],[Grupo]],VOL_VOLUMEN_SUMINISTROS[[#This Row],[Proyecto]],VOL_VOLUMEN_SUMINISTROS[[#This Row],[FIN DE SEMANA]])</f>
        <v>161052-1NO</v>
      </c>
      <c r="E1621" s="30" t="s">
        <v>146</v>
      </c>
      <c r="F1621" s="30" t="s">
        <v>147</v>
      </c>
      <c r="G1621" s="360">
        <v>16</v>
      </c>
      <c r="H1621" s="30">
        <v>1</v>
      </c>
      <c r="I1621" s="9" t="s">
        <v>396</v>
      </c>
      <c r="J1621" s="9" t="s">
        <v>1167</v>
      </c>
      <c r="K1621" s="30">
        <v>3</v>
      </c>
      <c r="L1621" s="9" t="s">
        <v>1170</v>
      </c>
      <c r="M1621" s="30" t="s">
        <v>84</v>
      </c>
      <c r="N1621" s="30" t="s">
        <v>154</v>
      </c>
      <c r="O1621" s="24">
        <v>227</v>
      </c>
      <c r="P1621" s="24">
        <v>70</v>
      </c>
      <c r="Q1621" s="24">
        <v>0</v>
      </c>
      <c r="R1621" s="24">
        <v>0</v>
      </c>
      <c r="S1621" s="24">
        <v>0</v>
      </c>
      <c r="T1621" s="24">
        <v>297</v>
      </c>
    </row>
    <row r="1622" spans="1:20">
      <c r="A1622" s="9" t="s">
        <v>1104</v>
      </c>
      <c r="B1622" s="30" t="s">
        <v>1164</v>
      </c>
      <c r="C1622" s="30" t="str">
        <f>CONCATENATE(VOL_VOLUMEN_SUMINISTROS[[#This Row],[Proyecto]],VOL_VOLUMEN_SUMINISTROS[[#This Row],[J]],VOL_VOLUMEN_SUMINISTROS[[#This Row],[FIN DE SEMANA]])</f>
        <v>1052-1MNO</v>
      </c>
      <c r="D1622" s="360" t="str">
        <f>CONCATENATE(VOL_VOLUMEN_SUMINISTROS[[#This Row],[Grupo]],VOL_VOLUMEN_SUMINISTROS[[#This Row],[Proyecto]],VOL_VOLUMEN_SUMINISTROS[[#This Row],[FIN DE SEMANA]])</f>
        <v>161052-1NO</v>
      </c>
      <c r="E1622" s="30" t="s">
        <v>146</v>
      </c>
      <c r="F1622" s="30" t="s">
        <v>147</v>
      </c>
      <c r="G1622" s="360">
        <v>16</v>
      </c>
      <c r="H1622" s="30">
        <v>1</v>
      </c>
      <c r="I1622" s="9" t="s">
        <v>396</v>
      </c>
      <c r="J1622" s="9" t="s">
        <v>1167</v>
      </c>
      <c r="K1622" s="30">
        <v>4</v>
      </c>
      <c r="L1622" s="9" t="s">
        <v>1171</v>
      </c>
      <c r="M1622" s="30" t="s">
        <v>84</v>
      </c>
      <c r="N1622" s="30" t="s">
        <v>151</v>
      </c>
      <c r="O1622" s="24">
        <v>16</v>
      </c>
      <c r="P1622" s="24">
        <v>53</v>
      </c>
      <c r="Q1622" s="24">
        <v>215</v>
      </c>
      <c r="R1622" s="24">
        <v>0</v>
      </c>
      <c r="S1622" s="24">
        <v>0</v>
      </c>
      <c r="T1622" s="24">
        <v>284</v>
      </c>
    </row>
    <row r="1623" spans="1:20">
      <c r="A1623" s="9" t="s">
        <v>1104</v>
      </c>
      <c r="B1623" s="30" t="s">
        <v>1164</v>
      </c>
      <c r="C1623" s="30" t="str">
        <f>CONCATENATE(VOL_VOLUMEN_SUMINISTROS[[#This Row],[Proyecto]],VOL_VOLUMEN_SUMINISTROS[[#This Row],[J]],VOL_VOLUMEN_SUMINISTROS[[#This Row],[FIN DE SEMANA]])</f>
        <v>1052-1MNO</v>
      </c>
      <c r="D1623" s="360" t="str">
        <f>CONCATENATE(VOL_VOLUMEN_SUMINISTROS[[#This Row],[Grupo]],VOL_VOLUMEN_SUMINISTROS[[#This Row],[Proyecto]],VOL_VOLUMEN_SUMINISTROS[[#This Row],[FIN DE SEMANA]])</f>
        <v>181052-1NO</v>
      </c>
      <c r="E1623" s="30" t="s">
        <v>146</v>
      </c>
      <c r="F1623" s="30" t="s">
        <v>147</v>
      </c>
      <c r="G1623" s="360">
        <v>18</v>
      </c>
      <c r="H1623" s="30">
        <v>5</v>
      </c>
      <c r="I1623" s="9" t="s">
        <v>763</v>
      </c>
      <c r="J1623" s="9" t="s">
        <v>1172</v>
      </c>
      <c r="K1623" s="30">
        <v>1</v>
      </c>
      <c r="L1623" s="9" t="s">
        <v>1173</v>
      </c>
      <c r="M1623" s="30" t="s">
        <v>84</v>
      </c>
      <c r="N1623" s="30" t="s">
        <v>151</v>
      </c>
      <c r="O1623" s="24">
        <v>217</v>
      </c>
      <c r="P1623" s="24">
        <v>157</v>
      </c>
      <c r="Q1623" s="24">
        <v>32</v>
      </c>
      <c r="R1623" s="24">
        <v>0</v>
      </c>
      <c r="S1623" s="24">
        <v>0</v>
      </c>
      <c r="T1623" s="24">
        <v>406</v>
      </c>
    </row>
    <row r="1624" spans="1:20">
      <c r="A1624" s="9" t="s">
        <v>1104</v>
      </c>
      <c r="B1624" s="30" t="s">
        <v>1164</v>
      </c>
      <c r="C1624" s="30" t="str">
        <f>CONCATENATE(VOL_VOLUMEN_SUMINISTROS[[#This Row],[Proyecto]],VOL_VOLUMEN_SUMINISTROS[[#This Row],[J]],VOL_VOLUMEN_SUMINISTROS[[#This Row],[FIN DE SEMANA]])</f>
        <v>1052-1TNO</v>
      </c>
      <c r="D1624" s="360" t="str">
        <f>CONCATENATE(VOL_VOLUMEN_SUMINISTROS[[#This Row],[Grupo]],VOL_VOLUMEN_SUMINISTROS[[#This Row],[Proyecto]],VOL_VOLUMEN_SUMINISTROS[[#This Row],[FIN DE SEMANA]])</f>
        <v>181052-1NO</v>
      </c>
      <c r="E1624" s="30" t="s">
        <v>146</v>
      </c>
      <c r="F1624" s="30" t="s">
        <v>147</v>
      </c>
      <c r="G1624" s="360">
        <v>18</v>
      </c>
      <c r="H1624" s="30">
        <v>5</v>
      </c>
      <c r="I1624" s="9" t="s">
        <v>763</v>
      </c>
      <c r="J1624" s="9" t="s">
        <v>1172</v>
      </c>
      <c r="K1624" s="30">
        <v>1</v>
      </c>
      <c r="L1624" s="9" t="s">
        <v>1173</v>
      </c>
      <c r="M1624" s="30" t="s">
        <v>84</v>
      </c>
      <c r="N1624" s="30" t="s">
        <v>154</v>
      </c>
      <c r="O1624" s="24">
        <v>197</v>
      </c>
      <c r="P1624" s="24">
        <v>142</v>
      </c>
      <c r="Q1624" s="24">
        <v>29</v>
      </c>
      <c r="R1624" s="24">
        <v>0</v>
      </c>
      <c r="S1624" s="24">
        <v>0</v>
      </c>
      <c r="T1624" s="24">
        <v>368</v>
      </c>
    </row>
    <row r="1625" spans="1:20">
      <c r="A1625" s="9" t="s">
        <v>1104</v>
      </c>
      <c r="B1625" s="30" t="s">
        <v>1164</v>
      </c>
      <c r="C1625" s="30" t="str">
        <f>CONCATENATE(VOL_VOLUMEN_SUMINISTROS[[#This Row],[Proyecto]],VOL_VOLUMEN_SUMINISTROS[[#This Row],[J]],VOL_VOLUMEN_SUMINISTROS[[#This Row],[FIN DE SEMANA]])</f>
        <v>1052-1MNO</v>
      </c>
      <c r="D1625" s="360" t="str">
        <f>CONCATENATE(VOL_VOLUMEN_SUMINISTROS[[#This Row],[Grupo]],VOL_VOLUMEN_SUMINISTROS[[#This Row],[Proyecto]],VOL_VOLUMEN_SUMINISTROS[[#This Row],[FIN DE SEMANA]])</f>
        <v>181052-1NO</v>
      </c>
      <c r="E1625" s="30" t="s">
        <v>146</v>
      </c>
      <c r="F1625" s="30" t="s">
        <v>147</v>
      </c>
      <c r="G1625" s="360">
        <v>18</v>
      </c>
      <c r="H1625" s="30">
        <v>5</v>
      </c>
      <c r="I1625" s="9" t="s">
        <v>763</v>
      </c>
      <c r="J1625" s="9" t="s">
        <v>1172</v>
      </c>
      <c r="K1625" s="30">
        <v>2</v>
      </c>
      <c r="L1625" s="9" t="s">
        <v>1174</v>
      </c>
      <c r="M1625" s="30" t="s">
        <v>84</v>
      </c>
      <c r="N1625" s="30" t="s">
        <v>151</v>
      </c>
      <c r="O1625" s="24">
        <v>0</v>
      </c>
      <c r="P1625" s="24">
        <v>102</v>
      </c>
      <c r="Q1625" s="24">
        <v>246</v>
      </c>
      <c r="R1625" s="24">
        <v>0</v>
      </c>
      <c r="S1625" s="24">
        <v>0</v>
      </c>
      <c r="T1625" s="24">
        <v>348</v>
      </c>
    </row>
    <row r="1626" spans="1:20">
      <c r="A1626" s="9" t="s">
        <v>1104</v>
      </c>
      <c r="B1626" s="30" t="s">
        <v>1164</v>
      </c>
      <c r="C1626" s="30" t="str">
        <f>CONCATENATE(VOL_VOLUMEN_SUMINISTROS[[#This Row],[Proyecto]],VOL_VOLUMEN_SUMINISTROS[[#This Row],[J]],VOL_VOLUMEN_SUMINISTROS[[#This Row],[FIN DE SEMANA]])</f>
        <v>1052-1TNO</v>
      </c>
      <c r="D1626" s="360" t="str">
        <f>CONCATENATE(VOL_VOLUMEN_SUMINISTROS[[#This Row],[Grupo]],VOL_VOLUMEN_SUMINISTROS[[#This Row],[Proyecto]],VOL_VOLUMEN_SUMINISTROS[[#This Row],[FIN DE SEMANA]])</f>
        <v>181052-1NO</v>
      </c>
      <c r="E1626" s="30" t="s">
        <v>146</v>
      </c>
      <c r="F1626" s="30" t="s">
        <v>147</v>
      </c>
      <c r="G1626" s="360">
        <v>18</v>
      </c>
      <c r="H1626" s="30">
        <v>5</v>
      </c>
      <c r="I1626" s="9" t="s">
        <v>763</v>
      </c>
      <c r="J1626" s="9" t="s">
        <v>1172</v>
      </c>
      <c r="K1626" s="30">
        <v>2</v>
      </c>
      <c r="L1626" s="9" t="s">
        <v>1175</v>
      </c>
      <c r="M1626" s="30" t="s">
        <v>84</v>
      </c>
      <c r="N1626" s="30" t="s">
        <v>154</v>
      </c>
      <c r="O1626" s="24">
        <v>0</v>
      </c>
      <c r="P1626" s="24">
        <v>99</v>
      </c>
      <c r="Q1626" s="24">
        <v>133</v>
      </c>
      <c r="R1626" s="24">
        <v>0</v>
      </c>
      <c r="S1626" s="24">
        <v>0</v>
      </c>
      <c r="T1626" s="24">
        <v>232</v>
      </c>
    </row>
    <row r="1627" spans="1:20">
      <c r="A1627" s="9" t="s">
        <v>1104</v>
      </c>
      <c r="B1627" s="30" t="s">
        <v>1164</v>
      </c>
      <c r="C1627" s="30" t="str">
        <f>CONCATENATE(VOL_VOLUMEN_SUMINISTROS[[#This Row],[Proyecto]],VOL_VOLUMEN_SUMINISTROS[[#This Row],[J]],VOL_VOLUMEN_SUMINISTROS[[#This Row],[FIN DE SEMANA]])</f>
        <v>1052-1NNO</v>
      </c>
      <c r="D1627" s="360" t="str">
        <f>CONCATENATE(VOL_VOLUMEN_SUMINISTROS[[#This Row],[Grupo]],VOL_VOLUMEN_SUMINISTROS[[#This Row],[Proyecto]],VOL_VOLUMEN_SUMINISTROS[[#This Row],[FIN DE SEMANA]])</f>
        <v>181052-1NO</v>
      </c>
      <c r="E1627" s="30" t="s">
        <v>146</v>
      </c>
      <c r="F1627" s="30" t="s">
        <v>147</v>
      </c>
      <c r="G1627" s="360">
        <v>18</v>
      </c>
      <c r="H1627" s="30">
        <v>5</v>
      </c>
      <c r="I1627" s="9" t="s">
        <v>763</v>
      </c>
      <c r="J1627" s="9" t="s">
        <v>1176</v>
      </c>
      <c r="K1627" s="30">
        <v>1</v>
      </c>
      <c r="L1627" s="9" t="s">
        <v>1177</v>
      </c>
      <c r="M1627" s="30" t="s">
        <v>84</v>
      </c>
      <c r="N1627" s="30" t="s">
        <v>153</v>
      </c>
      <c r="O1627" s="24">
        <v>0</v>
      </c>
      <c r="P1627" s="24">
        <v>0</v>
      </c>
      <c r="Q1627" s="24">
        <v>0</v>
      </c>
      <c r="R1627" s="24">
        <v>130</v>
      </c>
      <c r="S1627" s="24">
        <v>162</v>
      </c>
      <c r="T1627" s="24">
        <v>292</v>
      </c>
    </row>
    <row r="1628" spans="1:20">
      <c r="A1628" s="9" t="s">
        <v>1104</v>
      </c>
      <c r="B1628" s="30" t="s">
        <v>1164</v>
      </c>
      <c r="C1628" s="30" t="str">
        <f>CONCATENATE(VOL_VOLUMEN_SUMINISTROS[[#This Row],[Proyecto]],VOL_VOLUMEN_SUMINISTROS[[#This Row],[J]],VOL_VOLUMEN_SUMINISTROS[[#This Row],[FIN DE SEMANA]])</f>
        <v>1052-1MNO</v>
      </c>
      <c r="D1628" s="360" t="str">
        <f>CONCATENATE(VOL_VOLUMEN_SUMINISTROS[[#This Row],[Grupo]],VOL_VOLUMEN_SUMINISTROS[[#This Row],[Proyecto]],VOL_VOLUMEN_SUMINISTROS[[#This Row],[FIN DE SEMANA]])</f>
        <v>181052-1NO</v>
      </c>
      <c r="E1628" s="30" t="s">
        <v>146</v>
      </c>
      <c r="F1628" s="30" t="s">
        <v>147</v>
      </c>
      <c r="G1628" s="360">
        <v>18</v>
      </c>
      <c r="H1628" s="30">
        <v>5</v>
      </c>
      <c r="I1628" s="9" t="s">
        <v>763</v>
      </c>
      <c r="J1628" s="9" t="s">
        <v>1176</v>
      </c>
      <c r="K1628" s="30">
        <v>2</v>
      </c>
      <c r="L1628" s="9" t="s">
        <v>1178</v>
      </c>
      <c r="M1628" s="30" t="s">
        <v>84</v>
      </c>
      <c r="N1628" s="30" t="s">
        <v>151</v>
      </c>
      <c r="O1628" s="24">
        <v>222</v>
      </c>
      <c r="P1628" s="24">
        <v>88</v>
      </c>
      <c r="Q1628" s="24">
        <v>0</v>
      </c>
      <c r="R1628" s="24">
        <v>0</v>
      </c>
      <c r="S1628" s="24">
        <v>0</v>
      </c>
      <c r="T1628" s="24">
        <v>310</v>
      </c>
    </row>
    <row r="1629" spans="1:20">
      <c r="A1629" s="9" t="s">
        <v>1104</v>
      </c>
      <c r="B1629" s="30" t="s">
        <v>1164</v>
      </c>
      <c r="C1629" s="30" t="str">
        <f>CONCATENATE(VOL_VOLUMEN_SUMINISTROS[[#This Row],[Proyecto]],VOL_VOLUMEN_SUMINISTROS[[#This Row],[J]],VOL_VOLUMEN_SUMINISTROS[[#This Row],[FIN DE SEMANA]])</f>
        <v>1052-1TNO</v>
      </c>
      <c r="D1629" s="360" t="str">
        <f>CONCATENATE(VOL_VOLUMEN_SUMINISTROS[[#This Row],[Grupo]],VOL_VOLUMEN_SUMINISTROS[[#This Row],[Proyecto]],VOL_VOLUMEN_SUMINISTROS[[#This Row],[FIN DE SEMANA]])</f>
        <v>181052-1NO</v>
      </c>
      <c r="E1629" s="30" t="s">
        <v>146</v>
      </c>
      <c r="F1629" s="30" t="s">
        <v>147</v>
      </c>
      <c r="G1629" s="360">
        <v>18</v>
      </c>
      <c r="H1629" s="30">
        <v>5</v>
      </c>
      <c r="I1629" s="9" t="s">
        <v>763</v>
      </c>
      <c r="J1629" s="9" t="s">
        <v>1176</v>
      </c>
      <c r="K1629" s="30">
        <v>2</v>
      </c>
      <c r="L1629" s="9" t="s">
        <v>1178</v>
      </c>
      <c r="M1629" s="30" t="s">
        <v>84</v>
      </c>
      <c r="N1629" s="30" t="s">
        <v>154</v>
      </c>
      <c r="O1629" s="24">
        <v>194</v>
      </c>
      <c r="P1629" s="24">
        <v>74</v>
      </c>
      <c r="Q1629" s="24">
        <v>0</v>
      </c>
      <c r="R1629" s="24">
        <v>0</v>
      </c>
      <c r="S1629" s="24">
        <v>0</v>
      </c>
      <c r="T1629" s="24">
        <v>268</v>
      </c>
    </row>
    <row r="1630" spans="1:20">
      <c r="A1630" s="9" t="s">
        <v>1104</v>
      </c>
      <c r="B1630" s="30" t="s">
        <v>1164</v>
      </c>
      <c r="C1630" s="30" t="str">
        <f>CONCATENATE(VOL_VOLUMEN_SUMINISTROS[[#This Row],[Proyecto]],VOL_VOLUMEN_SUMINISTROS[[#This Row],[J]],VOL_VOLUMEN_SUMINISTROS[[#This Row],[FIN DE SEMANA]])</f>
        <v>1052-1MNO</v>
      </c>
      <c r="D1630" s="360" t="str">
        <f>CONCATENATE(VOL_VOLUMEN_SUMINISTROS[[#This Row],[Grupo]],VOL_VOLUMEN_SUMINISTROS[[#This Row],[Proyecto]],VOL_VOLUMEN_SUMINISTROS[[#This Row],[FIN DE SEMANA]])</f>
        <v>181052-1NO</v>
      </c>
      <c r="E1630" s="30" t="s">
        <v>146</v>
      </c>
      <c r="F1630" s="30" t="s">
        <v>147</v>
      </c>
      <c r="G1630" s="360">
        <v>18</v>
      </c>
      <c r="H1630" s="30">
        <v>5</v>
      </c>
      <c r="I1630" s="9" t="s">
        <v>763</v>
      </c>
      <c r="J1630" s="9" t="s">
        <v>1179</v>
      </c>
      <c r="K1630" s="30">
        <v>1</v>
      </c>
      <c r="L1630" s="9" t="s">
        <v>1180</v>
      </c>
      <c r="M1630" s="30" t="s">
        <v>84</v>
      </c>
      <c r="N1630" s="30" t="s">
        <v>151</v>
      </c>
      <c r="O1630" s="24">
        <v>260</v>
      </c>
      <c r="P1630" s="24">
        <v>350</v>
      </c>
      <c r="Q1630" s="24">
        <v>484</v>
      </c>
      <c r="R1630" s="24">
        <v>0</v>
      </c>
      <c r="S1630" s="24">
        <v>0</v>
      </c>
      <c r="T1630" s="24">
        <v>1094</v>
      </c>
    </row>
    <row r="1631" spans="1:20">
      <c r="A1631" s="9" t="s">
        <v>1104</v>
      </c>
      <c r="B1631" s="30" t="s">
        <v>1164</v>
      </c>
      <c r="C1631" s="30" t="str">
        <f>CONCATENATE(VOL_VOLUMEN_SUMINISTROS[[#This Row],[Proyecto]],VOL_VOLUMEN_SUMINISTROS[[#This Row],[J]],VOL_VOLUMEN_SUMINISTROS[[#This Row],[FIN DE SEMANA]])</f>
        <v>1052-1TNO</v>
      </c>
      <c r="D1631" s="360" t="str">
        <f>CONCATENATE(VOL_VOLUMEN_SUMINISTROS[[#This Row],[Grupo]],VOL_VOLUMEN_SUMINISTROS[[#This Row],[Proyecto]],VOL_VOLUMEN_SUMINISTROS[[#This Row],[FIN DE SEMANA]])</f>
        <v>181052-1NO</v>
      </c>
      <c r="E1631" s="30" t="s">
        <v>146</v>
      </c>
      <c r="F1631" s="30" t="s">
        <v>147</v>
      </c>
      <c r="G1631" s="360">
        <v>18</v>
      </c>
      <c r="H1631" s="30">
        <v>5</v>
      </c>
      <c r="I1631" s="9" t="s">
        <v>763</v>
      </c>
      <c r="J1631" s="9" t="s">
        <v>1179</v>
      </c>
      <c r="K1631" s="30">
        <v>1</v>
      </c>
      <c r="L1631" s="9" t="s">
        <v>1180</v>
      </c>
      <c r="M1631" s="30" t="s">
        <v>84</v>
      </c>
      <c r="N1631" s="30" t="s">
        <v>154</v>
      </c>
      <c r="O1631" s="24">
        <v>256</v>
      </c>
      <c r="P1631" s="24">
        <v>373</v>
      </c>
      <c r="Q1631" s="24">
        <v>434</v>
      </c>
      <c r="R1631" s="24">
        <v>0</v>
      </c>
      <c r="S1631" s="24">
        <v>0</v>
      </c>
      <c r="T1631" s="24">
        <v>1063</v>
      </c>
    </row>
    <row r="1632" spans="1:20">
      <c r="A1632" s="9" t="s">
        <v>1104</v>
      </c>
      <c r="B1632" s="30" t="s">
        <v>1164</v>
      </c>
      <c r="C1632" s="30" t="str">
        <f>CONCATENATE(VOL_VOLUMEN_SUMINISTROS[[#This Row],[Proyecto]],VOL_VOLUMEN_SUMINISTROS[[#This Row],[J]],VOL_VOLUMEN_SUMINISTROS[[#This Row],[FIN DE SEMANA]])</f>
        <v>1052-1MNO</v>
      </c>
      <c r="D1632" s="360" t="str">
        <f>CONCATENATE(VOL_VOLUMEN_SUMINISTROS[[#This Row],[Grupo]],VOL_VOLUMEN_SUMINISTROS[[#This Row],[Proyecto]],VOL_VOLUMEN_SUMINISTROS[[#This Row],[FIN DE SEMANA]])</f>
        <v>181052-1NO</v>
      </c>
      <c r="E1632" s="30" t="s">
        <v>146</v>
      </c>
      <c r="F1632" s="30" t="s">
        <v>147</v>
      </c>
      <c r="G1632" s="360">
        <v>18</v>
      </c>
      <c r="H1632" s="30">
        <v>5</v>
      </c>
      <c r="I1632" s="9" t="s">
        <v>763</v>
      </c>
      <c r="J1632" s="9" t="s">
        <v>1181</v>
      </c>
      <c r="K1632" s="30">
        <v>1</v>
      </c>
      <c r="L1632" s="9" t="s">
        <v>152</v>
      </c>
      <c r="M1632" s="30" t="s">
        <v>84</v>
      </c>
      <c r="N1632" s="30" t="s">
        <v>151</v>
      </c>
      <c r="O1632" s="24">
        <v>44</v>
      </c>
      <c r="P1632" s="24">
        <v>111</v>
      </c>
      <c r="Q1632" s="24">
        <v>265</v>
      </c>
      <c r="R1632" s="24">
        <v>0</v>
      </c>
      <c r="S1632" s="24">
        <v>0</v>
      </c>
      <c r="T1632" s="24">
        <v>420</v>
      </c>
    </row>
    <row r="1633" spans="1:20">
      <c r="A1633" s="9" t="s">
        <v>1104</v>
      </c>
      <c r="B1633" s="30" t="s">
        <v>1164</v>
      </c>
      <c r="C1633" s="30" t="str">
        <f>CONCATENATE(VOL_VOLUMEN_SUMINISTROS[[#This Row],[Proyecto]],VOL_VOLUMEN_SUMINISTROS[[#This Row],[J]],VOL_VOLUMEN_SUMINISTROS[[#This Row],[FIN DE SEMANA]])</f>
        <v>1052-1TNO</v>
      </c>
      <c r="D1633" s="360" t="str">
        <f>CONCATENATE(VOL_VOLUMEN_SUMINISTROS[[#This Row],[Grupo]],VOL_VOLUMEN_SUMINISTROS[[#This Row],[Proyecto]],VOL_VOLUMEN_SUMINISTROS[[#This Row],[FIN DE SEMANA]])</f>
        <v>181052-1NO</v>
      </c>
      <c r="E1633" s="30" t="s">
        <v>146</v>
      </c>
      <c r="F1633" s="30" t="s">
        <v>147</v>
      </c>
      <c r="G1633" s="360">
        <v>18</v>
      </c>
      <c r="H1633" s="30">
        <v>5</v>
      </c>
      <c r="I1633" s="9" t="s">
        <v>763</v>
      </c>
      <c r="J1633" s="9" t="s">
        <v>1181</v>
      </c>
      <c r="K1633" s="30">
        <v>1</v>
      </c>
      <c r="L1633" s="9" t="s">
        <v>152</v>
      </c>
      <c r="M1633" s="30" t="s">
        <v>84</v>
      </c>
      <c r="N1633" s="30" t="s">
        <v>154</v>
      </c>
      <c r="O1633" s="24">
        <v>152</v>
      </c>
      <c r="P1633" s="24">
        <v>144</v>
      </c>
      <c r="Q1633" s="24">
        <v>30</v>
      </c>
      <c r="R1633" s="24">
        <v>0</v>
      </c>
      <c r="S1633" s="24">
        <v>0</v>
      </c>
      <c r="T1633" s="24">
        <v>326</v>
      </c>
    </row>
    <row r="1634" spans="1:20">
      <c r="A1634" s="9" t="s">
        <v>1104</v>
      </c>
      <c r="B1634" s="30" t="s">
        <v>1164</v>
      </c>
      <c r="C1634" s="30" t="str">
        <f>CONCATENATE(VOL_VOLUMEN_SUMINISTROS[[#This Row],[Proyecto]],VOL_VOLUMEN_SUMINISTROS[[#This Row],[J]],VOL_VOLUMEN_SUMINISTROS[[#This Row],[FIN DE SEMANA]])</f>
        <v>1052-1MNO</v>
      </c>
      <c r="D1634" s="360" t="str">
        <f>CONCATENATE(VOL_VOLUMEN_SUMINISTROS[[#This Row],[Grupo]],VOL_VOLUMEN_SUMINISTROS[[#This Row],[Proyecto]],VOL_VOLUMEN_SUMINISTROS[[#This Row],[FIN DE SEMANA]])</f>
        <v>181052-1NO</v>
      </c>
      <c r="E1634" s="30" t="s">
        <v>146</v>
      </c>
      <c r="F1634" s="30" t="s">
        <v>147</v>
      </c>
      <c r="G1634" s="360">
        <v>18</v>
      </c>
      <c r="H1634" s="30">
        <v>5</v>
      </c>
      <c r="I1634" s="9" t="s">
        <v>763</v>
      </c>
      <c r="J1634" s="9" t="s">
        <v>1182</v>
      </c>
      <c r="K1634" s="30">
        <v>2</v>
      </c>
      <c r="L1634" s="9" t="s">
        <v>1183</v>
      </c>
      <c r="M1634" s="30" t="s">
        <v>84</v>
      </c>
      <c r="N1634" s="30" t="s">
        <v>151</v>
      </c>
      <c r="O1634" s="24">
        <v>150</v>
      </c>
      <c r="P1634" s="24">
        <v>213</v>
      </c>
      <c r="Q1634" s="24">
        <v>46</v>
      </c>
      <c r="R1634" s="24">
        <v>0</v>
      </c>
      <c r="S1634" s="24">
        <v>0</v>
      </c>
      <c r="T1634" s="24">
        <v>409</v>
      </c>
    </row>
    <row r="1635" spans="1:20">
      <c r="A1635" s="9" t="s">
        <v>1104</v>
      </c>
      <c r="B1635" s="30" t="s">
        <v>1164</v>
      </c>
      <c r="C1635" s="30" t="str">
        <f>CONCATENATE(VOL_VOLUMEN_SUMINISTROS[[#This Row],[Proyecto]],VOL_VOLUMEN_SUMINISTROS[[#This Row],[J]],VOL_VOLUMEN_SUMINISTROS[[#This Row],[FIN DE SEMANA]])</f>
        <v>1052-1TNO</v>
      </c>
      <c r="D1635" s="360" t="str">
        <f>CONCATENATE(VOL_VOLUMEN_SUMINISTROS[[#This Row],[Grupo]],VOL_VOLUMEN_SUMINISTROS[[#This Row],[Proyecto]],VOL_VOLUMEN_SUMINISTROS[[#This Row],[FIN DE SEMANA]])</f>
        <v>181052-1NO</v>
      </c>
      <c r="E1635" s="30" t="s">
        <v>146</v>
      </c>
      <c r="F1635" s="30" t="s">
        <v>147</v>
      </c>
      <c r="G1635" s="360">
        <v>18</v>
      </c>
      <c r="H1635" s="30">
        <v>5</v>
      </c>
      <c r="I1635" s="9" t="s">
        <v>763</v>
      </c>
      <c r="J1635" s="9" t="s">
        <v>1182</v>
      </c>
      <c r="K1635" s="30">
        <v>2</v>
      </c>
      <c r="L1635" s="9" t="s">
        <v>1183</v>
      </c>
      <c r="M1635" s="30" t="s">
        <v>84</v>
      </c>
      <c r="N1635" s="30" t="s">
        <v>154</v>
      </c>
      <c r="O1635" s="24">
        <v>190</v>
      </c>
      <c r="P1635" s="24">
        <v>149</v>
      </c>
      <c r="Q1635" s="24">
        <v>18</v>
      </c>
      <c r="R1635" s="24">
        <v>0</v>
      </c>
      <c r="S1635" s="24">
        <v>0</v>
      </c>
      <c r="T1635" s="24">
        <v>357</v>
      </c>
    </row>
    <row r="1636" spans="1:20">
      <c r="A1636" s="9" t="s">
        <v>1104</v>
      </c>
      <c r="B1636" s="30" t="s">
        <v>1164</v>
      </c>
      <c r="C1636" s="30" t="str">
        <f>CONCATENATE(VOL_VOLUMEN_SUMINISTROS[[#This Row],[Proyecto]],VOL_VOLUMEN_SUMINISTROS[[#This Row],[J]],VOL_VOLUMEN_SUMINISTROS[[#This Row],[FIN DE SEMANA]])</f>
        <v>1052-1MNO</v>
      </c>
      <c r="D1636" s="360" t="str">
        <f>CONCATENATE(VOL_VOLUMEN_SUMINISTROS[[#This Row],[Grupo]],VOL_VOLUMEN_SUMINISTROS[[#This Row],[Proyecto]],VOL_VOLUMEN_SUMINISTROS[[#This Row],[FIN DE SEMANA]])</f>
        <v>181052-1NO</v>
      </c>
      <c r="E1636" s="30" t="s">
        <v>146</v>
      </c>
      <c r="F1636" s="30" t="s">
        <v>147</v>
      </c>
      <c r="G1636" s="360">
        <v>18</v>
      </c>
      <c r="H1636" s="30">
        <v>5</v>
      </c>
      <c r="I1636" s="9" t="s">
        <v>763</v>
      </c>
      <c r="J1636" s="9" t="s">
        <v>1182</v>
      </c>
      <c r="K1636" s="30">
        <v>4</v>
      </c>
      <c r="L1636" s="9" t="s">
        <v>225</v>
      </c>
      <c r="M1636" s="30" t="s">
        <v>84</v>
      </c>
      <c r="N1636" s="30" t="s">
        <v>151</v>
      </c>
      <c r="O1636" s="24">
        <v>213</v>
      </c>
      <c r="P1636" s="24">
        <v>0</v>
      </c>
      <c r="Q1636" s="24">
        <v>0</v>
      </c>
      <c r="R1636" s="24">
        <v>0</v>
      </c>
      <c r="S1636" s="24">
        <v>0</v>
      </c>
      <c r="T1636" s="24">
        <v>213</v>
      </c>
    </row>
    <row r="1637" spans="1:20">
      <c r="A1637" s="9" t="s">
        <v>1104</v>
      </c>
      <c r="B1637" s="30" t="s">
        <v>1164</v>
      </c>
      <c r="C1637" s="30" t="str">
        <f>CONCATENATE(VOL_VOLUMEN_SUMINISTROS[[#This Row],[Proyecto]],VOL_VOLUMEN_SUMINISTROS[[#This Row],[J]],VOL_VOLUMEN_SUMINISTROS[[#This Row],[FIN DE SEMANA]])</f>
        <v>1052-1TNO</v>
      </c>
      <c r="D1637" s="360" t="str">
        <f>CONCATENATE(VOL_VOLUMEN_SUMINISTROS[[#This Row],[Grupo]],VOL_VOLUMEN_SUMINISTROS[[#This Row],[Proyecto]],VOL_VOLUMEN_SUMINISTROS[[#This Row],[FIN DE SEMANA]])</f>
        <v>181052-1NO</v>
      </c>
      <c r="E1637" s="30" t="s">
        <v>146</v>
      </c>
      <c r="F1637" s="30" t="s">
        <v>147</v>
      </c>
      <c r="G1637" s="360">
        <v>18</v>
      </c>
      <c r="H1637" s="30">
        <v>5</v>
      </c>
      <c r="I1637" s="9" t="s">
        <v>763</v>
      </c>
      <c r="J1637" s="9" t="s">
        <v>1182</v>
      </c>
      <c r="K1637" s="30">
        <v>4</v>
      </c>
      <c r="L1637" s="9" t="s">
        <v>225</v>
      </c>
      <c r="M1637" s="30" t="s">
        <v>84</v>
      </c>
      <c r="N1637" s="30" t="s">
        <v>154</v>
      </c>
      <c r="O1637" s="24">
        <v>158</v>
      </c>
      <c r="P1637" s="24">
        <v>0</v>
      </c>
      <c r="Q1637" s="24">
        <v>0</v>
      </c>
      <c r="R1637" s="24">
        <v>0</v>
      </c>
      <c r="S1637" s="24">
        <v>0</v>
      </c>
      <c r="T1637" s="24">
        <v>158</v>
      </c>
    </row>
    <row r="1638" spans="1:20">
      <c r="A1638" s="9" t="s">
        <v>1104</v>
      </c>
      <c r="B1638" s="30" t="s">
        <v>1164</v>
      </c>
      <c r="C1638" s="30" t="str">
        <f>CONCATENATE(VOL_VOLUMEN_SUMINISTROS[[#This Row],[Proyecto]],VOL_VOLUMEN_SUMINISTROS[[#This Row],[J]],VOL_VOLUMEN_SUMINISTROS[[#This Row],[FIN DE SEMANA]])</f>
        <v>1052-2MSI</v>
      </c>
      <c r="D1638" s="360" t="str">
        <f>CONCATENATE(VOL_VOLUMEN_SUMINISTROS[[#This Row],[Grupo]],VOL_VOLUMEN_SUMINISTROS[[#This Row],[Proyecto]],VOL_VOLUMEN_SUMINISTROS[[#This Row],[FIN DE SEMANA]])</f>
        <v>181052-2SI</v>
      </c>
      <c r="E1638" s="30" t="s">
        <v>182</v>
      </c>
      <c r="F1638" s="30" t="s">
        <v>147</v>
      </c>
      <c r="G1638" s="360">
        <v>18</v>
      </c>
      <c r="H1638" s="30">
        <v>5</v>
      </c>
      <c r="I1638" s="9" t="s">
        <v>763</v>
      </c>
      <c r="J1638" s="9" t="s">
        <v>1184</v>
      </c>
      <c r="K1638" s="30">
        <v>1</v>
      </c>
      <c r="L1638" s="9" t="s">
        <v>1185</v>
      </c>
      <c r="M1638" s="30" t="s">
        <v>105</v>
      </c>
      <c r="N1638" s="30" t="s">
        <v>151</v>
      </c>
      <c r="O1638" s="24">
        <v>0</v>
      </c>
      <c r="P1638" s="24">
        <v>210</v>
      </c>
      <c r="Q1638" s="24">
        <v>465</v>
      </c>
      <c r="R1638" s="24">
        <v>0</v>
      </c>
      <c r="S1638" s="24">
        <v>0</v>
      </c>
      <c r="T1638" s="24">
        <v>675</v>
      </c>
    </row>
    <row r="1639" spans="1:20">
      <c r="A1639" s="9" t="s">
        <v>1104</v>
      </c>
      <c r="B1639" s="30" t="s">
        <v>1164</v>
      </c>
      <c r="C1639" s="30" t="str">
        <f>CONCATENATE(VOL_VOLUMEN_SUMINISTROS[[#This Row],[Proyecto]],VOL_VOLUMEN_SUMINISTROS[[#This Row],[J]],VOL_VOLUMEN_SUMINISTROS[[#This Row],[FIN DE SEMANA]])</f>
        <v>1052-1NNO</v>
      </c>
      <c r="D1639" s="360" t="str">
        <f>CONCATENATE(VOL_VOLUMEN_SUMINISTROS[[#This Row],[Grupo]],VOL_VOLUMEN_SUMINISTROS[[#This Row],[Proyecto]],VOL_VOLUMEN_SUMINISTROS[[#This Row],[FIN DE SEMANA]])</f>
        <v>181052-1NO</v>
      </c>
      <c r="E1639" s="30" t="s">
        <v>146</v>
      </c>
      <c r="F1639" s="30" t="s">
        <v>147</v>
      </c>
      <c r="G1639" s="360">
        <v>18</v>
      </c>
      <c r="H1639" s="30">
        <v>5</v>
      </c>
      <c r="I1639" s="9" t="s">
        <v>763</v>
      </c>
      <c r="J1639" s="9" t="s">
        <v>1184</v>
      </c>
      <c r="K1639" s="30">
        <v>1</v>
      </c>
      <c r="L1639" s="9" t="s">
        <v>1185</v>
      </c>
      <c r="M1639" s="30" t="s">
        <v>84</v>
      </c>
      <c r="N1639" s="30" t="s">
        <v>153</v>
      </c>
      <c r="O1639" s="24">
        <v>0</v>
      </c>
      <c r="P1639" s="24">
        <v>0</v>
      </c>
      <c r="Q1639" s="24">
        <v>0</v>
      </c>
      <c r="R1639" s="24">
        <v>208</v>
      </c>
      <c r="S1639" s="24">
        <v>192</v>
      </c>
      <c r="T1639" s="24">
        <v>400</v>
      </c>
    </row>
    <row r="1640" spans="1:20">
      <c r="A1640" s="9" t="s">
        <v>1104</v>
      </c>
      <c r="B1640" s="30" t="s">
        <v>1164</v>
      </c>
      <c r="C1640" s="30" t="str">
        <f>CONCATENATE(VOL_VOLUMEN_SUMINISTROS[[#This Row],[Proyecto]],VOL_VOLUMEN_SUMINISTROS[[#This Row],[J]],VOL_VOLUMEN_SUMINISTROS[[#This Row],[FIN DE SEMANA]])</f>
        <v>1052-1TNO</v>
      </c>
      <c r="D1640" s="360" t="str">
        <f>CONCATENATE(VOL_VOLUMEN_SUMINISTROS[[#This Row],[Grupo]],VOL_VOLUMEN_SUMINISTROS[[#This Row],[Proyecto]],VOL_VOLUMEN_SUMINISTROS[[#This Row],[FIN DE SEMANA]])</f>
        <v>181052-1NO</v>
      </c>
      <c r="E1640" s="30" t="s">
        <v>146</v>
      </c>
      <c r="F1640" s="30" t="s">
        <v>147</v>
      </c>
      <c r="G1640" s="360">
        <v>18</v>
      </c>
      <c r="H1640" s="30">
        <v>5</v>
      </c>
      <c r="I1640" s="9" t="s">
        <v>763</v>
      </c>
      <c r="J1640" s="9" t="s">
        <v>1184</v>
      </c>
      <c r="K1640" s="30">
        <v>1</v>
      </c>
      <c r="L1640" s="9" t="s">
        <v>1185</v>
      </c>
      <c r="M1640" s="30" t="s">
        <v>84</v>
      </c>
      <c r="N1640" s="30" t="s">
        <v>154</v>
      </c>
      <c r="O1640" s="24">
        <v>0</v>
      </c>
      <c r="P1640" s="24">
        <v>243</v>
      </c>
      <c r="Q1640" s="24">
        <v>348</v>
      </c>
      <c r="R1640" s="24">
        <v>0</v>
      </c>
      <c r="S1640" s="24">
        <v>0</v>
      </c>
      <c r="T1640" s="24">
        <v>591</v>
      </c>
    </row>
    <row r="1641" spans="1:20">
      <c r="A1641" s="9" t="s">
        <v>1104</v>
      </c>
      <c r="B1641" s="30" t="s">
        <v>1164</v>
      </c>
      <c r="C1641" s="30" t="str">
        <f>CONCATENATE(VOL_VOLUMEN_SUMINISTROS[[#This Row],[Proyecto]],VOL_VOLUMEN_SUMINISTROS[[#This Row],[J]],VOL_VOLUMEN_SUMINISTROS[[#This Row],[FIN DE SEMANA]])</f>
        <v>1052-1MNO</v>
      </c>
      <c r="D1641" s="360" t="str">
        <f>CONCATENATE(VOL_VOLUMEN_SUMINISTROS[[#This Row],[Grupo]],VOL_VOLUMEN_SUMINISTROS[[#This Row],[Proyecto]],VOL_VOLUMEN_SUMINISTROS[[#This Row],[FIN DE SEMANA]])</f>
        <v>181052-1NO</v>
      </c>
      <c r="E1641" s="30" t="s">
        <v>146</v>
      </c>
      <c r="F1641" s="30" t="s">
        <v>147</v>
      </c>
      <c r="G1641" s="360">
        <v>18</v>
      </c>
      <c r="H1641" s="30">
        <v>5</v>
      </c>
      <c r="I1641" s="9" t="s">
        <v>763</v>
      </c>
      <c r="J1641" s="9" t="s">
        <v>1184</v>
      </c>
      <c r="K1641" s="30">
        <v>2</v>
      </c>
      <c r="L1641" s="9" t="s">
        <v>1186</v>
      </c>
      <c r="M1641" s="30" t="s">
        <v>84</v>
      </c>
      <c r="N1641" s="30" t="s">
        <v>151</v>
      </c>
      <c r="O1641" s="24">
        <v>100</v>
      </c>
      <c r="P1641" s="24">
        <v>21</v>
      </c>
      <c r="Q1641" s="24">
        <v>0</v>
      </c>
      <c r="R1641" s="24">
        <v>0</v>
      </c>
      <c r="S1641" s="24">
        <v>0</v>
      </c>
      <c r="T1641" s="24">
        <v>121</v>
      </c>
    </row>
    <row r="1642" spans="1:20">
      <c r="A1642" s="9" t="s">
        <v>1104</v>
      </c>
      <c r="B1642" s="30" t="s">
        <v>1164</v>
      </c>
      <c r="C1642" s="30" t="str">
        <f>CONCATENATE(VOL_VOLUMEN_SUMINISTROS[[#This Row],[Proyecto]],VOL_VOLUMEN_SUMINISTROS[[#This Row],[J]],VOL_VOLUMEN_SUMINISTROS[[#This Row],[FIN DE SEMANA]])</f>
        <v>1052-1TNO</v>
      </c>
      <c r="D1642" s="360" t="str">
        <f>CONCATENATE(VOL_VOLUMEN_SUMINISTROS[[#This Row],[Grupo]],VOL_VOLUMEN_SUMINISTROS[[#This Row],[Proyecto]],VOL_VOLUMEN_SUMINISTROS[[#This Row],[FIN DE SEMANA]])</f>
        <v>181052-1NO</v>
      </c>
      <c r="E1642" s="30" t="s">
        <v>146</v>
      </c>
      <c r="F1642" s="30" t="s">
        <v>147</v>
      </c>
      <c r="G1642" s="360">
        <v>18</v>
      </c>
      <c r="H1642" s="30">
        <v>5</v>
      </c>
      <c r="I1642" s="9" t="s">
        <v>763</v>
      </c>
      <c r="J1642" s="9" t="s">
        <v>1184</v>
      </c>
      <c r="K1642" s="30">
        <v>2</v>
      </c>
      <c r="L1642" s="9" t="s">
        <v>1186</v>
      </c>
      <c r="M1642" s="30" t="s">
        <v>84</v>
      </c>
      <c r="N1642" s="30" t="s">
        <v>154</v>
      </c>
      <c r="O1642" s="24">
        <v>107</v>
      </c>
      <c r="P1642" s="24">
        <v>21</v>
      </c>
      <c r="Q1642" s="24">
        <v>0</v>
      </c>
      <c r="R1642" s="24">
        <v>0</v>
      </c>
      <c r="S1642" s="24">
        <v>0</v>
      </c>
      <c r="T1642" s="24">
        <v>128</v>
      </c>
    </row>
    <row r="1643" spans="1:20">
      <c r="A1643" s="9" t="s">
        <v>1104</v>
      </c>
      <c r="B1643" s="30" t="s">
        <v>1164</v>
      </c>
      <c r="C1643" s="30" t="str">
        <f>CONCATENATE(VOL_VOLUMEN_SUMINISTROS[[#This Row],[Proyecto]],VOL_VOLUMEN_SUMINISTROS[[#This Row],[J]],VOL_VOLUMEN_SUMINISTROS[[#This Row],[FIN DE SEMANA]])</f>
        <v>1052-1MNO</v>
      </c>
      <c r="D1643" s="360" t="str">
        <f>CONCATENATE(VOL_VOLUMEN_SUMINISTROS[[#This Row],[Grupo]],VOL_VOLUMEN_SUMINISTROS[[#This Row],[Proyecto]],VOL_VOLUMEN_SUMINISTROS[[#This Row],[FIN DE SEMANA]])</f>
        <v>181052-1NO</v>
      </c>
      <c r="E1643" s="30" t="s">
        <v>146</v>
      </c>
      <c r="F1643" s="30" t="s">
        <v>147</v>
      </c>
      <c r="G1643" s="360">
        <v>18</v>
      </c>
      <c r="H1643" s="30">
        <v>5</v>
      </c>
      <c r="I1643" s="9" t="s">
        <v>763</v>
      </c>
      <c r="J1643" s="9" t="s">
        <v>1184</v>
      </c>
      <c r="K1643" s="30">
        <v>3</v>
      </c>
      <c r="L1643" s="9" t="s">
        <v>1186</v>
      </c>
      <c r="M1643" s="30" t="s">
        <v>84</v>
      </c>
      <c r="N1643" s="30" t="s">
        <v>151</v>
      </c>
      <c r="O1643" s="24">
        <v>88</v>
      </c>
      <c r="P1643" s="24">
        <v>92</v>
      </c>
      <c r="Q1643" s="24">
        <v>16</v>
      </c>
      <c r="R1643" s="24">
        <v>0</v>
      </c>
      <c r="S1643" s="24">
        <v>0</v>
      </c>
      <c r="T1643" s="24">
        <v>196</v>
      </c>
    </row>
    <row r="1644" spans="1:20">
      <c r="A1644" s="9" t="s">
        <v>1104</v>
      </c>
      <c r="B1644" s="30" t="s">
        <v>1164</v>
      </c>
      <c r="C1644" s="30" t="str">
        <f>CONCATENATE(VOL_VOLUMEN_SUMINISTROS[[#This Row],[Proyecto]],VOL_VOLUMEN_SUMINISTROS[[#This Row],[J]],VOL_VOLUMEN_SUMINISTROS[[#This Row],[FIN DE SEMANA]])</f>
        <v>1052-1TNO</v>
      </c>
      <c r="D1644" s="360" t="str">
        <f>CONCATENATE(VOL_VOLUMEN_SUMINISTROS[[#This Row],[Grupo]],VOL_VOLUMEN_SUMINISTROS[[#This Row],[Proyecto]],VOL_VOLUMEN_SUMINISTROS[[#This Row],[FIN DE SEMANA]])</f>
        <v>181052-1NO</v>
      </c>
      <c r="E1644" s="30" t="s">
        <v>146</v>
      </c>
      <c r="F1644" s="30" t="s">
        <v>147</v>
      </c>
      <c r="G1644" s="360">
        <v>18</v>
      </c>
      <c r="H1644" s="30">
        <v>5</v>
      </c>
      <c r="I1644" s="9" t="s">
        <v>763</v>
      </c>
      <c r="J1644" s="9" t="s">
        <v>1184</v>
      </c>
      <c r="K1644" s="30">
        <v>3</v>
      </c>
      <c r="L1644" s="9" t="s">
        <v>1186</v>
      </c>
      <c r="M1644" s="30" t="s">
        <v>84</v>
      </c>
      <c r="N1644" s="30" t="s">
        <v>154</v>
      </c>
      <c r="O1644" s="24">
        <v>90</v>
      </c>
      <c r="P1644" s="24">
        <v>93</v>
      </c>
      <c r="Q1644" s="24">
        <v>16</v>
      </c>
      <c r="R1644" s="24">
        <v>0</v>
      </c>
      <c r="S1644" s="24">
        <v>0</v>
      </c>
      <c r="T1644" s="24">
        <v>199</v>
      </c>
    </row>
    <row r="1645" spans="1:20">
      <c r="A1645" s="9" t="s">
        <v>1104</v>
      </c>
      <c r="B1645" s="30" t="s">
        <v>1164</v>
      </c>
      <c r="C1645" s="30" t="str">
        <f>CONCATENATE(VOL_VOLUMEN_SUMINISTROS[[#This Row],[Proyecto]],VOL_VOLUMEN_SUMINISTROS[[#This Row],[J]],VOL_VOLUMEN_SUMINISTROS[[#This Row],[FIN DE SEMANA]])</f>
        <v>1052-1MNO</v>
      </c>
      <c r="D1645" s="360" t="str">
        <f>CONCATENATE(VOL_VOLUMEN_SUMINISTROS[[#This Row],[Grupo]],VOL_VOLUMEN_SUMINISTROS[[#This Row],[Proyecto]],VOL_VOLUMEN_SUMINISTROS[[#This Row],[FIN DE SEMANA]])</f>
        <v>181052-1NO</v>
      </c>
      <c r="E1645" s="30" t="s">
        <v>146</v>
      </c>
      <c r="F1645" s="30" t="s">
        <v>147</v>
      </c>
      <c r="G1645" s="360">
        <v>18</v>
      </c>
      <c r="H1645" s="30">
        <v>5</v>
      </c>
      <c r="I1645" s="9" t="s">
        <v>763</v>
      </c>
      <c r="J1645" s="9" t="s">
        <v>1187</v>
      </c>
      <c r="K1645" s="30">
        <v>1</v>
      </c>
      <c r="L1645" s="9" t="s">
        <v>1188</v>
      </c>
      <c r="M1645" s="30" t="s">
        <v>84</v>
      </c>
      <c r="N1645" s="30" t="s">
        <v>151</v>
      </c>
      <c r="O1645" s="24">
        <v>109</v>
      </c>
      <c r="P1645" s="24">
        <v>159</v>
      </c>
      <c r="Q1645" s="24">
        <v>183</v>
      </c>
      <c r="R1645" s="24">
        <v>0</v>
      </c>
      <c r="S1645" s="24">
        <v>0</v>
      </c>
      <c r="T1645" s="24">
        <v>451</v>
      </c>
    </row>
    <row r="1646" spans="1:20">
      <c r="A1646" s="9" t="s">
        <v>1104</v>
      </c>
      <c r="B1646" s="30" t="s">
        <v>1164</v>
      </c>
      <c r="C1646" s="30" t="str">
        <f>CONCATENATE(VOL_VOLUMEN_SUMINISTROS[[#This Row],[Proyecto]],VOL_VOLUMEN_SUMINISTROS[[#This Row],[J]],VOL_VOLUMEN_SUMINISTROS[[#This Row],[FIN DE SEMANA]])</f>
        <v>1052-1TNO</v>
      </c>
      <c r="D1646" s="360" t="str">
        <f>CONCATENATE(VOL_VOLUMEN_SUMINISTROS[[#This Row],[Grupo]],VOL_VOLUMEN_SUMINISTROS[[#This Row],[Proyecto]],VOL_VOLUMEN_SUMINISTROS[[#This Row],[FIN DE SEMANA]])</f>
        <v>181052-1NO</v>
      </c>
      <c r="E1646" s="30" t="s">
        <v>146</v>
      </c>
      <c r="F1646" s="30" t="s">
        <v>147</v>
      </c>
      <c r="G1646" s="360">
        <v>18</v>
      </c>
      <c r="H1646" s="30">
        <v>5</v>
      </c>
      <c r="I1646" s="9" t="s">
        <v>763</v>
      </c>
      <c r="J1646" s="9" t="s">
        <v>1187</v>
      </c>
      <c r="K1646" s="30">
        <v>1</v>
      </c>
      <c r="L1646" s="9" t="s">
        <v>1188</v>
      </c>
      <c r="M1646" s="30" t="s">
        <v>84</v>
      </c>
      <c r="N1646" s="30" t="s">
        <v>154</v>
      </c>
      <c r="O1646" s="24">
        <v>87</v>
      </c>
      <c r="P1646" s="24">
        <v>176</v>
      </c>
      <c r="Q1646" s="24">
        <v>161</v>
      </c>
      <c r="R1646" s="24">
        <v>0</v>
      </c>
      <c r="S1646" s="24">
        <v>0</v>
      </c>
      <c r="T1646" s="24">
        <v>424</v>
      </c>
    </row>
    <row r="1647" spans="1:20">
      <c r="A1647" s="9" t="s">
        <v>1104</v>
      </c>
      <c r="B1647" s="30" t="s">
        <v>1164</v>
      </c>
      <c r="C1647" s="30" t="str">
        <f>CONCATENATE(VOL_VOLUMEN_SUMINISTROS[[#This Row],[Proyecto]],VOL_VOLUMEN_SUMINISTROS[[#This Row],[J]],VOL_VOLUMEN_SUMINISTROS[[#This Row],[FIN DE SEMANA]])</f>
        <v>1052-1MNO</v>
      </c>
      <c r="D1647" s="360" t="str">
        <f>CONCATENATE(VOL_VOLUMEN_SUMINISTROS[[#This Row],[Grupo]],VOL_VOLUMEN_SUMINISTROS[[#This Row],[Proyecto]],VOL_VOLUMEN_SUMINISTROS[[#This Row],[FIN DE SEMANA]])</f>
        <v>181052-1NO</v>
      </c>
      <c r="E1647" s="30" t="s">
        <v>146</v>
      </c>
      <c r="F1647" s="30" t="s">
        <v>147</v>
      </c>
      <c r="G1647" s="360">
        <v>18</v>
      </c>
      <c r="H1647" s="30">
        <v>5</v>
      </c>
      <c r="I1647" s="9" t="s">
        <v>763</v>
      </c>
      <c r="J1647" s="9" t="s">
        <v>1187</v>
      </c>
      <c r="K1647" s="30">
        <v>2</v>
      </c>
      <c r="L1647" s="9" t="s">
        <v>1189</v>
      </c>
      <c r="M1647" s="30" t="s">
        <v>84</v>
      </c>
      <c r="N1647" s="30" t="s">
        <v>151</v>
      </c>
      <c r="O1647" s="24">
        <v>44</v>
      </c>
      <c r="P1647" s="24">
        <v>37</v>
      </c>
      <c r="Q1647" s="24">
        <v>5</v>
      </c>
      <c r="R1647" s="24">
        <v>0</v>
      </c>
      <c r="S1647" s="24">
        <v>0</v>
      </c>
      <c r="T1647" s="24">
        <v>86</v>
      </c>
    </row>
    <row r="1648" spans="1:20">
      <c r="A1648" s="9" t="s">
        <v>1104</v>
      </c>
      <c r="B1648" s="30" t="s">
        <v>1164</v>
      </c>
      <c r="C1648" s="30" t="str">
        <f>CONCATENATE(VOL_VOLUMEN_SUMINISTROS[[#This Row],[Proyecto]],VOL_VOLUMEN_SUMINISTROS[[#This Row],[J]],VOL_VOLUMEN_SUMINISTROS[[#This Row],[FIN DE SEMANA]])</f>
        <v>1052-1MNO</v>
      </c>
      <c r="D1648" s="360" t="str">
        <f>CONCATENATE(VOL_VOLUMEN_SUMINISTROS[[#This Row],[Grupo]],VOL_VOLUMEN_SUMINISTROS[[#This Row],[Proyecto]],VOL_VOLUMEN_SUMINISTROS[[#This Row],[FIN DE SEMANA]])</f>
        <v>181052-1NO</v>
      </c>
      <c r="E1648" s="30" t="s">
        <v>146</v>
      </c>
      <c r="F1648" s="30" t="s">
        <v>147</v>
      </c>
      <c r="G1648" s="360">
        <v>18</v>
      </c>
      <c r="H1648" s="30">
        <v>5</v>
      </c>
      <c r="I1648" s="9" t="s">
        <v>763</v>
      </c>
      <c r="J1648" s="9" t="s">
        <v>1190</v>
      </c>
      <c r="K1648" s="30">
        <v>1</v>
      </c>
      <c r="L1648" s="9" t="s">
        <v>1191</v>
      </c>
      <c r="M1648" s="30" t="s">
        <v>84</v>
      </c>
      <c r="N1648" s="30" t="s">
        <v>151</v>
      </c>
      <c r="O1648" s="24">
        <v>66</v>
      </c>
      <c r="P1648" s="24">
        <v>249</v>
      </c>
      <c r="Q1648" s="24">
        <v>457</v>
      </c>
      <c r="R1648" s="24">
        <v>0</v>
      </c>
      <c r="S1648" s="24">
        <v>0</v>
      </c>
      <c r="T1648" s="24">
        <v>772</v>
      </c>
    </row>
    <row r="1649" spans="1:20">
      <c r="A1649" s="9" t="s">
        <v>1104</v>
      </c>
      <c r="B1649" s="30" t="s">
        <v>1164</v>
      </c>
      <c r="C1649" s="30" t="str">
        <f>CONCATENATE(VOL_VOLUMEN_SUMINISTROS[[#This Row],[Proyecto]],VOL_VOLUMEN_SUMINISTROS[[#This Row],[J]],VOL_VOLUMEN_SUMINISTROS[[#This Row],[FIN DE SEMANA]])</f>
        <v>1052-1TNO</v>
      </c>
      <c r="D1649" s="360" t="str">
        <f>CONCATENATE(VOL_VOLUMEN_SUMINISTROS[[#This Row],[Grupo]],VOL_VOLUMEN_SUMINISTROS[[#This Row],[Proyecto]],VOL_VOLUMEN_SUMINISTROS[[#This Row],[FIN DE SEMANA]])</f>
        <v>181052-1NO</v>
      </c>
      <c r="E1649" s="30" t="s">
        <v>146</v>
      </c>
      <c r="F1649" s="30" t="s">
        <v>147</v>
      </c>
      <c r="G1649" s="360">
        <v>18</v>
      </c>
      <c r="H1649" s="30">
        <v>5</v>
      </c>
      <c r="I1649" s="9" t="s">
        <v>763</v>
      </c>
      <c r="J1649" s="9" t="s">
        <v>1190</v>
      </c>
      <c r="K1649" s="30">
        <v>1</v>
      </c>
      <c r="L1649" s="9" t="s">
        <v>1191</v>
      </c>
      <c r="M1649" s="30" t="s">
        <v>84</v>
      </c>
      <c r="N1649" s="30" t="s">
        <v>154</v>
      </c>
      <c r="O1649" s="24">
        <v>0</v>
      </c>
      <c r="P1649" s="24">
        <v>249</v>
      </c>
      <c r="Q1649" s="24">
        <v>296</v>
      </c>
      <c r="R1649" s="24">
        <v>0</v>
      </c>
      <c r="S1649" s="24">
        <v>0</v>
      </c>
      <c r="T1649" s="24">
        <v>545</v>
      </c>
    </row>
    <row r="1650" spans="1:20">
      <c r="A1650" s="9" t="s">
        <v>1104</v>
      </c>
      <c r="B1650" s="30" t="s">
        <v>1164</v>
      </c>
      <c r="C1650" s="30" t="str">
        <f>CONCATENATE(VOL_VOLUMEN_SUMINISTROS[[#This Row],[Proyecto]],VOL_VOLUMEN_SUMINISTROS[[#This Row],[J]],VOL_VOLUMEN_SUMINISTROS[[#This Row],[FIN DE SEMANA]])</f>
        <v>1052-1MNO</v>
      </c>
      <c r="D1650" s="360" t="str">
        <f>CONCATENATE(VOL_VOLUMEN_SUMINISTROS[[#This Row],[Grupo]],VOL_VOLUMEN_SUMINISTROS[[#This Row],[Proyecto]],VOL_VOLUMEN_SUMINISTROS[[#This Row],[FIN DE SEMANA]])</f>
        <v>181052-1NO</v>
      </c>
      <c r="E1650" s="30" t="s">
        <v>146</v>
      </c>
      <c r="F1650" s="30" t="s">
        <v>147</v>
      </c>
      <c r="G1650" s="360">
        <v>18</v>
      </c>
      <c r="H1650" s="30">
        <v>5</v>
      </c>
      <c r="I1650" s="9" t="s">
        <v>763</v>
      </c>
      <c r="J1650" s="9" t="s">
        <v>1190</v>
      </c>
      <c r="K1650" s="30">
        <v>2</v>
      </c>
      <c r="L1650" s="9" t="s">
        <v>1192</v>
      </c>
      <c r="M1650" s="30" t="s">
        <v>84</v>
      </c>
      <c r="N1650" s="30" t="s">
        <v>151</v>
      </c>
      <c r="O1650" s="24">
        <v>238</v>
      </c>
      <c r="P1650" s="24">
        <v>209</v>
      </c>
      <c r="Q1650" s="24">
        <v>30</v>
      </c>
      <c r="R1650" s="24">
        <v>0</v>
      </c>
      <c r="S1650" s="24">
        <v>0</v>
      </c>
      <c r="T1650" s="24">
        <v>477</v>
      </c>
    </row>
    <row r="1651" spans="1:20">
      <c r="A1651" s="9" t="s">
        <v>1104</v>
      </c>
      <c r="B1651" s="30" t="s">
        <v>1164</v>
      </c>
      <c r="C1651" s="30" t="str">
        <f>CONCATENATE(VOL_VOLUMEN_SUMINISTROS[[#This Row],[Proyecto]],VOL_VOLUMEN_SUMINISTROS[[#This Row],[J]],VOL_VOLUMEN_SUMINISTROS[[#This Row],[FIN DE SEMANA]])</f>
        <v>1052-1TNO</v>
      </c>
      <c r="D1651" s="360" t="str">
        <f>CONCATENATE(VOL_VOLUMEN_SUMINISTROS[[#This Row],[Grupo]],VOL_VOLUMEN_SUMINISTROS[[#This Row],[Proyecto]],VOL_VOLUMEN_SUMINISTROS[[#This Row],[FIN DE SEMANA]])</f>
        <v>181052-1NO</v>
      </c>
      <c r="E1651" s="30" t="s">
        <v>146</v>
      </c>
      <c r="F1651" s="30" t="s">
        <v>147</v>
      </c>
      <c r="G1651" s="360">
        <v>18</v>
      </c>
      <c r="H1651" s="30">
        <v>5</v>
      </c>
      <c r="I1651" s="9" t="s">
        <v>763</v>
      </c>
      <c r="J1651" s="9" t="s">
        <v>1190</v>
      </c>
      <c r="K1651" s="30">
        <v>2</v>
      </c>
      <c r="L1651" s="9" t="s">
        <v>1192</v>
      </c>
      <c r="M1651" s="30" t="s">
        <v>84</v>
      </c>
      <c r="N1651" s="30" t="s">
        <v>154</v>
      </c>
      <c r="O1651" s="24">
        <v>234</v>
      </c>
      <c r="P1651" s="24">
        <v>201</v>
      </c>
      <c r="Q1651" s="24">
        <v>28</v>
      </c>
      <c r="R1651" s="24">
        <v>0</v>
      </c>
      <c r="S1651" s="24">
        <v>0</v>
      </c>
      <c r="T1651" s="24">
        <v>463</v>
      </c>
    </row>
    <row r="1652" spans="1:20">
      <c r="A1652" s="9" t="s">
        <v>1104</v>
      </c>
      <c r="B1652" s="30" t="s">
        <v>1164</v>
      </c>
      <c r="C1652" s="30" t="str">
        <f>CONCATENATE(VOL_VOLUMEN_SUMINISTROS[[#This Row],[Proyecto]],VOL_VOLUMEN_SUMINISTROS[[#This Row],[J]],VOL_VOLUMEN_SUMINISTROS[[#This Row],[FIN DE SEMANA]])</f>
        <v>1052-1MNO</v>
      </c>
      <c r="D1652" s="360" t="str">
        <f>CONCATENATE(VOL_VOLUMEN_SUMINISTROS[[#This Row],[Grupo]],VOL_VOLUMEN_SUMINISTROS[[#This Row],[Proyecto]],VOL_VOLUMEN_SUMINISTROS[[#This Row],[FIN DE SEMANA]])</f>
        <v>181052-1NO</v>
      </c>
      <c r="E1652" s="30" t="s">
        <v>146</v>
      </c>
      <c r="F1652" s="30" t="s">
        <v>147</v>
      </c>
      <c r="G1652" s="360">
        <v>18</v>
      </c>
      <c r="H1652" s="30">
        <v>5</v>
      </c>
      <c r="I1652" s="9" t="s">
        <v>763</v>
      </c>
      <c r="J1652" s="9" t="s">
        <v>1190</v>
      </c>
      <c r="K1652" s="30">
        <v>3</v>
      </c>
      <c r="L1652" s="9" t="s">
        <v>1193</v>
      </c>
      <c r="M1652" s="30" t="s">
        <v>84</v>
      </c>
      <c r="N1652" s="30" t="s">
        <v>151</v>
      </c>
      <c r="O1652" s="24">
        <v>120</v>
      </c>
      <c r="P1652" s="24">
        <v>0</v>
      </c>
      <c r="Q1652" s="24">
        <v>0</v>
      </c>
      <c r="R1652" s="24">
        <v>0</v>
      </c>
      <c r="S1652" s="24">
        <v>0</v>
      </c>
      <c r="T1652" s="24">
        <v>120</v>
      </c>
    </row>
    <row r="1653" spans="1:20">
      <c r="A1653" s="9" t="s">
        <v>1104</v>
      </c>
      <c r="B1653" s="30" t="s">
        <v>1164</v>
      </c>
      <c r="C1653" s="30" t="str">
        <f>CONCATENATE(VOL_VOLUMEN_SUMINISTROS[[#This Row],[Proyecto]],VOL_VOLUMEN_SUMINISTROS[[#This Row],[J]],VOL_VOLUMEN_SUMINISTROS[[#This Row],[FIN DE SEMANA]])</f>
        <v>1052-1TNO</v>
      </c>
      <c r="D1653" s="360" t="str">
        <f>CONCATENATE(VOL_VOLUMEN_SUMINISTROS[[#This Row],[Grupo]],VOL_VOLUMEN_SUMINISTROS[[#This Row],[Proyecto]],VOL_VOLUMEN_SUMINISTROS[[#This Row],[FIN DE SEMANA]])</f>
        <v>181052-1NO</v>
      </c>
      <c r="E1653" s="30" t="s">
        <v>146</v>
      </c>
      <c r="F1653" s="30" t="s">
        <v>147</v>
      </c>
      <c r="G1653" s="360">
        <v>18</v>
      </c>
      <c r="H1653" s="30">
        <v>5</v>
      </c>
      <c r="I1653" s="9" t="s">
        <v>763</v>
      </c>
      <c r="J1653" s="9" t="s">
        <v>1190</v>
      </c>
      <c r="K1653" s="30">
        <v>3</v>
      </c>
      <c r="L1653" s="9" t="s">
        <v>1194</v>
      </c>
      <c r="M1653" s="30" t="s">
        <v>84</v>
      </c>
      <c r="N1653" s="30" t="s">
        <v>154</v>
      </c>
      <c r="O1653" s="24">
        <v>115</v>
      </c>
      <c r="P1653" s="24">
        <v>0</v>
      </c>
      <c r="Q1653" s="24">
        <v>0</v>
      </c>
      <c r="R1653" s="24">
        <v>0</v>
      </c>
      <c r="S1653" s="24">
        <v>0</v>
      </c>
      <c r="T1653" s="24">
        <v>115</v>
      </c>
    </row>
    <row r="1654" spans="1:20">
      <c r="A1654" s="9" t="s">
        <v>1104</v>
      </c>
      <c r="B1654" s="30" t="s">
        <v>1164</v>
      </c>
      <c r="C1654" s="30" t="str">
        <f>CONCATENATE(VOL_VOLUMEN_SUMINISTROS[[#This Row],[Proyecto]],VOL_VOLUMEN_SUMINISTROS[[#This Row],[J]],VOL_VOLUMEN_SUMINISTROS[[#This Row],[FIN DE SEMANA]])</f>
        <v>1052-1MNO</v>
      </c>
      <c r="D1654" s="360" t="str">
        <f>CONCATENATE(VOL_VOLUMEN_SUMINISTROS[[#This Row],[Grupo]],VOL_VOLUMEN_SUMINISTROS[[#This Row],[Proyecto]],VOL_VOLUMEN_SUMINISTROS[[#This Row],[FIN DE SEMANA]])</f>
        <v>181052-1NO</v>
      </c>
      <c r="E1654" s="30" t="s">
        <v>146</v>
      </c>
      <c r="F1654" s="30" t="s">
        <v>147</v>
      </c>
      <c r="G1654" s="360">
        <v>18</v>
      </c>
      <c r="H1654" s="30">
        <v>5</v>
      </c>
      <c r="I1654" s="9" t="s">
        <v>763</v>
      </c>
      <c r="J1654" s="9" t="s">
        <v>1195</v>
      </c>
      <c r="K1654" s="30">
        <v>1</v>
      </c>
      <c r="L1654" s="9" t="s">
        <v>1196</v>
      </c>
      <c r="M1654" s="30" t="s">
        <v>84</v>
      </c>
      <c r="N1654" s="30" t="s">
        <v>151</v>
      </c>
      <c r="O1654" s="24">
        <v>156</v>
      </c>
      <c r="P1654" s="24">
        <v>268</v>
      </c>
      <c r="Q1654" s="24">
        <v>281</v>
      </c>
      <c r="R1654" s="24">
        <v>0</v>
      </c>
      <c r="S1654" s="24">
        <v>0</v>
      </c>
      <c r="T1654" s="24">
        <v>705</v>
      </c>
    </row>
    <row r="1655" spans="1:20">
      <c r="A1655" s="9" t="s">
        <v>1104</v>
      </c>
      <c r="B1655" s="30" t="s">
        <v>1164</v>
      </c>
      <c r="C1655" s="30" t="str">
        <f>CONCATENATE(VOL_VOLUMEN_SUMINISTROS[[#This Row],[Proyecto]],VOL_VOLUMEN_SUMINISTROS[[#This Row],[J]],VOL_VOLUMEN_SUMINISTROS[[#This Row],[FIN DE SEMANA]])</f>
        <v>1052-1TNO</v>
      </c>
      <c r="D1655" s="360" t="str">
        <f>CONCATENATE(VOL_VOLUMEN_SUMINISTROS[[#This Row],[Grupo]],VOL_VOLUMEN_SUMINISTROS[[#This Row],[Proyecto]],VOL_VOLUMEN_SUMINISTROS[[#This Row],[FIN DE SEMANA]])</f>
        <v>181052-1NO</v>
      </c>
      <c r="E1655" s="30" t="s">
        <v>146</v>
      </c>
      <c r="F1655" s="30" t="s">
        <v>147</v>
      </c>
      <c r="G1655" s="360">
        <v>18</v>
      </c>
      <c r="H1655" s="30">
        <v>5</v>
      </c>
      <c r="I1655" s="9" t="s">
        <v>763</v>
      </c>
      <c r="J1655" s="9" t="s">
        <v>1195</v>
      </c>
      <c r="K1655" s="30">
        <v>1</v>
      </c>
      <c r="L1655" s="9" t="s">
        <v>1196</v>
      </c>
      <c r="M1655" s="30" t="s">
        <v>84</v>
      </c>
      <c r="N1655" s="30" t="s">
        <v>154</v>
      </c>
      <c r="O1655" s="24">
        <v>154</v>
      </c>
      <c r="P1655" s="24">
        <v>189</v>
      </c>
      <c r="Q1655" s="24">
        <v>198</v>
      </c>
      <c r="R1655" s="24">
        <v>0</v>
      </c>
      <c r="S1655" s="24">
        <v>0</v>
      </c>
      <c r="T1655" s="24">
        <v>541</v>
      </c>
    </row>
    <row r="1656" spans="1:20">
      <c r="A1656" s="9" t="s">
        <v>1104</v>
      </c>
      <c r="B1656" s="30" t="s">
        <v>1164</v>
      </c>
      <c r="C1656" s="30" t="str">
        <f>CONCATENATE(VOL_VOLUMEN_SUMINISTROS[[#This Row],[Proyecto]],VOL_VOLUMEN_SUMINISTROS[[#This Row],[J]],VOL_VOLUMEN_SUMINISTROS[[#This Row],[FIN DE SEMANA]])</f>
        <v>1052-1MNO</v>
      </c>
      <c r="D1656" s="360" t="str">
        <f>CONCATENATE(VOL_VOLUMEN_SUMINISTROS[[#This Row],[Grupo]],VOL_VOLUMEN_SUMINISTROS[[#This Row],[Proyecto]],VOL_VOLUMEN_SUMINISTROS[[#This Row],[FIN DE SEMANA]])</f>
        <v>181052-1NO</v>
      </c>
      <c r="E1656" s="30" t="s">
        <v>146</v>
      </c>
      <c r="F1656" s="30" t="s">
        <v>147</v>
      </c>
      <c r="G1656" s="360">
        <v>18</v>
      </c>
      <c r="H1656" s="30">
        <v>5</v>
      </c>
      <c r="I1656" s="9" t="s">
        <v>763</v>
      </c>
      <c r="J1656" s="9" t="s">
        <v>1195</v>
      </c>
      <c r="K1656" s="30">
        <v>2</v>
      </c>
      <c r="L1656" s="9" t="s">
        <v>1197</v>
      </c>
      <c r="M1656" s="30" t="s">
        <v>84</v>
      </c>
      <c r="N1656" s="30" t="s">
        <v>151</v>
      </c>
      <c r="O1656" s="24">
        <v>61</v>
      </c>
      <c r="P1656" s="24">
        <v>33</v>
      </c>
      <c r="Q1656" s="24">
        <v>5</v>
      </c>
      <c r="R1656" s="24">
        <v>0</v>
      </c>
      <c r="S1656" s="24">
        <v>0</v>
      </c>
      <c r="T1656" s="24">
        <v>99</v>
      </c>
    </row>
    <row r="1657" spans="1:20">
      <c r="A1657" s="9" t="s">
        <v>1104</v>
      </c>
      <c r="B1657" s="30" t="s">
        <v>1164</v>
      </c>
      <c r="C1657" s="30" t="str">
        <f>CONCATENATE(VOL_VOLUMEN_SUMINISTROS[[#This Row],[Proyecto]],VOL_VOLUMEN_SUMINISTROS[[#This Row],[J]],VOL_VOLUMEN_SUMINISTROS[[#This Row],[FIN DE SEMANA]])</f>
        <v>1052-1TNO</v>
      </c>
      <c r="D1657" s="360" t="str">
        <f>CONCATENATE(VOL_VOLUMEN_SUMINISTROS[[#This Row],[Grupo]],VOL_VOLUMEN_SUMINISTROS[[#This Row],[Proyecto]],VOL_VOLUMEN_SUMINISTROS[[#This Row],[FIN DE SEMANA]])</f>
        <v>181052-1NO</v>
      </c>
      <c r="E1657" s="30" t="s">
        <v>146</v>
      </c>
      <c r="F1657" s="30" t="s">
        <v>147</v>
      </c>
      <c r="G1657" s="360">
        <v>18</v>
      </c>
      <c r="H1657" s="30">
        <v>5</v>
      </c>
      <c r="I1657" s="9" t="s">
        <v>763</v>
      </c>
      <c r="J1657" s="9" t="s">
        <v>1195</v>
      </c>
      <c r="K1657" s="30">
        <v>2</v>
      </c>
      <c r="L1657" s="9" t="s">
        <v>1197</v>
      </c>
      <c r="M1657" s="30" t="s">
        <v>84</v>
      </c>
      <c r="N1657" s="30" t="s">
        <v>154</v>
      </c>
      <c r="O1657" s="24">
        <v>55</v>
      </c>
      <c r="P1657" s="24">
        <v>27</v>
      </c>
      <c r="Q1657" s="24">
        <v>9</v>
      </c>
      <c r="R1657" s="24">
        <v>0</v>
      </c>
      <c r="S1657" s="24">
        <v>0</v>
      </c>
      <c r="T1657" s="24">
        <v>91</v>
      </c>
    </row>
    <row r="1658" spans="1:20">
      <c r="A1658" s="9" t="s">
        <v>1104</v>
      </c>
      <c r="B1658" s="30" t="s">
        <v>1164</v>
      </c>
      <c r="C1658" s="30" t="str">
        <f>CONCATENATE(VOL_VOLUMEN_SUMINISTROS[[#This Row],[Proyecto]],VOL_VOLUMEN_SUMINISTROS[[#This Row],[J]],VOL_VOLUMEN_SUMINISTROS[[#This Row],[FIN DE SEMANA]])</f>
        <v>1052-1MNO</v>
      </c>
      <c r="D1658" s="360" t="str">
        <f>CONCATENATE(VOL_VOLUMEN_SUMINISTROS[[#This Row],[Grupo]],VOL_VOLUMEN_SUMINISTROS[[#This Row],[Proyecto]],VOL_VOLUMEN_SUMINISTROS[[#This Row],[FIN DE SEMANA]])</f>
        <v>181052-1NO</v>
      </c>
      <c r="E1658" s="30" t="s">
        <v>146</v>
      </c>
      <c r="F1658" s="30" t="s">
        <v>147</v>
      </c>
      <c r="G1658" s="360">
        <v>18</v>
      </c>
      <c r="H1658" s="30">
        <v>5</v>
      </c>
      <c r="I1658" s="9" t="s">
        <v>763</v>
      </c>
      <c r="J1658" s="9" t="s">
        <v>1198</v>
      </c>
      <c r="K1658" s="30">
        <v>1</v>
      </c>
      <c r="L1658" s="9" t="s">
        <v>1199</v>
      </c>
      <c r="M1658" s="30" t="s">
        <v>84</v>
      </c>
      <c r="N1658" s="30" t="s">
        <v>151</v>
      </c>
      <c r="O1658" s="24">
        <v>153</v>
      </c>
      <c r="P1658" s="24">
        <v>173</v>
      </c>
      <c r="Q1658" s="24">
        <v>122</v>
      </c>
      <c r="R1658" s="24">
        <v>0</v>
      </c>
      <c r="S1658" s="24">
        <v>0</v>
      </c>
      <c r="T1658" s="24">
        <v>448</v>
      </c>
    </row>
    <row r="1659" spans="1:20">
      <c r="A1659" s="9" t="s">
        <v>1104</v>
      </c>
      <c r="B1659" s="30" t="s">
        <v>1164</v>
      </c>
      <c r="C1659" s="30" t="str">
        <f>CONCATENATE(VOL_VOLUMEN_SUMINISTROS[[#This Row],[Proyecto]],VOL_VOLUMEN_SUMINISTROS[[#This Row],[J]],VOL_VOLUMEN_SUMINISTROS[[#This Row],[FIN DE SEMANA]])</f>
        <v>1052-1TNO</v>
      </c>
      <c r="D1659" s="360" t="str">
        <f>CONCATENATE(VOL_VOLUMEN_SUMINISTROS[[#This Row],[Grupo]],VOL_VOLUMEN_SUMINISTROS[[#This Row],[Proyecto]],VOL_VOLUMEN_SUMINISTROS[[#This Row],[FIN DE SEMANA]])</f>
        <v>181052-1NO</v>
      </c>
      <c r="E1659" s="30" t="s">
        <v>146</v>
      </c>
      <c r="F1659" s="30" t="s">
        <v>147</v>
      </c>
      <c r="G1659" s="360">
        <v>18</v>
      </c>
      <c r="H1659" s="30">
        <v>5</v>
      </c>
      <c r="I1659" s="9" t="s">
        <v>763</v>
      </c>
      <c r="J1659" s="9" t="s">
        <v>1198</v>
      </c>
      <c r="K1659" s="30">
        <v>1</v>
      </c>
      <c r="L1659" s="9" t="s">
        <v>1199</v>
      </c>
      <c r="M1659" s="30" t="s">
        <v>84</v>
      </c>
      <c r="N1659" s="30" t="s">
        <v>154</v>
      </c>
      <c r="O1659" s="24">
        <v>127</v>
      </c>
      <c r="P1659" s="24">
        <v>172</v>
      </c>
      <c r="Q1659" s="24">
        <v>106</v>
      </c>
      <c r="R1659" s="24">
        <v>0</v>
      </c>
      <c r="S1659" s="24">
        <v>0</v>
      </c>
      <c r="T1659" s="24">
        <v>405</v>
      </c>
    </row>
    <row r="1660" spans="1:20">
      <c r="A1660" s="9" t="s">
        <v>1104</v>
      </c>
      <c r="B1660" s="30" t="s">
        <v>1164</v>
      </c>
      <c r="C1660" s="30" t="str">
        <f>CONCATENATE(VOL_VOLUMEN_SUMINISTROS[[#This Row],[Proyecto]],VOL_VOLUMEN_SUMINISTROS[[#This Row],[J]],VOL_VOLUMEN_SUMINISTROS[[#This Row],[FIN DE SEMANA]])</f>
        <v>1052-1MNO</v>
      </c>
      <c r="D1660" s="360" t="str">
        <f>CONCATENATE(VOL_VOLUMEN_SUMINISTROS[[#This Row],[Grupo]],VOL_VOLUMEN_SUMINISTROS[[#This Row],[Proyecto]],VOL_VOLUMEN_SUMINISTROS[[#This Row],[FIN DE SEMANA]])</f>
        <v>181052-1NO</v>
      </c>
      <c r="E1660" s="30" t="s">
        <v>146</v>
      </c>
      <c r="F1660" s="30" t="s">
        <v>147</v>
      </c>
      <c r="G1660" s="360">
        <v>18</v>
      </c>
      <c r="H1660" s="30">
        <v>5</v>
      </c>
      <c r="I1660" s="9" t="s">
        <v>763</v>
      </c>
      <c r="J1660" s="9" t="s">
        <v>1200</v>
      </c>
      <c r="K1660" s="30">
        <v>1</v>
      </c>
      <c r="L1660" s="9" t="s">
        <v>1201</v>
      </c>
      <c r="M1660" s="30" t="s">
        <v>84</v>
      </c>
      <c r="N1660" s="30" t="s">
        <v>151</v>
      </c>
      <c r="O1660" s="24">
        <v>103</v>
      </c>
      <c r="P1660" s="24">
        <v>156</v>
      </c>
      <c r="Q1660" s="24">
        <v>168</v>
      </c>
      <c r="R1660" s="24">
        <v>0</v>
      </c>
      <c r="S1660" s="24">
        <v>0</v>
      </c>
      <c r="T1660" s="24">
        <v>427</v>
      </c>
    </row>
    <row r="1661" spans="1:20">
      <c r="A1661" s="9" t="s">
        <v>1104</v>
      </c>
      <c r="B1661" s="30" t="s">
        <v>1164</v>
      </c>
      <c r="C1661" s="30" t="str">
        <f>CONCATENATE(VOL_VOLUMEN_SUMINISTROS[[#This Row],[Proyecto]],VOL_VOLUMEN_SUMINISTROS[[#This Row],[J]],VOL_VOLUMEN_SUMINISTROS[[#This Row],[FIN DE SEMANA]])</f>
        <v>1052-1TNO</v>
      </c>
      <c r="D1661" s="360" t="str">
        <f>CONCATENATE(VOL_VOLUMEN_SUMINISTROS[[#This Row],[Grupo]],VOL_VOLUMEN_SUMINISTROS[[#This Row],[Proyecto]],VOL_VOLUMEN_SUMINISTROS[[#This Row],[FIN DE SEMANA]])</f>
        <v>181052-1NO</v>
      </c>
      <c r="E1661" s="30" t="s">
        <v>146</v>
      </c>
      <c r="F1661" s="30" t="s">
        <v>147</v>
      </c>
      <c r="G1661" s="360">
        <v>18</v>
      </c>
      <c r="H1661" s="30">
        <v>5</v>
      </c>
      <c r="I1661" s="9" t="s">
        <v>763</v>
      </c>
      <c r="J1661" s="9" t="s">
        <v>1200</v>
      </c>
      <c r="K1661" s="30">
        <v>1</v>
      </c>
      <c r="L1661" s="9" t="s">
        <v>1201</v>
      </c>
      <c r="M1661" s="30" t="s">
        <v>84</v>
      </c>
      <c r="N1661" s="30" t="s">
        <v>154</v>
      </c>
      <c r="O1661" s="24">
        <v>91</v>
      </c>
      <c r="P1661" s="24">
        <v>162</v>
      </c>
      <c r="Q1661" s="24">
        <v>139</v>
      </c>
      <c r="R1661" s="24">
        <v>0</v>
      </c>
      <c r="S1661" s="24">
        <v>0</v>
      </c>
      <c r="T1661" s="24">
        <v>392</v>
      </c>
    </row>
    <row r="1662" spans="1:20">
      <c r="A1662" s="9" t="s">
        <v>1104</v>
      </c>
      <c r="B1662" s="30" t="s">
        <v>1164</v>
      </c>
      <c r="C1662" s="30" t="str">
        <f>CONCATENATE(VOL_VOLUMEN_SUMINISTROS[[#This Row],[Proyecto]],VOL_VOLUMEN_SUMINISTROS[[#This Row],[J]],VOL_VOLUMEN_SUMINISTROS[[#This Row],[FIN DE SEMANA]])</f>
        <v>1052-1MNO</v>
      </c>
      <c r="D1662" s="360" t="str">
        <f>CONCATENATE(VOL_VOLUMEN_SUMINISTROS[[#This Row],[Grupo]],VOL_VOLUMEN_SUMINISTROS[[#This Row],[Proyecto]],VOL_VOLUMEN_SUMINISTROS[[#This Row],[FIN DE SEMANA]])</f>
        <v>181052-1NO</v>
      </c>
      <c r="E1662" s="30" t="s">
        <v>146</v>
      </c>
      <c r="F1662" s="30" t="s">
        <v>147</v>
      </c>
      <c r="G1662" s="360">
        <v>18</v>
      </c>
      <c r="H1662" s="30">
        <v>5</v>
      </c>
      <c r="I1662" s="9" t="s">
        <v>763</v>
      </c>
      <c r="J1662" s="9" t="s">
        <v>1202</v>
      </c>
      <c r="K1662" s="30">
        <v>1</v>
      </c>
      <c r="L1662" s="9" t="s">
        <v>1203</v>
      </c>
      <c r="M1662" s="30" t="s">
        <v>84</v>
      </c>
      <c r="N1662" s="30" t="s">
        <v>151</v>
      </c>
      <c r="O1662" s="24">
        <v>210</v>
      </c>
      <c r="P1662" s="24">
        <v>344</v>
      </c>
      <c r="Q1662" s="24">
        <v>432</v>
      </c>
      <c r="R1662" s="24">
        <v>0</v>
      </c>
      <c r="S1662" s="24">
        <v>0</v>
      </c>
      <c r="T1662" s="24">
        <v>986</v>
      </c>
    </row>
    <row r="1663" spans="1:20">
      <c r="A1663" s="9" t="s">
        <v>1104</v>
      </c>
      <c r="B1663" s="30" t="s">
        <v>1164</v>
      </c>
      <c r="C1663" s="30" t="str">
        <f>CONCATENATE(VOL_VOLUMEN_SUMINISTROS[[#This Row],[Proyecto]],VOL_VOLUMEN_SUMINISTROS[[#This Row],[J]],VOL_VOLUMEN_SUMINISTROS[[#This Row],[FIN DE SEMANA]])</f>
        <v>1052-1TNO</v>
      </c>
      <c r="D1663" s="360" t="str">
        <f>CONCATENATE(VOL_VOLUMEN_SUMINISTROS[[#This Row],[Grupo]],VOL_VOLUMEN_SUMINISTROS[[#This Row],[Proyecto]],VOL_VOLUMEN_SUMINISTROS[[#This Row],[FIN DE SEMANA]])</f>
        <v>181052-1NO</v>
      </c>
      <c r="E1663" s="30" t="s">
        <v>146</v>
      </c>
      <c r="F1663" s="30" t="s">
        <v>147</v>
      </c>
      <c r="G1663" s="360">
        <v>18</v>
      </c>
      <c r="H1663" s="30">
        <v>5</v>
      </c>
      <c r="I1663" s="9" t="s">
        <v>763</v>
      </c>
      <c r="J1663" s="9" t="s">
        <v>1202</v>
      </c>
      <c r="K1663" s="30">
        <v>1</v>
      </c>
      <c r="L1663" s="9" t="s">
        <v>1203</v>
      </c>
      <c r="M1663" s="30" t="s">
        <v>84</v>
      </c>
      <c r="N1663" s="30" t="s">
        <v>154</v>
      </c>
      <c r="O1663" s="24">
        <v>216</v>
      </c>
      <c r="P1663" s="24">
        <v>346</v>
      </c>
      <c r="Q1663" s="24">
        <v>290</v>
      </c>
      <c r="R1663" s="24">
        <v>0</v>
      </c>
      <c r="S1663" s="24">
        <v>0</v>
      </c>
      <c r="T1663" s="24">
        <v>852</v>
      </c>
    </row>
    <row r="1664" spans="1:20">
      <c r="A1664" s="9" t="s">
        <v>1104</v>
      </c>
      <c r="B1664" s="30" t="s">
        <v>1164</v>
      </c>
      <c r="C1664" s="30" t="str">
        <f>CONCATENATE(VOL_VOLUMEN_SUMINISTROS[[#This Row],[Proyecto]],VOL_VOLUMEN_SUMINISTROS[[#This Row],[J]],VOL_VOLUMEN_SUMINISTROS[[#This Row],[FIN DE SEMANA]])</f>
        <v>1052-1MNO</v>
      </c>
      <c r="D1664" s="360" t="str">
        <f>CONCATENATE(VOL_VOLUMEN_SUMINISTROS[[#This Row],[Grupo]],VOL_VOLUMEN_SUMINISTROS[[#This Row],[Proyecto]],VOL_VOLUMEN_SUMINISTROS[[#This Row],[FIN DE SEMANA]])</f>
        <v>181052-1NO</v>
      </c>
      <c r="E1664" s="30" t="s">
        <v>146</v>
      </c>
      <c r="F1664" s="30" t="s">
        <v>147</v>
      </c>
      <c r="G1664" s="360">
        <v>18</v>
      </c>
      <c r="H1664" s="30">
        <v>5</v>
      </c>
      <c r="I1664" s="9" t="s">
        <v>763</v>
      </c>
      <c r="J1664" s="9" t="s">
        <v>1202</v>
      </c>
      <c r="K1664" s="30">
        <v>2</v>
      </c>
      <c r="L1664" s="9" t="s">
        <v>1204</v>
      </c>
      <c r="M1664" s="30" t="s">
        <v>84</v>
      </c>
      <c r="N1664" s="30" t="s">
        <v>151</v>
      </c>
      <c r="O1664" s="24">
        <v>146</v>
      </c>
      <c r="P1664" s="24">
        <v>129</v>
      </c>
      <c r="Q1664" s="24">
        <v>27</v>
      </c>
      <c r="R1664" s="24">
        <v>0</v>
      </c>
      <c r="S1664" s="24">
        <v>0</v>
      </c>
      <c r="T1664" s="24">
        <v>302</v>
      </c>
    </row>
    <row r="1665" spans="1:20">
      <c r="A1665" s="9" t="s">
        <v>1104</v>
      </c>
      <c r="B1665" s="30" t="s">
        <v>1164</v>
      </c>
      <c r="C1665" s="30" t="str">
        <f>CONCATENATE(VOL_VOLUMEN_SUMINISTROS[[#This Row],[Proyecto]],VOL_VOLUMEN_SUMINISTROS[[#This Row],[J]],VOL_VOLUMEN_SUMINISTROS[[#This Row],[FIN DE SEMANA]])</f>
        <v>1052-1TNO</v>
      </c>
      <c r="D1665" s="360" t="str">
        <f>CONCATENATE(VOL_VOLUMEN_SUMINISTROS[[#This Row],[Grupo]],VOL_VOLUMEN_SUMINISTROS[[#This Row],[Proyecto]],VOL_VOLUMEN_SUMINISTROS[[#This Row],[FIN DE SEMANA]])</f>
        <v>181052-1NO</v>
      </c>
      <c r="E1665" s="30" t="s">
        <v>146</v>
      </c>
      <c r="F1665" s="30" t="s">
        <v>147</v>
      </c>
      <c r="G1665" s="360">
        <v>18</v>
      </c>
      <c r="H1665" s="30">
        <v>5</v>
      </c>
      <c r="I1665" s="9" t="s">
        <v>763</v>
      </c>
      <c r="J1665" s="9" t="s">
        <v>1202</v>
      </c>
      <c r="K1665" s="30">
        <v>2</v>
      </c>
      <c r="L1665" s="9" t="s">
        <v>1204</v>
      </c>
      <c r="M1665" s="30" t="s">
        <v>84</v>
      </c>
      <c r="N1665" s="30" t="s">
        <v>154</v>
      </c>
      <c r="O1665" s="24">
        <v>147</v>
      </c>
      <c r="P1665" s="24">
        <v>123</v>
      </c>
      <c r="Q1665" s="24">
        <v>25</v>
      </c>
      <c r="R1665" s="24">
        <v>0</v>
      </c>
      <c r="S1665" s="24">
        <v>0</v>
      </c>
      <c r="T1665" s="24">
        <v>295</v>
      </c>
    </row>
    <row r="1666" spans="1:20">
      <c r="A1666" s="9" t="s">
        <v>1104</v>
      </c>
      <c r="B1666" s="30" t="s">
        <v>1164</v>
      </c>
      <c r="C1666" s="30" t="str">
        <f>CONCATENATE(VOL_VOLUMEN_SUMINISTROS[[#This Row],[Proyecto]],VOL_VOLUMEN_SUMINISTROS[[#This Row],[J]],VOL_VOLUMEN_SUMINISTROS[[#This Row],[FIN DE SEMANA]])</f>
        <v>1052-1MNO</v>
      </c>
      <c r="D1666" s="360" t="str">
        <f>CONCATENATE(VOL_VOLUMEN_SUMINISTROS[[#This Row],[Grupo]],VOL_VOLUMEN_SUMINISTROS[[#This Row],[Proyecto]],VOL_VOLUMEN_SUMINISTROS[[#This Row],[FIN DE SEMANA]])</f>
        <v>181052-1NO</v>
      </c>
      <c r="E1666" s="30" t="s">
        <v>146</v>
      </c>
      <c r="F1666" s="30" t="s">
        <v>147</v>
      </c>
      <c r="G1666" s="360">
        <v>18</v>
      </c>
      <c r="H1666" s="30">
        <v>5</v>
      </c>
      <c r="I1666" s="9" t="s">
        <v>763</v>
      </c>
      <c r="J1666" s="9" t="s">
        <v>1202</v>
      </c>
      <c r="K1666" s="30">
        <v>3</v>
      </c>
      <c r="L1666" s="9" t="s">
        <v>1205</v>
      </c>
      <c r="M1666" s="30" t="s">
        <v>84</v>
      </c>
      <c r="N1666" s="30" t="s">
        <v>151</v>
      </c>
      <c r="O1666" s="24">
        <v>120</v>
      </c>
      <c r="P1666" s="24">
        <v>73</v>
      </c>
      <c r="Q1666" s="24">
        <v>12</v>
      </c>
      <c r="R1666" s="24">
        <v>0</v>
      </c>
      <c r="S1666" s="24">
        <v>0</v>
      </c>
      <c r="T1666" s="24">
        <v>205</v>
      </c>
    </row>
    <row r="1667" spans="1:20">
      <c r="A1667" s="9" t="s">
        <v>1104</v>
      </c>
      <c r="B1667" s="30" t="s">
        <v>1164</v>
      </c>
      <c r="C1667" s="30" t="str">
        <f>CONCATENATE(VOL_VOLUMEN_SUMINISTROS[[#This Row],[Proyecto]],VOL_VOLUMEN_SUMINISTROS[[#This Row],[J]],VOL_VOLUMEN_SUMINISTROS[[#This Row],[FIN DE SEMANA]])</f>
        <v>1052-1TNO</v>
      </c>
      <c r="D1667" s="360" t="str">
        <f>CONCATENATE(VOL_VOLUMEN_SUMINISTROS[[#This Row],[Grupo]],VOL_VOLUMEN_SUMINISTROS[[#This Row],[Proyecto]],VOL_VOLUMEN_SUMINISTROS[[#This Row],[FIN DE SEMANA]])</f>
        <v>181052-1NO</v>
      </c>
      <c r="E1667" s="30" t="s">
        <v>146</v>
      </c>
      <c r="F1667" s="30" t="s">
        <v>147</v>
      </c>
      <c r="G1667" s="360">
        <v>18</v>
      </c>
      <c r="H1667" s="30">
        <v>5</v>
      </c>
      <c r="I1667" s="9" t="s">
        <v>763</v>
      </c>
      <c r="J1667" s="9" t="s">
        <v>1202</v>
      </c>
      <c r="K1667" s="30">
        <v>3</v>
      </c>
      <c r="L1667" s="9" t="s">
        <v>1205</v>
      </c>
      <c r="M1667" s="30" t="s">
        <v>84</v>
      </c>
      <c r="N1667" s="30" t="s">
        <v>154</v>
      </c>
      <c r="O1667" s="24">
        <v>119</v>
      </c>
      <c r="P1667" s="24">
        <v>66</v>
      </c>
      <c r="Q1667" s="24">
        <v>10</v>
      </c>
      <c r="R1667" s="24">
        <v>0</v>
      </c>
      <c r="S1667" s="24">
        <v>0</v>
      </c>
      <c r="T1667" s="24">
        <v>195</v>
      </c>
    </row>
    <row r="1668" spans="1:20">
      <c r="A1668" s="9" t="s">
        <v>1104</v>
      </c>
      <c r="B1668" s="30" t="s">
        <v>1206</v>
      </c>
      <c r="C1668" s="30" t="str">
        <f>CONCATENATE(VOL_VOLUMEN_SUMINISTROS[[#This Row],[Proyecto]],VOL_VOLUMEN_SUMINISTROS[[#This Row],[J]],VOL_VOLUMEN_SUMINISTROS[[#This Row],[FIN DE SEMANA]])</f>
        <v>1052-2M1NO</v>
      </c>
      <c r="D1668" s="360" t="str">
        <f>CONCATENATE(VOL_VOLUMEN_SUMINISTROS[[#This Row],[Grupo]],VOL_VOLUMEN_SUMINISTROS[[#This Row],[Proyecto]],VOL_VOLUMEN_SUMINISTROS[[#This Row],[FIN DE SEMANA]])</f>
        <v>61052-2NO</v>
      </c>
      <c r="E1668" s="30" t="s">
        <v>182</v>
      </c>
      <c r="F1668" s="30" t="s">
        <v>147</v>
      </c>
      <c r="G1668" s="360">
        <v>6</v>
      </c>
      <c r="H1668" s="30">
        <v>5</v>
      </c>
      <c r="I1668" s="9" t="s">
        <v>763</v>
      </c>
      <c r="J1668" s="9" t="s">
        <v>1172</v>
      </c>
      <c r="K1668" s="30">
        <v>1</v>
      </c>
      <c r="L1668" s="9" t="s">
        <v>1173</v>
      </c>
      <c r="M1668" s="30" t="s">
        <v>84</v>
      </c>
      <c r="N1668" s="30" t="s">
        <v>215</v>
      </c>
      <c r="O1668" s="24">
        <v>54</v>
      </c>
      <c r="P1668" s="24">
        <v>27</v>
      </c>
      <c r="Q1668" s="24">
        <v>0</v>
      </c>
      <c r="R1668" s="24">
        <v>0</v>
      </c>
      <c r="S1668" s="24">
        <v>0</v>
      </c>
      <c r="T1668" s="24">
        <v>81</v>
      </c>
    </row>
    <row r="1669" spans="1:20">
      <c r="A1669" s="9" t="s">
        <v>1104</v>
      </c>
      <c r="B1669" s="30" t="s">
        <v>1206</v>
      </c>
      <c r="C1669" s="30" t="str">
        <f>CONCATENATE(VOL_VOLUMEN_SUMINISTROS[[#This Row],[Proyecto]],VOL_VOLUMEN_SUMINISTROS[[#This Row],[J]],VOL_VOLUMEN_SUMINISTROS[[#This Row],[FIN DE SEMANA]])</f>
        <v>1052-2TNO</v>
      </c>
      <c r="D1669" s="360" t="str">
        <f>CONCATENATE(VOL_VOLUMEN_SUMINISTROS[[#This Row],[Grupo]],VOL_VOLUMEN_SUMINISTROS[[#This Row],[Proyecto]],VOL_VOLUMEN_SUMINISTROS[[#This Row],[FIN DE SEMANA]])</f>
        <v>181052-2NO</v>
      </c>
      <c r="E1669" s="30" t="s">
        <v>182</v>
      </c>
      <c r="F1669" s="30" t="s">
        <v>147</v>
      </c>
      <c r="G1669" s="360">
        <v>18</v>
      </c>
      <c r="H1669" s="30">
        <v>5</v>
      </c>
      <c r="I1669" s="9" t="s">
        <v>763</v>
      </c>
      <c r="J1669" s="9" t="s">
        <v>1172</v>
      </c>
      <c r="K1669" s="30">
        <v>1</v>
      </c>
      <c r="L1669" s="9" t="s">
        <v>1173</v>
      </c>
      <c r="M1669" s="30" t="s">
        <v>84</v>
      </c>
      <c r="N1669" s="30" t="s">
        <v>154</v>
      </c>
      <c r="O1669" s="24">
        <v>54</v>
      </c>
      <c r="P1669" s="24">
        <v>27</v>
      </c>
      <c r="Q1669" s="24">
        <v>0</v>
      </c>
      <c r="R1669" s="24">
        <v>0</v>
      </c>
      <c r="S1669" s="24">
        <v>0</v>
      </c>
      <c r="T1669" s="24">
        <v>81</v>
      </c>
    </row>
    <row r="1670" spans="1:20">
      <c r="A1670" s="9" t="s">
        <v>1104</v>
      </c>
      <c r="B1670" s="30" t="s">
        <v>1206</v>
      </c>
      <c r="C1670" s="30" t="str">
        <f>CONCATENATE(VOL_VOLUMEN_SUMINISTROS[[#This Row],[Proyecto]],VOL_VOLUMEN_SUMINISTROS[[#This Row],[J]],VOL_VOLUMEN_SUMINISTROS[[#This Row],[FIN DE SEMANA]])</f>
        <v>1052-2MNO</v>
      </c>
      <c r="D1670" s="360" t="str">
        <f>CONCATENATE(VOL_VOLUMEN_SUMINISTROS[[#This Row],[Grupo]],VOL_VOLUMEN_SUMINISTROS[[#This Row],[Proyecto]],VOL_VOLUMEN_SUMINISTROS[[#This Row],[FIN DE SEMANA]])</f>
        <v>181052-2NO</v>
      </c>
      <c r="E1670" s="30" t="s">
        <v>182</v>
      </c>
      <c r="F1670" s="30" t="s">
        <v>147</v>
      </c>
      <c r="G1670" s="360">
        <v>18</v>
      </c>
      <c r="H1670" s="30">
        <v>5</v>
      </c>
      <c r="I1670" s="9" t="s">
        <v>763</v>
      </c>
      <c r="J1670" s="9" t="s">
        <v>1172</v>
      </c>
      <c r="K1670" s="30">
        <v>2</v>
      </c>
      <c r="L1670" s="9" t="s">
        <v>1174</v>
      </c>
      <c r="M1670" s="30" t="s">
        <v>84</v>
      </c>
      <c r="N1670" s="30" t="s">
        <v>151</v>
      </c>
      <c r="O1670" s="24">
        <v>0</v>
      </c>
      <c r="P1670" s="24">
        <v>114</v>
      </c>
      <c r="Q1670" s="24">
        <v>103</v>
      </c>
      <c r="R1670" s="24">
        <v>0</v>
      </c>
      <c r="S1670" s="24">
        <v>0</v>
      </c>
      <c r="T1670" s="24">
        <v>217</v>
      </c>
    </row>
    <row r="1671" spans="1:20">
      <c r="A1671" s="9" t="s">
        <v>1104</v>
      </c>
      <c r="B1671" s="30" t="s">
        <v>1206</v>
      </c>
      <c r="C1671" s="30" t="str">
        <f>CONCATENATE(VOL_VOLUMEN_SUMINISTROS[[#This Row],[Proyecto]],VOL_VOLUMEN_SUMINISTROS[[#This Row],[J]],VOL_VOLUMEN_SUMINISTROS[[#This Row],[FIN DE SEMANA]])</f>
        <v>1052-2TNO</v>
      </c>
      <c r="D1671" s="360" t="str">
        <f>CONCATENATE(VOL_VOLUMEN_SUMINISTROS[[#This Row],[Grupo]],VOL_VOLUMEN_SUMINISTROS[[#This Row],[Proyecto]],VOL_VOLUMEN_SUMINISTROS[[#This Row],[FIN DE SEMANA]])</f>
        <v>181052-2NO</v>
      </c>
      <c r="E1671" s="30" t="s">
        <v>182</v>
      </c>
      <c r="F1671" s="30" t="s">
        <v>147</v>
      </c>
      <c r="G1671" s="360">
        <v>18</v>
      </c>
      <c r="H1671" s="30">
        <v>5</v>
      </c>
      <c r="I1671" s="9" t="s">
        <v>763</v>
      </c>
      <c r="J1671" s="9" t="s">
        <v>1172</v>
      </c>
      <c r="K1671" s="30">
        <v>2</v>
      </c>
      <c r="L1671" s="9" t="s">
        <v>1175</v>
      </c>
      <c r="M1671" s="30" t="s">
        <v>84</v>
      </c>
      <c r="N1671" s="30" t="s">
        <v>154</v>
      </c>
      <c r="O1671" s="24">
        <v>0</v>
      </c>
      <c r="P1671" s="24">
        <v>114</v>
      </c>
      <c r="Q1671" s="24">
        <v>118</v>
      </c>
      <c r="R1671" s="24">
        <v>0</v>
      </c>
      <c r="S1671" s="24">
        <v>0</v>
      </c>
      <c r="T1671" s="24">
        <v>232</v>
      </c>
    </row>
    <row r="1672" spans="1:20">
      <c r="A1672" s="9" t="s">
        <v>1104</v>
      </c>
      <c r="B1672" s="30" t="s">
        <v>1206</v>
      </c>
      <c r="C1672" s="30" t="str">
        <f>CONCATENATE(VOL_VOLUMEN_SUMINISTROS[[#This Row],[Proyecto]],VOL_VOLUMEN_SUMINISTROS[[#This Row],[J]],VOL_VOLUMEN_SUMINISTROS[[#This Row],[FIN DE SEMANA]])</f>
        <v>1052-2M1NO</v>
      </c>
      <c r="D1672" s="360" t="str">
        <f>CONCATENATE(VOL_VOLUMEN_SUMINISTROS[[#This Row],[Grupo]],VOL_VOLUMEN_SUMINISTROS[[#This Row],[Proyecto]],VOL_VOLUMEN_SUMINISTROS[[#This Row],[FIN DE SEMANA]])</f>
        <v>181052-2NO</v>
      </c>
      <c r="E1672" s="30" t="s">
        <v>182</v>
      </c>
      <c r="F1672" s="30" t="s">
        <v>147</v>
      </c>
      <c r="G1672" s="360">
        <v>18</v>
      </c>
      <c r="H1672" s="30">
        <v>5</v>
      </c>
      <c r="I1672" s="9" t="s">
        <v>763</v>
      </c>
      <c r="J1672" s="9" t="s">
        <v>764</v>
      </c>
      <c r="K1672" s="30">
        <v>1</v>
      </c>
      <c r="L1672" s="9" t="s">
        <v>765</v>
      </c>
      <c r="M1672" s="30" t="s">
        <v>84</v>
      </c>
      <c r="N1672" s="30" t="s">
        <v>215</v>
      </c>
      <c r="O1672" s="24">
        <v>0</v>
      </c>
      <c r="P1672" s="24">
        <v>135</v>
      </c>
      <c r="Q1672" s="24">
        <v>45</v>
      </c>
      <c r="R1672" s="24">
        <v>0</v>
      </c>
      <c r="S1672" s="24">
        <v>0</v>
      </c>
      <c r="T1672" s="24">
        <v>180</v>
      </c>
    </row>
    <row r="1673" spans="1:20">
      <c r="A1673" s="9" t="s">
        <v>1104</v>
      </c>
      <c r="B1673" s="30" t="s">
        <v>1206</v>
      </c>
      <c r="C1673" s="30" t="str">
        <f>CONCATENATE(VOL_VOLUMEN_SUMINISTROS[[#This Row],[Proyecto]],VOL_VOLUMEN_SUMINISTROS[[#This Row],[J]],VOL_VOLUMEN_SUMINISTROS[[#This Row],[FIN DE SEMANA]])</f>
        <v>1052-2TNO</v>
      </c>
      <c r="D1673" s="360" t="str">
        <f>CONCATENATE(VOL_VOLUMEN_SUMINISTROS[[#This Row],[Grupo]],VOL_VOLUMEN_SUMINISTROS[[#This Row],[Proyecto]],VOL_VOLUMEN_SUMINISTROS[[#This Row],[FIN DE SEMANA]])</f>
        <v>181052-2NO</v>
      </c>
      <c r="E1673" s="30" t="s">
        <v>182</v>
      </c>
      <c r="F1673" s="30" t="s">
        <v>147</v>
      </c>
      <c r="G1673" s="360">
        <v>18</v>
      </c>
      <c r="H1673" s="30">
        <v>5</v>
      </c>
      <c r="I1673" s="9" t="s">
        <v>763</v>
      </c>
      <c r="J1673" s="9" t="s">
        <v>764</v>
      </c>
      <c r="K1673" s="30">
        <v>1</v>
      </c>
      <c r="L1673" s="9" t="s">
        <v>765</v>
      </c>
      <c r="M1673" s="30" t="s">
        <v>84</v>
      </c>
      <c r="N1673" s="30" t="s">
        <v>154</v>
      </c>
      <c r="O1673" s="24">
        <v>0</v>
      </c>
      <c r="P1673" s="24">
        <v>132</v>
      </c>
      <c r="Q1673" s="24">
        <v>44</v>
      </c>
      <c r="R1673" s="24">
        <v>0</v>
      </c>
      <c r="S1673" s="24">
        <v>0</v>
      </c>
      <c r="T1673" s="24">
        <v>176</v>
      </c>
    </row>
    <row r="1674" spans="1:20">
      <c r="A1674" s="9" t="s">
        <v>1104</v>
      </c>
      <c r="B1674" s="30" t="s">
        <v>1207</v>
      </c>
      <c r="C1674" s="30" t="str">
        <f>CONCATENATE(VOL_VOLUMEN_SUMINISTROS[[#This Row],[Proyecto]],VOL_VOLUMEN_SUMINISTROS[[#This Row],[J]],VOL_VOLUMEN_SUMINISTROS[[#This Row],[FIN DE SEMANA]])</f>
        <v>1052-2MNO</v>
      </c>
      <c r="D1674" s="360" t="str">
        <f>CONCATENATE(VOL_VOLUMEN_SUMINISTROS[[#This Row],[Grupo]],VOL_VOLUMEN_SUMINISTROS[[#This Row],[Proyecto]],VOL_VOLUMEN_SUMINISTROS[[#This Row],[FIN DE SEMANA]])</f>
        <v>181052-2NO</v>
      </c>
      <c r="E1674" s="30" t="s">
        <v>182</v>
      </c>
      <c r="F1674" s="30" t="s">
        <v>147</v>
      </c>
      <c r="G1674" s="360">
        <v>18</v>
      </c>
      <c r="H1674" s="30">
        <v>5</v>
      </c>
      <c r="I1674" s="9" t="s">
        <v>763</v>
      </c>
      <c r="J1674" s="9" t="s">
        <v>1172</v>
      </c>
      <c r="K1674" s="30">
        <v>2</v>
      </c>
      <c r="L1674" s="9" t="s">
        <v>1174</v>
      </c>
      <c r="M1674" s="30" t="s">
        <v>84</v>
      </c>
      <c r="N1674" s="30" t="s">
        <v>151</v>
      </c>
      <c r="O1674" s="24">
        <v>0</v>
      </c>
      <c r="P1674" s="24">
        <v>0</v>
      </c>
      <c r="Q1674" s="24">
        <v>39</v>
      </c>
      <c r="R1674" s="24">
        <v>0</v>
      </c>
      <c r="S1674" s="24">
        <v>0</v>
      </c>
      <c r="T1674" s="24">
        <v>39</v>
      </c>
    </row>
    <row r="1675" spans="1:20">
      <c r="A1675" s="9" t="s">
        <v>1104</v>
      </c>
      <c r="B1675" s="30" t="s">
        <v>1207</v>
      </c>
      <c r="C1675" s="30" t="str">
        <f>CONCATENATE(VOL_VOLUMEN_SUMINISTROS[[#This Row],[Proyecto]],VOL_VOLUMEN_SUMINISTROS[[#This Row],[J]],VOL_VOLUMEN_SUMINISTROS[[#This Row],[FIN DE SEMANA]])</f>
        <v>1052-2TNO</v>
      </c>
      <c r="D1675" s="360" t="str">
        <f>CONCATENATE(VOL_VOLUMEN_SUMINISTROS[[#This Row],[Grupo]],VOL_VOLUMEN_SUMINISTROS[[#This Row],[Proyecto]],VOL_VOLUMEN_SUMINISTROS[[#This Row],[FIN DE SEMANA]])</f>
        <v>181052-2NO</v>
      </c>
      <c r="E1675" s="30" t="s">
        <v>182</v>
      </c>
      <c r="F1675" s="30" t="s">
        <v>147</v>
      </c>
      <c r="G1675" s="360">
        <v>18</v>
      </c>
      <c r="H1675" s="30">
        <v>5</v>
      </c>
      <c r="I1675" s="9" t="s">
        <v>763</v>
      </c>
      <c r="J1675" s="9" t="s">
        <v>1172</v>
      </c>
      <c r="K1675" s="30">
        <v>2</v>
      </c>
      <c r="L1675" s="9" t="s">
        <v>1175</v>
      </c>
      <c r="M1675" s="30" t="s">
        <v>84</v>
      </c>
      <c r="N1675" s="30" t="s">
        <v>154</v>
      </c>
      <c r="O1675" s="24">
        <v>0</v>
      </c>
      <c r="P1675" s="24">
        <v>0</v>
      </c>
      <c r="Q1675" s="24">
        <v>84</v>
      </c>
      <c r="R1675" s="24">
        <v>0</v>
      </c>
      <c r="S1675" s="24">
        <v>0</v>
      </c>
      <c r="T1675" s="24">
        <v>84</v>
      </c>
    </row>
    <row r="1676" spans="1:20">
      <c r="A1676" s="9" t="s">
        <v>1104</v>
      </c>
      <c r="B1676" s="30" t="s">
        <v>1207</v>
      </c>
      <c r="C1676" s="30" t="str">
        <f>CONCATENATE(VOL_VOLUMEN_SUMINISTROS[[#This Row],[Proyecto]],VOL_VOLUMEN_SUMINISTROS[[#This Row],[J]],VOL_VOLUMEN_SUMINISTROS[[#This Row],[FIN DE SEMANA]])</f>
        <v>1052-2MNO</v>
      </c>
      <c r="D1676" s="360" t="str">
        <f>CONCATENATE(VOL_VOLUMEN_SUMINISTROS[[#This Row],[Grupo]],VOL_VOLUMEN_SUMINISTROS[[#This Row],[Proyecto]],VOL_VOLUMEN_SUMINISTROS[[#This Row],[FIN DE SEMANA]])</f>
        <v>181052-2NO</v>
      </c>
      <c r="E1676" s="30" t="s">
        <v>182</v>
      </c>
      <c r="F1676" s="30" t="s">
        <v>147</v>
      </c>
      <c r="G1676" s="360">
        <v>18</v>
      </c>
      <c r="H1676" s="30">
        <v>5</v>
      </c>
      <c r="I1676" s="9" t="s">
        <v>763</v>
      </c>
      <c r="J1676" s="9" t="s">
        <v>1200</v>
      </c>
      <c r="K1676" s="30">
        <v>1</v>
      </c>
      <c r="L1676" s="9" t="s">
        <v>1201</v>
      </c>
      <c r="M1676" s="30" t="s">
        <v>84</v>
      </c>
      <c r="N1676" s="30" t="s">
        <v>151</v>
      </c>
      <c r="O1676" s="24">
        <v>0</v>
      </c>
      <c r="P1676" s="24">
        <v>0</v>
      </c>
      <c r="Q1676" s="24">
        <v>29</v>
      </c>
      <c r="R1676" s="24">
        <v>0</v>
      </c>
      <c r="S1676" s="24">
        <v>0</v>
      </c>
      <c r="T1676" s="24">
        <v>29</v>
      </c>
    </row>
    <row r="1677" spans="1:20">
      <c r="A1677" s="9" t="s">
        <v>1104</v>
      </c>
      <c r="B1677" s="30" t="s">
        <v>1207</v>
      </c>
      <c r="C1677" s="30" t="str">
        <f>CONCATENATE(VOL_VOLUMEN_SUMINISTROS[[#This Row],[Proyecto]],VOL_VOLUMEN_SUMINISTROS[[#This Row],[J]],VOL_VOLUMEN_SUMINISTROS[[#This Row],[FIN DE SEMANA]])</f>
        <v>1052-2TNO</v>
      </c>
      <c r="D1677" s="360" t="str">
        <f>CONCATENATE(VOL_VOLUMEN_SUMINISTROS[[#This Row],[Grupo]],VOL_VOLUMEN_SUMINISTROS[[#This Row],[Proyecto]],VOL_VOLUMEN_SUMINISTROS[[#This Row],[FIN DE SEMANA]])</f>
        <v>181052-2NO</v>
      </c>
      <c r="E1677" s="30" t="s">
        <v>182</v>
      </c>
      <c r="F1677" s="30" t="s">
        <v>147</v>
      </c>
      <c r="G1677" s="360">
        <v>18</v>
      </c>
      <c r="H1677" s="30">
        <v>5</v>
      </c>
      <c r="I1677" s="9" t="s">
        <v>763</v>
      </c>
      <c r="J1677" s="9" t="s">
        <v>1200</v>
      </c>
      <c r="K1677" s="30">
        <v>1</v>
      </c>
      <c r="L1677" s="9" t="s">
        <v>1201</v>
      </c>
      <c r="M1677" s="30" t="s">
        <v>84</v>
      </c>
      <c r="N1677" s="30" t="s">
        <v>154</v>
      </c>
      <c r="O1677" s="24">
        <v>0</v>
      </c>
      <c r="P1677" s="24">
        <v>0</v>
      </c>
      <c r="Q1677" s="24">
        <v>35</v>
      </c>
      <c r="R1677" s="24">
        <v>0</v>
      </c>
      <c r="S1677" s="24">
        <v>0</v>
      </c>
      <c r="T1677" s="24">
        <v>35</v>
      </c>
    </row>
    <row r="1678" spans="1:20">
      <c r="A1678" s="9" t="s">
        <v>1104</v>
      </c>
      <c r="B1678" s="30" t="s">
        <v>1208</v>
      </c>
      <c r="C1678" s="30" t="str">
        <f>CONCATENATE(VOL_VOLUMEN_SUMINISTROS[[#This Row],[Proyecto]],VOL_VOLUMEN_SUMINISTROS[[#This Row],[J]],VOL_VOLUMEN_SUMINISTROS[[#This Row],[FIN DE SEMANA]])</f>
        <v>1052-2MNO</v>
      </c>
      <c r="D1678" s="360" t="str">
        <f>CONCATENATE(VOL_VOLUMEN_SUMINISTROS[[#This Row],[Grupo]],VOL_VOLUMEN_SUMINISTROS[[#This Row],[Proyecto]],VOL_VOLUMEN_SUMINISTROS[[#This Row],[FIN DE SEMANA]])</f>
        <v>181052-2NO</v>
      </c>
      <c r="E1678" s="30" t="s">
        <v>182</v>
      </c>
      <c r="F1678" s="30" t="s">
        <v>147</v>
      </c>
      <c r="G1678" s="360">
        <v>18</v>
      </c>
      <c r="H1678" s="30">
        <v>5</v>
      </c>
      <c r="I1678" s="9" t="s">
        <v>763</v>
      </c>
      <c r="J1678" s="9" t="s">
        <v>1172</v>
      </c>
      <c r="K1678" s="30">
        <v>1</v>
      </c>
      <c r="L1678" s="9" t="s">
        <v>1173</v>
      </c>
      <c r="M1678" s="30" t="s">
        <v>84</v>
      </c>
      <c r="N1678" s="30" t="s">
        <v>151</v>
      </c>
      <c r="O1678" s="24">
        <v>93</v>
      </c>
      <c r="P1678" s="24">
        <v>0</v>
      </c>
      <c r="Q1678" s="24">
        <v>0</v>
      </c>
      <c r="R1678" s="24">
        <v>0</v>
      </c>
      <c r="S1678" s="24">
        <v>0</v>
      </c>
      <c r="T1678" s="24">
        <v>93</v>
      </c>
    </row>
    <row r="1679" spans="1:20">
      <c r="A1679" s="9" t="s">
        <v>1104</v>
      </c>
      <c r="B1679" s="30" t="s">
        <v>1208</v>
      </c>
      <c r="C1679" s="30" t="str">
        <f>CONCATENATE(VOL_VOLUMEN_SUMINISTROS[[#This Row],[Proyecto]],VOL_VOLUMEN_SUMINISTROS[[#This Row],[J]],VOL_VOLUMEN_SUMINISTROS[[#This Row],[FIN DE SEMANA]])</f>
        <v>1052-2TNO</v>
      </c>
      <c r="D1679" s="360" t="str">
        <f>CONCATENATE(VOL_VOLUMEN_SUMINISTROS[[#This Row],[Grupo]],VOL_VOLUMEN_SUMINISTROS[[#This Row],[Proyecto]],VOL_VOLUMEN_SUMINISTROS[[#This Row],[FIN DE SEMANA]])</f>
        <v>181052-2NO</v>
      </c>
      <c r="E1679" s="30" t="s">
        <v>182</v>
      </c>
      <c r="F1679" s="30" t="s">
        <v>147</v>
      </c>
      <c r="G1679" s="360">
        <v>18</v>
      </c>
      <c r="H1679" s="30">
        <v>5</v>
      </c>
      <c r="I1679" s="9" t="s">
        <v>763</v>
      </c>
      <c r="J1679" s="9" t="s">
        <v>1172</v>
      </c>
      <c r="K1679" s="30">
        <v>1</v>
      </c>
      <c r="L1679" s="9" t="s">
        <v>1173</v>
      </c>
      <c r="M1679" s="30" t="s">
        <v>84</v>
      </c>
      <c r="N1679" s="30" t="s">
        <v>154</v>
      </c>
      <c r="O1679" s="24">
        <v>92</v>
      </c>
      <c r="P1679" s="24">
        <v>0</v>
      </c>
      <c r="Q1679" s="24">
        <v>0</v>
      </c>
      <c r="R1679" s="24">
        <v>0</v>
      </c>
      <c r="S1679" s="24">
        <v>0</v>
      </c>
      <c r="T1679" s="24">
        <v>92</v>
      </c>
    </row>
    <row r="1680" spans="1:20">
      <c r="A1680" s="9" t="s">
        <v>1104</v>
      </c>
      <c r="B1680" s="30" t="s">
        <v>1208</v>
      </c>
      <c r="C1680" s="30" t="str">
        <f>CONCATENATE(VOL_VOLUMEN_SUMINISTROS[[#This Row],[Proyecto]],VOL_VOLUMEN_SUMINISTROS[[#This Row],[J]],VOL_VOLUMEN_SUMINISTROS[[#This Row],[FIN DE SEMANA]])</f>
        <v>1052-2MNO</v>
      </c>
      <c r="D1680" s="360" t="str">
        <f>CONCATENATE(VOL_VOLUMEN_SUMINISTROS[[#This Row],[Grupo]],VOL_VOLUMEN_SUMINISTROS[[#This Row],[Proyecto]],VOL_VOLUMEN_SUMINISTROS[[#This Row],[FIN DE SEMANA]])</f>
        <v>181052-2NO</v>
      </c>
      <c r="E1680" s="30" t="s">
        <v>182</v>
      </c>
      <c r="F1680" s="30" t="s">
        <v>147</v>
      </c>
      <c r="G1680" s="360">
        <v>18</v>
      </c>
      <c r="H1680" s="30">
        <v>5</v>
      </c>
      <c r="I1680" s="9" t="s">
        <v>763</v>
      </c>
      <c r="J1680" s="9" t="s">
        <v>1181</v>
      </c>
      <c r="K1680" s="30">
        <v>1</v>
      </c>
      <c r="L1680" s="9" t="s">
        <v>152</v>
      </c>
      <c r="M1680" s="30" t="s">
        <v>84</v>
      </c>
      <c r="N1680" s="30" t="s">
        <v>151</v>
      </c>
      <c r="O1680" s="24">
        <v>40</v>
      </c>
      <c r="P1680" s="24">
        <v>0</v>
      </c>
      <c r="Q1680" s="24">
        <v>0</v>
      </c>
      <c r="R1680" s="24">
        <v>0</v>
      </c>
      <c r="S1680" s="24">
        <v>0</v>
      </c>
      <c r="T1680" s="24">
        <v>40</v>
      </c>
    </row>
    <row r="1681" spans="1:20">
      <c r="A1681" s="9" t="s">
        <v>1104</v>
      </c>
      <c r="B1681" s="30" t="s">
        <v>1208</v>
      </c>
      <c r="C1681" s="30" t="str">
        <f>CONCATENATE(VOL_VOLUMEN_SUMINISTROS[[#This Row],[Proyecto]],VOL_VOLUMEN_SUMINISTROS[[#This Row],[J]],VOL_VOLUMEN_SUMINISTROS[[#This Row],[FIN DE SEMANA]])</f>
        <v>1052-2TNO</v>
      </c>
      <c r="D1681" s="360" t="str">
        <f>CONCATENATE(VOL_VOLUMEN_SUMINISTROS[[#This Row],[Grupo]],VOL_VOLUMEN_SUMINISTROS[[#This Row],[Proyecto]],VOL_VOLUMEN_SUMINISTROS[[#This Row],[FIN DE SEMANA]])</f>
        <v>181052-2NO</v>
      </c>
      <c r="E1681" s="30" t="s">
        <v>182</v>
      </c>
      <c r="F1681" s="30" t="s">
        <v>147</v>
      </c>
      <c r="G1681" s="360">
        <v>18</v>
      </c>
      <c r="H1681" s="30">
        <v>5</v>
      </c>
      <c r="I1681" s="9" t="s">
        <v>763</v>
      </c>
      <c r="J1681" s="9" t="s">
        <v>1181</v>
      </c>
      <c r="K1681" s="30">
        <v>1</v>
      </c>
      <c r="L1681" s="9" t="s">
        <v>152</v>
      </c>
      <c r="M1681" s="30" t="s">
        <v>84</v>
      </c>
      <c r="N1681" s="30" t="s">
        <v>154</v>
      </c>
      <c r="O1681" s="24">
        <v>50</v>
      </c>
      <c r="P1681" s="24">
        <v>0</v>
      </c>
      <c r="Q1681" s="24">
        <v>0</v>
      </c>
      <c r="R1681" s="24">
        <v>0</v>
      </c>
      <c r="S1681" s="24">
        <v>0</v>
      </c>
      <c r="T1681" s="24">
        <v>50</v>
      </c>
    </row>
    <row r="1682" spans="1:20">
      <c r="A1682" s="9" t="s">
        <v>1104</v>
      </c>
      <c r="B1682" s="30" t="s">
        <v>1208</v>
      </c>
      <c r="C1682" s="30" t="str">
        <f>CONCATENATE(VOL_VOLUMEN_SUMINISTROS[[#This Row],[Proyecto]],VOL_VOLUMEN_SUMINISTROS[[#This Row],[J]],VOL_VOLUMEN_SUMINISTROS[[#This Row],[FIN DE SEMANA]])</f>
        <v>1052-2MNO</v>
      </c>
      <c r="D1682" s="360" t="str">
        <f>CONCATENATE(VOL_VOLUMEN_SUMINISTROS[[#This Row],[Grupo]],VOL_VOLUMEN_SUMINISTROS[[#This Row],[Proyecto]],VOL_VOLUMEN_SUMINISTROS[[#This Row],[FIN DE SEMANA]])</f>
        <v>181052-2NO</v>
      </c>
      <c r="E1682" s="30" t="s">
        <v>182</v>
      </c>
      <c r="F1682" s="30" t="s">
        <v>147</v>
      </c>
      <c r="G1682" s="360">
        <v>18</v>
      </c>
      <c r="H1682" s="30">
        <v>5</v>
      </c>
      <c r="I1682" s="9" t="s">
        <v>763</v>
      </c>
      <c r="J1682" s="9" t="s">
        <v>1184</v>
      </c>
      <c r="K1682" s="30">
        <v>2</v>
      </c>
      <c r="L1682" s="9" t="s">
        <v>1186</v>
      </c>
      <c r="M1682" s="30" t="s">
        <v>84</v>
      </c>
      <c r="N1682" s="30" t="s">
        <v>151</v>
      </c>
      <c r="O1682" s="24">
        <v>64</v>
      </c>
      <c r="P1682" s="24">
        <v>0</v>
      </c>
      <c r="Q1682" s="24">
        <v>0</v>
      </c>
      <c r="R1682" s="24">
        <v>0</v>
      </c>
      <c r="S1682" s="24">
        <v>0</v>
      </c>
      <c r="T1682" s="24">
        <v>64</v>
      </c>
    </row>
    <row r="1683" spans="1:20">
      <c r="A1683" s="9" t="s">
        <v>1104</v>
      </c>
      <c r="B1683" s="30" t="s">
        <v>1208</v>
      </c>
      <c r="C1683" s="30" t="str">
        <f>CONCATENATE(VOL_VOLUMEN_SUMINISTROS[[#This Row],[Proyecto]],VOL_VOLUMEN_SUMINISTROS[[#This Row],[J]],VOL_VOLUMEN_SUMINISTROS[[#This Row],[FIN DE SEMANA]])</f>
        <v>1052-2TNO</v>
      </c>
      <c r="D1683" s="360" t="str">
        <f>CONCATENATE(VOL_VOLUMEN_SUMINISTROS[[#This Row],[Grupo]],VOL_VOLUMEN_SUMINISTROS[[#This Row],[Proyecto]],VOL_VOLUMEN_SUMINISTROS[[#This Row],[FIN DE SEMANA]])</f>
        <v>181052-2NO</v>
      </c>
      <c r="E1683" s="30" t="s">
        <v>182</v>
      </c>
      <c r="F1683" s="30" t="s">
        <v>147</v>
      </c>
      <c r="G1683" s="360">
        <v>18</v>
      </c>
      <c r="H1683" s="30">
        <v>5</v>
      </c>
      <c r="I1683" s="9" t="s">
        <v>763</v>
      </c>
      <c r="J1683" s="9" t="s">
        <v>1184</v>
      </c>
      <c r="K1683" s="30">
        <v>2</v>
      </c>
      <c r="L1683" s="9" t="s">
        <v>1186</v>
      </c>
      <c r="M1683" s="30" t="s">
        <v>84</v>
      </c>
      <c r="N1683" s="30" t="s">
        <v>154</v>
      </c>
      <c r="O1683" s="24">
        <v>65</v>
      </c>
      <c r="P1683" s="24">
        <v>0</v>
      </c>
      <c r="Q1683" s="24">
        <v>0</v>
      </c>
      <c r="R1683" s="24">
        <v>0</v>
      </c>
      <c r="S1683" s="24">
        <v>0</v>
      </c>
      <c r="T1683" s="24">
        <v>65</v>
      </c>
    </row>
    <row r="1684" spans="1:20">
      <c r="A1684" s="9" t="s">
        <v>1104</v>
      </c>
      <c r="B1684" s="30" t="s">
        <v>1208</v>
      </c>
      <c r="C1684" s="30" t="str">
        <f>CONCATENATE(VOL_VOLUMEN_SUMINISTROS[[#This Row],[Proyecto]],VOL_VOLUMEN_SUMINISTROS[[#This Row],[J]],VOL_VOLUMEN_SUMINISTROS[[#This Row],[FIN DE SEMANA]])</f>
        <v>1052-2MNO</v>
      </c>
      <c r="D1684" s="360" t="str">
        <f>CONCATENATE(VOL_VOLUMEN_SUMINISTROS[[#This Row],[Grupo]],VOL_VOLUMEN_SUMINISTROS[[#This Row],[Proyecto]],VOL_VOLUMEN_SUMINISTROS[[#This Row],[FIN DE SEMANA]])</f>
        <v>181052-2NO</v>
      </c>
      <c r="E1684" s="30" t="s">
        <v>182</v>
      </c>
      <c r="F1684" s="30" t="s">
        <v>147</v>
      </c>
      <c r="G1684" s="360">
        <v>18</v>
      </c>
      <c r="H1684" s="30">
        <v>5</v>
      </c>
      <c r="I1684" s="9" t="s">
        <v>763</v>
      </c>
      <c r="J1684" s="9" t="s">
        <v>1190</v>
      </c>
      <c r="K1684" s="30">
        <v>3</v>
      </c>
      <c r="L1684" s="9" t="s">
        <v>1193</v>
      </c>
      <c r="M1684" s="30" t="s">
        <v>84</v>
      </c>
      <c r="N1684" s="30" t="s">
        <v>151</v>
      </c>
      <c r="O1684" s="24">
        <v>120</v>
      </c>
      <c r="P1684" s="24">
        <v>0</v>
      </c>
      <c r="Q1684" s="24">
        <v>0</v>
      </c>
      <c r="R1684" s="24">
        <v>0</v>
      </c>
      <c r="S1684" s="24">
        <v>0</v>
      </c>
      <c r="T1684" s="24">
        <v>120</v>
      </c>
    </row>
    <row r="1685" spans="1:20">
      <c r="A1685" s="9" t="s">
        <v>1104</v>
      </c>
      <c r="B1685" s="30" t="s">
        <v>1208</v>
      </c>
      <c r="C1685" s="30" t="str">
        <f>CONCATENATE(VOL_VOLUMEN_SUMINISTROS[[#This Row],[Proyecto]],VOL_VOLUMEN_SUMINISTROS[[#This Row],[J]],VOL_VOLUMEN_SUMINISTROS[[#This Row],[FIN DE SEMANA]])</f>
        <v>1052-2TNO</v>
      </c>
      <c r="D1685" s="360" t="str">
        <f>CONCATENATE(VOL_VOLUMEN_SUMINISTROS[[#This Row],[Grupo]],VOL_VOLUMEN_SUMINISTROS[[#This Row],[Proyecto]],VOL_VOLUMEN_SUMINISTROS[[#This Row],[FIN DE SEMANA]])</f>
        <v>181052-2NO</v>
      </c>
      <c r="E1685" s="30" t="s">
        <v>182</v>
      </c>
      <c r="F1685" s="30" t="s">
        <v>147</v>
      </c>
      <c r="G1685" s="360">
        <v>18</v>
      </c>
      <c r="H1685" s="30">
        <v>5</v>
      </c>
      <c r="I1685" s="9" t="s">
        <v>763</v>
      </c>
      <c r="J1685" s="9" t="s">
        <v>1190</v>
      </c>
      <c r="K1685" s="30">
        <v>3</v>
      </c>
      <c r="L1685" s="9" t="s">
        <v>1194</v>
      </c>
      <c r="M1685" s="30" t="s">
        <v>84</v>
      </c>
      <c r="N1685" s="30" t="s">
        <v>154</v>
      </c>
      <c r="O1685" s="24">
        <v>120</v>
      </c>
      <c r="P1685" s="24">
        <v>0</v>
      </c>
      <c r="Q1685" s="24">
        <v>0</v>
      </c>
      <c r="R1685" s="24">
        <v>0</v>
      </c>
      <c r="S1685" s="24">
        <v>0</v>
      </c>
      <c r="T1685" s="24">
        <v>120</v>
      </c>
    </row>
    <row r="1686" spans="1:20">
      <c r="A1686" s="9" t="s">
        <v>1104</v>
      </c>
      <c r="B1686" s="30" t="s">
        <v>1209</v>
      </c>
      <c r="C1686" s="30" t="str">
        <f>CONCATENATE(VOL_VOLUMEN_SUMINISTROS[[#This Row],[Proyecto]],VOL_VOLUMEN_SUMINISTROS[[#This Row],[J]],VOL_VOLUMEN_SUMINISTROS[[#This Row],[FIN DE SEMANA]])</f>
        <v>1052-1MNO</v>
      </c>
      <c r="D1686" s="360" t="str">
        <f>CONCATENATE(VOL_VOLUMEN_SUMINISTROS[[#This Row],[Grupo]],VOL_VOLUMEN_SUMINISTROS[[#This Row],[Proyecto]],VOL_VOLUMEN_SUMINISTROS[[#This Row],[FIN DE SEMANA]])</f>
        <v>161052-1NO</v>
      </c>
      <c r="E1686" s="30" t="s">
        <v>146</v>
      </c>
      <c r="F1686" s="30" t="s">
        <v>147</v>
      </c>
      <c r="G1686" s="360">
        <v>16</v>
      </c>
      <c r="H1686" s="30">
        <v>1</v>
      </c>
      <c r="I1686" s="9" t="s">
        <v>396</v>
      </c>
      <c r="J1686" s="9" t="s">
        <v>1210</v>
      </c>
      <c r="K1686" s="30">
        <v>1</v>
      </c>
      <c r="L1686" s="9" t="s">
        <v>152</v>
      </c>
      <c r="M1686" s="30" t="s">
        <v>84</v>
      </c>
      <c r="N1686" s="30" t="s">
        <v>151</v>
      </c>
      <c r="O1686" s="24">
        <v>186</v>
      </c>
      <c r="P1686" s="24">
        <v>299</v>
      </c>
      <c r="Q1686" s="24">
        <v>440</v>
      </c>
      <c r="R1686" s="24">
        <v>0</v>
      </c>
      <c r="S1686" s="24">
        <v>0</v>
      </c>
      <c r="T1686" s="24">
        <v>925</v>
      </c>
    </row>
    <row r="1687" spans="1:20">
      <c r="A1687" s="9" t="s">
        <v>1104</v>
      </c>
      <c r="B1687" s="30" t="s">
        <v>1209</v>
      </c>
      <c r="C1687" s="30" t="str">
        <f>CONCATENATE(VOL_VOLUMEN_SUMINISTROS[[#This Row],[Proyecto]],VOL_VOLUMEN_SUMINISTROS[[#This Row],[J]],VOL_VOLUMEN_SUMINISTROS[[#This Row],[FIN DE SEMANA]])</f>
        <v>1052-1TNO</v>
      </c>
      <c r="D1687" s="360" t="str">
        <f>CONCATENATE(VOL_VOLUMEN_SUMINISTROS[[#This Row],[Grupo]],VOL_VOLUMEN_SUMINISTROS[[#This Row],[Proyecto]],VOL_VOLUMEN_SUMINISTROS[[#This Row],[FIN DE SEMANA]])</f>
        <v>161052-1NO</v>
      </c>
      <c r="E1687" s="30" t="s">
        <v>146</v>
      </c>
      <c r="F1687" s="30" t="s">
        <v>147</v>
      </c>
      <c r="G1687" s="360">
        <v>16</v>
      </c>
      <c r="H1687" s="30">
        <v>1</v>
      </c>
      <c r="I1687" s="9" t="s">
        <v>396</v>
      </c>
      <c r="J1687" s="9" t="s">
        <v>1210</v>
      </c>
      <c r="K1687" s="30">
        <v>1</v>
      </c>
      <c r="L1687" s="9" t="s">
        <v>152</v>
      </c>
      <c r="M1687" s="30" t="s">
        <v>84</v>
      </c>
      <c r="N1687" s="30" t="s">
        <v>154</v>
      </c>
      <c r="O1687" s="24">
        <v>190</v>
      </c>
      <c r="P1687" s="24">
        <v>269</v>
      </c>
      <c r="Q1687" s="24">
        <v>372</v>
      </c>
      <c r="R1687" s="24">
        <v>0</v>
      </c>
      <c r="S1687" s="24">
        <v>0</v>
      </c>
      <c r="T1687" s="24">
        <v>831</v>
      </c>
    </row>
    <row r="1688" spans="1:20">
      <c r="A1688" s="9" t="s">
        <v>1104</v>
      </c>
      <c r="B1688" s="30" t="s">
        <v>1209</v>
      </c>
      <c r="C1688" s="30" t="str">
        <f>CONCATENATE(VOL_VOLUMEN_SUMINISTROS[[#This Row],[Proyecto]],VOL_VOLUMEN_SUMINISTROS[[#This Row],[J]],VOL_VOLUMEN_SUMINISTROS[[#This Row],[FIN DE SEMANA]])</f>
        <v>1052-1MNO</v>
      </c>
      <c r="D1688" s="360" t="str">
        <f>CONCATENATE(VOL_VOLUMEN_SUMINISTROS[[#This Row],[Grupo]],VOL_VOLUMEN_SUMINISTROS[[#This Row],[Proyecto]],VOL_VOLUMEN_SUMINISTROS[[#This Row],[FIN DE SEMANA]])</f>
        <v>161052-1NO</v>
      </c>
      <c r="E1688" s="30" t="s">
        <v>146</v>
      </c>
      <c r="F1688" s="30" t="s">
        <v>147</v>
      </c>
      <c r="G1688" s="360">
        <v>16</v>
      </c>
      <c r="H1688" s="30">
        <v>1</v>
      </c>
      <c r="I1688" s="9" t="s">
        <v>396</v>
      </c>
      <c r="J1688" s="9" t="s">
        <v>1210</v>
      </c>
      <c r="K1688" s="30">
        <v>2</v>
      </c>
      <c r="L1688" s="9" t="s">
        <v>164</v>
      </c>
      <c r="M1688" s="30" t="s">
        <v>84</v>
      </c>
      <c r="N1688" s="30" t="s">
        <v>151</v>
      </c>
      <c r="O1688" s="24">
        <v>126</v>
      </c>
      <c r="P1688" s="24">
        <v>54</v>
      </c>
      <c r="Q1688" s="24">
        <v>8</v>
      </c>
      <c r="R1688" s="24">
        <v>0</v>
      </c>
      <c r="S1688" s="24">
        <v>0</v>
      </c>
      <c r="T1688" s="24">
        <v>188</v>
      </c>
    </row>
    <row r="1689" spans="1:20">
      <c r="A1689" s="9" t="s">
        <v>1104</v>
      </c>
      <c r="B1689" s="30" t="s">
        <v>1209</v>
      </c>
      <c r="C1689" s="30" t="str">
        <f>CONCATENATE(VOL_VOLUMEN_SUMINISTROS[[#This Row],[Proyecto]],VOL_VOLUMEN_SUMINISTROS[[#This Row],[J]],VOL_VOLUMEN_SUMINISTROS[[#This Row],[FIN DE SEMANA]])</f>
        <v>1052-1TNO</v>
      </c>
      <c r="D1689" s="360" t="str">
        <f>CONCATENATE(VOL_VOLUMEN_SUMINISTROS[[#This Row],[Grupo]],VOL_VOLUMEN_SUMINISTROS[[#This Row],[Proyecto]],VOL_VOLUMEN_SUMINISTROS[[#This Row],[FIN DE SEMANA]])</f>
        <v>161052-1NO</v>
      </c>
      <c r="E1689" s="30" t="s">
        <v>146</v>
      </c>
      <c r="F1689" s="30" t="s">
        <v>147</v>
      </c>
      <c r="G1689" s="360">
        <v>16</v>
      </c>
      <c r="H1689" s="30">
        <v>1</v>
      </c>
      <c r="I1689" s="9" t="s">
        <v>396</v>
      </c>
      <c r="J1689" s="9" t="s">
        <v>1210</v>
      </c>
      <c r="K1689" s="30">
        <v>2</v>
      </c>
      <c r="L1689" s="9" t="s">
        <v>1211</v>
      </c>
      <c r="M1689" s="30" t="s">
        <v>84</v>
      </c>
      <c r="N1689" s="30" t="s">
        <v>154</v>
      </c>
      <c r="O1689" s="24">
        <v>32</v>
      </c>
      <c r="P1689" s="24">
        <v>64</v>
      </c>
      <c r="Q1689" s="24">
        <v>16</v>
      </c>
      <c r="R1689" s="24">
        <v>0</v>
      </c>
      <c r="S1689" s="24">
        <v>0</v>
      </c>
      <c r="T1689" s="24">
        <v>112</v>
      </c>
    </row>
    <row r="1690" spans="1:20">
      <c r="A1690" s="9" t="s">
        <v>1104</v>
      </c>
      <c r="B1690" s="30" t="s">
        <v>1209</v>
      </c>
      <c r="C1690" s="30" t="str">
        <f>CONCATENATE(VOL_VOLUMEN_SUMINISTROS[[#This Row],[Proyecto]],VOL_VOLUMEN_SUMINISTROS[[#This Row],[J]],VOL_VOLUMEN_SUMINISTROS[[#This Row],[FIN DE SEMANA]])</f>
        <v>1052-1MNO</v>
      </c>
      <c r="D1690" s="360" t="str">
        <f>CONCATENATE(VOL_VOLUMEN_SUMINISTROS[[#This Row],[Grupo]],VOL_VOLUMEN_SUMINISTROS[[#This Row],[Proyecto]],VOL_VOLUMEN_SUMINISTROS[[#This Row],[FIN DE SEMANA]])</f>
        <v>161052-1NO</v>
      </c>
      <c r="E1690" s="30" t="s">
        <v>146</v>
      </c>
      <c r="F1690" s="30" t="s">
        <v>147</v>
      </c>
      <c r="G1690" s="360">
        <v>16</v>
      </c>
      <c r="H1690" s="30">
        <v>1</v>
      </c>
      <c r="I1690" s="9" t="s">
        <v>396</v>
      </c>
      <c r="J1690" s="9" t="s">
        <v>1212</v>
      </c>
      <c r="K1690" s="30">
        <v>1</v>
      </c>
      <c r="L1690" s="9" t="s">
        <v>1213</v>
      </c>
      <c r="M1690" s="30" t="s">
        <v>84</v>
      </c>
      <c r="N1690" s="30" t="s">
        <v>151</v>
      </c>
      <c r="O1690" s="24">
        <v>166</v>
      </c>
      <c r="P1690" s="24">
        <v>284</v>
      </c>
      <c r="Q1690" s="24">
        <v>67</v>
      </c>
      <c r="R1690" s="24">
        <v>0</v>
      </c>
      <c r="S1690" s="24">
        <v>0</v>
      </c>
      <c r="T1690" s="24">
        <v>517</v>
      </c>
    </row>
    <row r="1691" spans="1:20">
      <c r="A1691" s="9" t="s">
        <v>1104</v>
      </c>
      <c r="B1691" s="30" t="s">
        <v>1209</v>
      </c>
      <c r="C1691" s="30" t="str">
        <f>CONCATENATE(VOL_VOLUMEN_SUMINISTROS[[#This Row],[Proyecto]],VOL_VOLUMEN_SUMINISTROS[[#This Row],[J]],VOL_VOLUMEN_SUMINISTROS[[#This Row],[FIN DE SEMANA]])</f>
        <v>1052-1TNO</v>
      </c>
      <c r="D1691" s="360" t="str">
        <f>CONCATENATE(VOL_VOLUMEN_SUMINISTROS[[#This Row],[Grupo]],VOL_VOLUMEN_SUMINISTROS[[#This Row],[Proyecto]],VOL_VOLUMEN_SUMINISTROS[[#This Row],[FIN DE SEMANA]])</f>
        <v>161052-1NO</v>
      </c>
      <c r="E1691" s="30" t="s">
        <v>146</v>
      </c>
      <c r="F1691" s="30" t="s">
        <v>147</v>
      </c>
      <c r="G1691" s="360">
        <v>16</v>
      </c>
      <c r="H1691" s="30">
        <v>1</v>
      </c>
      <c r="I1691" s="9" t="s">
        <v>396</v>
      </c>
      <c r="J1691" s="9" t="s">
        <v>1212</v>
      </c>
      <c r="K1691" s="30">
        <v>1</v>
      </c>
      <c r="L1691" s="9" t="s">
        <v>1213</v>
      </c>
      <c r="M1691" s="30" t="s">
        <v>84</v>
      </c>
      <c r="N1691" s="30" t="s">
        <v>154</v>
      </c>
      <c r="O1691" s="24">
        <v>0</v>
      </c>
      <c r="P1691" s="24">
        <v>0</v>
      </c>
      <c r="Q1691" s="24">
        <v>443</v>
      </c>
      <c r="R1691" s="24">
        <v>0</v>
      </c>
      <c r="S1691" s="24">
        <v>0</v>
      </c>
      <c r="T1691" s="24">
        <v>443</v>
      </c>
    </row>
    <row r="1692" spans="1:20">
      <c r="A1692" s="9" t="s">
        <v>1104</v>
      </c>
      <c r="B1692" s="30" t="s">
        <v>1209</v>
      </c>
      <c r="C1692" s="30" t="str">
        <f>CONCATENATE(VOL_VOLUMEN_SUMINISTROS[[#This Row],[Proyecto]],VOL_VOLUMEN_SUMINISTROS[[#This Row],[J]],VOL_VOLUMEN_SUMINISTROS[[#This Row],[FIN DE SEMANA]])</f>
        <v>1052-1MNO</v>
      </c>
      <c r="D1692" s="360" t="str">
        <f>CONCATENATE(VOL_VOLUMEN_SUMINISTROS[[#This Row],[Grupo]],VOL_VOLUMEN_SUMINISTROS[[#This Row],[Proyecto]],VOL_VOLUMEN_SUMINISTROS[[#This Row],[FIN DE SEMANA]])</f>
        <v>161052-1NO</v>
      </c>
      <c r="E1692" s="30" t="s">
        <v>146</v>
      </c>
      <c r="F1692" s="30" t="s">
        <v>147</v>
      </c>
      <c r="G1692" s="360">
        <v>16</v>
      </c>
      <c r="H1692" s="30">
        <v>1</v>
      </c>
      <c r="I1692" s="9" t="s">
        <v>396</v>
      </c>
      <c r="J1692" s="9" t="s">
        <v>1212</v>
      </c>
      <c r="K1692" s="30">
        <v>2</v>
      </c>
      <c r="L1692" s="9" t="s">
        <v>1214</v>
      </c>
      <c r="M1692" s="30" t="s">
        <v>84</v>
      </c>
      <c r="N1692" s="30" t="s">
        <v>151</v>
      </c>
      <c r="O1692" s="24">
        <v>0</v>
      </c>
      <c r="P1692" s="24">
        <v>315</v>
      </c>
      <c r="Q1692" s="24">
        <v>171</v>
      </c>
      <c r="R1692" s="24">
        <v>0</v>
      </c>
      <c r="S1692" s="24">
        <v>0</v>
      </c>
      <c r="T1692" s="24">
        <v>486</v>
      </c>
    </row>
    <row r="1693" spans="1:20">
      <c r="A1693" s="9" t="s">
        <v>1104</v>
      </c>
      <c r="B1693" s="30" t="s">
        <v>1209</v>
      </c>
      <c r="C1693" s="30" t="str">
        <f>CONCATENATE(VOL_VOLUMEN_SUMINISTROS[[#This Row],[Proyecto]],VOL_VOLUMEN_SUMINISTROS[[#This Row],[J]],VOL_VOLUMEN_SUMINISTROS[[#This Row],[FIN DE SEMANA]])</f>
        <v>1052-1TNO</v>
      </c>
      <c r="D1693" s="360" t="str">
        <f>CONCATENATE(VOL_VOLUMEN_SUMINISTROS[[#This Row],[Grupo]],VOL_VOLUMEN_SUMINISTROS[[#This Row],[Proyecto]],VOL_VOLUMEN_SUMINISTROS[[#This Row],[FIN DE SEMANA]])</f>
        <v>161052-1NO</v>
      </c>
      <c r="E1693" s="30" t="s">
        <v>146</v>
      </c>
      <c r="F1693" s="30" t="s">
        <v>147</v>
      </c>
      <c r="G1693" s="360">
        <v>16</v>
      </c>
      <c r="H1693" s="30">
        <v>1</v>
      </c>
      <c r="I1693" s="9" t="s">
        <v>396</v>
      </c>
      <c r="J1693" s="9" t="s">
        <v>1212</v>
      </c>
      <c r="K1693" s="30">
        <v>2</v>
      </c>
      <c r="L1693" s="9" t="s">
        <v>1214</v>
      </c>
      <c r="M1693" s="30" t="s">
        <v>84</v>
      </c>
      <c r="N1693" s="30" t="s">
        <v>154</v>
      </c>
      <c r="O1693" s="24">
        <v>42</v>
      </c>
      <c r="P1693" s="24">
        <v>198</v>
      </c>
      <c r="Q1693" s="24">
        <v>184</v>
      </c>
      <c r="R1693" s="24">
        <v>0</v>
      </c>
      <c r="S1693" s="24">
        <v>0</v>
      </c>
      <c r="T1693" s="24">
        <v>424</v>
      </c>
    </row>
    <row r="1694" spans="1:20">
      <c r="A1694" s="9" t="s">
        <v>1104</v>
      </c>
      <c r="B1694" s="30" t="s">
        <v>1209</v>
      </c>
      <c r="C1694" s="30" t="str">
        <f>CONCATENATE(VOL_VOLUMEN_SUMINISTROS[[#This Row],[Proyecto]],VOL_VOLUMEN_SUMINISTROS[[#This Row],[J]],VOL_VOLUMEN_SUMINISTROS[[#This Row],[FIN DE SEMANA]])</f>
        <v>1052-1MNO</v>
      </c>
      <c r="D1694" s="360" t="str">
        <f>CONCATENATE(VOL_VOLUMEN_SUMINISTROS[[#This Row],[Grupo]],VOL_VOLUMEN_SUMINISTROS[[#This Row],[Proyecto]],VOL_VOLUMEN_SUMINISTROS[[#This Row],[FIN DE SEMANA]])</f>
        <v>271052-1NO</v>
      </c>
      <c r="E1694" s="30" t="s">
        <v>146</v>
      </c>
      <c r="F1694" s="30" t="s">
        <v>147</v>
      </c>
      <c r="G1694" s="360">
        <v>27</v>
      </c>
      <c r="H1694" s="30">
        <v>7</v>
      </c>
      <c r="I1694" s="9" t="s">
        <v>220</v>
      </c>
      <c r="J1694" s="9" t="s">
        <v>1215</v>
      </c>
      <c r="K1694" s="30">
        <v>1</v>
      </c>
      <c r="L1694" s="9" t="s">
        <v>1216</v>
      </c>
      <c r="M1694" s="30" t="s">
        <v>84</v>
      </c>
      <c r="N1694" s="30" t="s">
        <v>151</v>
      </c>
      <c r="O1694" s="24">
        <v>321</v>
      </c>
      <c r="P1694" s="24">
        <v>712</v>
      </c>
      <c r="Q1694" s="24">
        <v>993</v>
      </c>
      <c r="R1694" s="24">
        <v>0</v>
      </c>
      <c r="S1694" s="24">
        <v>0</v>
      </c>
      <c r="T1694" s="24">
        <v>2026</v>
      </c>
    </row>
    <row r="1695" spans="1:20">
      <c r="A1695" s="9" t="s">
        <v>1104</v>
      </c>
      <c r="B1695" s="30" t="s">
        <v>1209</v>
      </c>
      <c r="C1695" s="30" t="str">
        <f>CONCATENATE(VOL_VOLUMEN_SUMINISTROS[[#This Row],[Proyecto]],VOL_VOLUMEN_SUMINISTROS[[#This Row],[J]],VOL_VOLUMEN_SUMINISTROS[[#This Row],[FIN DE SEMANA]])</f>
        <v>1052-1TNO</v>
      </c>
      <c r="D1695" s="360" t="str">
        <f>CONCATENATE(VOL_VOLUMEN_SUMINISTROS[[#This Row],[Grupo]],VOL_VOLUMEN_SUMINISTROS[[#This Row],[Proyecto]],VOL_VOLUMEN_SUMINISTROS[[#This Row],[FIN DE SEMANA]])</f>
        <v>271052-1NO</v>
      </c>
      <c r="E1695" s="30" t="s">
        <v>146</v>
      </c>
      <c r="F1695" s="30" t="s">
        <v>147</v>
      </c>
      <c r="G1695" s="360">
        <v>27</v>
      </c>
      <c r="H1695" s="30">
        <v>7</v>
      </c>
      <c r="I1695" s="9" t="s">
        <v>220</v>
      </c>
      <c r="J1695" s="9" t="s">
        <v>1215</v>
      </c>
      <c r="K1695" s="30">
        <v>1</v>
      </c>
      <c r="L1695" s="9" t="s">
        <v>1216</v>
      </c>
      <c r="M1695" s="30" t="s">
        <v>84</v>
      </c>
      <c r="N1695" s="30" t="s">
        <v>154</v>
      </c>
      <c r="O1695" s="24">
        <v>433</v>
      </c>
      <c r="P1695" s="24">
        <v>768</v>
      </c>
      <c r="Q1695" s="24">
        <v>778</v>
      </c>
      <c r="R1695" s="24">
        <v>0</v>
      </c>
      <c r="S1695" s="24">
        <v>0</v>
      </c>
      <c r="T1695" s="24">
        <v>1979</v>
      </c>
    </row>
    <row r="1696" spans="1:20">
      <c r="A1696" s="9" t="s">
        <v>1104</v>
      </c>
      <c r="B1696" s="30" t="s">
        <v>1209</v>
      </c>
      <c r="C1696" s="30" t="str">
        <f>CONCATENATE(VOL_VOLUMEN_SUMINISTROS[[#This Row],[Proyecto]],VOL_VOLUMEN_SUMINISTROS[[#This Row],[J]],VOL_VOLUMEN_SUMINISTROS[[#This Row],[FIN DE SEMANA]])</f>
        <v>1052-1MNO</v>
      </c>
      <c r="D1696" s="360" t="str">
        <f>CONCATENATE(VOL_VOLUMEN_SUMINISTROS[[#This Row],[Grupo]],VOL_VOLUMEN_SUMINISTROS[[#This Row],[Proyecto]],VOL_VOLUMEN_SUMINISTROS[[#This Row],[FIN DE SEMANA]])</f>
        <v>271052-1NO</v>
      </c>
      <c r="E1696" s="30" t="s">
        <v>146</v>
      </c>
      <c r="F1696" s="30" t="s">
        <v>147</v>
      </c>
      <c r="G1696" s="360">
        <v>27</v>
      </c>
      <c r="H1696" s="30">
        <v>7</v>
      </c>
      <c r="I1696" s="9" t="s">
        <v>220</v>
      </c>
      <c r="J1696" s="9" t="s">
        <v>1215</v>
      </c>
      <c r="K1696" s="30">
        <v>2</v>
      </c>
      <c r="L1696" s="9" t="s">
        <v>1217</v>
      </c>
      <c r="M1696" s="30" t="s">
        <v>84</v>
      </c>
      <c r="N1696" s="30" t="s">
        <v>151</v>
      </c>
      <c r="O1696" s="24">
        <v>140</v>
      </c>
      <c r="P1696" s="24">
        <v>103</v>
      </c>
      <c r="Q1696" s="24">
        <v>21</v>
      </c>
      <c r="R1696" s="24">
        <v>0</v>
      </c>
      <c r="S1696" s="24">
        <v>0</v>
      </c>
      <c r="T1696" s="24">
        <v>264</v>
      </c>
    </row>
    <row r="1697" spans="1:20">
      <c r="A1697" s="9" t="s">
        <v>1104</v>
      </c>
      <c r="B1697" s="30" t="s">
        <v>1209</v>
      </c>
      <c r="C1697" s="30" t="str">
        <f>CONCATENATE(VOL_VOLUMEN_SUMINISTROS[[#This Row],[Proyecto]],VOL_VOLUMEN_SUMINISTROS[[#This Row],[J]],VOL_VOLUMEN_SUMINISTROS[[#This Row],[FIN DE SEMANA]])</f>
        <v>1052-1TNO</v>
      </c>
      <c r="D1697" s="360" t="str">
        <f>CONCATENATE(VOL_VOLUMEN_SUMINISTROS[[#This Row],[Grupo]],VOL_VOLUMEN_SUMINISTROS[[#This Row],[Proyecto]],VOL_VOLUMEN_SUMINISTROS[[#This Row],[FIN DE SEMANA]])</f>
        <v>271052-1NO</v>
      </c>
      <c r="E1697" s="30" t="s">
        <v>146</v>
      </c>
      <c r="F1697" s="30" t="s">
        <v>147</v>
      </c>
      <c r="G1697" s="360">
        <v>27</v>
      </c>
      <c r="H1697" s="30">
        <v>7</v>
      </c>
      <c r="I1697" s="9" t="s">
        <v>220</v>
      </c>
      <c r="J1697" s="9" t="s">
        <v>1215</v>
      </c>
      <c r="K1697" s="30">
        <v>2</v>
      </c>
      <c r="L1697" s="9" t="s">
        <v>1217</v>
      </c>
      <c r="M1697" s="30" t="s">
        <v>84</v>
      </c>
      <c r="N1697" s="30" t="s">
        <v>154</v>
      </c>
      <c r="O1697" s="24">
        <v>140</v>
      </c>
      <c r="P1697" s="24">
        <v>103</v>
      </c>
      <c r="Q1697" s="24">
        <v>21</v>
      </c>
      <c r="R1697" s="24">
        <v>0</v>
      </c>
      <c r="S1697" s="24">
        <v>0</v>
      </c>
      <c r="T1697" s="24">
        <v>264</v>
      </c>
    </row>
    <row r="1698" spans="1:20">
      <c r="A1698" s="9" t="s">
        <v>1104</v>
      </c>
      <c r="B1698" s="30" t="s">
        <v>1209</v>
      </c>
      <c r="C1698" s="30" t="str">
        <f>CONCATENATE(VOL_VOLUMEN_SUMINISTROS[[#This Row],[Proyecto]],VOL_VOLUMEN_SUMINISTROS[[#This Row],[J]],VOL_VOLUMEN_SUMINISTROS[[#This Row],[FIN DE SEMANA]])</f>
        <v>1052-1MNO</v>
      </c>
      <c r="D1698" s="360" t="str">
        <f>CONCATENATE(VOL_VOLUMEN_SUMINISTROS[[#This Row],[Grupo]],VOL_VOLUMEN_SUMINISTROS[[#This Row],[Proyecto]],VOL_VOLUMEN_SUMINISTROS[[#This Row],[FIN DE SEMANA]])</f>
        <v>271052-1NO</v>
      </c>
      <c r="E1698" s="30" t="s">
        <v>146</v>
      </c>
      <c r="F1698" s="30" t="s">
        <v>147</v>
      </c>
      <c r="G1698" s="360">
        <v>27</v>
      </c>
      <c r="H1698" s="30">
        <v>7</v>
      </c>
      <c r="I1698" s="9" t="s">
        <v>220</v>
      </c>
      <c r="J1698" s="9" t="s">
        <v>1215</v>
      </c>
      <c r="K1698" s="30">
        <v>3</v>
      </c>
      <c r="L1698" s="9" t="s">
        <v>195</v>
      </c>
      <c r="M1698" s="30" t="s">
        <v>84</v>
      </c>
      <c r="N1698" s="30" t="s">
        <v>151</v>
      </c>
      <c r="O1698" s="24">
        <v>212</v>
      </c>
      <c r="P1698" s="24">
        <v>202</v>
      </c>
      <c r="Q1698" s="24">
        <v>42</v>
      </c>
      <c r="R1698" s="24">
        <v>0</v>
      </c>
      <c r="S1698" s="24">
        <v>0</v>
      </c>
      <c r="T1698" s="24">
        <v>456</v>
      </c>
    </row>
    <row r="1699" spans="1:20">
      <c r="A1699" s="9" t="s">
        <v>1104</v>
      </c>
      <c r="B1699" s="30" t="s">
        <v>1209</v>
      </c>
      <c r="C1699" s="30" t="str">
        <f>CONCATENATE(VOL_VOLUMEN_SUMINISTROS[[#This Row],[Proyecto]],VOL_VOLUMEN_SUMINISTROS[[#This Row],[J]],VOL_VOLUMEN_SUMINISTROS[[#This Row],[FIN DE SEMANA]])</f>
        <v>1052-1TNO</v>
      </c>
      <c r="D1699" s="360" t="str">
        <f>CONCATENATE(VOL_VOLUMEN_SUMINISTROS[[#This Row],[Grupo]],VOL_VOLUMEN_SUMINISTROS[[#This Row],[Proyecto]],VOL_VOLUMEN_SUMINISTROS[[#This Row],[FIN DE SEMANA]])</f>
        <v>271052-1NO</v>
      </c>
      <c r="E1699" s="30" t="s">
        <v>146</v>
      </c>
      <c r="F1699" s="30" t="s">
        <v>147</v>
      </c>
      <c r="G1699" s="360">
        <v>27</v>
      </c>
      <c r="H1699" s="30">
        <v>7</v>
      </c>
      <c r="I1699" s="9" t="s">
        <v>220</v>
      </c>
      <c r="J1699" s="9" t="s">
        <v>1215</v>
      </c>
      <c r="K1699" s="30">
        <v>3</v>
      </c>
      <c r="L1699" s="9" t="s">
        <v>195</v>
      </c>
      <c r="M1699" s="30" t="s">
        <v>84</v>
      </c>
      <c r="N1699" s="30" t="s">
        <v>154</v>
      </c>
      <c r="O1699" s="24">
        <v>214</v>
      </c>
      <c r="P1699" s="24">
        <v>200</v>
      </c>
      <c r="Q1699" s="24">
        <v>41</v>
      </c>
      <c r="R1699" s="24">
        <v>0</v>
      </c>
      <c r="S1699" s="24">
        <v>0</v>
      </c>
      <c r="T1699" s="24">
        <v>455</v>
      </c>
    </row>
    <row r="1700" spans="1:20">
      <c r="A1700" s="9" t="s">
        <v>1104</v>
      </c>
      <c r="B1700" s="30" t="s">
        <v>1209</v>
      </c>
      <c r="C1700" s="30" t="str">
        <f>CONCATENATE(VOL_VOLUMEN_SUMINISTROS[[#This Row],[Proyecto]],VOL_VOLUMEN_SUMINISTROS[[#This Row],[J]],VOL_VOLUMEN_SUMINISTROS[[#This Row],[FIN DE SEMANA]])</f>
        <v>1052-1MNO</v>
      </c>
      <c r="D1700" s="360" t="str">
        <f>CONCATENATE(VOL_VOLUMEN_SUMINISTROS[[#This Row],[Grupo]],VOL_VOLUMEN_SUMINISTROS[[#This Row],[Proyecto]],VOL_VOLUMEN_SUMINISTROS[[#This Row],[FIN DE SEMANA]])</f>
        <v>271052-1NO</v>
      </c>
      <c r="E1700" s="30" t="s">
        <v>146</v>
      </c>
      <c r="F1700" s="30" t="s">
        <v>147</v>
      </c>
      <c r="G1700" s="360">
        <v>27</v>
      </c>
      <c r="H1700" s="30">
        <v>7</v>
      </c>
      <c r="I1700" s="9" t="s">
        <v>220</v>
      </c>
      <c r="J1700" s="9" t="s">
        <v>1218</v>
      </c>
      <c r="K1700" s="30">
        <v>1</v>
      </c>
      <c r="L1700" s="9" t="s">
        <v>1219</v>
      </c>
      <c r="M1700" s="30" t="s">
        <v>84</v>
      </c>
      <c r="N1700" s="30" t="s">
        <v>151</v>
      </c>
      <c r="O1700" s="24">
        <v>0</v>
      </c>
      <c r="P1700" s="24">
        <v>282</v>
      </c>
      <c r="Q1700" s="24">
        <v>737</v>
      </c>
      <c r="R1700" s="24">
        <v>0</v>
      </c>
      <c r="S1700" s="24">
        <v>0</v>
      </c>
      <c r="T1700" s="24">
        <v>1019</v>
      </c>
    </row>
    <row r="1701" spans="1:20">
      <c r="A1701" s="9" t="s">
        <v>1104</v>
      </c>
      <c r="B1701" s="30" t="s">
        <v>1209</v>
      </c>
      <c r="C1701" s="30" t="str">
        <f>CONCATENATE(VOL_VOLUMEN_SUMINISTROS[[#This Row],[Proyecto]],VOL_VOLUMEN_SUMINISTROS[[#This Row],[J]],VOL_VOLUMEN_SUMINISTROS[[#This Row],[FIN DE SEMANA]])</f>
        <v>1052-1NNO</v>
      </c>
      <c r="D1701" s="360" t="str">
        <f>CONCATENATE(VOL_VOLUMEN_SUMINISTROS[[#This Row],[Grupo]],VOL_VOLUMEN_SUMINISTROS[[#This Row],[Proyecto]],VOL_VOLUMEN_SUMINISTROS[[#This Row],[FIN DE SEMANA]])</f>
        <v>271052-1NO</v>
      </c>
      <c r="E1701" s="30" t="s">
        <v>146</v>
      </c>
      <c r="F1701" s="30" t="s">
        <v>147</v>
      </c>
      <c r="G1701" s="360">
        <v>27</v>
      </c>
      <c r="H1701" s="30">
        <v>7</v>
      </c>
      <c r="I1701" s="9" t="s">
        <v>220</v>
      </c>
      <c r="J1701" s="9" t="s">
        <v>1218</v>
      </c>
      <c r="K1701" s="30">
        <v>1</v>
      </c>
      <c r="L1701" s="9" t="s">
        <v>1219</v>
      </c>
      <c r="M1701" s="30" t="s">
        <v>84</v>
      </c>
      <c r="N1701" s="30" t="s">
        <v>153</v>
      </c>
      <c r="O1701" s="24">
        <v>0</v>
      </c>
      <c r="P1701" s="24">
        <v>0</v>
      </c>
      <c r="Q1701" s="24">
        <v>0</v>
      </c>
      <c r="R1701" s="24">
        <v>192</v>
      </c>
      <c r="S1701" s="24">
        <v>214</v>
      </c>
      <c r="T1701" s="24">
        <v>406</v>
      </c>
    </row>
    <row r="1702" spans="1:20">
      <c r="A1702" s="9" t="s">
        <v>1104</v>
      </c>
      <c r="B1702" s="30" t="s">
        <v>1209</v>
      </c>
      <c r="C1702" s="30" t="str">
        <f>CONCATENATE(VOL_VOLUMEN_SUMINISTROS[[#This Row],[Proyecto]],VOL_VOLUMEN_SUMINISTROS[[#This Row],[J]],VOL_VOLUMEN_SUMINISTROS[[#This Row],[FIN DE SEMANA]])</f>
        <v>1052-1TNO</v>
      </c>
      <c r="D1702" s="360" t="str">
        <f>CONCATENATE(VOL_VOLUMEN_SUMINISTROS[[#This Row],[Grupo]],VOL_VOLUMEN_SUMINISTROS[[#This Row],[Proyecto]],VOL_VOLUMEN_SUMINISTROS[[#This Row],[FIN DE SEMANA]])</f>
        <v>271052-1NO</v>
      </c>
      <c r="E1702" s="30" t="s">
        <v>146</v>
      </c>
      <c r="F1702" s="30" t="s">
        <v>147</v>
      </c>
      <c r="G1702" s="360">
        <v>27</v>
      </c>
      <c r="H1702" s="30">
        <v>7</v>
      </c>
      <c r="I1702" s="9" t="s">
        <v>220</v>
      </c>
      <c r="J1702" s="9" t="s">
        <v>1218</v>
      </c>
      <c r="K1702" s="30">
        <v>1</v>
      </c>
      <c r="L1702" s="9" t="s">
        <v>1219</v>
      </c>
      <c r="M1702" s="30" t="s">
        <v>84</v>
      </c>
      <c r="N1702" s="30" t="s">
        <v>154</v>
      </c>
      <c r="O1702" s="24">
        <v>0</v>
      </c>
      <c r="P1702" s="24">
        <v>309</v>
      </c>
      <c r="Q1702" s="24">
        <v>692</v>
      </c>
      <c r="R1702" s="24">
        <v>0</v>
      </c>
      <c r="S1702" s="24">
        <v>0</v>
      </c>
      <c r="T1702" s="24">
        <v>1001</v>
      </c>
    </row>
    <row r="1703" spans="1:20">
      <c r="A1703" s="9" t="s">
        <v>1104</v>
      </c>
      <c r="B1703" s="30" t="s">
        <v>1209</v>
      </c>
      <c r="C1703" s="30" t="str">
        <f>CONCATENATE(VOL_VOLUMEN_SUMINISTROS[[#This Row],[Proyecto]],VOL_VOLUMEN_SUMINISTROS[[#This Row],[J]],VOL_VOLUMEN_SUMINISTROS[[#This Row],[FIN DE SEMANA]])</f>
        <v>1052-1MNO</v>
      </c>
      <c r="D1703" s="360" t="str">
        <f>CONCATENATE(VOL_VOLUMEN_SUMINISTROS[[#This Row],[Grupo]],VOL_VOLUMEN_SUMINISTROS[[#This Row],[Proyecto]],VOL_VOLUMEN_SUMINISTROS[[#This Row],[FIN DE SEMANA]])</f>
        <v>271052-1NO</v>
      </c>
      <c r="E1703" s="30" t="s">
        <v>146</v>
      </c>
      <c r="F1703" s="30" t="s">
        <v>147</v>
      </c>
      <c r="G1703" s="360">
        <v>27</v>
      </c>
      <c r="H1703" s="30">
        <v>7</v>
      </c>
      <c r="I1703" s="9" t="s">
        <v>220</v>
      </c>
      <c r="J1703" s="9" t="s">
        <v>1218</v>
      </c>
      <c r="K1703" s="30">
        <v>2</v>
      </c>
      <c r="L1703" s="9" t="s">
        <v>1220</v>
      </c>
      <c r="M1703" s="30" t="s">
        <v>84</v>
      </c>
      <c r="N1703" s="30" t="s">
        <v>151</v>
      </c>
      <c r="O1703" s="24">
        <v>338</v>
      </c>
      <c r="P1703" s="24">
        <v>430</v>
      </c>
      <c r="Q1703" s="24">
        <v>87</v>
      </c>
      <c r="R1703" s="24">
        <v>0</v>
      </c>
      <c r="S1703" s="24">
        <v>0</v>
      </c>
      <c r="T1703" s="24">
        <v>855</v>
      </c>
    </row>
    <row r="1704" spans="1:20">
      <c r="A1704" s="9" t="s">
        <v>1104</v>
      </c>
      <c r="B1704" s="30" t="s">
        <v>1209</v>
      </c>
      <c r="C1704" s="30" t="str">
        <f>CONCATENATE(VOL_VOLUMEN_SUMINISTROS[[#This Row],[Proyecto]],VOL_VOLUMEN_SUMINISTROS[[#This Row],[J]],VOL_VOLUMEN_SUMINISTROS[[#This Row],[FIN DE SEMANA]])</f>
        <v>1052-1TNO</v>
      </c>
      <c r="D1704" s="360" t="str">
        <f>CONCATENATE(VOL_VOLUMEN_SUMINISTROS[[#This Row],[Grupo]],VOL_VOLUMEN_SUMINISTROS[[#This Row],[Proyecto]],VOL_VOLUMEN_SUMINISTROS[[#This Row],[FIN DE SEMANA]])</f>
        <v>271052-1NO</v>
      </c>
      <c r="E1704" s="30" t="s">
        <v>146</v>
      </c>
      <c r="F1704" s="30" t="s">
        <v>147</v>
      </c>
      <c r="G1704" s="360">
        <v>27</v>
      </c>
      <c r="H1704" s="30">
        <v>7</v>
      </c>
      <c r="I1704" s="9" t="s">
        <v>220</v>
      </c>
      <c r="J1704" s="9" t="s">
        <v>1218</v>
      </c>
      <c r="K1704" s="30">
        <v>2</v>
      </c>
      <c r="L1704" s="9" t="s">
        <v>1220</v>
      </c>
      <c r="M1704" s="30" t="s">
        <v>84</v>
      </c>
      <c r="N1704" s="30" t="s">
        <v>154</v>
      </c>
      <c r="O1704" s="24">
        <v>342</v>
      </c>
      <c r="P1704" s="24">
        <v>429</v>
      </c>
      <c r="Q1704" s="24">
        <v>86</v>
      </c>
      <c r="R1704" s="24">
        <v>0</v>
      </c>
      <c r="S1704" s="24">
        <v>0</v>
      </c>
      <c r="T1704" s="24">
        <v>857</v>
      </c>
    </row>
    <row r="1705" spans="1:20">
      <c r="A1705" s="9" t="s">
        <v>1104</v>
      </c>
      <c r="B1705" s="30" t="s">
        <v>1209</v>
      </c>
      <c r="C1705" s="30" t="str">
        <f>CONCATENATE(VOL_VOLUMEN_SUMINISTROS[[#This Row],[Proyecto]],VOL_VOLUMEN_SUMINISTROS[[#This Row],[J]],VOL_VOLUMEN_SUMINISTROS[[#This Row],[FIN DE SEMANA]])</f>
        <v>1052-1MNO</v>
      </c>
      <c r="D1705" s="360" t="str">
        <f>CONCATENATE(VOL_VOLUMEN_SUMINISTROS[[#This Row],[Grupo]],VOL_VOLUMEN_SUMINISTROS[[#This Row],[Proyecto]],VOL_VOLUMEN_SUMINISTROS[[#This Row],[FIN DE SEMANA]])</f>
        <v>271052-1NO</v>
      </c>
      <c r="E1705" s="30" t="s">
        <v>146</v>
      </c>
      <c r="F1705" s="30" t="s">
        <v>147</v>
      </c>
      <c r="G1705" s="360">
        <v>27</v>
      </c>
      <c r="H1705" s="30">
        <v>7</v>
      </c>
      <c r="I1705" s="9" t="s">
        <v>220</v>
      </c>
      <c r="J1705" s="9" t="s">
        <v>1218</v>
      </c>
      <c r="K1705" s="30">
        <v>3</v>
      </c>
      <c r="L1705" s="9" t="s">
        <v>1221</v>
      </c>
      <c r="M1705" s="30" t="s">
        <v>84</v>
      </c>
      <c r="N1705" s="30" t="s">
        <v>151</v>
      </c>
      <c r="O1705" s="24">
        <v>159</v>
      </c>
      <c r="P1705" s="24">
        <v>0</v>
      </c>
      <c r="Q1705" s="24">
        <v>0</v>
      </c>
      <c r="R1705" s="24">
        <v>0</v>
      </c>
      <c r="S1705" s="24">
        <v>0</v>
      </c>
      <c r="T1705" s="24">
        <v>159</v>
      </c>
    </row>
    <row r="1706" spans="1:20">
      <c r="A1706" s="9" t="s">
        <v>1104</v>
      </c>
      <c r="B1706" s="30" t="s">
        <v>1209</v>
      </c>
      <c r="C1706" s="30" t="str">
        <f>CONCATENATE(VOL_VOLUMEN_SUMINISTROS[[#This Row],[Proyecto]],VOL_VOLUMEN_SUMINISTROS[[#This Row],[J]],VOL_VOLUMEN_SUMINISTROS[[#This Row],[FIN DE SEMANA]])</f>
        <v>1052-1TNO</v>
      </c>
      <c r="D1706" s="360" t="str">
        <f>CONCATENATE(VOL_VOLUMEN_SUMINISTROS[[#This Row],[Grupo]],VOL_VOLUMEN_SUMINISTROS[[#This Row],[Proyecto]],VOL_VOLUMEN_SUMINISTROS[[#This Row],[FIN DE SEMANA]])</f>
        <v>271052-1NO</v>
      </c>
      <c r="E1706" s="30" t="s">
        <v>146</v>
      </c>
      <c r="F1706" s="30" t="s">
        <v>147</v>
      </c>
      <c r="G1706" s="360">
        <v>27</v>
      </c>
      <c r="H1706" s="30">
        <v>7</v>
      </c>
      <c r="I1706" s="9" t="s">
        <v>220</v>
      </c>
      <c r="J1706" s="9" t="s">
        <v>1218</v>
      </c>
      <c r="K1706" s="30">
        <v>3</v>
      </c>
      <c r="L1706" s="9" t="s">
        <v>1221</v>
      </c>
      <c r="M1706" s="30" t="s">
        <v>84</v>
      </c>
      <c r="N1706" s="30" t="s">
        <v>154</v>
      </c>
      <c r="O1706" s="24">
        <v>180</v>
      </c>
      <c r="P1706" s="24">
        <v>0</v>
      </c>
      <c r="Q1706" s="24">
        <v>0</v>
      </c>
      <c r="R1706" s="24">
        <v>0</v>
      </c>
      <c r="S1706" s="24">
        <v>0</v>
      </c>
      <c r="T1706" s="24">
        <v>180</v>
      </c>
    </row>
    <row r="1707" spans="1:20">
      <c r="A1707" s="9" t="s">
        <v>1104</v>
      </c>
      <c r="B1707" s="30" t="s">
        <v>1209</v>
      </c>
      <c r="C1707" s="30" t="str">
        <f>CONCATENATE(VOL_VOLUMEN_SUMINISTROS[[#This Row],[Proyecto]],VOL_VOLUMEN_SUMINISTROS[[#This Row],[J]],VOL_VOLUMEN_SUMINISTROS[[#This Row],[FIN DE SEMANA]])</f>
        <v>1052-1NNO</v>
      </c>
      <c r="D1707" s="360" t="str">
        <f>CONCATENATE(VOL_VOLUMEN_SUMINISTROS[[#This Row],[Grupo]],VOL_VOLUMEN_SUMINISTROS[[#This Row],[Proyecto]],VOL_VOLUMEN_SUMINISTROS[[#This Row],[FIN DE SEMANA]])</f>
        <v>271052-1NO</v>
      </c>
      <c r="E1707" s="30" t="s">
        <v>146</v>
      </c>
      <c r="F1707" s="30" t="s">
        <v>147</v>
      </c>
      <c r="G1707" s="360">
        <v>27</v>
      </c>
      <c r="H1707" s="30">
        <v>7</v>
      </c>
      <c r="I1707" s="9" t="s">
        <v>220</v>
      </c>
      <c r="J1707" s="9" t="s">
        <v>1218</v>
      </c>
      <c r="K1707" s="30">
        <v>4</v>
      </c>
      <c r="L1707" s="9" t="s">
        <v>1222</v>
      </c>
      <c r="M1707" s="30" t="s">
        <v>84</v>
      </c>
      <c r="N1707" s="30" t="s">
        <v>153</v>
      </c>
      <c r="O1707" s="24">
        <v>0</v>
      </c>
      <c r="P1707" s="24">
        <v>0</v>
      </c>
      <c r="Q1707" s="24">
        <v>0</v>
      </c>
      <c r="R1707" s="24">
        <v>37</v>
      </c>
      <c r="S1707" s="24">
        <v>38</v>
      </c>
      <c r="T1707" s="24">
        <v>75</v>
      </c>
    </row>
    <row r="1708" spans="1:20">
      <c r="A1708" s="9" t="s">
        <v>1104</v>
      </c>
      <c r="B1708" s="30" t="s">
        <v>1209</v>
      </c>
      <c r="C1708" s="30" t="str">
        <f>CONCATENATE(VOL_VOLUMEN_SUMINISTROS[[#This Row],[Proyecto]],VOL_VOLUMEN_SUMINISTROS[[#This Row],[J]],VOL_VOLUMEN_SUMINISTROS[[#This Row],[FIN DE SEMANA]])</f>
        <v>1052-1MNO</v>
      </c>
      <c r="D1708" s="360" t="str">
        <f>CONCATENATE(VOL_VOLUMEN_SUMINISTROS[[#This Row],[Grupo]],VOL_VOLUMEN_SUMINISTROS[[#This Row],[Proyecto]],VOL_VOLUMEN_SUMINISTROS[[#This Row],[FIN DE SEMANA]])</f>
        <v>271052-1NO</v>
      </c>
      <c r="E1708" s="30" t="s">
        <v>146</v>
      </c>
      <c r="F1708" s="30" t="s">
        <v>147</v>
      </c>
      <c r="G1708" s="360">
        <v>27</v>
      </c>
      <c r="H1708" s="30">
        <v>7</v>
      </c>
      <c r="I1708" s="9" t="s">
        <v>220</v>
      </c>
      <c r="J1708" s="9" t="s">
        <v>1223</v>
      </c>
      <c r="K1708" s="30">
        <v>1</v>
      </c>
      <c r="L1708" s="9" t="s">
        <v>1224</v>
      </c>
      <c r="M1708" s="30" t="s">
        <v>84</v>
      </c>
      <c r="N1708" s="30" t="s">
        <v>151</v>
      </c>
      <c r="O1708" s="24">
        <v>50</v>
      </c>
      <c r="P1708" s="24">
        <v>108</v>
      </c>
      <c r="Q1708" s="24">
        <v>36</v>
      </c>
      <c r="R1708" s="24">
        <v>0</v>
      </c>
      <c r="S1708" s="24">
        <v>0</v>
      </c>
      <c r="T1708" s="24">
        <v>194</v>
      </c>
    </row>
    <row r="1709" spans="1:20">
      <c r="A1709" s="9" t="s">
        <v>1104</v>
      </c>
      <c r="B1709" s="30" t="s">
        <v>1209</v>
      </c>
      <c r="C1709" s="30" t="str">
        <f>CONCATENATE(VOL_VOLUMEN_SUMINISTROS[[#This Row],[Proyecto]],VOL_VOLUMEN_SUMINISTROS[[#This Row],[J]],VOL_VOLUMEN_SUMINISTROS[[#This Row],[FIN DE SEMANA]])</f>
        <v>1052-1TNO</v>
      </c>
      <c r="D1709" s="360" t="str">
        <f>CONCATENATE(VOL_VOLUMEN_SUMINISTROS[[#This Row],[Grupo]],VOL_VOLUMEN_SUMINISTROS[[#This Row],[Proyecto]],VOL_VOLUMEN_SUMINISTROS[[#This Row],[FIN DE SEMANA]])</f>
        <v>271052-1NO</v>
      </c>
      <c r="E1709" s="30" t="s">
        <v>146</v>
      </c>
      <c r="F1709" s="30" t="s">
        <v>147</v>
      </c>
      <c r="G1709" s="360">
        <v>27</v>
      </c>
      <c r="H1709" s="30">
        <v>7</v>
      </c>
      <c r="I1709" s="9" t="s">
        <v>220</v>
      </c>
      <c r="J1709" s="9" t="s">
        <v>1223</v>
      </c>
      <c r="K1709" s="30">
        <v>1</v>
      </c>
      <c r="L1709" s="9" t="s">
        <v>1224</v>
      </c>
      <c r="M1709" s="30" t="s">
        <v>84</v>
      </c>
      <c r="N1709" s="30" t="s">
        <v>154</v>
      </c>
      <c r="O1709" s="24">
        <v>50</v>
      </c>
      <c r="P1709" s="24">
        <v>108</v>
      </c>
      <c r="Q1709" s="24">
        <v>36</v>
      </c>
      <c r="R1709" s="24">
        <v>0</v>
      </c>
      <c r="S1709" s="24">
        <v>0</v>
      </c>
      <c r="T1709" s="24">
        <v>194</v>
      </c>
    </row>
    <row r="1710" spans="1:20">
      <c r="A1710" s="9" t="s">
        <v>1104</v>
      </c>
      <c r="B1710" s="30" t="s">
        <v>1209</v>
      </c>
      <c r="C1710" s="30" t="str">
        <f>CONCATENATE(VOL_VOLUMEN_SUMINISTROS[[#This Row],[Proyecto]],VOL_VOLUMEN_SUMINISTROS[[#This Row],[J]],VOL_VOLUMEN_SUMINISTROS[[#This Row],[FIN DE SEMANA]])</f>
        <v>1052-1MNO</v>
      </c>
      <c r="D1710" s="360" t="str">
        <f>CONCATENATE(VOL_VOLUMEN_SUMINISTROS[[#This Row],[Grupo]],VOL_VOLUMEN_SUMINISTROS[[#This Row],[Proyecto]],VOL_VOLUMEN_SUMINISTROS[[#This Row],[FIN DE SEMANA]])</f>
        <v>271052-1NO</v>
      </c>
      <c r="E1710" s="30" t="s">
        <v>146</v>
      </c>
      <c r="F1710" s="30" t="s">
        <v>147</v>
      </c>
      <c r="G1710" s="360">
        <v>27</v>
      </c>
      <c r="H1710" s="30">
        <v>7</v>
      </c>
      <c r="I1710" s="9" t="s">
        <v>220</v>
      </c>
      <c r="J1710" s="9" t="s">
        <v>1223</v>
      </c>
      <c r="K1710" s="30">
        <v>2</v>
      </c>
      <c r="L1710" s="9" t="s">
        <v>1225</v>
      </c>
      <c r="M1710" s="30" t="s">
        <v>84</v>
      </c>
      <c r="N1710" s="30" t="s">
        <v>151</v>
      </c>
      <c r="O1710" s="24">
        <v>196</v>
      </c>
      <c r="P1710" s="24">
        <v>125</v>
      </c>
      <c r="Q1710" s="24">
        <v>9</v>
      </c>
      <c r="R1710" s="24">
        <v>0</v>
      </c>
      <c r="S1710" s="24">
        <v>0</v>
      </c>
      <c r="T1710" s="24">
        <v>330</v>
      </c>
    </row>
    <row r="1711" spans="1:20">
      <c r="A1711" s="9" t="s">
        <v>1104</v>
      </c>
      <c r="B1711" s="30" t="s">
        <v>1209</v>
      </c>
      <c r="C1711" s="30" t="str">
        <f>CONCATENATE(VOL_VOLUMEN_SUMINISTROS[[#This Row],[Proyecto]],VOL_VOLUMEN_SUMINISTROS[[#This Row],[J]],VOL_VOLUMEN_SUMINISTROS[[#This Row],[FIN DE SEMANA]])</f>
        <v>1052-1TNO</v>
      </c>
      <c r="D1711" s="360" t="str">
        <f>CONCATENATE(VOL_VOLUMEN_SUMINISTROS[[#This Row],[Grupo]],VOL_VOLUMEN_SUMINISTROS[[#This Row],[Proyecto]],VOL_VOLUMEN_SUMINISTROS[[#This Row],[FIN DE SEMANA]])</f>
        <v>271052-1NO</v>
      </c>
      <c r="E1711" s="30" t="s">
        <v>146</v>
      </c>
      <c r="F1711" s="30" t="s">
        <v>147</v>
      </c>
      <c r="G1711" s="360">
        <v>27</v>
      </c>
      <c r="H1711" s="30">
        <v>7</v>
      </c>
      <c r="I1711" s="9" t="s">
        <v>220</v>
      </c>
      <c r="J1711" s="9" t="s">
        <v>1223</v>
      </c>
      <c r="K1711" s="30">
        <v>2</v>
      </c>
      <c r="L1711" s="9" t="s">
        <v>1225</v>
      </c>
      <c r="M1711" s="30" t="s">
        <v>84</v>
      </c>
      <c r="N1711" s="30" t="s">
        <v>154</v>
      </c>
      <c r="O1711" s="24">
        <v>196</v>
      </c>
      <c r="P1711" s="24">
        <v>125</v>
      </c>
      <c r="Q1711" s="24">
        <v>9</v>
      </c>
      <c r="R1711" s="24">
        <v>0</v>
      </c>
      <c r="S1711" s="24">
        <v>0</v>
      </c>
      <c r="T1711" s="24">
        <v>330</v>
      </c>
    </row>
    <row r="1712" spans="1:20">
      <c r="A1712" s="9" t="s">
        <v>1104</v>
      </c>
      <c r="B1712" s="30" t="s">
        <v>1209</v>
      </c>
      <c r="C1712" s="30" t="str">
        <f>CONCATENATE(VOL_VOLUMEN_SUMINISTROS[[#This Row],[Proyecto]],VOL_VOLUMEN_SUMINISTROS[[#This Row],[J]],VOL_VOLUMEN_SUMINISTROS[[#This Row],[FIN DE SEMANA]])</f>
        <v>1052-1TNO</v>
      </c>
      <c r="D1712" s="360" t="str">
        <f>CONCATENATE(VOL_VOLUMEN_SUMINISTROS[[#This Row],[Grupo]],VOL_VOLUMEN_SUMINISTROS[[#This Row],[Proyecto]],VOL_VOLUMEN_SUMINISTROS[[#This Row],[FIN DE SEMANA]])</f>
        <v>271052-1NO</v>
      </c>
      <c r="E1712" s="30" t="s">
        <v>146</v>
      </c>
      <c r="F1712" s="30" t="s">
        <v>147</v>
      </c>
      <c r="G1712" s="360">
        <v>27</v>
      </c>
      <c r="H1712" s="30">
        <v>7</v>
      </c>
      <c r="I1712" s="9" t="s">
        <v>220</v>
      </c>
      <c r="J1712" s="9" t="s">
        <v>1223</v>
      </c>
      <c r="K1712" s="30">
        <v>3</v>
      </c>
      <c r="L1712" s="9" t="s">
        <v>1224</v>
      </c>
      <c r="M1712" s="30" t="s">
        <v>84</v>
      </c>
      <c r="N1712" s="30" t="s">
        <v>154</v>
      </c>
      <c r="O1712" s="24">
        <v>0</v>
      </c>
      <c r="P1712" s="24">
        <v>252</v>
      </c>
      <c r="Q1712" s="24">
        <v>212</v>
      </c>
      <c r="R1712" s="24">
        <v>0</v>
      </c>
      <c r="S1712" s="24">
        <v>0</v>
      </c>
      <c r="T1712" s="24">
        <v>464</v>
      </c>
    </row>
    <row r="1713" spans="1:20">
      <c r="A1713" s="9" t="s">
        <v>1104</v>
      </c>
      <c r="B1713" s="30" t="s">
        <v>1209</v>
      </c>
      <c r="C1713" s="30" t="str">
        <f>CONCATENATE(VOL_VOLUMEN_SUMINISTROS[[#This Row],[Proyecto]],VOL_VOLUMEN_SUMINISTROS[[#This Row],[J]],VOL_VOLUMEN_SUMINISTROS[[#This Row],[FIN DE SEMANA]])</f>
        <v>1052-1MNO</v>
      </c>
      <c r="D1713" s="360" t="str">
        <f>CONCATENATE(VOL_VOLUMEN_SUMINISTROS[[#This Row],[Grupo]],VOL_VOLUMEN_SUMINISTROS[[#This Row],[Proyecto]],VOL_VOLUMEN_SUMINISTROS[[#This Row],[FIN DE SEMANA]])</f>
        <v>271052-1NO</v>
      </c>
      <c r="E1713" s="30" t="s">
        <v>146</v>
      </c>
      <c r="F1713" s="30" t="s">
        <v>147</v>
      </c>
      <c r="G1713" s="360">
        <v>27</v>
      </c>
      <c r="H1713" s="30">
        <v>7</v>
      </c>
      <c r="I1713" s="9" t="s">
        <v>220</v>
      </c>
      <c r="J1713" s="9" t="s">
        <v>1226</v>
      </c>
      <c r="K1713" s="30">
        <v>2</v>
      </c>
      <c r="L1713" s="9" t="s">
        <v>1227</v>
      </c>
      <c r="M1713" s="30" t="s">
        <v>84</v>
      </c>
      <c r="N1713" s="30" t="s">
        <v>151</v>
      </c>
      <c r="O1713" s="24">
        <v>288</v>
      </c>
      <c r="P1713" s="24">
        <v>144</v>
      </c>
      <c r="Q1713" s="24">
        <v>0</v>
      </c>
      <c r="R1713" s="24">
        <v>0</v>
      </c>
      <c r="S1713" s="24">
        <v>0</v>
      </c>
      <c r="T1713" s="24">
        <v>432</v>
      </c>
    </row>
    <row r="1714" spans="1:20">
      <c r="A1714" s="9" t="s">
        <v>1104</v>
      </c>
      <c r="B1714" s="30" t="s">
        <v>1209</v>
      </c>
      <c r="C1714" s="30" t="str">
        <f>CONCATENATE(VOL_VOLUMEN_SUMINISTROS[[#This Row],[Proyecto]],VOL_VOLUMEN_SUMINISTROS[[#This Row],[J]],VOL_VOLUMEN_SUMINISTROS[[#This Row],[FIN DE SEMANA]])</f>
        <v>1052-1TNO</v>
      </c>
      <c r="D1714" s="360" t="str">
        <f>CONCATENATE(VOL_VOLUMEN_SUMINISTROS[[#This Row],[Grupo]],VOL_VOLUMEN_SUMINISTROS[[#This Row],[Proyecto]],VOL_VOLUMEN_SUMINISTROS[[#This Row],[FIN DE SEMANA]])</f>
        <v>271052-1NO</v>
      </c>
      <c r="E1714" s="30" t="s">
        <v>146</v>
      </c>
      <c r="F1714" s="30" t="s">
        <v>147</v>
      </c>
      <c r="G1714" s="360">
        <v>27</v>
      </c>
      <c r="H1714" s="30">
        <v>7</v>
      </c>
      <c r="I1714" s="9" t="s">
        <v>220</v>
      </c>
      <c r="J1714" s="9" t="s">
        <v>1226</v>
      </c>
      <c r="K1714" s="30">
        <v>2</v>
      </c>
      <c r="L1714" s="9" t="s">
        <v>1227</v>
      </c>
      <c r="M1714" s="30" t="s">
        <v>84</v>
      </c>
      <c r="N1714" s="30" t="s">
        <v>154</v>
      </c>
      <c r="O1714" s="24">
        <v>292</v>
      </c>
      <c r="P1714" s="24">
        <v>146</v>
      </c>
      <c r="Q1714" s="24">
        <v>0</v>
      </c>
      <c r="R1714" s="24">
        <v>0</v>
      </c>
      <c r="S1714" s="24">
        <v>0</v>
      </c>
      <c r="T1714" s="24">
        <v>438</v>
      </c>
    </row>
    <row r="1715" spans="1:20">
      <c r="A1715" s="9" t="s">
        <v>1104</v>
      </c>
      <c r="B1715" s="30" t="s">
        <v>1228</v>
      </c>
      <c r="C1715" s="30" t="str">
        <f>CONCATENATE(VOL_VOLUMEN_SUMINISTROS[[#This Row],[Proyecto]],VOL_VOLUMEN_SUMINISTROS[[#This Row],[J]],VOL_VOLUMEN_SUMINISTROS[[#This Row],[FIN DE SEMANA]])</f>
        <v>1052-2M1NO</v>
      </c>
      <c r="D1715" s="360" t="str">
        <f>CONCATENATE(VOL_VOLUMEN_SUMINISTROS[[#This Row],[Grupo]],VOL_VOLUMEN_SUMINISTROS[[#This Row],[Proyecto]],VOL_VOLUMEN_SUMINISTROS[[#This Row],[FIN DE SEMANA]])</f>
        <v>181052-2NO</v>
      </c>
      <c r="E1715" s="30" t="s">
        <v>182</v>
      </c>
      <c r="F1715" s="30" t="s">
        <v>147</v>
      </c>
      <c r="G1715" s="360">
        <v>18</v>
      </c>
      <c r="H1715" s="30">
        <v>5</v>
      </c>
      <c r="I1715" s="9" t="s">
        <v>763</v>
      </c>
      <c r="J1715" s="9" t="s">
        <v>1190</v>
      </c>
      <c r="K1715" s="30">
        <v>1</v>
      </c>
      <c r="L1715" s="9" t="s">
        <v>1191</v>
      </c>
      <c r="M1715" s="30" t="s">
        <v>84</v>
      </c>
      <c r="N1715" s="30" t="s">
        <v>215</v>
      </c>
      <c r="O1715" s="24">
        <v>34</v>
      </c>
      <c r="P1715" s="24">
        <v>131</v>
      </c>
      <c r="Q1715" s="24">
        <v>138</v>
      </c>
      <c r="R1715" s="24">
        <v>0</v>
      </c>
      <c r="S1715" s="24">
        <v>0</v>
      </c>
      <c r="T1715" s="24">
        <v>303</v>
      </c>
    </row>
    <row r="1716" spans="1:20">
      <c r="A1716" s="9" t="s">
        <v>1104</v>
      </c>
      <c r="B1716" s="30" t="s">
        <v>1228</v>
      </c>
      <c r="C1716" s="30" t="str">
        <f>CONCATENATE(VOL_VOLUMEN_SUMINISTROS[[#This Row],[Proyecto]],VOL_VOLUMEN_SUMINISTROS[[#This Row],[J]],VOL_VOLUMEN_SUMINISTROS[[#This Row],[FIN DE SEMANA]])</f>
        <v>1052-2TNO</v>
      </c>
      <c r="D1716" s="360" t="str">
        <f>CONCATENATE(VOL_VOLUMEN_SUMINISTROS[[#This Row],[Grupo]],VOL_VOLUMEN_SUMINISTROS[[#This Row],[Proyecto]],VOL_VOLUMEN_SUMINISTROS[[#This Row],[FIN DE SEMANA]])</f>
        <v>181052-2NO</v>
      </c>
      <c r="E1716" s="30" t="s">
        <v>182</v>
      </c>
      <c r="F1716" s="30" t="s">
        <v>147</v>
      </c>
      <c r="G1716" s="360">
        <v>18</v>
      </c>
      <c r="H1716" s="30">
        <v>5</v>
      </c>
      <c r="I1716" s="9" t="s">
        <v>763</v>
      </c>
      <c r="J1716" s="9" t="s">
        <v>1190</v>
      </c>
      <c r="K1716" s="30">
        <v>1</v>
      </c>
      <c r="L1716" s="9" t="s">
        <v>1191</v>
      </c>
      <c r="M1716" s="30" t="s">
        <v>84</v>
      </c>
      <c r="N1716" s="30" t="s">
        <v>154</v>
      </c>
      <c r="O1716" s="24">
        <v>54</v>
      </c>
      <c r="P1716" s="24">
        <v>237</v>
      </c>
      <c r="Q1716" s="24">
        <v>230</v>
      </c>
      <c r="R1716" s="24">
        <v>0</v>
      </c>
      <c r="S1716" s="24">
        <v>0</v>
      </c>
      <c r="T1716" s="24">
        <v>521</v>
      </c>
    </row>
    <row r="1717" spans="1:20">
      <c r="A1717" s="9" t="s">
        <v>1104</v>
      </c>
      <c r="B1717" s="30" t="s">
        <v>1228</v>
      </c>
      <c r="C1717" s="30" t="str">
        <f>CONCATENATE(VOL_VOLUMEN_SUMINISTROS[[#This Row],[Proyecto]],VOL_VOLUMEN_SUMINISTROS[[#This Row],[J]],VOL_VOLUMEN_SUMINISTROS[[#This Row],[FIN DE SEMANA]])</f>
        <v>1052-2M1NO</v>
      </c>
      <c r="D1717" s="360" t="str">
        <f>CONCATENATE(VOL_VOLUMEN_SUMINISTROS[[#This Row],[Grupo]],VOL_VOLUMEN_SUMINISTROS[[#This Row],[Proyecto]],VOL_VOLUMEN_SUMINISTROS[[#This Row],[FIN DE SEMANA]])</f>
        <v>181052-2NO</v>
      </c>
      <c r="E1717" s="30" t="s">
        <v>182</v>
      </c>
      <c r="F1717" s="30" t="s">
        <v>147</v>
      </c>
      <c r="G1717" s="360">
        <v>18</v>
      </c>
      <c r="H1717" s="30">
        <v>5</v>
      </c>
      <c r="I1717" s="9" t="s">
        <v>763</v>
      </c>
      <c r="J1717" s="9" t="s">
        <v>1190</v>
      </c>
      <c r="K1717" s="30">
        <v>2</v>
      </c>
      <c r="L1717" s="9" t="s">
        <v>1192</v>
      </c>
      <c r="M1717" s="30" t="s">
        <v>84</v>
      </c>
      <c r="N1717" s="30" t="s">
        <v>215</v>
      </c>
      <c r="O1717" s="24">
        <v>34</v>
      </c>
      <c r="P1717" s="24">
        <v>56</v>
      </c>
      <c r="Q1717" s="24">
        <v>13</v>
      </c>
      <c r="R1717" s="24">
        <v>0</v>
      </c>
      <c r="S1717" s="24">
        <v>0</v>
      </c>
      <c r="T1717" s="24">
        <v>103</v>
      </c>
    </row>
    <row r="1718" spans="1:20">
      <c r="A1718" s="9" t="s">
        <v>1104</v>
      </c>
      <c r="B1718" s="30" t="s">
        <v>1228</v>
      </c>
      <c r="C1718" s="30" t="str">
        <f>CONCATENATE(VOL_VOLUMEN_SUMINISTROS[[#This Row],[Proyecto]],VOL_VOLUMEN_SUMINISTROS[[#This Row],[J]],VOL_VOLUMEN_SUMINISTROS[[#This Row],[FIN DE SEMANA]])</f>
        <v>1052-2TNO</v>
      </c>
      <c r="D1718" s="360" t="str">
        <f>CONCATENATE(VOL_VOLUMEN_SUMINISTROS[[#This Row],[Grupo]],VOL_VOLUMEN_SUMINISTROS[[#This Row],[Proyecto]],VOL_VOLUMEN_SUMINISTROS[[#This Row],[FIN DE SEMANA]])</f>
        <v>181052-2NO</v>
      </c>
      <c r="E1718" s="30" t="s">
        <v>182</v>
      </c>
      <c r="F1718" s="30" t="s">
        <v>147</v>
      </c>
      <c r="G1718" s="360">
        <v>18</v>
      </c>
      <c r="H1718" s="30">
        <v>5</v>
      </c>
      <c r="I1718" s="9" t="s">
        <v>763</v>
      </c>
      <c r="J1718" s="9" t="s">
        <v>1190</v>
      </c>
      <c r="K1718" s="30">
        <v>2</v>
      </c>
      <c r="L1718" s="9" t="s">
        <v>1192</v>
      </c>
      <c r="M1718" s="30" t="s">
        <v>84</v>
      </c>
      <c r="N1718" s="30" t="s">
        <v>154</v>
      </c>
      <c r="O1718" s="24">
        <v>80</v>
      </c>
      <c r="P1718" s="24">
        <v>130</v>
      </c>
      <c r="Q1718" s="24">
        <v>30</v>
      </c>
      <c r="R1718" s="24">
        <v>0</v>
      </c>
      <c r="S1718" s="24">
        <v>0</v>
      </c>
      <c r="T1718" s="24">
        <v>240</v>
      </c>
    </row>
    <row r="1719" spans="1:20">
      <c r="A1719" s="9" t="s">
        <v>1104</v>
      </c>
      <c r="B1719" s="30" t="s">
        <v>1228</v>
      </c>
      <c r="C1719" s="30" t="str">
        <f>CONCATENATE(VOL_VOLUMEN_SUMINISTROS[[#This Row],[Proyecto]],VOL_VOLUMEN_SUMINISTROS[[#This Row],[J]],VOL_VOLUMEN_SUMINISTROS[[#This Row],[FIN DE SEMANA]])</f>
        <v>1052-2M1NO</v>
      </c>
      <c r="D1719" s="360" t="str">
        <f>CONCATENATE(VOL_VOLUMEN_SUMINISTROS[[#This Row],[Grupo]],VOL_VOLUMEN_SUMINISTROS[[#This Row],[Proyecto]],VOL_VOLUMEN_SUMINISTROS[[#This Row],[FIN DE SEMANA]])</f>
        <v>271052-2NO</v>
      </c>
      <c r="E1719" s="30" t="s">
        <v>182</v>
      </c>
      <c r="F1719" s="30" t="s">
        <v>147</v>
      </c>
      <c r="G1719" s="360">
        <v>27</v>
      </c>
      <c r="H1719" s="30">
        <v>7</v>
      </c>
      <c r="I1719" s="9" t="s">
        <v>220</v>
      </c>
      <c r="J1719" s="9" t="s">
        <v>1215</v>
      </c>
      <c r="K1719" s="30">
        <v>1</v>
      </c>
      <c r="L1719" s="9" t="s">
        <v>1216</v>
      </c>
      <c r="M1719" s="30" t="s">
        <v>84</v>
      </c>
      <c r="N1719" s="30" t="s">
        <v>215</v>
      </c>
      <c r="O1719" s="24">
        <v>320</v>
      </c>
      <c r="P1719" s="24">
        <v>520</v>
      </c>
      <c r="Q1719" s="24">
        <v>120</v>
      </c>
      <c r="R1719" s="24">
        <v>0</v>
      </c>
      <c r="S1719" s="24">
        <v>0</v>
      </c>
      <c r="T1719" s="24">
        <v>960</v>
      </c>
    </row>
    <row r="1720" spans="1:20">
      <c r="A1720" s="9" t="s">
        <v>1104</v>
      </c>
      <c r="B1720" s="30" t="s">
        <v>1228</v>
      </c>
      <c r="C1720" s="30" t="str">
        <f>CONCATENATE(VOL_VOLUMEN_SUMINISTROS[[#This Row],[Proyecto]],VOL_VOLUMEN_SUMINISTROS[[#This Row],[J]],VOL_VOLUMEN_SUMINISTROS[[#This Row],[FIN DE SEMANA]])</f>
        <v>1052-2TNO</v>
      </c>
      <c r="D1720" s="360" t="str">
        <f>CONCATENATE(VOL_VOLUMEN_SUMINISTROS[[#This Row],[Grupo]],VOL_VOLUMEN_SUMINISTROS[[#This Row],[Proyecto]],VOL_VOLUMEN_SUMINISTROS[[#This Row],[FIN DE SEMANA]])</f>
        <v>271052-2NO</v>
      </c>
      <c r="E1720" s="30" t="s">
        <v>182</v>
      </c>
      <c r="F1720" s="30" t="s">
        <v>147</v>
      </c>
      <c r="G1720" s="360">
        <v>27</v>
      </c>
      <c r="H1720" s="30">
        <v>7</v>
      </c>
      <c r="I1720" s="9" t="s">
        <v>220</v>
      </c>
      <c r="J1720" s="9" t="s">
        <v>1215</v>
      </c>
      <c r="K1720" s="30">
        <v>1</v>
      </c>
      <c r="L1720" s="9" t="s">
        <v>1216</v>
      </c>
      <c r="M1720" s="30" t="s">
        <v>84</v>
      </c>
      <c r="N1720" s="30" t="s">
        <v>154</v>
      </c>
      <c r="O1720" s="24">
        <v>208</v>
      </c>
      <c r="P1720" s="24">
        <v>269</v>
      </c>
      <c r="Q1720" s="24">
        <v>55</v>
      </c>
      <c r="R1720" s="24">
        <v>0</v>
      </c>
      <c r="S1720" s="24">
        <v>0</v>
      </c>
      <c r="T1720" s="24">
        <v>532</v>
      </c>
    </row>
    <row r="1721" spans="1:20">
      <c r="A1721" s="9" t="s">
        <v>1104</v>
      </c>
      <c r="B1721" s="30" t="s">
        <v>1228</v>
      </c>
      <c r="C1721" s="30" t="str">
        <f>CONCATENATE(VOL_VOLUMEN_SUMINISTROS[[#This Row],[Proyecto]],VOL_VOLUMEN_SUMINISTROS[[#This Row],[J]],VOL_VOLUMEN_SUMINISTROS[[#This Row],[FIN DE SEMANA]])</f>
        <v>1052-2M1NO</v>
      </c>
      <c r="D1721" s="360" t="str">
        <f>CONCATENATE(VOL_VOLUMEN_SUMINISTROS[[#This Row],[Grupo]],VOL_VOLUMEN_SUMINISTROS[[#This Row],[Proyecto]],VOL_VOLUMEN_SUMINISTROS[[#This Row],[FIN DE SEMANA]])</f>
        <v>271052-2NO</v>
      </c>
      <c r="E1721" s="30" t="s">
        <v>182</v>
      </c>
      <c r="F1721" s="30" t="s">
        <v>147</v>
      </c>
      <c r="G1721" s="360">
        <v>27</v>
      </c>
      <c r="H1721" s="30">
        <v>7</v>
      </c>
      <c r="I1721" s="9" t="s">
        <v>220</v>
      </c>
      <c r="J1721" s="9" t="s">
        <v>1215</v>
      </c>
      <c r="K1721" s="30">
        <v>2</v>
      </c>
      <c r="L1721" s="9" t="s">
        <v>1217</v>
      </c>
      <c r="M1721" s="30" t="s">
        <v>84</v>
      </c>
      <c r="N1721" s="30" t="s">
        <v>215</v>
      </c>
      <c r="O1721" s="24">
        <v>80</v>
      </c>
      <c r="P1721" s="24">
        <v>103</v>
      </c>
      <c r="Q1721" s="24">
        <v>21</v>
      </c>
      <c r="R1721" s="24">
        <v>0</v>
      </c>
      <c r="S1721" s="24">
        <v>0</v>
      </c>
      <c r="T1721" s="24">
        <v>204</v>
      </c>
    </row>
    <row r="1722" spans="1:20">
      <c r="A1722" s="9" t="s">
        <v>1104</v>
      </c>
      <c r="B1722" s="30" t="s">
        <v>1228</v>
      </c>
      <c r="C1722" s="30" t="str">
        <f>CONCATENATE(VOL_VOLUMEN_SUMINISTROS[[#This Row],[Proyecto]],VOL_VOLUMEN_SUMINISTROS[[#This Row],[J]],VOL_VOLUMEN_SUMINISTROS[[#This Row],[FIN DE SEMANA]])</f>
        <v>1052-2TNO</v>
      </c>
      <c r="D1722" s="360" t="str">
        <f>CONCATENATE(VOL_VOLUMEN_SUMINISTROS[[#This Row],[Grupo]],VOL_VOLUMEN_SUMINISTROS[[#This Row],[Proyecto]],VOL_VOLUMEN_SUMINISTROS[[#This Row],[FIN DE SEMANA]])</f>
        <v>271052-2NO</v>
      </c>
      <c r="E1722" s="30" t="s">
        <v>182</v>
      </c>
      <c r="F1722" s="30" t="s">
        <v>147</v>
      </c>
      <c r="G1722" s="360">
        <v>27</v>
      </c>
      <c r="H1722" s="30">
        <v>7</v>
      </c>
      <c r="I1722" s="9" t="s">
        <v>220</v>
      </c>
      <c r="J1722" s="9" t="s">
        <v>1215</v>
      </c>
      <c r="K1722" s="30">
        <v>2</v>
      </c>
      <c r="L1722" s="9" t="s">
        <v>1217</v>
      </c>
      <c r="M1722" s="30" t="s">
        <v>84</v>
      </c>
      <c r="N1722" s="30" t="s">
        <v>154</v>
      </c>
      <c r="O1722" s="24">
        <v>80</v>
      </c>
      <c r="P1722" s="24">
        <v>103</v>
      </c>
      <c r="Q1722" s="24">
        <v>21</v>
      </c>
      <c r="R1722" s="24">
        <v>0</v>
      </c>
      <c r="S1722" s="24">
        <v>0</v>
      </c>
      <c r="T1722" s="24">
        <v>204</v>
      </c>
    </row>
    <row r="1723" spans="1:20">
      <c r="A1723" s="9" t="s">
        <v>1104</v>
      </c>
      <c r="B1723" s="30" t="s">
        <v>1228</v>
      </c>
      <c r="C1723" s="30" t="str">
        <f>CONCATENATE(VOL_VOLUMEN_SUMINISTROS[[#This Row],[Proyecto]],VOL_VOLUMEN_SUMINISTROS[[#This Row],[J]],VOL_VOLUMEN_SUMINISTROS[[#This Row],[FIN DE SEMANA]])</f>
        <v>1052-2M1NO</v>
      </c>
      <c r="D1723" s="360" t="str">
        <f>CONCATENATE(VOL_VOLUMEN_SUMINISTROS[[#This Row],[Grupo]],VOL_VOLUMEN_SUMINISTROS[[#This Row],[Proyecto]],VOL_VOLUMEN_SUMINISTROS[[#This Row],[FIN DE SEMANA]])</f>
        <v>271052-2NO</v>
      </c>
      <c r="E1723" s="30" t="s">
        <v>182</v>
      </c>
      <c r="F1723" s="30" t="s">
        <v>147</v>
      </c>
      <c r="G1723" s="360">
        <v>27</v>
      </c>
      <c r="H1723" s="30">
        <v>7</v>
      </c>
      <c r="I1723" s="9" t="s">
        <v>220</v>
      </c>
      <c r="J1723" s="9" t="s">
        <v>1215</v>
      </c>
      <c r="K1723" s="30">
        <v>3</v>
      </c>
      <c r="L1723" s="9" t="s">
        <v>195</v>
      </c>
      <c r="M1723" s="30" t="s">
        <v>84</v>
      </c>
      <c r="N1723" s="30" t="s">
        <v>215</v>
      </c>
      <c r="O1723" s="24">
        <v>220</v>
      </c>
      <c r="P1723" s="24">
        <v>275</v>
      </c>
      <c r="Q1723" s="24">
        <v>55</v>
      </c>
      <c r="R1723" s="24">
        <v>0</v>
      </c>
      <c r="S1723" s="24">
        <v>0</v>
      </c>
      <c r="T1723" s="24">
        <v>550</v>
      </c>
    </row>
    <row r="1724" spans="1:20">
      <c r="A1724" s="9" t="s">
        <v>1104</v>
      </c>
      <c r="B1724" s="30" t="s">
        <v>1229</v>
      </c>
      <c r="C1724" s="30" t="str">
        <f>CONCATENATE(VOL_VOLUMEN_SUMINISTROS[[#This Row],[Proyecto]],VOL_VOLUMEN_SUMINISTROS[[#This Row],[J]],VOL_VOLUMEN_SUMINISTROS[[#This Row],[FIN DE SEMANA]])</f>
        <v>1052-2MNO</v>
      </c>
      <c r="D1724" s="360" t="str">
        <f>CONCATENATE(VOL_VOLUMEN_SUMINISTROS[[#This Row],[Grupo]],VOL_VOLUMEN_SUMINISTROS[[#This Row],[Proyecto]],VOL_VOLUMEN_SUMINISTROS[[#This Row],[FIN DE SEMANA]])</f>
        <v>151052-2NO</v>
      </c>
      <c r="E1724" s="30" t="s">
        <v>182</v>
      </c>
      <c r="F1724" s="30" t="s">
        <v>147</v>
      </c>
      <c r="G1724" s="360">
        <v>15</v>
      </c>
      <c r="H1724" s="30">
        <v>5</v>
      </c>
      <c r="I1724" s="9" t="s">
        <v>763</v>
      </c>
      <c r="J1724" s="9" t="s">
        <v>1115</v>
      </c>
      <c r="K1724" s="30">
        <v>2</v>
      </c>
      <c r="L1724" s="9" t="s">
        <v>1117</v>
      </c>
      <c r="M1724" s="30" t="s">
        <v>84</v>
      </c>
      <c r="N1724" s="30" t="s">
        <v>151</v>
      </c>
      <c r="O1724" s="24">
        <v>0</v>
      </c>
      <c r="P1724" s="24">
        <v>0</v>
      </c>
      <c r="Q1724" s="24">
        <v>106</v>
      </c>
      <c r="R1724" s="24">
        <v>0</v>
      </c>
      <c r="S1724" s="24">
        <v>0</v>
      </c>
      <c r="T1724" s="24">
        <v>106</v>
      </c>
    </row>
    <row r="1725" spans="1:20">
      <c r="A1725" s="9" t="s">
        <v>1104</v>
      </c>
      <c r="B1725" s="30" t="s">
        <v>1229</v>
      </c>
      <c r="C1725" s="30" t="str">
        <f>CONCATENATE(VOL_VOLUMEN_SUMINISTROS[[#This Row],[Proyecto]],VOL_VOLUMEN_SUMINISTROS[[#This Row],[J]],VOL_VOLUMEN_SUMINISTROS[[#This Row],[FIN DE SEMANA]])</f>
        <v>1052-2TNO</v>
      </c>
      <c r="D1725" s="360" t="str">
        <f>CONCATENATE(VOL_VOLUMEN_SUMINISTROS[[#This Row],[Grupo]],VOL_VOLUMEN_SUMINISTROS[[#This Row],[Proyecto]],VOL_VOLUMEN_SUMINISTROS[[#This Row],[FIN DE SEMANA]])</f>
        <v>151052-2NO</v>
      </c>
      <c r="E1725" s="30" t="s">
        <v>182</v>
      </c>
      <c r="F1725" s="30" t="s">
        <v>147</v>
      </c>
      <c r="G1725" s="360">
        <v>15</v>
      </c>
      <c r="H1725" s="30">
        <v>5</v>
      </c>
      <c r="I1725" s="9" t="s">
        <v>763</v>
      </c>
      <c r="J1725" s="9" t="s">
        <v>1115</v>
      </c>
      <c r="K1725" s="30">
        <v>2</v>
      </c>
      <c r="L1725" s="9" t="s">
        <v>1117</v>
      </c>
      <c r="M1725" s="30" t="s">
        <v>84</v>
      </c>
      <c r="N1725" s="30" t="s">
        <v>154</v>
      </c>
      <c r="O1725" s="24">
        <v>0</v>
      </c>
      <c r="P1725" s="24">
        <v>0</v>
      </c>
      <c r="Q1725" s="24">
        <v>230</v>
      </c>
      <c r="R1725" s="24">
        <v>0</v>
      </c>
      <c r="S1725" s="24">
        <v>0</v>
      </c>
      <c r="T1725" s="24">
        <v>230</v>
      </c>
    </row>
    <row r="1726" spans="1:20">
      <c r="A1726" s="9" t="s">
        <v>1104</v>
      </c>
      <c r="B1726" s="30" t="s">
        <v>1229</v>
      </c>
      <c r="C1726" s="30" t="str">
        <f>CONCATENATE(VOL_VOLUMEN_SUMINISTROS[[#This Row],[Proyecto]],VOL_VOLUMEN_SUMINISTROS[[#This Row],[J]],VOL_VOLUMEN_SUMINISTROS[[#This Row],[FIN DE SEMANA]])</f>
        <v>1052-2MNO</v>
      </c>
      <c r="D1726" s="360" t="str">
        <f>CONCATENATE(VOL_VOLUMEN_SUMINISTROS[[#This Row],[Grupo]],VOL_VOLUMEN_SUMINISTROS[[#This Row],[Proyecto]],VOL_VOLUMEN_SUMINISTROS[[#This Row],[FIN DE SEMANA]])</f>
        <v>151052-2NO</v>
      </c>
      <c r="E1726" s="30" t="s">
        <v>182</v>
      </c>
      <c r="F1726" s="30" t="s">
        <v>147</v>
      </c>
      <c r="G1726" s="360">
        <v>15</v>
      </c>
      <c r="H1726" s="30">
        <v>5</v>
      </c>
      <c r="I1726" s="9" t="s">
        <v>763</v>
      </c>
      <c r="J1726" s="9" t="s">
        <v>1118</v>
      </c>
      <c r="K1726" s="30">
        <v>1</v>
      </c>
      <c r="L1726" s="9" t="s">
        <v>1119</v>
      </c>
      <c r="M1726" s="30" t="s">
        <v>84</v>
      </c>
      <c r="N1726" s="30" t="s">
        <v>151</v>
      </c>
      <c r="O1726" s="24">
        <v>0</v>
      </c>
      <c r="P1726" s="24">
        <v>0</v>
      </c>
      <c r="Q1726" s="24">
        <v>198</v>
      </c>
      <c r="R1726" s="24">
        <v>0</v>
      </c>
      <c r="S1726" s="24">
        <v>0</v>
      </c>
      <c r="T1726" s="24">
        <v>198</v>
      </c>
    </row>
    <row r="1727" spans="1:20">
      <c r="A1727" s="9" t="s">
        <v>1104</v>
      </c>
      <c r="B1727" s="30" t="s">
        <v>1229</v>
      </c>
      <c r="C1727" s="30" t="str">
        <f>CONCATENATE(VOL_VOLUMEN_SUMINISTROS[[#This Row],[Proyecto]],VOL_VOLUMEN_SUMINISTROS[[#This Row],[J]],VOL_VOLUMEN_SUMINISTROS[[#This Row],[FIN DE SEMANA]])</f>
        <v>1052-2TNO</v>
      </c>
      <c r="D1727" s="360" t="str">
        <f>CONCATENATE(VOL_VOLUMEN_SUMINISTROS[[#This Row],[Grupo]],VOL_VOLUMEN_SUMINISTROS[[#This Row],[Proyecto]],VOL_VOLUMEN_SUMINISTROS[[#This Row],[FIN DE SEMANA]])</f>
        <v>151052-2NO</v>
      </c>
      <c r="E1727" s="30" t="s">
        <v>182</v>
      </c>
      <c r="F1727" s="30" t="s">
        <v>147</v>
      </c>
      <c r="G1727" s="360">
        <v>15</v>
      </c>
      <c r="H1727" s="30">
        <v>5</v>
      </c>
      <c r="I1727" s="9" t="s">
        <v>763</v>
      </c>
      <c r="J1727" s="9" t="s">
        <v>1118</v>
      </c>
      <c r="K1727" s="30">
        <v>1</v>
      </c>
      <c r="L1727" s="9" t="s">
        <v>1119</v>
      </c>
      <c r="M1727" s="30" t="s">
        <v>84</v>
      </c>
      <c r="N1727" s="30" t="s">
        <v>154</v>
      </c>
      <c r="O1727" s="24">
        <v>0</v>
      </c>
      <c r="P1727" s="24">
        <v>0</v>
      </c>
      <c r="Q1727" s="24">
        <v>120</v>
      </c>
      <c r="R1727" s="24">
        <v>0</v>
      </c>
      <c r="S1727" s="24">
        <v>0</v>
      </c>
      <c r="T1727" s="24">
        <v>120</v>
      </c>
    </row>
    <row r="1728" spans="1:20">
      <c r="A1728" s="9" t="s">
        <v>1104</v>
      </c>
      <c r="B1728" s="30" t="s">
        <v>1229</v>
      </c>
      <c r="C1728" s="30" t="str">
        <f>CONCATENATE(VOL_VOLUMEN_SUMINISTROS[[#This Row],[Proyecto]],VOL_VOLUMEN_SUMINISTROS[[#This Row],[J]],VOL_VOLUMEN_SUMINISTROS[[#This Row],[FIN DE SEMANA]])</f>
        <v>1052-2MNO</v>
      </c>
      <c r="D1728" s="360" t="str">
        <f>CONCATENATE(VOL_VOLUMEN_SUMINISTROS[[#This Row],[Grupo]],VOL_VOLUMEN_SUMINISTROS[[#This Row],[Proyecto]],VOL_VOLUMEN_SUMINISTROS[[#This Row],[FIN DE SEMANA]])</f>
        <v>271052-2NO</v>
      </c>
      <c r="E1728" s="30" t="s">
        <v>182</v>
      </c>
      <c r="F1728" s="30" t="s">
        <v>147</v>
      </c>
      <c r="G1728" s="360">
        <v>27</v>
      </c>
      <c r="H1728" s="30">
        <v>7</v>
      </c>
      <c r="I1728" s="9" t="s">
        <v>220</v>
      </c>
      <c r="J1728" s="9" t="s">
        <v>1215</v>
      </c>
      <c r="K1728" s="30">
        <v>1</v>
      </c>
      <c r="L1728" s="9" t="s">
        <v>1216</v>
      </c>
      <c r="M1728" s="30" t="s">
        <v>84</v>
      </c>
      <c r="N1728" s="30" t="s">
        <v>151</v>
      </c>
      <c r="O1728" s="24">
        <v>0</v>
      </c>
      <c r="P1728" s="24">
        <v>0</v>
      </c>
      <c r="Q1728" s="24">
        <v>160</v>
      </c>
      <c r="R1728" s="24">
        <v>0</v>
      </c>
      <c r="S1728" s="24">
        <v>0</v>
      </c>
      <c r="T1728" s="24">
        <v>160</v>
      </c>
    </row>
    <row r="1729" spans="1:20">
      <c r="A1729" s="9" t="s">
        <v>1104</v>
      </c>
      <c r="B1729" s="30" t="s">
        <v>1229</v>
      </c>
      <c r="C1729" s="30" t="str">
        <f>CONCATENATE(VOL_VOLUMEN_SUMINISTROS[[#This Row],[Proyecto]],VOL_VOLUMEN_SUMINISTROS[[#This Row],[J]],VOL_VOLUMEN_SUMINISTROS[[#This Row],[FIN DE SEMANA]])</f>
        <v>1052-2TNO</v>
      </c>
      <c r="D1729" s="360" t="str">
        <f>CONCATENATE(VOL_VOLUMEN_SUMINISTROS[[#This Row],[Grupo]],VOL_VOLUMEN_SUMINISTROS[[#This Row],[Proyecto]],VOL_VOLUMEN_SUMINISTROS[[#This Row],[FIN DE SEMANA]])</f>
        <v>271052-2NO</v>
      </c>
      <c r="E1729" s="30" t="s">
        <v>182</v>
      </c>
      <c r="F1729" s="30" t="s">
        <v>147</v>
      </c>
      <c r="G1729" s="360">
        <v>27</v>
      </c>
      <c r="H1729" s="30">
        <v>7</v>
      </c>
      <c r="I1729" s="9" t="s">
        <v>220</v>
      </c>
      <c r="J1729" s="9" t="s">
        <v>1215</v>
      </c>
      <c r="K1729" s="30">
        <v>1</v>
      </c>
      <c r="L1729" s="9" t="s">
        <v>1216</v>
      </c>
      <c r="M1729" s="30" t="s">
        <v>84</v>
      </c>
      <c r="N1729" s="30" t="s">
        <v>154</v>
      </c>
      <c r="O1729" s="24">
        <v>0</v>
      </c>
      <c r="P1729" s="24">
        <v>0</v>
      </c>
      <c r="Q1729" s="24">
        <v>200</v>
      </c>
      <c r="R1729" s="24">
        <v>0</v>
      </c>
      <c r="S1729" s="24">
        <v>0</v>
      </c>
      <c r="T1729" s="24">
        <v>200</v>
      </c>
    </row>
    <row r="1730" spans="1:20">
      <c r="A1730" s="9" t="s">
        <v>1104</v>
      </c>
      <c r="B1730" s="30" t="s">
        <v>1230</v>
      </c>
      <c r="C1730" s="30" t="str">
        <f>CONCATENATE(VOL_VOLUMEN_SUMINISTROS[[#This Row],[Proyecto]],VOL_VOLUMEN_SUMINISTROS[[#This Row],[J]],VOL_VOLUMEN_SUMINISTROS[[#This Row],[FIN DE SEMANA]])</f>
        <v>1052-2MNO</v>
      </c>
      <c r="D1730" s="360" t="str">
        <f>CONCATENATE(VOL_VOLUMEN_SUMINISTROS[[#This Row],[Grupo]],VOL_VOLUMEN_SUMINISTROS[[#This Row],[Proyecto]],VOL_VOLUMEN_SUMINISTROS[[#This Row],[FIN DE SEMANA]])</f>
        <v>271052-2NO</v>
      </c>
      <c r="E1730" s="30" t="s">
        <v>182</v>
      </c>
      <c r="F1730" s="30" t="s">
        <v>147</v>
      </c>
      <c r="G1730" s="360">
        <v>27</v>
      </c>
      <c r="H1730" s="30">
        <v>7</v>
      </c>
      <c r="I1730" s="9" t="s">
        <v>220</v>
      </c>
      <c r="J1730" s="9" t="s">
        <v>1215</v>
      </c>
      <c r="K1730" s="30">
        <v>1</v>
      </c>
      <c r="L1730" s="9" t="s">
        <v>1216</v>
      </c>
      <c r="M1730" s="30" t="s">
        <v>84</v>
      </c>
      <c r="N1730" s="30" t="s">
        <v>151</v>
      </c>
      <c r="O1730" s="24">
        <v>83</v>
      </c>
      <c r="P1730" s="24">
        <v>0</v>
      </c>
      <c r="Q1730" s="24">
        <v>0</v>
      </c>
      <c r="R1730" s="24">
        <v>0</v>
      </c>
      <c r="S1730" s="24">
        <v>0</v>
      </c>
      <c r="T1730" s="24">
        <v>83</v>
      </c>
    </row>
    <row r="1731" spans="1:20">
      <c r="A1731" s="9" t="s">
        <v>1104</v>
      </c>
      <c r="B1731" s="30" t="s">
        <v>1230</v>
      </c>
      <c r="C1731" s="30" t="str">
        <f>CONCATENATE(VOL_VOLUMEN_SUMINISTROS[[#This Row],[Proyecto]],VOL_VOLUMEN_SUMINISTROS[[#This Row],[J]],VOL_VOLUMEN_SUMINISTROS[[#This Row],[FIN DE SEMANA]])</f>
        <v>1052-2TNO</v>
      </c>
      <c r="D1731" s="360" t="str">
        <f>CONCATENATE(VOL_VOLUMEN_SUMINISTROS[[#This Row],[Grupo]],VOL_VOLUMEN_SUMINISTROS[[#This Row],[Proyecto]],VOL_VOLUMEN_SUMINISTROS[[#This Row],[FIN DE SEMANA]])</f>
        <v>271052-2NO</v>
      </c>
      <c r="E1731" s="30" t="s">
        <v>182</v>
      </c>
      <c r="F1731" s="30" t="s">
        <v>147</v>
      </c>
      <c r="G1731" s="360">
        <v>27</v>
      </c>
      <c r="H1731" s="30">
        <v>7</v>
      </c>
      <c r="I1731" s="9" t="s">
        <v>220</v>
      </c>
      <c r="J1731" s="9" t="s">
        <v>1215</v>
      </c>
      <c r="K1731" s="30">
        <v>1</v>
      </c>
      <c r="L1731" s="9" t="s">
        <v>1216</v>
      </c>
      <c r="M1731" s="30" t="s">
        <v>84</v>
      </c>
      <c r="N1731" s="30" t="s">
        <v>154</v>
      </c>
      <c r="O1731" s="24">
        <v>85</v>
      </c>
      <c r="P1731" s="24">
        <v>0</v>
      </c>
      <c r="Q1731" s="24">
        <v>0</v>
      </c>
      <c r="R1731" s="24">
        <v>0</v>
      </c>
      <c r="S1731" s="24">
        <v>0</v>
      </c>
      <c r="T1731" s="24">
        <v>85</v>
      </c>
    </row>
    <row r="1732" spans="1:20">
      <c r="A1732" s="9" t="s">
        <v>1104</v>
      </c>
      <c r="B1732" s="30" t="s">
        <v>1230</v>
      </c>
      <c r="C1732" s="30" t="str">
        <f>CONCATENATE(VOL_VOLUMEN_SUMINISTROS[[#This Row],[Proyecto]],VOL_VOLUMEN_SUMINISTROS[[#This Row],[J]],VOL_VOLUMEN_SUMINISTROS[[#This Row],[FIN DE SEMANA]])</f>
        <v>1052-2MNO</v>
      </c>
      <c r="D1732" s="360" t="str">
        <f>CONCATENATE(VOL_VOLUMEN_SUMINISTROS[[#This Row],[Grupo]],VOL_VOLUMEN_SUMINISTROS[[#This Row],[Proyecto]],VOL_VOLUMEN_SUMINISTROS[[#This Row],[FIN DE SEMANA]])</f>
        <v>271052-2NO</v>
      </c>
      <c r="E1732" s="30" t="s">
        <v>182</v>
      </c>
      <c r="F1732" s="30" t="s">
        <v>147</v>
      </c>
      <c r="G1732" s="360">
        <v>27</v>
      </c>
      <c r="H1732" s="30">
        <v>7</v>
      </c>
      <c r="I1732" s="9" t="s">
        <v>220</v>
      </c>
      <c r="J1732" s="9" t="s">
        <v>1215</v>
      </c>
      <c r="K1732" s="30">
        <v>2</v>
      </c>
      <c r="L1732" s="9" t="s">
        <v>1217</v>
      </c>
      <c r="M1732" s="30" t="s">
        <v>84</v>
      </c>
      <c r="N1732" s="30" t="s">
        <v>151</v>
      </c>
      <c r="O1732" s="24">
        <v>60</v>
      </c>
      <c r="P1732" s="24">
        <v>0</v>
      </c>
      <c r="Q1732" s="24">
        <v>0</v>
      </c>
      <c r="R1732" s="24">
        <v>0</v>
      </c>
      <c r="S1732" s="24">
        <v>0</v>
      </c>
      <c r="T1732" s="24">
        <v>60</v>
      </c>
    </row>
    <row r="1733" spans="1:20">
      <c r="A1733" s="9" t="s">
        <v>1104</v>
      </c>
      <c r="B1733" s="30" t="s">
        <v>1230</v>
      </c>
      <c r="C1733" s="30" t="str">
        <f>CONCATENATE(VOL_VOLUMEN_SUMINISTROS[[#This Row],[Proyecto]],VOL_VOLUMEN_SUMINISTROS[[#This Row],[J]],VOL_VOLUMEN_SUMINISTROS[[#This Row],[FIN DE SEMANA]])</f>
        <v>1052-2TNO</v>
      </c>
      <c r="D1733" s="360" t="str">
        <f>CONCATENATE(VOL_VOLUMEN_SUMINISTROS[[#This Row],[Grupo]],VOL_VOLUMEN_SUMINISTROS[[#This Row],[Proyecto]],VOL_VOLUMEN_SUMINISTROS[[#This Row],[FIN DE SEMANA]])</f>
        <v>271052-2NO</v>
      </c>
      <c r="E1733" s="30" t="s">
        <v>182</v>
      </c>
      <c r="F1733" s="30" t="s">
        <v>147</v>
      </c>
      <c r="G1733" s="360">
        <v>27</v>
      </c>
      <c r="H1733" s="30">
        <v>7</v>
      </c>
      <c r="I1733" s="9" t="s">
        <v>220</v>
      </c>
      <c r="J1733" s="9" t="s">
        <v>1215</v>
      </c>
      <c r="K1733" s="30">
        <v>2</v>
      </c>
      <c r="L1733" s="9" t="s">
        <v>1217</v>
      </c>
      <c r="M1733" s="30" t="s">
        <v>84</v>
      </c>
      <c r="N1733" s="30" t="s">
        <v>154</v>
      </c>
      <c r="O1733" s="24">
        <v>60</v>
      </c>
      <c r="P1733" s="24">
        <v>0</v>
      </c>
      <c r="Q1733" s="24">
        <v>0</v>
      </c>
      <c r="R1733" s="24">
        <v>0</v>
      </c>
      <c r="S1733" s="24">
        <v>0</v>
      </c>
      <c r="T1733" s="24">
        <v>60</v>
      </c>
    </row>
    <row r="1734" spans="1:20">
      <c r="A1734" s="9" t="s">
        <v>1104</v>
      </c>
      <c r="B1734" s="30" t="s">
        <v>1230</v>
      </c>
      <c r="C1734" s="30" t="str">
        <f>CONCATENATE(VOL_VOLUMEN_SUMINISTROS[[#This Row],[Proyecto]],VOL_VOLUMEN_SUMINISTROS[[#This Row],[J]],VOL_VOLUMEN_SUMINISTROS[[#This Row],[FIN DE SEMANA]])</f>
        <v>1052-2MNO</v>
      </c>
      <c r="D1734" s="360" t="str">
        <f>CONCATENATE(VOL_VOLUMEN_SUMINISTROS[[#This Row],[Grupo]],VOL_VOLUMEN_SUMINISTROS[[#This Row],[Proyecto]],VOL_VOLUMEN_SUMINISTROS[[#This Row],[FIN DE SEMANA]])</f>
        <v>271052-2NO</v>
      </c>
      <c r="E1734" s="30" t="s">
        <v>182</v>
      </c>
      <c r="F1734" s="30" t="s">
        <v>147</v>
      </c>
      <c r="G1734" s="360">
        <v>27</v>
      </c>
      <c r="H1734" s="30">
        <v>7</v>
      </c>
      <c r="I1734" s="9" t="s">
        <v>220</v>
      </c>
      <c r="J1734" s="9" t="s">
        <v>1215</v>
      </c>
      <c r="K1734" s="30">
        <v>3</v>
      </c>
      <c r="L1734" s="9" t="s">
        <v>195</v>
      </c>
      <c r="M1734" s="30" t="s">
        <v>84</v>
      </c>
      <c r="N1734" s="30" t="s">
        <v>151</v>
      </c>
      <c r="O1734" s="24">
        <v>59</v>
      </c>
      <c r="P1734" s="24">
        <v>0</v>
      </c>
      <c r="Q1734" s="24">
        <v>0</v>
      </c>
      <c r="R1734" s="24">
        <v>0</v>
      </c>
      <c r="S1734" s="24">
        <v>0</v>
      </c>
      <c r="T1734" s="24">
        <v>59</v>
      </c>
    </row>
    <row r="1735" spans="1:20">
      <c r="A1735" s="9" t="s">
        <v>1104</v>
      </c>
      <c r="B1735" s="30" t="s">
        <v>1230</v>
      </c>
      <c r="C1735" s="30" t="str">
        <f>CONCATENATE(VOL_VOLUMEN_SUMINISTROS[[#This Row],[Proyecto]],VOL_VOLUMEN_SUMINISTROS[[#This Row],[J]],VOL_VOLUMEN_SUMINISTROS[[#This Row],[FIN DE SEMANA]])</f>
        <v>1052-2TNO</v>
      </c>
      <c r="D1735" s="360" t="str">
        <f>CONCATENATE(VOL_VOLUMEN_SUMINISTROS[[#This Row],[Grupo]],VOL_VOLUMEN_SUMINISTROS[[#This Row],[Proyecto]],VOL_VOLUMEN_SUMINISTROS[[#This Row],[FIN DE SEMANA]])</f>
        <v>271052-2NO</v>
      </c>
      <c r="E1735" s="30" t="s">
        <v>182</v>
      </c>
      <c r="F1735" s="30" t="s">
        <v>147</v>
      </c>
      <c r="G1735" s="360">
        <v>27</v>
      </c>
      <c r="H1735" s="30">
        <v>7</v>
      </c>
      <c r="I1735" s="9" t="s">
        <v>220</v>
      </c>
      <c r="J1735" s="9" t="s">
        <v>1215</v>
      </c>
      <c r="K1735" s="30">
        <v>3</v>
      </c>
      <c r="L1735" s="9" t="s">
        <v>195</v>
      </c>
      <c r="M1735" s="30" t="s">
        <v>84</v>
      </c>
      <c r="N1735" s="30" t="s">
        <v>154</v>
      </c>
      <c r="O1735" s="24">
        <v>54</v>
      </c>
      <c r="P1735" s="24">
        <v>0</v>
      </c>
      <c r="Q1735" s="24">
        <v>0</v>
      </c>
      <c r="R1735" s="24">
        <v>0</v>
      </c>
      <c r="S1735" s="24">
        <v>0</v>
      </c>
      <c r="T1735" s="24">
        <v>54</v>
      </c>
    </row>
    <row r="1736" spans="1:20">
      <c r="A1736" s="9" t="s">
        <v>1104</v>
      </c>
      <c r="B1736" s="30" t="s">
        <v>1230</v>
      </c>
      <c r="C1736" s="30" t="str">
        <f>CONCATENATE(VOL_VOLUMEN_SUMINISTROS[[#This Row],[Proyecto]],VOL_VOLUMEN_SUMINISTROS[[#This Row],[J]],VOL_VOLUMEN_SUMINISTROS[[#This Row],[FIN DE SEMANA]])</f>
        <v>1052-2MNO</v>
      </c>
      <c r="D1736" s="360" t="str">
        <f>CONCATENATE(VOL_VOLUMEN_SUMINISTROS[[#This Row],[Grupo]],VOL_VOLUMEN_SUMINISTROS[[#This Row],[Proyecto]],VOL_VOLUMEN_SUMINISTROS[[#This Row],[FIN DE SEMANA]])</f>
        <v>271052-2NO</v>
      </c>
      <c r="E1736" s="30" t="s">
        <v>182</v>
      </c>
      <c r="F1736" s="30" t="s">
        <v>147</v>
      </c>
      <c r="G1736" s="360">
        <v>27</v>
      </c>
      <c r="H1736" s="30">
        <v>7</v>
      </c>
      <c r="I1736" s="9" t="s">
        <v>220</v>
      </c>
      <c r="J1736" s="9" t="s">
        <v>1218</v>
      </c>
      <c r="K1736" s="30">
        <v>3</v>
      </c>
      <c r="L1736" s="9" t="s">
        <v>1221</v>
      </c>
      <c r="M1736" s="30" t="s">
        <v>84</v>
      </c>
      <c r="N1736" s="30" t="s">
        <v>151</v>
      </c>
      <c r="O1736" s="24">
        <v>180</v>
      </c>
      <c r="P1736" s="24">
        <v>0</v>
      </c>
      <c r="Q1736" s="24">
        <v>0</v>
      </c>
      <c r="R1736" s="24">
        <v>0</v>
      </c>
      <c r="S1736" s="24">
        <v>0</v>
      </c>
      <c r="T1736" s="24">
        <v>180</v>
      </c>
    </row>
    <row r="1737" spans="1:20">
      <c r="A1737" s="9" t="s">
        <v>1104</v>
      </c>
      <c r="B1737" s="30" t="s">
        <v>1230</v>
      </c>
      <c r="C1737" s="30" t="str">
        <f>CONCATENATE(VOL_VOLUMEN_SUMINISTROS[[#This Row],[Proyecto]],VOL_VOLUMEN_SUMINISTROS[[#This Row],[J]],VOL_VOLUMEN_SUMINISTROS[[#This Row],[FIN DE SEMANA]])</f>
        <v>1052-2TNO</v>
      </c>
      <c r="D1737" s="360" t="str">
        <f>CONCATENATE(VOL_VOLUMEN_SUMINISTROS[[#This Row],[Grupo]],VOL_VOLUMEN_SUMINISTROS[[#This Row],[Proyecto]],VOL_VOLUMEN_SUMINISTROS[[#This Row],[FIN DE SEMANA]])</f>
        <v>271052-2NO</v>
      </c>
      <c r="E1737" s="30" t="s">
        <v>182</v>
      </c>
      <c r="F1737" s="30" t="s">
        <v>147</v>
      </c>
      <c r="G1737" s="360">
        <v>27</v>
      </c>
      <c r="H1737" s="30">
        <v>7</v>
      </c>
      <c r="I1737" s="9" t="s">
        <v>220</v>
      </c>
      <c r="J1737" s="9" t="s">
        <v>1218</v>
      </c>
      <c r="K1737" s="30">
        <v>3</v>
      </c>
      <c r="L1737" s="9" t="s">
        <v>1221</v>
      </c>
      <c r="M1737" s="30" t="s">
        <v>84</v>
      </c>
      <c r="N1737" s="30" t="s">
        <v>154</v>
      </c>
      <c r="O1737" s="24">
        <v>180</v>
      </c>
      <c r="P1737" s="24">
        <v>0</v>
      </c>
      <c r="Q1737" s="24">
        <v>0</v>
      </c>
      <c r="R1737" s="24">
        <v>0</v>
      </c>
      <c r="S1737" s="24">
        <v>0</v>
      </c>
      <c r="T1737" s="24">
        <v>180</v>
      </c>
    </row>
    <row r="1738" spans="1:20">
      <c r="A1738" s="9" t="s">
        <v>1104</v>
      </c>
      <c r="B1738" s="30" t="s">
        <v>1230</v>
      </c>
      <c r="C1738" s="30" t="str">
        <f>CONCATENATE(VOL_VOLUMEN_SUMINISTROS[[#This Row],[Proyecto]],VOL_VOLUMEN_SUMINISTROS[[#This Row],[J]],VOL_VOLUMEN_SUMINISTROS[[#This Row],[FIN DE SEMANA]])</f>
        <v>1052-2MNO</v>
      </c>
      <c r="D1738" s="360" t="str">
        <f>CONCATENATE(VOL_VOLUMEN_SUMINISTROS[[#This Row],[Grupo]],VOL_VOLUMEN_SUMINISTROS[[#This Row],[Proyecto]],VOL_VOLUMEN_SUMINISTROS[[#This Row],[FIN DE SEMANA]])</f>
        <v>271052-2NO</v>
      </c>
      <c r="E1738" s="30" t="s">
        <v>182</v>
      </c>
      <c r="F1738" s="30" t="s">
        <v>147</v>
      </c>
      <c r="G1738" s="360">
        <v>27</v>
      </c>
      <c r="H1738" s="30">
        <v>7</v>
      </c>
      <c r="I1738" s="9" t="s">
        <v>220</v>
      </c>
      <c r="J1738" s="9" t="s">
        <v>1231</v>
      </c>
      <c r="K1738" s="30">
        <v>1</v>
      </c>
      <c r="L1738" s="9" t="s">
        <v>1232</v>
      </c>
      <c r="M1738" s="30" t="s">
        <v>84</v>
      </c>
      <c r="N1738" s="30" t="s">
        <v>151</v>
      </c>
      <c r="O1738" s="24">
        <v>210</v>
      </c>
      <c r="P1738" s="24">
        <v>0</v>
      </c>
      <c r="Q1738" s="24">
        <v>0</v>
      </c>
      <c r="R1738" s="24">
        <v>0</v>
      </c>
      <c r="S1738" s="24">
        <v>0</v>
      </c>
      <c r="T1738" s="24">
        <v>210</v>
      </c>
    </row>
    <row r="1739" spans="1:20">
      <c r="A1739" s="9" t="s">
        <v>1104</v>
      </c>
      <c r="B1739" s="30" t="s">
        <v>1230</v>
      </c>
      <c r="C1739" s="30" t="str">
        <f>CONCATENATE(VOL_VOLUMEN_SUMINISTROS[[#This Row],[Proyecto]],VOL_VOLUMEN_SUMINISTROS[[#This Row],[J]],VOL_VOLUMEN_SUMINISTROS[[#This Row],[FIN DE SEMANA]])</f>
        <v>1052-2TNO</v>
      </c>
      <c r="D1739" s="360" t="str">
        <f>CONCATENATE(VOL_VOLUMEN_SUMINISTROS[[#This Row],[Grupo]],VOL_VOLUMEN_SUMINISTROS[[#This Row],[Proyecto]],VOL_VOLUMEN_SUMINISTROS[[#This Row],[FIN DE SEMANA]])</f>
        <v>271052-2NO</v>
      </c>
      <c r="E1739" s="30" t="s">
        <v>182</v>
      </c>
      <c r="F1739" s="30" t="s">
        <v>147</v>
      </c>
      <c r="G1739" s="360">
        <v>27</v>
      </c>
      <c r="H1739" s="30">
        <v>7</v>
      </c>
      <c r="I1739" s="9" t="s">
        <v>220</v>
      </c>
      <c r="J1739" s="9" t="s">
        <v>1231</v>
      </c>
      <c r="K1739" s="30">
        <v>1</v>
      </c>
      <c r="L1739" s="9" t="s">
        <v>1232</v>
      </c>
      <c r="M1739" s="30" t="s">
        <v>84</v>
      </c>
      <c r="N1739" s="30" t="s">
        <v>154</v>
      </c>
      <c r="O1739" s="24">
        <v>210</v>
      </c>
      <c r="P1739" s="24">
        <v>0</v>
      </c>
      <c r="Q1739" s="24">
        <v>0</v>
      </c>
      <c r="R1739" s="24">
        <v>0</v>
      </c>
      <c r="S1739" s="24">
        <v>0</v>
      </c>
      <c r="T1739" s="24">
        <v>210</v>
      </c>
    </row>
    <row r="1740" spans="1:20">
      <c r="A1740" s="9" t="s">
        <v>1233</v>
      </c>
      <c r="B1740" s="30" t="s">
        <v>1234</v>
      </c>
      <c r="C1740" s="30" t="str">
        <f>CONCATENATE(VOL_VOLUMEN_SUMINISTROS[[#This Row],[Proyecto]],VOL_VOLUMEN_SUMINISTROS[[#This Row],[J]],VOL_VOLUMEN_SUMINISTROS[[#This Row],[FIN DE SEMANA]])</f>
        <v>1052-1MNO</v>
      </c>
      <c r="D1740" s="360" t="str">
        <f>CONCATENATE(VOL_VOLUMEN_SUMINISTROS[[#This Row],[Grupo]],VOL_VOLUMEN_SUMINISTROS[[#This Row],[Proyecto]],VOL_VOLUMEN_SUMINISTROS[[#This Row],[FIN DE SEMANA]])</f>
        <v>221052-1NO</v>
      </c>
      <c r="E1740" s="30" t="s">
        <v>146</v>
      </c>
      <c r="F1740" s="30" t="s">
        <v>147</v>
      </c>
      <c r="G1740" s="360">
        <v>22</v>
      </c>
      <c r="H1740" s="30">
        <v>19</v>
      </c>
      <c r="I1740" s="9" t="s">
        <v>249</v>
      </c>
      <c r="J1740" s="9" t="s">
        <v>1235</v>
      </c>
      <c r="K1740" s="30">
        <v>1</v>
      </c>
      <c r="L1740" s="9" t="s">
        <v>1236</v>
      </c>
      <c r="M1740" s="30" t="s">
        <v>84</v>
      </c>
      <c r="N1740" s="30" t="s">
        <v>151</v>
      </c>
      <c r="O1740" s="24">
        <v>218</v>
      </c>
      <c r="P1740" s="24">
        <v>370</v>
      </c>
      <c r="Q1740" s="24">
        <v>526</v>
      </c>
      <c r="R1740" s="24">
        <v>0</v>
      </c>
      <c r="S1740" s="24">
        <v>0</v>
      </c>
      <c r="T1740" s="24">
        <v>1114</v>
      </c>
    </row>
    <row r="1741" spans="1:20">
      <c r="A1741" s="9" t="s">
        <v>1233</v>
      </c>
      <c r="B1741" s="30" t="s">
        <v>1234</v>
      </c>
      <c r="C1741" s="30" t="str">
        <f>CONCATENATE(VOL_VOLUMEN_SUMINISTROS[[#This Row],[Proyecto]],VOL_VOLUMEN_SUMINISTROS[[#This Row],[J]],VOL_VOLUMEN_SUMINISTROS[[#This Row],[FIN DE SEMANA]])</f>
        <v>1052-1TNO</v>
      </c>
      <c r="D1741" s="360" t="str">
        <f>CONCATENATE(VOL_VOLUMEN_SUMINISTROS[[#This Row],[Grupo]],VOL_VOLUMEN_SUMINISTROS[[#This Row],[Proyecto]],VOL_VOLUMEN_SUMINISTROS[[#This Row],[FIN DE SEMANA]])</f>
        <v>221052-1NO</v>
      </c>
      <c r="E1741" s="30" t="s">
        <v>146</v>
      </c>
      <c r="F1741" s="30" t="s">
        <v>147</v>
      </c>
      <c r="G1741" s="360">
        <v>22</v>
      </c>
      <c r="H1741" s="30">
        <v>19</v>
      </c>
      <c r="I1741" s="9" t="s">
        <v>249</v>
      </c>
      <c r="J1741" s="9" t="s">
        <v>1235</v>
      </c>
      <c r="K1741" s="30">
        <v>1</v>
      </c>
      <c r="L1741" s="9" t="s">
        <v>1236</v>
      </c>
      <c r="M1741" s="30" t="s">
        <v>84</v>
      </c>
      <c r="N1741" s="30" t="s">
        <v>154</v>
      </c>
      <c r="O1741" s="24">
        <v>268</v>
      </c>
      <c r="P1741" s="24">
        <v>359</v>
      </c>
      <c r="Q1741" s="24">
        <v>356</v>
      </c>
      <c r="R1741" s="24">
        <v>0</v>
      </c>
      <c r="S1741" s="24">
        <v>0</v>
      </c>
      <c r="T1741" s="24">
        <v>983</v>
      </c>
    </row>
    <row r="1742" spans="1:20">
      <c r="A1742" s="9" t="s">
        <v>1233</v>
      </c>
      <c r="B1742" s="30" t="s">
        <v>1234</v>
      </c>
      <c r="C1742" s="30" t="str">
        <f>CONCATENATE(VOL_VOLUMEN_SUMINISTROS[[#This Row],[Proyecto]],VOL_VOLUMEN_SUMINISTROS[[#This Row],[J]],VOL_VOLUMEN_SUMINISTROS[[#This Row],[FIN DE SEMANA]])</f>
        <v>1052-1MNO</v>
      </c>
      <c r="D1742" s="360" t="str">
        <f>CONCATENATE(VOL_VOLUMEN_SUMINISTROS[[#This Row],[Grupo]],VOL_VOLUMEN_SUMINISTROS[[#This Row],[Proyecto]],VOL_VOLUMEN_SUMINISTROS[[#This Row],[FIN DE SEMANA]])</f>
        <v>221052-1NO</v>
      </c>
      <c r="E1742" s="30" t="s">
        <v>146</v>
      </c>
      <c r="F1742" s="30" t="s">
        <v>147</v>
      </c>
      <c r="G1742" s="360">
        <v>22</v>
      </c>
      <c r="H1742" s="30">
        <v>19</v>
      </c>
      <c r="I1742" s="9" t="s">
        <v>249</v>
      </c>
      <c r="J1742" s="9" t="s">
        <v>1235</v>
      </c>
      <c r="K1742" s="30">
        <v>2</v>
      </c>
      <c r="L1742" s="9" t="s">
        <v>1236</v>
      </c>
      <c r="M1742" s="30" t="s">
        <v>84</v>
      </c>
      <c r="N1742" s="30" t="s">
        <v>151</v>
      </c>
      <c r="O1742" s="24">
        <v>0</v>
      </c>
      <c r="P1742" s="24">
        <v>147</v>
      </c>
      <c r="Q1742" s="24">
        <v>49</v>
      </c>
      <c r="R1742" s="24">
        <v>0</v>
      </c>
      <c r="S1742" s="24">
        <v>0</v>
      </c>
      <c r="T1742" s="24">
        <v>196</v>
      </c>
    </row>
    <row r="1743" spans="1:20">
      <c r="A1743" s="9" t="s">
        <v>1233</v>
      </c>
      <c r="B1743" s="30" t="s">
        <v>1234</v>
      </c>
      <c r="C1743" s="30" t="str">
        <f>CONCATENATE(VOL_VOLUMEN_SUMINISTROS[[#This Row],[Proyecto]],VOL_VOLUMEN_SUMINISTROS[[#This Row],[J]],VOL_VOLUMEN_SUMINISTROS[[#This Row],[FIN DE SEMANA]])</f>
        <v>1052-1TNO</v>
      </c>
      <c r="D1743" s="360" t="str">
        <f>CONCATENATE(VOL_VOLUMEN_SUMINISTROS[[#This Row],[Grupo]],VOL_VOLUMEN_SUMINISTROS[[#This Row],[Proyecto]],VOL_VOLUMEN_SUMINISTROS[[#This Row],[FIN DE SEMANA]])</f>
        <v>221052-1NO</v>
      </c>
      <c r="E1743" s="30" t="s">
        <v>146</v>
      </c>
      <c r="F1743" s="30" t="s">
        <v>147</v>
      </c>
      <c r="G1743" s="360">
        <v>22</v>
      </c>
      <c r="H1743" s="30">
        <v>19</v>
      </c>
      <c r="I1743" s="9" t="s">
        <v>249</v>
      </c>
      <c r="J1743" s="9" t="s">
        <v>1235</v>
      </c>
      <c r="K1743" s="30">
        <v>2</v>
      </c>
      <c r="L1743" s="9" t="s">
        <v>1236</v>
      </c>
      <c r="M1743" s="30" t="s">
        <v>84</v>
      </c>
      <c r="N1743" s="30" t="s">
        <v>154</v>
      </c>
      <c r="O1743" s="24">
        <v>0</v>
      </c>
      <c r="P1743" s="24">
        <v>132</v>
      </c>
      <c r="Q1743" s="24">
        <v>44</v>
      </c>
      <c r="R1743" s="24">
        <v>0</v>
      </c>
      <c r="S1743" s="24">
        <v>0</v>
      </c>
      <c r="T1743" s="24">
        <v>176</v>
      </c>
    </row>
    <row r="1744" spans="1:20">
      <c r="A1744" s="9" t="s">
        <v>1233</v>
      </c>
      <c r="B1744" s="30" t="s">
        <v>1234</v>
      </c>
      <c r="C1744" s="30" t="str">
        <f>CONCATENATE(VOL_VOLUMEN_SUMINISTROS[[#This Row],[Proyecto]],VOL_VOLUMEN_SUMINISTROS[[#This Row],[J]],VOL_VOLUMEN_SUMINISTROS[[#This Row],[FIN DE SEMANA]])</f>
        <v>1052-1MNO</v>
      </c>
      <c r="D1744" s="360" t="str">
        <f>CONCATENATE(VOL_VOLUMEN_SUMINISTROS[[#This Row],[Grupo]],VOL_VOLUMEN_SUMINISTROS[[#This Row],[Proyecto]],VOL_VOLUMEN_SUMINISTROS[[#This Row],[FIN DE SEMANA]])</f>
        <v>221052-1NO</v>
      </c>
      <c r="E1744" s="30" t="s">
        <v>146</v>
      </c>
      <c r="F1744" s="30" t="s">
        <v>147</v>
      </c>
      <c r="G1744" s="360">
        <v>22</v>
      </c>
      <c r="H1744" s="30">
        <v>19</v>
      </c>
      <c r="I1744" s="9" t="s">
        <v>249</v>
      </c>
      <c r="J1744" s="9" t="s">
        <v>1237</v>
      </c>
      <c r="K1744" s="30">
        <v>1</v>
      </c>
      <c r="L1744" s="9" t="s">
        <v>1238</v>
      </c>
      <c r="M1744" s="30" t="s">
        <v>84</v>
      </c>
      <c r="N1744" s="30" t="s">
        <v>151</v>
      </c>
      <c r="O1744" s="24">
        <v>202</v>
      </c>
      <c r="P1744" s="24">
        <v>302</v>
      </c>
      <c r="Q1744" s="24">
        <v>385</v>
      </c>
      <c r="R1744" s="24">
        <v>0</v>
      </c>
      <c r="S1744" s="24">
        <v>0</v>
      </c>
      <c r="T1744" s="24">
        <v>889</v>
      </c>
    </row>
    <row r="1745" spans="1:20">
      <c r="A1745" s="9" t="s">
        <v>1233</v>
      </c>
      <c r="B1745" s="30" t="s">
        <v>1234</v>
      </c>
      <c r="C1745" s="30" t="str">
        <f>CONCATENATE(VOL_VOLUMEN_SUMINISTROS[[#This Row],[Proyecto]],VOL_VOLUMEN_SUMINISTROS[[#This Row],[J]],VOL_VOLUMEN_SUMINISTROS[[#This Row],[FIN DE SEMANA]])</f>
        <v>1052-1TNO</v>
      </c>
      <c r="D1745" s="360" t="str">
        <f>CONCATENATE(VOL_VOLUMEN_SUMINISTROS[[#This Row],[Grupo]],VOL_VOLUMEN_SUMINISTROS[[#This Row],[Proyecto]],VOL_VOLUMEN_SUMINISTROS[[#This Row],[FIN DE SEMANA]])</f>
        <v>221052-1NO</v>
      </c>
      <c r="E1745" s="30" t="s">
        <v>146</v>
      </c>
      <c r="F1745" s="30" t="s">
        <v>147</v>
      </c>
      <c r="G1745" s="360">
        <v>22</v>
      </c>
      <c r="H1745" s="30">
        <v>19</v>
      </c>
      <c r="I1745" s="9" t="s">
        <v>249</v>
      </c>
      <c r="J1745" s="9" t="s">
        <v>1237</v>
      </c>
      <c r="K1745" s="30">
        <v>1</v>
      </c>
      <c r="L1745" s="9" t="s">
        <v>1238</v>
      </c>
      <c r="M1745" s="30" t="s">
        <v>84</v>
      </c>
      <c r="N1745" s="30" t="s">
        <v>154</v>
      </c>
      <c r="O1745" s="24">
        <v>200</v>
      </c>
      <c r="P1745" s="24">
        <v>301</v>
      </c>
      <c r="Q1745" s="24">
        <v>354</v>
      </c>
      <c r="R1745" s="24">
        <v>0</v>
      </c>
      <c r="S1745" s="24">
        <v>0</v>
      </c>
      <c r="T1745" s="24">
        <v>855</v>
      </c>
    </row>
    <row r="1746" spans="1:20">
      <c r="A1746" s="9" t="s">
        <v>1233</v>
      </c>
      <c r="B1746" s="30" t="s">
        <v>1234</v>
      </c>
      <c r="C1746" s="30" t="str">
        <f>CONCATENATE(VOL_VOLUMEN_SUMINISTROS[[#This Row],[Proyecto]],VOL_VOLUMEN_SUMINISTROS[[#This Row],[J]],VOL_VOLUMEN_SUMINISTROS[[#This Row],[FIN DE SEMANA]])</f>
        <v>1052-1MNO</v>
      </c>
      <c r="D1746" s="360" t="str">
        <f>CONCATENATE(VOL_VOLUMEN_SUMINISTROS[[#This Row],[Grupo]],VOL_VOLUMEN_SUMINISTROS[[#This Row],[Proyecto]],VOL_VOLUMEN_SUMINISTROS[[#This Row],[FIN DE SEMANA]])</f>
        <v>221052-1NO</v>
      </c>
      <c r="E1746" s="30" t="s">
        <v>146</v>
      </c>
      <c r="F1746" s="30" t="s">
        <v>147</v>
      </c>
      <c r="G1746" s="360">
        <v>22</v>
      </c>
      <c r="H1746" s="30">
        <v>19</v>
      </c>
      <c r="I1746" s="9" t="s">
        <v>249</v>
      </c>
      <c r="J1746" s="9" t="s">
        <v>1239</v>
      </c>
      <c r="K1746" s="30">
        <v>1</v>
      </c>
      <c r="L1746" s="9" t="s">
        <v>1240</v>
      </c>
      <c r="M1746" s="30" t="s">
        <v>84</v>
      </c>
      <c r="N1746" s="30" t="s">
        <v>151</v>
      </c>
      <c r="O1746" s="24">
        <v>353</v>
      </c>
      <c r="P1746" s="24">
        <v>307</v>
      </c>
      <c r="Q1746" s="24">
        <v>56</v>
      </c>
      <c r="R1746" s="24">
        <v>0</v>
      </c>
      <c r="S1746" s="24">
        <v>0</v>
      </c>
      <c r="T1746" s="24">
        <v>716</v>
      </c>
    </row>
    <row r="1747" spans="1:20">
      <c r="A1747" s="9" t="s">
        <v>1233</v>
      </c>
      <c r="B1747" s="30" t="s">
        <v>1234</v>
      </c>
      <c r="C1747" s="30" t="str">
        <f>CONCATENATE(VOL_VOLUMEN_SUMINISTROS[[#This Row],[Proyecto]],VOL_VOLUMEN_SUMINISTROS[[#This Row],[J]],VOL_VOLUMEN_SUMINISTROS[[#This Row],[FIN DE SEMANA]])</f>
        <v>1052-1NNO</v>
      </c>
      <c r="D1747" s="360" t="str">
        <f>CONCATENATE(VOL_VOLUMEN_SUMINISTROS[[#This Row],[Grupo]],VOL_VOLUMEN_SUMINISTROS[[#This Row],[Proyecto]],VOL_VOLUMEN_SUMINISTROS[[#This Row],[FIN DE SEMANA]])</f>
        <v>221052-1NO</v>
      </c>
      <c r="E1747" s="30" t="s">
        <v>146</v>
      </c>
      <c r="F1747" s="30" t="s">
        <v>147</v>
      </c>
      <c r="G1747" s="360">
        <v>22</v>
      </c>
      <c r="H1747" s="30">
        <v>19</v>
      </c>
      <c r="I1747" s="9" t="s">
        <v>249</v>
      </c>
      <c r="J1747" s="9" t="s">
        <v>1239</v>
      </c>
      <c r="K1747" s="30">
        <v>1</v>
      </c>
      <c r="L1747" s="9" t="s">
        <v>1240</v>
      </c>
      <c r="M1747" s="30" t="s">
        <v>84</v>
      </c>
      <c r="N1747" s="30" t="s">
        <v>153</v>
      </c>
      <c r="O1747" s="24">
        <v>0</v>
      </c>
      <c r="P1747" s="24">
        <v>0</v>
      </c>
      <c r="Q1747" s="24">
        <v>0</v>
      </c>
      <c r="R1747" s="24">
        <v>212</v>
      </c>
      <c r="S1747" s="24">
        <v>234</v>
      </c>
      <c r="T1747" s="24">
        <v>446</v>
      </c>
    </row>
    <row r="1748" spans="1:20">
      <c r="A1748" s="9" t="s">
        <v>1233</v>
      </c>
      <c r="B1748" s="30" t="s">
        <v>1234</v>
      </c>
      <c r="C1748" s="30" t="str">
        <f>CONCATENATE(VOL_VOLUMEN_SUMINISTROS[[#This Row],[Proyecto]],VOL_VOLUMEN_SUMINISTROS[[#This Row],[J]],VOL_VOLUMEN_SUMINISTROS[[#This Row],[FIN DE SEMANA]])</f>
        <v>1052-1TNO</v>
      </c>
      <c r="D1748" s="360" t="str">
        <f>CONCATENATE(VOL_VOLUMEN_SUMINISTROS[[#This Row],[Grupo]],VOL_VOLUMEN_SUMINISTROS[[#This Row],[Proyecto]],VOL_VOLUMEN_SUMINISTROS[[#This Row],[FIN DE SEMANA]])</f>
        <v>221052-1NO</v>
      </c>
      <c r="E1748" s="30" t="s">
        <v>146</v>
      </c>
      <c r="F1748" s="30" t="s">
        <v>147</v>
      </c>
      <c r="G1748" s="360">
        <v>22</v>
      </c>
      <c r="H1748" s="30">
        <v>19</v>
      </c>
      <c r="I1748" s="9" t="s">
        <v>249</v>
      </c>
      <c r="J1748" s="9" t="s">
        <v>1239</v>
      </c>
      <c r="K1748" s="30">
        <v>1</v>
      </c>
      <c r="L1748" s="9" t="s">
        <v>1240</v>
      </c>
      <c r="M1748" s="30" t="s">
        <v>84</v>
      </c>
      <c r="N1748" s="30" t="s">
        <v>154</v>
      </c>
      <c r="O1748" s="24">
        <v>70</v>
      </c>
      <c r="P1748" s="24">
        <v>207</v>
      </c>
      <c r="Q1748" s="24">
        <v>423</v>
      </c>
      <c r="R1748" s="24">
        <v>0</v>
      </c>
      <c r="S1748" s="24">
        <v>0</v>
      </c>
      <c r="T1748" s="24">
        <v>700</v>
      </c>
    </row>
    <row r="1749" spans="1:20">
      <c r="A1749" s="9" t="s">
        <v>1233</v>
      </c>
      <c r="B1749" s="30" t="s">
        <v>1234</v>
      </c>
      <c r="C1749" s="30" t="str">
        <f>CONCATENATE(VOL_VOLUMEN_SUMINISTROS[[#This Row],[Proyecto]],VOL_VOLUMEN_SUMINISTROS[[#This Row],[J]],VOL_VOLUMEN_SUMINISTROS[[#This Row],[FIN DE SEMANA]])</f>
        <v>1052-1MNO</v>
      </c>
      <c r="D1749" s="360" t="str">
        <f>CONCATENATE(VOL_VOLUMEN_SUMINISTROS[[#This Row],[Grupo]],VOL_VOLUMEN_SUMINISTROS[[#This Row],[Proyecto]],VOL_VOLUMEN_SUMINISTROS[[#This Row],[FIN DE SEMANA]])</f>
        <v>221052-1NO</v>
      </c>
      <c r="E1749" s="30" t="s">
        <v>146</v>
      </c>
      <c r="F1749" s="30" t="s">
        <v>147</v>
      </c>
      <c r="G1749" s="360">
        <v>22</v>
      </c>
      <c r="H1749" s="30">
        <v>19</v>
      </c>
      <c r="I1749" s="9" t="s">
        <v>249</v>
      </c>
      <c r="J1749" s="9" t="s">
        <v>1239</v>
      </c>
      <c r="K1749" s="30">
        <v>2</v>
      </c>
      <c r="L1749" s="9" t="s">
        <v>1240</v>
      </c>
      <c r="M1749" s="30" t="s">
        <v>84</v>
      </c>
      <c r="N1749" s="30" t="s">
        <v>151</v>
      </c>
      <c r="O1749" s="24">
        <v>133</v>
      </c>
      <c r="P1749" s="24">
        <v>0</v>
      </c>
      <c r="Q1749" s="24">
        <v>0</v>
      </c>
      <c r="R1749" s="24">
        <v>0</v>
      </c>
      <c r="S1749" s="24">
        <v>0</v>
      </c>
      <c r="T1749" s="24">
        <v>133</v>
      </c>
    </row>
    <row r="1750" spans="1:20">
      <c r="A1750" s="9" t="s">
        <v>1233</v>
      </c>
      <c r="B1750" s="30" t="s">
        <v>1234</v>
      </c>
      <c r="C1750" s="30" t="str">
        <f>CONCATENATE(VOL_VOLUMEN_SUMINISTROS[[#This Row],[Proyecto]],VOL_VOLUMEN_SUMINISTROS[[#This Row],[J]],VOL_VOLUMEN_SUMINISTROS[[#This Row],[FIN DE SEMANA]])</f>
        <v>1052-1TNO</v>
      </c>
      <c r="D1750" s="360" t="str">
        <f>CONCATENATE(VOL_VOLUMEN_SUMINISTROS[[#This Row],[Grupo]],VOL_VOLUMEN_SUMINISTROS[[#This Row],[Proyecto]],VOL_VOLUMEN_SUMINISTROS[[#This Row],[FIN DE SEMANA]])</f>
        <v>61052-1NO</v>
      </c>
      <c r="E1750" s="30" t="s">
        <v>146</v>
      </c>
      <c r="F1750" s="30" t="s">
        <v>147</v>
      </c>
      <c r="G1750" s="360">
        <v>6</v>
      </c>
      <c r="H1750" s="30">
        <v>19</v>
      </c>
      <c r="I1750" s="9" t="s">
        <v>249</v>
      </c>
      <c r="J1750" s="9" t="s">
        <v>1239</v>
      </c>
      <c r="K1750" s="30">
        <v>2</v>
      </c>
      <c r="L1750" s="9" t="s">
        <v>1240</v>
      </c>
      <c r="M1750" s="30" t="s">
        <v>84</v>
      </c>
      <c r="N1750" s="30" t="s">
        <v>154</v>
      </c>
      <c r="O1750" s="24">
        <v>60</v>
      </c>
      <c r="P1750" s="24">
        <v>0</v>
      </c>
      <c r="Q1750" s="24">
        <v>0</v>
      </c>
      <c r="R1750" s="24">
        <v>0</v>
      </c>
      <c r="S1750" s="24">
        <v>0</v>
      </c>
      <c r="T1750" s="24">
        <v>60</v>
      </c>
    </row>
    <row r="1751" spans="1:20">
      <c r="A1751" s="9" t="s">
        <v>1233</v>
      </c>
      <c r="B1751" s="30" t="s">
        <v>1234</v>
      </c>
      <c r="C1751" s="30" t="str">
        <f>CONCATENATE(VOL_VOLUMEN_SUMINISTROS[[#This Row],[Proyecto]],VOL_VOLUMEN_SUMINISTROS[[#This Row],[J]],VOL_VOLUMEN_SUMINISTROS[[#This Row],[FIN DE SEMANA]])</f>
        <v>1052-1NNO</v>
      </c>
      <c r="D1751" s="360" t="str">
        <f>CONCATENATE(VOL_VOLUMEN_SUMINISTROS[[#This Row],[Grupo]],VOL_VOLUMEN_SUMINISTROS[[#This Row],[Proyecto]],VOL_VOLUMEN_SUMINISTROS[[#This Row],[FIN DE SEMANA]])</f>
        <v>221052-1NO</v>
      </c>
      <c r="E1751" s="30" t="s">
        <v>146</v>
      </c>
      <c r="F1751" s="30" t="s">
        <v>147</v>
      </c>
      <c r="G1751" s="360">
        <v>22</v>
      </c>
      <c r="H1751" s="30">
        <v>19</v>
      </c>
      <c r="I1751" s="9" t="s">
        <v>249</v>
      </c>
      <c r="J1751" s="9" t="s">
        <v>1241</v>
      </c>
      <c r="K1751" s="30">
        <v>1</v>
      </c>
      <c r="L1751" s="9" t="s">
        <v>1242</v>
      </c>
      <c r="M1751" s="30" t="s">
        <v>84</v>
      </c>
      <c r="N1751" s="30" t="s">
        <v>153</v>
      </c>
      <c r="O1751" s="24">
        <v>0</v>
      </c>
      <c r="P1751" s="24">
        <v>0</v>
      </c>
      <c r="Q1751" s="24">
        <v>0</v>
      </c>
      <c r="R1751" s="24">
        <v>405</v>
      </c>
      <c r="S1751" s="24">
        <v>317</v>
      </c>
      <c r="T1751" s="24">
        <v>722</v>
      </c>
    </row>
    <row r="1752" spans="1:20">
      <c r="A1752" s="9" t="s">
        <v>1233</v>
      </c>
      <c r="B1752" s="30" t="s">
        <v>1234</v>
      </c>
      <c r="C1752" s="30" t="str">
        <f>CONCATENATE(VOL_VOLUMEN_SUMINISTROS[[#This Row],[Proyecto]],VOL_VOLUMEN_SUMINISTROS[[#This Row],[J]],VOL_VOLUMEN_SUMINISTROS[[#This Row],[FIN DE SEMANA]])</f>
        <v>1052-1TNO</v>
      </c>
      <c r="D1752" s="360" t="str">
        <f>CONCATENATE(VOL_VOLUMEN_SUMINISTROS[[#This Row],[Grupo]],VOL_VOLUMEN_SUMINISTROS[[#This Row],[Proyecto]],VOL_VOLUMEN_SUMINISTROS[[#This Row],[FIN DE SEMANA]])</f>
        <v>221052-1NO</v>
      </c>
      <c r="E1752" s="30" t="s">
        <v>146</v>
      </c>
      <c r="F1752" s="30" t="s">
        <v>147</v>
      </c>
      <c r="G1752" s="360">
        <v>22</v>
      </c>
      <c r="H1752" s="30">
        <v>19</v>
      </c>
      <c r="I1752" s="9" t="s">
        <v>249</v>
      </c>
      <c r="J1752" s="9" t="s">
        <v>1241</v>
      </c>
      <c r="K1752" s="30">
        <v>1</v>
      </c>
      <c r="L1752" s="9" t="s">
        <v>1242</v>
      </c>
      <c r="M1752" s="30" t="s">
        <v>84</v>
      </c>
      <c r="N1752" s="30" t="s">
        <v>154</v>
      </c>
      <c r="O1752" s="24">
        <v>0</v>
      </c>
      <c r="P1752" s="24">
        <v>174</v>
      </c>
      <c r="Q1752" s="24">
        <v>851</v>
      </c>
      <c r="R1752" s="24">
        <v>0</v>
      </c>
      <c r="S1752" s="24">
        <v>0</v>
      </c>
      <c r="T1752" s="24">
        <v>1025</v>
      </c>
    </row>
    <row r="1753" spans="1:20">
      <c r="A1753" s="9" t="s">
        <v>1233</v>
      </c>
      <c r="B1753" s="30" t="s">
        <v>1234</v>
      </c>
      <c r="C1753" s="30" t="str">
        <f>CONCATENATE(VOL_VOLUMEN_SUMINISTROS[[#This Row],[Proyecto]],VOL_VOLUMEN_SUMINISTROS[[#This Row],[J]],VOL_VOLUMEN_SUMINISTROS[[#This Row],[FIN DE SEMANA]])</f>
        <v>1052-1MNO</v>
      </c>
      <c r="D1753" s="360" t="str">
        <f>CONCATENATE(VOL_VOLUMEN_SUMINISTROS[[#This Row],[Grupo]],VOL_VOLUMEN_SUMINISTROS[[#This Row],[Proyecto]],VOL_VOLUMEN_SUMINISTROS[[#This Row],[FIN DE SEMANA]])</f>
        <v>221052-1NO</v>
      </c>
      <c r="E1753" s="30" t="s">
        <v>146</v>
      </c>
      <c r="F1753" s="30" t="s">
        <v>147</v>
      </c>
      <c r="G1753" s="360">
        <v>22</v>
      </c>
      <c r="H1753" s="30">
        <v>19</v>
      </c>
      <c r="I1753" s="9" t="s">
        <v>249</v>
      </c>
      <c r="J1753" s="9" t="s">
        <v>1241</v>
      </c>
      <c r="K1753" s="30">
        <v>2</v>
      </c>
      <c r="L1753" s="9" t="s">
        <v>1243</v>
      </c>
      <c r="M1753" s="30" t="s">
        <v>84</v>
      </c>
      <c r="N1753" s="30" t="s">
        <v>151</v>
      </c>
      <c r="O1753" s="24">
        <v>380</v>
      </c>
      <c r="P1753" s="24">
        <v>120</v>
      </c>
      <c r="Q1753" s="24">
        <v>0</v>
      </c>
      <c r="R1753" s="24">
        <v>0</v>
      </c>
      <c r="S1753" s="24">
        <v>0</v>
      </c>
      <c r="T1753" s="24">
        <v>500</v>
      </c>
    </row>
    <row r="1754" spans="1:20">
      <c r="A1754" s="9" t="s">
        <v>1233</v>
      </c>
      <c r="B1754" s="30" t="s">
        <v>1234</v>
      </c>
      <c r="C1754" s="30" t="str">
        <f>CONCATENATE(VOL_VOLUMEN_SUMINISTROS[[#This Row],[Proyecto]],VOL_VOLUMEN_SUMINISTROS[[#This Row],[J]],VOL_VOLUMEN_SUMINISTROS[[#This Row],[FIN DE SEMANA]])</f>
        <v>1052-1TNO</v>
      </c>
      <c r="D1754" s="360" t="str">
        <f>CONCATENATE(VOL_VOLUMEN_SUMINISTROS[[#This Row],[Grupo]],VOL_VOLUMEN_SUMINISTROS[[#This Row],[Proyecto]],VOL_VOLUMEN_SUMINISTROS[[#This Row],[FIN DE SEMANA]])</f>
        <v>221052-1NO</v>
      </c>
      <c r="E1754" s="30" t="s">
        <v>146</v>
      </c>
      <c r="F1754" s="30" t="s">
        <v>147</v>
      </c>
      <c r="G1754" s="360">
        <v>22</v>
      </c>
      <c r="H1754" s="30">
        <v>19</v>
      </c>
      <c r="I1754" s="9" t="s">
        <v>249</v>
      </c>
      <c r="J1754" s="9" t="s">
        <v>1241</v>
      </c>
      <c r="K1754" s="30">
        <v>2</v>
      </c>
      <c r="L1754" s="9" t="s">
        <v>1243</v>
      </c>
      <c r="M1754" s="30" t="s">
        <v>84</v>
      </c>
      <c r="N1754" s="30" t="s">
        <v>154</v>
      </c>
      <c r="O1754" s="24">
        <v>406</v>
      </c>
      <c r="P1754" s="24">
        <v>119</v>
      </c>
      <c r="Q1754" s="24">
        <v>0</v>
      </c>
      <c r="R1754" s="24">
        <v>0</v>
      </c>
      <c r="S1754" s="24">
        <v>0</v>
      </c>
      <c r="T1754" s="24">
        <v>525</v>
      </c>
    </row>
    <row r="1755" spans="1:20">
      <c r="A1755" s="9" t="s">
        <v>1233</v>
      </c>
      <c r="B1755" s="30" t="s">
        <v>1234</v>
      </c>
      <c r="C1755" s="30" t="str">
        <f>CONCATENATE(VOL_VOLUMEN_SUMINISTROS[[#This Row],[Proyecto]],VOL_VOLUMEN_SUMINISTROS[[#This Row],[J]],VOL_VOLUMEN_SUMINISTROS[[#This Row],[FIN DE SEMANA]])</f>
        <v>1052-1MNO</v>
      </c>
      <c r="D1755" s="360" t="str">
        <f>CONCATENATE(VOL_VOLUMEN_SUMINISTROS[[#This Row],[Grupo]],VOL_VOLUMEN_SUMINISTROS[[#This Row],[Proyecto]],VOL_VOLUMEN_SUMINISTROS[[#This Row],[FIN DE SEMANA]])</f>
        <v>221052-1NO</v>
      </c>
      <c r="E1755" s="30" t="s">
        <v>146</v>
      </c>
      <c r="F1755" s="30" t="s">
        <v>147</v>
      </c>
      <c r="G1755" s="360">
        <v>22</v>
      </c>
      <c r="H1755" s="30">
        <v>19</v>
      </c>
      <c r="I1755" s="9" t="s">
        <v>249</v>
      </c>
      <c r="J1755" s="9" t="s">
        <v>1241</v>
      </c>
      <c r="K1755" s="30">
        <v>4</v>
      </c>
      <c r="L1755" s="9" t="s">
        <v>1244</v>
      </c>
      <c r="M1755" s="30" t="s">
        <v>84</v>
      </c>
      <c r="N1755" s="30" t="s">
        <v>151</v>
      </c>
      <c r="O1755" s="24">
        <v>80</v>
      </c>
      <c r="P1755" s="24">
        <v>0</v>
      </c>
      <c r="Q1755" s="24">
        <v>0</v>
      </c>
      <c r="R1755" s="24">
        <v>0</v>
      </c>
      <c r="S1755" s="24">
        <v>0</v>
      </c>
      <c r="T1755" s="24">
        <v>80</v>
      </c>
    </row>
    <row r="1756" spans="1:20">
      <c r="A1756" s="9" t="s">
        <v>1233</v>
      </c>
      <c r="B1756" s="30" t="s">
        <v>1234</v>
      </c>
      <c r="C1756" s="30" t="str">
        <f>CONCATENATE(VOL_VOLUMEN_SUMINISTROS[[#This Row],[Proyecto]],VOL_VOLUMEN_SUMINISTROS[[#This Row],[J]],VOL_VOLUMEN_SUMINISTROS[[#This Row],[FIN DE SEMANA]])</f>
        <v>1052-1MNO</v>
      </c>
      <c r="D1756" s="360" t="str">
        <f>CONCATENATE(VOL_VOLUMEN_SUMINISTROS[[#This Row],[Grupo]],VOL_VOLUMEN_SUMINISTROS[[#This Row],[Proyecto]],VOL_VOLUMEN_SUMINISTROS[[#This Row],[FIN DE SEMANA]])</f>
        <v>221052-1NO</v>
      </c>
      <c r="E1756" s="30" t="s">
        <v>146</v>
      </c>
      <c r="F1756" s="30" t="s">
        <v>147</v>
      </c>
      <c r="G1756" s="360">
        <v>22</v>
      </c>
      <c r="H1756" s="30">
        <v>19</v>
      </c>
      <c r="I1756" s="9" t="s">
        <v>249</v>
      </c>
      <c r="J1756" s="9" t="s">
        <v>1245</v>
      </c>
      <c r="K1756" s="30">
        <v>1</v>
      </c>
      <c r="L1756" s="9" t="s">
        <v>1246</v>
      </c>
      <c r="M1756" s="30" t="s">
        <v>84</v>
      </c>
      <c r="N1756" s="30" t="s">
        <v>151</v>
      </c>
      <c r="O1756" s="24">
        <v>263</v>
      </c>
      <c r="P1756" s="24">
        <v>393</v>
      </c>
      <c r="Q1756" s="24">
        <v>611</v>
      </c>
      <c r="R1756" s="24">
        <v>0</v>
      </c>
      <c r="S1756" s="24">
        <v>0</v>
      </c>
      <c r="T1756" s="24">
        <v>1267</v>
      </c>
    </row>
    <row r="1757" spans="1:20">
      <c r="A1757" s="9" t="s">
        <v>1233</v>
      </c>
      <c r="B1757" s="30" t="s">
        <v>1234</v>
      </c>
      <c r="C1757" s="30" t="str">
        <f>CONCATENATE(VOL_VOLUMEN_SUMINISTROS[[#This Row],[Proyecto]],VOL_VOLUMEN_SUMINISTROS[[#This Row],[J]],VOL_VOLUMEN_SUMINISTROS[[#This Row],[FIN DE SEMANA]])</f>
        <v>1052-1NNO</v>
      </c>
      <c r="D1757" s="360" t="str">
        <f>CONCATENATE(VOL_VOLUMEN_SUMINISTROS[[#This Row],[Grupo]],VOL_VOLUMEN_SUMINISTROS[[#This Row],[Proyecto]],VOL_VOLUMEN_SUMINISTROS[[#This Row],[FIN DE SEMANA]])</f>
        <v>221052-1NO</v>
      </c>
      <c r="E1757" s="30" t="s">
        <v>146</v>
      </c>
      <c r="F1757" s="30" t="s">
        <v>147</v>
      </c>
      <c r="G1757" s="360">
        <v>22</v>
      </c>
      <c r="H1757" s="30">
        <v>19</v>
      </c>
      <c r="I1757" s="9" t="s">
        <v>249</v>
      </c>
      <c r="J1757" s="9" t="s">
        <v>1245</v>
      </c>
      <c r="K1757" s="30">
        <v>1</v>
      </c>
      <c r="L1757" s="9" t="s">
        <v>1246</v>
      </c>
      <c r="M1757" s="30" t="s">
        <v>84</v>
      </c>
      <c r="N1757" s="30" t="s">
        <v>153</v>
      </c>
      <c r="O1757" s="24">
        <v>0</v>
      </c>
      <c r="P1757" s="24">
        <v>0</v>
      </c>
      <c r="Q1757" s="24">
        <v>0</v>
      </c>
      <c r="R1757" s="24">
        <v>128</v>
      </c>
      <c r="S1757" s="24">
        <v>146</v>
      </c>
      <c r="T1757" s="24">
        <v>274</v>
      </c>
    </row>
    <row r="1758" spans="1:20">
      <c r="A1758" s="9" t="s">
        <v>1233</v>
      </c>
      <c r="B1758" s="30" t="s">
        <v>1234</v>
      </c>
      <c r="C1758" s="30" t="str">
        <f>CONCATENATE(VOL_VOLUMEN_SUMINISTROS[[#This Row],[Proyecto]],VOL_VOLUMEN_SUMINISTROS[[#This Row],[J]],VOL_VOLUMEN_SUMINISTROS[[#This Row],[FIN DE SEMANA]])</f>
        <v>1052-1TNO</v>
      </c>
      <c r="D1758" s="360" t="str">
        <f>CONCATENATE(VOL_VOLUMEN_SUMINISTROS[[#This Row],[Grupo]],VOL_VOLUMEN_SUMINISTROS[[#This Row],[Proyecto]],VOL_VOLUMEN_SUMINISTROS[[#This Row],[FIN DE SEMANA]])</f>
        <v>221052-1NO</v>
      </c>
      <c r="E1758" s="30" t="s">
        <v>146</v>
      </c>
      <c r="F1758" s="30" t="s">
        <v>147</v>
      </c>
      <c r="G1758" s="360">
        <v>22</v>
      </c>
      <c r="H1758" s="30">
        <v>19</v>
      </c>
      <c r="I1758" s="9" t="s">
        <v>249</v>
      </c>
      <c r="J1758" s="9" t="s">
        <v>1245</v>
      </c>
      <c r="K1758" s="30">
        <v>1</v>
      </c>
      <c r="L1758" s="9" t="s">
        <v>1246</v>
      </c>
      <c r="M1758" s="30" t="s">
        <v>84</v>
      </c>
      <c r="N1758" s="30" t="s">
        <v>154</v>
      </c>
      <c r="O1758" s="24">
        <v>296</v>
      </c>
      <c r="P1758" s="24">
        <v>398</v>
      </c>
      <c r="Q1758" s="24">
        <v>556</v>
      </c>
      <c r="R1758" s="24">
        <v>0</v>
      </c>
      <c r="S1758" s="24">
        <v>0</v>
      </c>
      <c r="T1758" s="24">
        <v>1250</v>
      </c>
    </row>
    <row r="1759" spans="1:20">
      <c r="A1759" s="9" t="s">
        <v>1233</v>
      </c>
      <c r="B1759" s="30" t="s">
        <v>1234</v>
      </c>
      <c r="C1759" s="30" t="str">
        <f>CONCATENATE(VOL_VOLUMEN_SUMINISTROS[[#This Row],[Proyecto]],VOL_VOLUMEN_SUMINISTROS[[#This Row],[J]],VOL_VOLUMEN_SUMINISTROS[[#This Row],[FIN DE SEMANA]])</f>
        <v>1052-1MNO</v>
      </c>
      <c r="D1759" s="360" t="str">
        <f>CONCATENATE(VOL_VOLUMEN_SUMINISTROS[[#This Row],[Grupo]],VOL_VOLUMEN_SUMINISTROS[[#This Row],[Proyecto]],VOL_VOLUMEN_SUMINISTROS[[#This Row],[FIN DE SEMANA]])</f>
        <v>221052-1NO</v>
      </c>
      <c r="E1759" s="30" t="s">
        <v>146</v>
      </c>
      <c r="F1759" s="30" t="s">
        <v>147</v>
      </c>
      <c r="G1759" s="360">
        <v>22</v>
      </c>
      <c r="H1759" s="30">
        <v>19</v>
      </c>
      <c r="I1759" s="9" t="s">
        <v>249</v>
      </c>
      <c r="J1759" s="9" t="s">
        <v>1247</v>
      </c>
      <c r="K1759" s="30">
        <v>2</v>
      </c>
      <c r="L1759" s="9" t="s">
        <v>1248</v>
      </c>
      <c r="M1759" s="30" t="s">
        <v>84</v>
      </c>
      <c r="N1759" s="30" t="s">
        <v>151</v>
      </c>
      <c r="O1759" s="24">
        <v>192</v>
      </c>
      <c r="P1759" s="24">
        <v>197</v>
      </c>
      <c r="Q1759" s="24">
        <v>42</v>
      </c>
      <c r="R1759" s="24">
        <v>0</v>
      </c>
      <c r="S1759" s="24">
        <v>0</v>
      </c>
      <c r="T1759" s="24">
        <v>431</v>
      </c>
    </row>
    <row r="1760" spans="1:20">
      <c r="A1760" s="9" t="s">
        <v>1233</v>
      </c>
      <c r="B1760" s="30" t="s">
        <v>1234</v>
      </c>
      <c r="C1760" s="30" t="str">
        <f>CONCATENATE(VOL_VOLUMEN_SUMINISTROS[[#This Row],[Proyecto]],VOL_VOLUMEN_SUMINISTROS[[#This Row],[J]],VOL_VOLUMEN_SUMINISTROS[[#This Row],[FIN DE SEMANA]])</f>
        <v>1052-1TNO</v>
      </c>
      <c r="D1760" s="360" t="str">
        <f>CONCATENATE(VOL_VOLUMEN_SUMINISTROS[[#This Row],[Grupo]],VOL_VOLUMEN_SUMINISTROS[[#This Row],[Proyecto]],VOL_VOLUMEN_SUMINISTROS[[#This Row],[FIN DE SEMANA]])</f>
        <v>221052-1NO</v>
      </c>
      <c r="E1760" s="30" t="s">
        <v>146</v>
      </c>
      <c r="F1760" s="30" t="s">
        <v>147</v>
      </c>
      <c r="G1760" s="360">
        <v>22</v>
      </c>
      <c r="H1760" s="30">
        <v>19</v>
      </c>
      <c r="I1760" s="9" t="s">
        <v>249</v>
      </c>
      <c r="J1760" s="9" t="s">
        <v>1247</v>
      </c>
      <c r="K1760" s="30">
        <v>2</v>
      </c>
      <c r="L1760" s="9" t="s">
        <v>1248</v>
      </c>
      <c r="M1760" s="30" t="s">
        <v>84</v>
      </c>
      <c r="N1760" s="30" t="s">
        <v>154</v>
      </c>
      <c r="O1760" s="24">
        <v>214</v>
      </c>
      <c r="P1760" s="24">
        <v>154</v>
      </c>
      <c r="Q1760" s="24">
        <v>24</v>
      </c>
      <c r="R1760" s="24">
        <v>0</v>
      </c>
      <c r="S1760" s="24">
        <v>0</v>
      </c>
      <c r="T1760" s="24">
        <v>392</v>
      </c>
    </row>
    <row r="1761" spans="1:20">
      <c r="A1761" s="9" t="s">
        <v>1233</v>
      </c>
      <c r="B1761" s="30" t="s">
        <v>1234</v>
      </c>
      <c r="C1761" s="30" t="str">
        <f>CONCATENATE(VOL_VOLUMEN_SUMINISTROS[[#This Row],[Proyecto]],VOL_VOLUMEN_SUMINISTROS[[#This Row],[J]],VOL_VOLUMEN_SUMINISTROS[[#This Row],[FIN DE SEMANA]])</f>
        <v>1052-1MNO</v>
      </c>
      <c r="D1761" s="360" t="str">
        <f>CONCATENATE(VOL_VOLUMEN_SUMINISTROS[[#This Row],[Grupo]],VOL_VOLUMEN_SUMINISTROS[[#This Row],[Proyecto]],VOL_VOLUMEN_SUMINISTROS[[#This Row],[FIN DE SEMANA]])</f>
        <v>221052-1NO</v>
      </c>
      <c r="E1761" s="30" t="s">
        <v>146</v>
      </c>
      <c r="F1761" s="30" t="s">
        <v>147</v>
      </c>
      <c r="G1761" s="360">
        <v>22</v>
      </c>
      <c r="H1761" s="30">
        <v>19</v>
      </c>
      <c r="I1761" s="9" t="s">
        <v>249</v>
      </c>
      <c r="J1761" s="9" t="s">
        <v>1247</v>
      </c>
      <c r="K1761" s="30">
        <v>3</v>
      </c>
      <c r="L1761" s="9" t="s">
        <v>1249</v>
      </c>
      <c r="M1761" s="30" t="s">
        <v>84</v>
      </c>
      <c r="N1761" s="30" t="s">
        <v>151</v>
      </c>
      <c r="O1761" s="24">
        <v>121</v>
      </c>
      <c r="P1761" s="24">
        <v>156</v>
      </c>
      <c r="Q1761" s="24">
        <v>36</v>
      </c>
      <c r="R1761" s="24">
        <v>0</v>
      </c>
      <c r="S1761" s="24">
        <v>0</v>
      </c>
      <c r="T1761" s="24">
        <v>313</v>
      </c>
    </row>
    <row r="1762" spans="1:20">
      <c r="A1762" s="9" t="s">
        <v>1233</v>
      </c>
      <c r="B1762" s="30" t="s">
        <v>1234</v>
      </c>
      <c r="C1762" s="30" t="str">
        <f>CONCATENATE(VOL_VOLUMEN_SUMINISTROS[[#This Row],[Proyecto]],VOL_VOLUMEN_SUMINISTROS[[#This Row],[J]],VOL_VOLUMEN_SUMINISTROS[[#This Row],[FIN DE SEMANA]])</f>
        <v>1052-1TNO</v>
      </c>
      <c r="D1762" s="360" t="str">
        <f>CONCATENATE(VOL_VOLUMEN_SUMINISTROS[[#This Row],[Grupo]],VOL_VOLUMEN_SUMINISTROS[[#This Row],[Proyecto]],VOL_VOLUMEN_SUMINISTROS[[#This Row],[FIN DE SEMANA]])</f>
        <v>221052-1NO</v>
      </c>
      <c r="E1762" s="30" t="s">
        <v>146</v>
      </c>
      <c r="F1762" s="30" t="s">
        <v>147</v>
      </c>
      <c r="G1762" s="360">
        <v>22</v>
      </c>
      <c r="H1762" s="30">
        <v>19</v>
      </c>
      <c r="I1762" s="9" t="s">
        <v>249</v>
      </c>
      <c r="J1762" s="9" t="s">
        <v>1247</v>
      </c>
      <c r="K1762" s="30">
        <v>3</v>
      </c>
      <c r="L1762" s="9" t="s">
        <v>1249</v>
      </c>
      <c r="M1762" s="30" t="s">
        <v>84</v>
      </c>
      <c r="N1762" s="30" t="s">
        <v>154</v>
      </c>
      <c r="O1762" s="24">
        <v>164</v>
      </c>
      <c r="P1762" s="24">
        <v>121</v>
      </c>
      <c r="Q1762" s="24">
        <v>17</v>
      </c>
      <c r="R1762" s="24">
        <v>0</v>
      </c>
      <c r="S1762" s="24">
        <v>0</v>
      </c>
      <c r="T1762" s="24">
        <v>302</v>
      </c>
    </row>
    <row r="1763" spans="1:20">
      <c r="A1763" s="9" t="s">
        <v>1233</v>
      </c>
      <c r="B1763" s="30" t="s">
        <v>1234</v>
      </c>
      <c r="C1763" s="30" t="str">
        <f>CONCATENATE(VOL_VOLUMEN_SUMINISTROS[[#This Row],[Proyecto]],VOL_VOLUMEN_SUMINISTROS[[#This Row],[J]],VOL_VOLUMEN_SUMINISTROS[[#This Row],[FIN DE SEMANA]])</f>
        <v>1052-1MNO</v>
      </c>
      <c r="D1763" s="360" t="str">
        <f>CONCATENATE(VOL_VOLUMEN_SUMINISTROS[[#This Row],[Grupo]],VOL_VOLUMEN_SUMINISTROS[[#This Row],[Proyecto]],VOL_VOLUMEN_SUMINISTROS[[#This Row],[FIN DE SEMANA]])</f>
        <v>221052-1NO</v>
      </c>
      <c r="E1763" s="30" t="s">
        <v>146</v>
      </c>
      <c r="F1763" s="30" t="s">
        <v>147</v>
      </c>
      <c r="G1763" s="360">
        <v>22</v>
      </c>
      <c r="H1763" s="30">
        <v>19</v>
      </c>
      <c r="I1763" s="9" t="s">
        <v>249</v>
      </c>
      <c r="J1763" s="9" t="s">
        <v>1247</v>
      </c>
      <c r="K1763" s="30">
        <v>4</v>
      </c>
      <c r="L1763" s="9" t="s">
        <v>1250</v>
      </c>
      <c r="M1763" s="30" t="s">
        <v>84</v>
      </c>
      <c r="N1763" s="30" t="s">
        <v>151</v>
      </c>
      <c r="O1763" s="24">
        <v>99</v>
      </c>
      <c r="P1763" s="24">
        <v>88</v>
      </c>
      <c r="Q1763" s="24">
        <v>17</v>
      </c>
      <c r="R1763" s="24">
        <v>0</v>
      </c>
      <c r="S1763" s="24">
        <v>0</v>
      </c>
      <c r="T1763" s="24">
        <v>204</v>
      </c>
    </row>
    <row r="1764" spans="1:20">
      <c r="A1764" s="9" t="s">
        <v>1233</v>
      </c>
      <c r="B1764" s="30" t="s">
        <v>1234</v>
      </c>
      <c r="C1764" s="30" t="str">
        <f>CONCATENATE(VOL_VOLUMEN_SUMINISTROS[[#This Row],[Proyecto]],VOL_VOLUMEN_SUMINISTROS[[#This Row],[J]],VOL_VOLUMEN_SUMINISTROS[[#This Row],[FIN DE SEMANA]])</f>
        <v>1052-1TNO</v>
      </c>
      <c r="D1764" s="360" t="str">
        <f>CONCATENATE(VOL_VOLUMEN_SUMINISTROS[[#This Row],[Grupo]],VOL_VOLUMEN_SUMINISTROS[[#This Row],[Proyecto]],VOL_VOLUMEN_SUMINISTROS[[#This Row],[FIN DE SEMANA]])</f>
        <v>221052-1NO</v>
      </c>
      <c r="E1764" s="30" t="s">
        <v>146</v>
      </c>
      <c r="F1764" s="30" t="s">
        <v>147</v>
      </c>
      <c r="G1764" s="360">
        <v>22</v>
      </c>
      <c r="H1764" s="30">
        <v>19</v>
      </c>
      <c r="I1764" s="9" t="s">
        <v>249</v>
      </c>
      <c r="J1764" s="9" t="s">
        <v>1247</v>
      </c>
      <c r="K1764" s="30">
        <v>4</v>
      </c>
      <c r="L1764" s="9" t="s">
        <v>1250</v>
      </c>
      <c r="M1764" s="30" t="s">
        <v>84</v>
      </c>
      <c r="N1764" s="30" t="s">
        <v>154</v>
      </c>
      <c r="O1764" s="24">
        <v>97</v>
      </c>
      <c r="P1764" s="24">
        <v>88</v>
      </c>
      <c r="Q1764" s="24">
        <v>17</v>
      </c>
      <c r="R1764" s="24">
        <v>0</v>
      </c>
      <c r="S1764" s="24">
        <v>0</v>
      </c>
      <c r="T1764" s="24">
        <v>202</v>
      </c>
    </row>
    <row r="1765" spans="1:20">
      <c r="A1765" s="9" t="s">
        <v>1233</v>
      </c>
      <c r="B1765" s="30" t="s">
        <v>1234</v>
      </c>
      <c r="C1765" s="30" t="str">
        <f>CONCATENATE(VOL_VOLUMEN_SUMINISTROS[[#This Row],[Proyecto]],VOL_VOLUMEN_SUMINISTROS[[#This Row],[J]],VOL_VOLUMEN_SUMINISTROS[[#This Row],[FIN DE SEMANA]])</f>
        <v>1052-1MNO</v>
      </c>
      <c r="D1765" s="360" t="str">
        <f>CONCATENATE(VOL_VOLUMEN_SUMINISTROS[[#This Row],[Grupo]],VOL_VOLUMEN_SUMINISTROS[[#This Row],[Proyecto]],VOL_VOLUMEN_SUMINISTROS[[#This Row],[FIN DE SEMANA]])</f>
        <v>221052-1NO</v>
      </c>
      <c r="E1765" s="30" t="s">
        <v>146</v>
      </c>
      <c r="F1765" s="30" t="s">
        <v>147</v>
      </c>
      <c r="G1765" s="360">
        <v>22</v>
      </c>
      <c r="H1765" s="30">
        <v>19</v>
      </c>
      <c r="I1765" s="9" t="s">
        <v>249</v>
      </c>
      <c r="J1765" s="9" t="s">
        <v>1251</v>
      </c>
      <c r="K1765" s="30">
        <v>1</v>
      </c>
      <c r="L1765" s="9" t="s">
        <v>1252</v>
      </c>
      <c r="M1765" s="30" t="s">
        <v>84</v>
      </c>
      <c r="N1765" s="30" t="s">
        <v>151</v>
      </c>
      <c r="O1765" s="24">
        <v>187</v>
      </c>
      <c r="P1765" s="24">
        <v>321</v>
      </c>
      <c r="Q1765" s="24">
        <v>364</v>
      </c>
      <c r="R1765" s="24">
        <v>0</v>
      </c>
      <c r="S1765" s="24">
        <v>0</v>
      </c>
      <c r="T1765" s="24">
        <v>872</v>
      </c>
    </row>
    <row r="1766" spans="1:20">
      <c r="A1766" s="9" t="s">
        <v>1233</v>
      </c>
      <c r="B1766" s="30" t="s">
        <v>1234</v>
      </c>
      <c r="C1766" s="30" t="str">
        <f>CONCATENATE(VOL_VOLUMEN_SUMINISTROS[[#This Row],[Proyecto]],VOL_VOLUMEN_SUMINISTROS[[#This Row],[J]],VOL_VOLUMEN_SUMINISTROS[[#This Row],[FIN DE SEMANA]])</f>
        <v>1052-1TNO</v>
      </c>
      <c r="D1766" s="360" t="str">
        <f>CONCATENATE(VOL_VOLUMEN_SUMINISTROS[[#This Row],[Grupo]],VOL_VOLUMEN_SUMINISTROS[[#This Row],[Proyecto]],VOL_VOLUMEN_SUMINISTROS[[#This Row],[FIN DE SEMANA]])</f>
        <v>221052-1NO</v>
      </c>
      <c r="E1766" s="30" t="s">
        <v>146</v>
      </c>
      <c r="F1766" s="30" t="s">
        <v>147</v>
      </c>
      <c r="G1766" s="360">
        <v>22</v>
      </c>
      <c r="H1766" s="30">
        <v>19</v>
      </c>
      <c r="I1766" s="9" t="s">
        <v>249</v>
      </c>
      <c r="J1766" s="9" t="s">
        <v>1251</v>
      </c>
      <c r="K1766" s="30">
        <v>1</v>
      </c>
      <c r="L1766" s="9" t="s">
        <v>1252</v>
      </c>
      <c r="M1766" s="30" t="s">
        <v>84</v>
      </c>
      <c r="N1766" s="30" t="s">
        <v>154</v>
      </c>
      <c r="O1766" s="24">
        <v>184</v>
      </c>
      <c r="P1766" s="24">
        <v>320</v>
      </c>
      <c r="Q1766" s="24">
        <v>340</v>
      </c>
      <c r="R1766" s="24">
        <v>0</v>
      </c>
      <c r="S1766" s="24">
        <v>0</v>
      </c>
      <c r="T1766" s="24">
        <v>844</v>
      </c>
    </row>
    <row r="1767" spans="1:20">
      <c r="A1767" s="9" t="s">
        <v>1233</v>
      </c>
      <c r="B1767" s="30" t="s">
        <v>1234</v>
      </c>
      <c r="C1767" s="30" t="str">
        <f>CONCATENATE(VOL_VOLUMEN_SUMINISTROS[[#This Row],[Proyecto]],VOL_VOLUMEN_SUMINISTROS[[#This Row],[J]],VOL_VOLUMEN_SUMINISTROS[[#This Row],[FIN DE SEMANA]])</f>
        <v>1052-1MNO</v>
      </c>
      <c r="D1767" s="360" t="str">
        <f>CONCATENATE(VOL_VOLUMEN_SUMINISTROS[[#This Row],[Grupo]],VOL_VOLUMEN_SUMINISTROS[[#This Row],[Proyecto]],VOL_VOLUMEN_SUMINISTROS[[#This Row],[FIN DE SEMANA]])</f>
        <v>221052-1NO</v>
      </c>
      <c r="E1767" s="30" t="s">
        <v>146</v>
      </c>
      <c r="F1767" s="30" t="s">
        <v>147</v>
      </c>
      <c r="G1767" s="360">
        <v>22</v>
      </c>
      <c r="H1767" s="30">
        <v>19</v>
      </c>
      <c r="I1767" s="9" t="s">
        <v>249</v>
      </c>
      <c r="J1767" s="9" t="s">
        <v>1251</v>
      </c>
      <c r="K1767" s="30">
        <v>2</v>
      </c>
      <c r="L1767" s="9" t="s">
        <v>1253</v>
      </c>
      <c r="M1767" s="30" t="s">
        <v>84</v>
      </c>
      <c r="N1767" s="30" t="s">
        <v>151</v>
      </c>
      <c r="O1767" s="24">
        <v>120</v>
      </c>
      <c r="P1767" s="24">
        <v>89</v>
      </c>
      <c r="Q1767" s="24">
        <v>18</v>
      </c>
      <c r="R1767" s="24">
        <v>0</v>
      </c>
      <c r="S1767" s="24">
        <v>0</v>
      </c>
      <c r="T1767" s="24">
        <v>227</v>
      </c>
    </row>
    <row r="1768" spans="1:20">
      <c r="A1768" s="9" t="s">
        <v>1233</v>
      </c>
      <c r="B1768" s="30" t="s">
        <v>1234</v>
      </c>
      <c r="C1768" s="30" t="str">
        <f>CONCATENATE(VOL_VOLUMEN_SUMINISTROS[[#This Row],[Proyecto]],VOL_VOLUMEN_SUMINISTROS[[#This Row],[J]],VOL_VOLUMEN_SUMINISTROS[[#This Row],[FIN DE SEMANA]])</f>
        <v>1052-1TNO</v>
      </c>
      <c r="D1768" s="360" t="str">
        <f>CONCATENATE(VOL_VOLUMEN_SUMINISTROS[[#This Row],[Grupo]],VOL_VOLUMEN_SUMINISTROS[[#This Row],[Proyecto]],VOL_VOLUMEN_SUMINISTROS[[#This Row],[FIN DE SEMANA]])</f>
        <v>221052-1NO</v>
      </c>
      <c r="E1768" s="30" t="s">
        <v>146</v>
      </c>
      <c r="F1768" s="30" t="s">
        <v>147</v>
      </c>
      <c r="G1768" s="360">
        <v>22</v>
      </c>
      <c r="H1768" s="30">
        <v>19</v>
      </c>
      <c r="I1768" s="9" t="s">
        <v>249</v>
      </c>
      <c r="J1768" s="9" t="s">
        <v>1251</v>
      </c>
      <c r="K1768" s="30">
        <v>2</v>
      </c>
      <c r="L1768" s="9" t="s">
        <v>1253</v>
      </c>
      <c r="M1768" s="30" t="s">
        <v>84</v>
      </c>
      <c r="N1768" s="30" t="s">
        <v>154</v>
      </c>
      <c r="O1768" s="24">
        <v>116</v>
      </c>
      <c r="P1768" s="24">
        <v>84</v>
      </c>
      <c r="Q1768" s="24">
        <v>17</v>
      </c>
      <c r="R1768" s="24">
        <v>0</v>
      </c>
      <c r="S1768" s="24">
        <v>0</v>
      </c>
      <c r="T1768" s="24">
        <v>217</v>
      </c>
    </row>
    <row r="1769" spans="1:20">
      <c r="A1769" s="9" t="s">
        <v>1233</v>
      </c>
      <c r="B1769" s="30" t="s">
        <v>1234</v>
      </c>
      <c r="C1769" s="30" t="str">
        <f>CONCATENATE(VOL_VOLUMEN_SUMINISTROS[[#This Row],[Proyecto]],VOL_VOLUMEN_SUMINISTROS[[#This Row],[J]],VOL_VOLUMEN_SUMINISTROS[[#This Row],[FIN DE SEMANA]])</f>
        <v>1052-1MNO</v>
      </c>
      <c r="D1769" s="360" t="str">
        <f>CONCATENATE(VOL_VOLUMEN_SUMINISTROS[[#This Row],[Grupo]],VOL_VOLUMEN_SUMINISTROS[[#This Row],[Proyecto]],VOL_VOLUMEN_SUMINISTROS[[#This Row],[FIN DE SEMANA]])</f>
        <v>221052-1NO</v>
      </c>
      <c r="E1769" s="30" t="s">
        <v>146</v>
      </c>
      <c r="F1769" s="30" t="s">
        <v>147</v>
      </c>
      <c r="G1769" s="360">
        <v>22</v>
      </c>
      <c r="H1769" s="30">
        <v>19</v>
      </c>
      <c r="I1769" s="9" t="s">
        <v>249</v>
      </c>
      <c r="J1769" s="9" t="s">
        <v>1254</v>
      </c>
      <c r="K1769" s="30">
        <v>1</v>
      </c>
      <c r="L1769" s="9" t="s">
        <v>1255</v>
      </c>
      <c r="M1769" s="30" t="s">
        <v>84</v>
      </c>
      <c r="N1769" s="30" t="s">
        <v>151</v>
      </c>
      <c r="O1769" s="24">
        <v>157</v>
      </c>
      <c r="P1769" s="24">
        <v>176</v>
      </c>
      <c r="Q1769" s="24">
        <v>174</v>
      </c>
      <c r="R1769" s="24">
        <v>0</v>
      </c>
      <c r="S1769" s="24">
        <v>0</v>
      </c>
      <c r="T1769" s="24">
        <v>507</v>
      </c>
    </row>
    <row r="1770" spans="1:20">
      <c r="A1770" s="9" t="s">
        <v>1233</v>
      </c>
      <c r="B1770" s="30" t="s">
        <v>1234</v>
      </c>
      <c r="C1770" s="30" t="str">
        <f>CONCATENATE(VOL_VOLUMEN_SUMINISTROS[[#This Row],[Proyecto]],VOL_VOLUMEN_SUMINISTROS[[#This Row],[J]],VOL_VOLUMEN_SUMINISTROS[[#This Row],[FIN DE SEMANA]])</f>
        <v>1052-1TNO</v>
      </c>
      <c r="D1770" s="360" t="str">
        <f>CONCATENATE(VOL_VOLUMEN_SUMINISTROS[[#This Row],[Grupo]],VOL_VOLUMEN_SUMINISTROS[[#This Row],[Proyecto]],VOL_VOLUMEN_SUMINISTROS[[#This Row],[FIN DE SEMANA]])</f>
        <v>221052-1NO</v>
      </c>
      <c r="E1770" s="30" t="s">
        <v>146</v>
      </c>
      <c r="F1770" s="30" t="s">
        <v>147</v>
      </c>
      <c r="G1770" s="360">
        <v>22</v>
      </c>
      <c r="H1770" s="30">
        <v>19</v>
      </c>
      <c r="I1770" s="9" t="s">
        <v>249</v>
      </c>
      <c r="J1770" s="9" t="s">
        <v>1254</v>
      </c>
      <c r="K1770" s="30">
        <v>1</v>
      </c>
      <c r="L1770" s="9" t="s">
        <v>1255</v>
      </c>
      <c r="M1770" s="30" t="s">
        <v>84</v>
      </c>
      <c r="N1770" s="30" t="s">
        <v>154</v>
      </c>
      <c r="O1770" s="24">
        <v>122</v>
      </c>
      <c r="P1770" s="24">
        <v>143</v>
      </c>
      <c r="Q1770" s="24">
        <v>113</v>
      </c>
      <c r="R1770" s="24">
        <v>0</v>
      </c>
      <c r="S1770" s="24">
        <v>0</v>
      </c>
      <c r="T1770" s="24">
        <v>378</v>
      </c>
    </row>
    <row r="1771" spans="1:20">
      <c r="A1771" s="9" t="s">
        <v>1233</v>
      </c>
      <c r="B1771" s="30" t="s">
        <v>1234</v>
      </c>
      <c r="C1771" s="30" t="str">
        <f>CONCATENATE(VOL_VOLUMEN_SUMINISTROS[[#This Row],[Proyecto]],VOL_VOLUMEN_SUMINISTROS[[#This Row],[J]],VOL_VOLUMEN_SUMINISTROS[[#This Row],[FIN DE SEMANA]])</f>
        <v>1052-1MNO</v>
      </c>
      <c r="D1771" s="360" t="str">
        <f>CONCATENATE(VOL_VOLUMEN_SUMINISTROS[[#This Row],[Grupo]],VOL_VOLUMEN_SUMINISTROS[[#This Row],[Proyecto]],VOL_VOLUMEN_SUMINISTROS[[#This Row],[FIN DE SEMANA]])</f>
        <v>221052-1NO</v>
      </c>
      <c r="E1771" s="30" t="s">
        <v>146</v>
      </c>
      <c r="F1771" s="30" t="s">
        <v>147</v>
      </c>
      <c r="G1771" s="360">
        <v>22</v>
      </c>
      <c r="H1771" s="30">
        <v>19</v>
      </c>
      <c r="I1771" s="9" t="s">
        <v>249</v>
      </c>
      <c r="J1771" s="9" t="s">
        <v>1254</v>
      </c>
      <c r="K1771" s="30">
        <v>2</v>
      </c>
      <c r="L1771" s="9" t="s">
        <v>1256</v>
      </c>
      <c r="M1771" s="30" t="s">
        <v>84</v>
      </c>
      <c r="N1771" s="30" t="s">
        <v>151</v>
      </c>
      <c r="O1771" s="24">
        <v>130</v>
      </c>
      <c r="P1771" s="24">
        <v>73</v>
      </c>
      <c r="Q1771" s="24">
        <v>14</v>
      </c>
      <c r="R1771" s="24">
        <v>0</v>
      </c>
      <c r="S1771" s="24">
        <v>0</v>
      </c>
      <c r="T1771" s="24">
        <v>217</v>
      </c>
    </row>
    <row r="1772" spans="1:20">
      <c r="A1772" s="9" t="s">
        <v>1233</v>
      </c>
      <c r="B1772" s="30" t="s">
        <v>1234</v>
      </c>
      <c r="C1772" s="30" t="str">
        <f>CONCATENATE(VOL_VOLUMEN_SUMINISTROS[[#This Row],[Proyecto]],VOL_VOLUMEN_SUMINISTROS[[#This Row],[J]],VOL_VOLUMEN_SUMINISTROS[[#This Row],[FIN DE SEMANA]])</f>
        <v>1052-1TNO</v>
      </c>
      <c r="D1772" s="360" t="str">
        <f>CONCATENATE(VOL_VOLUMEN_SUMINISTROS[[#This Row],[Grupo]],VOL_VOLUMEN_SUMINISTROS[[#This Row],[Proyecto]],VOL_VOLUMEN_SUMINISTROS[[#This Row],[FIN DE SEMANA]])</f>
        <v>221052-1NO</v>
      </c>
      <c r="E1772" s="30" t="s">
        <v>146</v>
      </c>
      <c r="F1772" s="30" t="s">
        <v>147</v>
      </c>
      <c r="G1772" s="360">
        <v>22</v>
      </c>
      <c r="H1772" s="30">
        <v>19</v>
      </c>
      <c r="I1772" s="9" t="s">
        <v>249</v>
      </c>
      <c r="J1772" s="9" t="s">
        <v>1254</v>
      </c>
      <c r="K1772" s="30">
        <v>2</v>
      </c>
      <c r="L1772" s="9" t="s">
        <v>1256</v>
      </c>
      <c r="M1772" s="30" t="s">
        <v>84</v>
      </c>
      <c r="N1772" s="30" t="s">
        <v>154</v>
      </c>
      <c r="O1772" s="24">
        <v>139</v>
      </c>
      <c r="P1772" s="24">
        <v>73</v>
      </c>
      <c r="Q1772" s="24">
        <v>11</v>
      </c>
      <c r="R1772" s="24">
        <v>0</v>
      </c>
      <c r="S1772" s="24">
        <v>0</v>
      </c>
      <c r="T1772" s="24">
        <v>223</v>
      </c>
    </row>
    <row r="1773" spans="1:20">
      <c r="A1773" s="9" t="s">
        <v>1233</v>
      </c>
      <c r="B1773" s="30" t="s">
        <v>1234</v>
      </c>
      <c r="C1773" s="30" t="str">
        <f>CONCATENATE(VOL_VOLUMEN_SUMINISTROS[[#This Row],[Proyecto]],VOL_VOLUMEN_SUMINISTROS[[#This Row],[J]],VOL_VOLUMEN_SUMINISTROS[[#This Row],[FIN DE SEMANA]])</f>
        <v>1052-1MNO</v>
      </c>
      <c r="D1773" s="360" t="str">
        <f>CONCATENATE(VOL_VOLUMEN_SUMINISTROS[[#This Row],[Grupo]],VOL_VOLUMEN_SUMINISTROS[[#This Row],[Proyecto]],VOL_VOLUMEN_SUMINISTROS[[#This Row],[FIN DE SEMANA]])</f>
        <v>221052-1NO</v>
      </c>
      <c r="E1773" s="30" t="s">
        <v>146</v>
      </c>
      <c r="F1773" s="30" t="s">
        <v>147</v>
      </c>
      <c r="G1773" s="360">
        <v>22</v>
      </c>
      <c r="H1773" s="30">
        <v>19</v>
      </c>
      <c r="I1773" s="9" t="s">
        <v>249</v>
      </c>
      <c r="J1773" s="9" t="s">
        <v>1257</v>
      </c>
      <c r="K1773" s="30">
        <v>1</v>
      </c>
      <c r="L1773" s="9" t="s">
        <v>1258</v>
      </c>
      <c r="M1773" s="30" t="s">
        <v>84</v>
      </c>
      <c r="N1773" s="30" t="s">
        <v>151</v>
      </c>
      <c r="O1773" s="24">
        <v>176</v>
      </c>
      <c r="P1773" s="24">
        <v>210</v>
      </c>
      <c r="Q1773" s="24">
        <v>45</v>
      </c>
      <c r="R1773" s="24">
        <v>0</v>
      </c>
      <c r="S1773" s="24">
        <v>0</v>
      </c>
      <c r="T1773" s="24">
        <v>431</v>
      </c>
    </row>
    <row r="1774" spans="1:20">
      <c r="A1774" s="9" t="s">
        <v>1233</v>
      </c>
      <c r="B1774" s="30" t="s">
        <v>1234</v>
      </c>
      <c r="C1774" s="30" t="str">
        <f>CONCATENATE(VOL_VOLUMEN_SUMINISTROS[[#This Row],[Proyecto]],VOL_VOLUMEN_SUMINISTROS[[#This Row],[J]],VOL_VOLUMEN_SUMINISTROS[[#This Row],[FIN DE SEMANA]])</f>
        <v>1052-1TNO</v>
      </c>
      <c r="D1774" s="360" t="str">
        <f>CONCATENATE(VOL_VOLUMEN_SUMINISTROS[[#This Row],[Grupo]],VOL_VOLUMEN_SUMINISTROS[[#This Row],[Proyecto]],VOL_VOLUMEN_SUMINISTROS[[#This Row],[FIN DE SEMANA]])</f>
        <v>221052-1NO</v>
      </c>
      <c r="E1774" s="30" t="s">
        <v>146</v>
      </c>
      <c r="F1774" s="30" t="s">
        <v>147</v>
      </c>
      <c r="G1774" s="360">
        <v>22</v>
      </c>
      <c r="H1774" s="30">
        <v>19</v>
      </c>
      <c r="I1774" s="9" t="s">
        <v>249</v>
      </c>
      <c r="J1774" s="9" t="s">
        <v>1257</v>
      </c>
      <c r="K1774" s="30">
        <v>1</v>
      </c>
      <c r="L1774" s="9" t="s">
        <v>1258</v>
      </c>
      <c r="M1774" s="30" t="s">
        <v>84</v>
      </c>
      <c r="N1774" s="30" t="s">
        <v>154</v>
      </c>
      <c r="O1774" s="24">
        <v>27</v>
      </c>
      <c r="P1774" s="24">
        <v>153</v>
      </c>
      <c r="Q1774" s="24">
        <v>228</v>
      </c>
      <c r="R1774" s="24">
        <v>0</v>
      </c>
      <c r="S1774" s="24">
        <v>0</v>
      </c>
      <c r="T1774" s="24">
        <v>408</v>
      </c>
    </row>
    <row r="1775" spans="1:20">
      <c r="A1775" s="9" t="s">
        <v>1233</v>
      </c>
      <c r="B1775" s="30" t="s">
        <v>1259</v>
      </c>
      <c r="C1775" s="30" t="str">
        <f>CONCATENATE(VOL_VOLUMEN_SUMINISTROS[[#This Row],[Proyecto]],VOL_VOLUMEN_SUMINISTROS[[#This Row],[J]],VOL_VOLUMEN_SUMINISTROS[[#This Row],[FIN DE SEMANA]])</f>
        <v>1052-2MNO</v>
      </c>
      <c r="D1775" s="360" t="str">
        <f>CONCATENATE(VOL_VOLUMEN_SUMINISTROS[[#This Row],[Grupo]],VOL_VOLUMEN_SUMINISTROS[[#This Row],[Proyecto]],VOL_VOLUMEN_SUMINISTROS[[#This Row],[FIN DE SEMANA]])</f>
        <v>221052-2NO</v>
      </c>
      <c r="E1775" s="30" t="s">
        <v>182</v>
      </c>
      <c r="F1775" s="30" t="s">
        <v>147</v>
      </c>
      <c r="G1775" s="360">
        <v>22</v>
      </c>
      <c r="H1775" s="30">
        <v>19</v>
      </c>
      <c r="I1775" s="9" t="s">
        <v>249</v>
      </c>
      <c r="J1775" s="9" t="s">
        <v>1237</v>
      </c>
      <c r="K1775" s="30">
        <v>1</v>
      </c>
      <c r="L1775" s="9" t="s">
        <v>1238</v>
      </c>
      <c r="M1775" s="30" t="s">
        <v>84</v>
      </c>
      <c r="N1775" s="30" t="s">
        <v>151</v>
      </c>
      <c r="O1775" s="24">
        <v>190</v>
      </c>
      <c r="P1775" s="24">
        <v>254</v>
      </c>
      <c r="Q1775" s="24">
        <v>104</v>
      </c>
      <c r="R1775" s="24">
        <v>0</v>
      </c>
      <c r="S1775" s="24">
        <v>0</v>
      </c>
      <c r="T1775" s="24">
        <v>548</v>
      </c>
    </row>
    <row r="1776" spans="1:20">
      <c r="A1776" s="9" t="s">
        <v>1233</v>
      </c>
      <c r="B1776" s="30" t="s">
        <v>1259</v>
      </c>
      <c r="C1776" s="30" t="str">
        <f>CONCATENATE(VOL_VOLUMEN_SUMINISTROS[[#This Row],[Proyecto]],VOL_VOLUMEN_SUMINISTROS[[#This Row],[J]],VOL_VOLUMEN_SUMINISTROS[[#This Row],[FIN DE SEMANA]])</f>
        <v>1052-2MNO</v>
      </c>
      <c r="D1776" s="360" t="str">
        <f>CONCATENATE(VOL_VOLUMEN_SUMINISTROS[[#This Row],[Grupo]],VOL_VOLUMEN_SUMINISTROS[[#This Row],[Proyecto]],VOL_VOLUMEN_SUMINISTROS[[#This Row],[FIN DE SEMANA]])</f>
        <v>221052-2NO</v>
      </c>
      <c r="E1776" s="30" t="s">
        <v>182</v>
      </c>
      <c r="F1776" s="30" t="s">
        <v>147</v>
      </c>
      <c r="G1776" s="360">
        <v>22</v>
      </c>
      <c r="H1776" s="30">
        <v>19</v>
      </c>
      <c r="I1776" s="9" t="s">
        <v>249</v>
      </c>
      <c r="J1776" s="9" t="s">
        <v>1254</v>
      </c>
      <c r="K1776" s="30">
        <v>1</v>
      </c>
      <c r="L1776" s="9" t="s">
        <v>1255</v>
      </c>
      <c r="M1776" s="30" t="s">
        <v>84</v>
      </c>
      <c r="N1776" s="30" t="s">
        <v>151</v>
      </c>
      <c r="O1776" s="24">
        <v>164</v>
      </c>
      <c r="P1776" s="24">
        <v>346</v>
      </c>
      <c r="Q1776" s="24">
        <v>254</v>
      </c>
      <c r="R1776" s="24">
        <v>0</v>
      </c>
      <c r="S1776" s="24">
        <v>0</v>
      </c>
      <c r="T1776" s="24">
        <v>764</v>
      </c>
    </row>
    <row r="1777" spans="1:20">
      <c r="A1777" s="9" t="s">
        <v>1233</v>
      </c>
      <c r="B1777" s="30" t="s">
        <v>1259</v>
      </c>
      <c r="C1777" s="30" t="str">
        <f>CONCATENATE(VOL_VOLUMEN_SUMINISTROS[[#This Row],[Proyecto]],VOL_VOLUMEN_SUMINISTROS[[#This Row],[J]],VOL_VOLUMEN_SUMINISTROS[[#This Row],[FIN DE SEMANA]])</f>
        <v>1052-2MNO</v>
      </c>
      <c r="D1777" s="360" t="str">
        <f>CONCATENATE(VOL_VOLUMEN_SUMINISTROS[[#This Row],[Grupo]],VOL_VOLUMEN_SUMINISTROS[[#This Row],[Proyecto]],VOL_VOLUMEN_SUMINISTROS[[#This Row],[FIN DE SEMANA]])</f>
        <v>221052-2NO</v>
      </c>
      <c r="E1777" s="30" t="s">
        <v>182</v>
      </c>
      <c r="F1777" s="30" t="s">
        <v>147</v>
      </c>
      <c r="G1777" s="360">
        <v>22</v>
      </c>
      <c r="H1777" s="30">
        <v>19</v>
      </c>
      <c r="I1777" s="9" t="s">
        <v>249</v>
      </c>
      <c r="J1777" s="9" t="s">
        <v>1254</v>
      </c>
      <c r="K1777" s="30">
        <v>2</v>
      </c>
      <c r="L1777" s="9" t="s">
        <v>1256</v>
      </c>
      <c r="M1777" s="30" t="s">
        <v>84</v>
      </c>
      <c r="N1777" s="30" t="s">
        <v>151</v>
      </c>
      <c r="O1777" s="24">
        <v>132</v>
      </c>
      <c r="P1777" s="24">
        <v>156</v>
      </c>
      <c r="Q1777" s="24">
        <v>30</v>
      </c>
      <c r="R1777" s="24">
        <v>0</v>
      </c>
      <c r="S1777" s="24">
        <v>0</v>
      </c>
      <c r="T1777" s="24">
        <v>318</v>
      </c>
    </row>
    <row r="1778" spans="1:20">
      <c r="A1778" s="9" t="s">
        <v>1233</v>
      </c>
      <c r="B1778" s="30" t="s">
        <v>1259</v>
      </c>
      <c r="C1778" s="30" t="str">
        <f>CONCATENATE(VOL_VOLUMEN_SUMINISTROS[[#This Row],[Proyecto]],VOL_VOLUMEN_SUMINISTROS[[#This Row],[J]],VOL_VOLUMEN_SUMINISTROS[[#This Row],[FIN DE SEMANA]])</f>
        <v>1052-2MNO</v>
      </c>
      <c r="D1778" s="360" t="str">
        <f>CONCATENATE(VOL_VOLUMEN_SUMINISTROS[[#This Row],[Grupo]],VOL_VOLUMEN_SUMINISTROS[[#This Row],[Proyecto]],VOL_VOLUMEN_SUMINISTROS[[#This Row],[FIN DE SEMANA]])</f>
        <v>221052-2NO</v>
      </c>
      <c r="E1778" s="30" t="s">
        <v>182</v>
      </c>
      <c r="F1778" s="30" t="s">
        <v>147</v>
      </c>
      <c r="G1778" s="360">
        <v>22</v>
      </c>
      <c r="H1778" s="30">
        <v>19</v>
      </c>
      <c r="I1778" s="9" t="s">
        <v>249</v>
      </c>
      <c r="J1778" s="9" t="s">
        <v>1260</v>
      </c>
      <c r="K1778" s="30">
        <v>1</v>
      </c>
      <c r="L1778" s="9" t="s">
        <v>1261</v>
      </c>
      <c r="M1778" s="30" t="s">
        <v>84</v>
      </c>
      <c r="N1778" s="30" t="s">
        <v>151</v>
      </c>
      <c r="O1778" s="24">
        <v>140</v>
      </c>
      <c r="P1778" s="24">
        <v>325</v>
      </c>
      <c r="Q1778" s="24">
        <v>85</v>
      </c>
      <c r="R1778" s="24">
        <v>0</v>
      </c>
      <c r="S1778" s="24">
        <v>0</v>
      </c>
      <c r="T1778" s="24">
        <v>550</v>
      </c>
    </row>
    <row r="1779" spans="1:20">
      <c r="A1779" s="9" t="s">
        <v>1233</v>
      </c>
      <c r="B1779" s="30" t="s">
        <v>1259</v>
      </c>
      <c r="C1779" s="30" t="str">
        <f>CONCATENATE(VOL_VOLUMEN_SUMINISTROS[[#This Row],[Proyecto]],VOL_VOLUMEN_SUMINISTROS[[#This Row],[J]],VOL_VOLUMEN_SUMINISTROS[[#This Row],[FIN DE SEMANA]])</f>
        <v>1052-2M1NO</v>
      </c>
      <c r="D1779" s="360" t="str">
        <f>CONCATENATE(VOL_VOLUMEN_SUMINISTROS[[#This Row],[Grupo]],VOL_VOLUMEN_SUMINISTROS[[#This Row],[Proyecto]],VOL_VOLUMEN_SUMINISTROS[[#This Row],[FIN DE SEMANA]])</f>
        <v>221052-2NO</v>
      </c>
      <c r="E1779" s="30" t="s">
        <v>182</v>
      </c>
      <c r="F1779" s="30" t="s">
        <v>147</v>
      </c>
      <c r="G1779" s="360">
        <v>22</v>
      </c>
      <c r="H1779" s="30">
        <v>19</v>
      </c>
      <c r="I1779" s="9" t="s">
        <v>249</v>
      </c>
      <c r="J1779" s="9" t="s">
        <v>1260</v>
      </c>
      <c r="K1779" s="30">
        <v>1</v>
      </c>
      <c r="L1779" s="9" t="s">
        <v>1261</v>
      </c>
      <c r="M1779" s="30" t="s">
        <v>84</v>
      </c>
      <c r="N1779" s="30" t="s">
        <v>215</v>
      </c>
      <c r="O1779" s="24">
        <v>140</v>
      </c>
      <c r="P1779" s="24">
        <v>124</v>
      </c>
      <c r="Q1779" s="24">
        <v>18</v>
      </c>
      <c r="R1779" s="24">
        <v>0</v>
      </c>
      <c r="S1779" s="24">
        <v>0</v>
      </c>
      <c r="T1779" s="24">
        <v>282</v>
      </c>
    </row>
    <row r="1780" spans="1:20">
      <c r="A1780" s="9" t="s">
        <v>1233</v>
      </c>
      <c r="B1780" s="30" t="s">
        <v>1262</v>
      </c>
      <c r="C1780" s="30" t="str">
        <f>CONCATENATE(VOL_VOLUMEN_SUMINISTROS[[#This Row],[Proyecto]],VOL_VOLUMEN_SUMINISTROS[[#This Row],[J]],VOL_VOLUMEN_SUMINISTROS[[#This Row],[FIN DE SEMANA]])</f>
        <v>1052-2MNO</v>
      </c>
      <c r="D1780" s="360" t="str">
        <f>CONCATENATE(VOL_VOLUMEN_SUMINISTROS[[#This Row],[Grupo]],VOL_VOLUMEN_SUMINISTROS[[#This Row],[Proyecto]],VOL_VOLUMEN_SUMINISTROS[[#This Row],[FIN DE SEMANA]])</f>
        <v>221052-2NO</v>
      </c>
      <c r="E1780" s="30" t="s">
        <v>182</v>
      </c>
      <c r="F1780" s="30" t="s">
        <v>147</v>
      </c>
      <c r="G1780" s="360">
        <v>22</v>
      </c>
      <c r="H1780" s="30">
        <v>19</v>
      </c>
      <c r="I1780" s="9" t="s">
        <v>249</v>
      </c>
      <c r="J1780" s="9" t="s">
        <v>1237</v>
      </c>
      <c r="K1780" s="30">
        <v>1</v>
      </c>
      <c r="L1780" s="9" t="s">
        <v>1238</v>
      </c>
      <c r="M1780" s="30" t="s">
        <v>84</v>
      </c>
      <c r="N1780" s="30" t="s">
        <v>151</v>
      </c>
      <c r="O1780" s="24">
        <v>0</v>
      </c>
      <c r="P1780" s="24">
        <v>0</v>
      </c>
      <c r="Q1780" s="24">
        <v>70</v>
      </c>
      <c r="R1780" s="24">
        <v>0</v>
      </c>
      <c r="S1780" s="24">
        <v>0</v>
      </c>
      <c r="T1780" s="24">
        <v>70</v>
      </c>
    </row>
    <row r="1781" spans="1:20">
      <c r="A1781" s="9" t="s">
        <v>1233</v>
      </c>
      <c r="B1781" s="30" t="s">
        <v>1262</v>
      </c>
      <c r="C1781" s="30" t="str">
        <f>CONCATENATE(VOL_VOLUMEN_SUMINISTROS[[#This Row],[Proyecto]],VOL_VOLUMEN_SUMINISTROS[[#This Row],[J]],VOL_VOLUMEN_SUMINISTROS[[#This Row],[FIN DE SEMANA]])</f>
        <v>1052-2TNO</v>
      </c>
      <c r="D1781" s="360" t="str">
        <f>CONCATENATE(VOL_VOLUMEN_SUMINISTROS[[#This Row],[Grupo]],VOL_VOLUMEN_SUMINISTROS[[#This Row],[Proyecto]],VOL_VOLUMEN_SUMINISTROS[[#This Row],[FIN DE SEMANA]])</f>
        <v>221052-2NO</v>
      </c>
      <c r="E1781" s="30" t="s">
        <v>182</v>
      </c>
      <c r="F1781" s="30" t="s">
        <v>147</v>
      </c>
      <c r="G1781" s="360">
        <v>22</v>
      </c>
      <c r="H1781" s="30">
        <v>19</v>
      </c>
      <c r="I1781" s="9" t="s">
        <v>249</v>
      </c>
      <c r="J1781" s="9" t="s">
        <v>1237</v>
      </c>
      <c r="K1781" s="30">
        <v>1</v>
      </c>
      <c r="L1781" s="9" t="s">
        <v>1238</v>
      </c>
      <c r="M1781" s="30" t="s">
        <v>84</v>
      </c>
      <c r="N1781" s="30" t="s">
        <v>154</v>
      </c>
      <c r="O1781" s="24">
        <v>0</v>
      </c>
      <c r="P1781" s="24">
        <v>0</v>
      </c>
      <c r="Q1781" s="24">
        <v>80</v>
      </c>
      <c r="R1781" s="24">
        <v>0</v>
      </c>
      <c r="S1781" s="24">
        <v>0</v>
      </c>
      <c r="T1781" s="24">
        <v>80</v>
      </c>
    </row>
    <row r="1782" spans="1:20">
      <c r="A1782" s="9" t="s">
        <v>1233</v>
      </c>
      <c r="B1782" s="30" t="s">
        <v>1262</v>
      </c>
      <c r="C1782" s="30" t="str">
        <f>CONCATENATE(VOL_VOLUMEN_SUMINISTROS[[#This Row],[Proyecto]],VOL_VOLUMEN_SUMINISTROS[[#This Row],[J]],VOL_VOLUMEN_SUMINISTROS[[#This Row],[FIN DE SEMANA]])</f>
        <v>1052-2MNO</v>
      </c>
      <c r="D1782" s="360" t="str">
        <f>CONCATENATE(VOL_VOLUMEN_SUMINISTROS[[#This Row],[Grupo]],VOL_VOLUMEN_SUMINISTROS[[#This Row],[Proyecto]],VOL_VOLUMEN_SUMINISTROS[[#This Row],[FIN DE SEMANA]])</f>
        <v>221052-2NO</v>
      </c>
      <c r="E1782" s="30" t="s">
        <v>182</v>
      </c>
      <c r="F1782" s="30" t="s">
        <v>147</v>
      </c>
      <c r="G1782" s="360">
        <v>22</v>
      </c>
      <c r="H1782" s="30">
        <v>19</v>
      </c>
      <c r="I1782" s="9" t="s">
        <v>249</v>
      </c>
      <c r="J1782" s="9" t="s">
        <v>1245</v>
      </c>
      <c r="K1782" s="30">
        <v>1</v>
      </c>
      <c r="L1782" s="9" t="s">
        <v>1246</v>
      </c>
      <c r="M1782" s="30" t="s">
        <v>84</v>
      </c>
      <c r="N1782" s="30" t="s">
        <v>151</v>
      </c>
      <c r="O1782" s="24">
        <v>0</v>
      </c>
      <c r="P1782" s="24">
        <v>0</v>
      </c>
      <c r="Q1782" s="24">
        <v>133</v>
      </c>
      <c r="R1782" s="24">
        <v>0</v>
      </c>
      <c r="S1782" s="24">
        <v>0</v>
      </c>
      <c r="T1782" s="24">
        <v>133</v>
      </c>
    </row>
    <row r="1783" spans="1:20">
      <c r="A1783" s="9" t="s">
        <v>1233</v>
      </c>
      <c r="B1783" s="30" t="s">
        <v>1262</v>
      </c>
      <c r="C1783" s="30" t="str">
        <f>CONCATENATE(VOL_VOLUMEN_SUMINISTROS[[#This Row],[Proyecto]],VOL_VOLUMEN_SUMINISTROS[[#This Row],[J]],VOL_VOLUMEN_SUMINISTROS[[#This Row],[FIN DE SEMANA]])</f>
        <v>1052-2TNO</v>
      </c>
      <c r="D1783" s="360" t="str">
        <f>CONCATENATE(VOL_VOLUMEN_SUMINISTROS[[#This Row],[Grupo]],VOL_VOLUMEN_SUMINISTROS[[#This Row],[Proyecto]],VOL_VOLUMEN_SUMINISTROS[[#This Row],[FIN DE SEMANA]])</f>
        <v>221052-2NO</v>
      </c>
      <c r="E1783" s="30" t="s">
        <v>182</v>
      </c>
      <c r="F1783" s="30" t="s">
        <v>147</v>
      </c>
      <c r="G1783" s="360">
        <v>22</v>
      </c>
      <c r="H1783" s="30">
        <v>19</v>
      </c>
      <c r="I1783" s="9" t="s">
        <v>249</v>
      </c>
      <c r="J1783" s="9" t="s">
        <v>1245</v>
      </c>
      <c r="K1783" s="30">
        <v>1</v>
      </c>
      <c r="L1783" s="9" t="s">
        <v>1246</v>
      </c>
      <c r="M1783" s="30" t="s">
        <v>84</v>
      </c>
      <c r="N1783" s="30" t="s">
        <v>154</v>
      </c>
      <c r="O1783" s="24">
        <v>0</v>
      </c>
      <c r="P1783" s="24">
        <v>0</v>
      </c>
      <c r="Q1783" s="24">
        <v>191</v>
      </c>
      <c r="R1783" s="24">
        <v>0</v>
      </c>
      <c r="S1783" s="24">
        <v>0</v>
      </c>
      <c r="T1783" s="24">
        <v>191</v>
      </c>
    </row>
    <row r="1784" spans="1:20">
      <c r="A1784" s="9" t="s">
        <v>1233</v>
      </c>
      <c r="B1784" s="30" t="s">
        <v>1262</v>
      </c>
      <c r="C1784" s="30" t="str">
        <f>CONCATENATE(VOL_VOLUMEN_SUMINISTROS[[#This Row],[Proyecto]],VOL_VOLUMEN_SUMINISTROS[[#This Row],[J]],VOL_VOLUMEN_SUMINISTROS[[#This Row],[FIN DE SEMANA]])</f>
        <v>1052-2TNO</v>
      </c>
      <c r="D1784" s="360" t="str">
        <f>CONCATENATE(VOL_VOLUMEN_SUMINISTROS[[#This Row],[Grupo]],VOL_VOLUMEN_SUMINISTROS[[#This Row],[Proyecto]],VOL_VOLUMEN_SUMINISTROS[[#This Row],[FIN DE SEMANA]])</f>
        <v>221052-2NO</v>
      </c>
      <c r="E1784" s="30" t="s">
        <v>182</v>
      </c>
      <c r="F1784" s="30" t="s">
        <v>147</v>
      </c>
      <c r="G1784" s="360">
        <v>22</v>
      </c>
      <c r="H1784" s="30">
        <v>19</v>
      </c>
      <c r="I1784" s="9" t="s">
        <v>249</v>
      </c>
      <c r="J1784" s="9" t="s">
        <v>1260</v>
      </c>
      <c r="K1784" s="30">
        <v>1</v>
      </c>
      <c r="L1784" s="9" t="s">
        <v>1261</v>
      </c>
      <c r="M1784" s="30" t="s">
        <v>84</v>
      </c>
      <c r="N1784" s="30" t="s">
        <v>154</v>
      </c>
      <c r="O1784" s="24">
        <v>0</v>
      </c>
      <c r="P1784" s="24">
        <v>0</v>
      </c>
      <c r="Q1784" s="24">
        <v>140</v>
      </c>
      <c r="R1784" s="24">
        <v>0</v>
      </c>
      <c r="S1784" s="24">
        <v>0</v>
      </c>
      <c r="T1784" s="24">
        <v>140</v>
      </c>
    </row>
    <row r="1785" spans="1:20">
      <c r="A1785" s="9" t="s">
        <v>1233</v>
      </c>
      <c r="B1785" s="30" t="s">
        <v>1263</v>
      </c>
      <c r="C1785" s="30" t="str">
        <f>CONCATENATE(VOL_VOLUMEN_SUMINISTROS[[#This Row],[Proyecto]],VOL_VOLUMEN_SUMINISTROS[[#This Row],[J]],VOL_VOLUMEN_SUMINISTROS[[#This Row],[FIN DE SEMANA]])</f>
        <v>1052-2MNO</v>
      </c>
      <c r="D1785" s="360" t="str">
        <f>CONCATENATE(VOL_VOLUMEN_SUMINISTROS[[#This Row],[Grupo]],VOL_VOLUMEN_SUMINISTROS[[#This Row],[Proyecto]],VOL_VOLUMEN_SUMINISTROS[[#This Row],[FIN DE SEMANA]])</f>
        <v>221052-2NO</v>
      </c>
      <c r="E1785" s="30" t="s">
        <v>182</v>
      </c>
      <c r="F1785" s="30" t="s">
        <v>147</v>
      </c>
      <c r="G1785" s="360">
        <v>22</v>
      </c>
      <c r="H1785" s="30">
        <v>19</v>
      </c>
      <c r="I1785" s="9" t="s">
        <v>249</v>
      </c>
      <c r="J1785" s="9" t="s">
        <v>1239</v>
      </c>
      <c r="K1785" s="30">
        <v>1</v>
      </c>
      <c r="L1785" s="9" t="s">
        <v>1240</v>
      </c>
      <c r="M1785" s="30" t="s">
        <v>84</v>
      </c>
      <c r="N1785" s="30" t="s">
        <v>151</v>
      </c>
      <c r="O1785" s="24">
        <v>150</v>
      </c>
      <c r="P1785" s="24">
        <v>0</v>
      </c>
      <c r="Q1785" s="24">
        <v>0</v>
      </c>
      <c r="R1785" s="24">
        <v>0</v>
      </c>
      <c r="S1785" s="24">
        <v>0</v>
      </c>
      <c r="T1785" s="24">
        <v>150</v>
      </c>
    </row>
    <row r="1786" spans="1:20">
      <c r="A1786" s="9" t="s">
        <v>1233</v>
      </c>
      <c r="B1786" s="30" t="s">
        <v>1263</v>
      </c>
      <c r="C1786" s="30" t="str">
        <f>CONCATENATE(VOL_VOLUMEN_SUMINISTROS[[#This Row],[Proyecto]],VOL_VOLUMEN_SUMINISTROS[[#This Row],[J]],VOL_VOLUMEN_SUMINISTROS[[#This Row],[FIN DE SEMANA]])</f>
        <v>1052-2MNO</v>
      </c>
      <c r="D1786" s="360" t="str">
        <f>CONCATENATE(VOL_VOLUMEN_SUMINISTROS[[#This Row],[Grupo]],VOL_VOLUMEN_SUMINISTROS[[#This Row],[Proyecto]],VOL_VOLUMEN_SUMINISTROS[[#This Row],[FIN DE SEMANA]])</f>
        <v>221052-2NO</v>
      </c>
      <c r="E1786" s="30" t="s">
        <v>182</v>
      </c>
      <c r="F1786" s="30" t="s">
        <v>147</v>
      </c>
      <c r="G1786" s="360">
        <v>22</v>
      </c>
      <c r="H1786" s="30">
        <v>19</v>
      </c>
      <c r="I1786" s="9" t="s">
        <v>249</v>
      </c>
      <c r="J1786" s="9" t="s">
        <v>1251</v>
      </c>
      <c r="K1786" s="30">
        <v>1</v>
      </c>
      <c r="L1786" s="9" t="s">
        <v>1252</v>
      </c>
      <c r="M1786" s="30" t="s">
        <v>84</v>
      </c>
      <c r="N1786" s="30" t="s">
        <v>151</v>
      </c>
      <c r="O1786" s="24">
        <v>51</v>
      </c>
      <c r="P1786" s="24">
        <v>0</v>
      </c>
      <c r="Q1786" s="24">
        <v>0</v>
      </c>
      <c r="R1786" s="24">
        <v>0</v>
      </c>
      <c r="S1786" s="24">
        <v>0</v>
      </c>
      <c r="T1786" s="24">
        <v>51</v>
      </c>
    </row>
    <row r="1787" spans="1:20">
      <c r="A1787" s="9" t="s">
        <v>1233</v>
      </c>
      <c r="B1787" s="30" t="s">
        <v>1263</v>
      </c>
      <c r="C1787" s="30" t="str">
        <f>CONCATENATE(VOL_VOLUMEN_SUMINISTROS[[#This Row],[Proyecto]],VOL_VOLUMEN_SUMINISTROS[[#This Row],[J]],VOL_VOLUMEN_SUMINISTROS[[#This Row],[FIN DE SEMANA]])</f>
        <v>1052-2TNO</v>
      </c>
      <c r="D1787" s="360" t="str">
        <f>CONCATENATE(VOL_VOLUMEN_SUMINISTROS[[#This Row],[Grupo]],VOL_VOLUMEN_SUMINISTROS[[#This Row],[Proyecto]],VOL_VOLUMEN_SUMINISTROS[[#This Row],[FIN DE SEMANA]])</f>
        <v>221052-2NO</v>
      </c>
      <c r="E1787" s="30" t="s">
        <v>182</v>
      </c>
      <c r="F1787" s="30" t="s">
        <v>147</v>
      </c>
      <c r="G1787" s="360">
        <v>22</v>
      </c>
      <c r="H1787" s="30">
        <v>19</v>
      </c>
      <c r="I1787" s="9" t="s">
        <v>249</v>
      </c>
      <c r="J1787" s="9" t="s">
        <v>1251</v>
      </c>
      <c r="K1787" s="30">
        <v>1</v>
      </c>
      <c r="L1787" s="9" t="s">
        <v>1252</v>
      </c>
      <c r="M1787" s="30" t="s">
        <v>84</v>
      </c>
      <c r="N1787" s="30" t="s">
        <v>154</v>
      </c>
      <c r="O1787" s="24">
        <v>47</v>
      </c>
      <c r="P1787" s="24">
        <v>0</v>
      </c>
      <c r="Q1787" s="24">
        <v>0</v>
      </c>
      <c r="R1787" s="24">
        <v>0</v>
      </c>
      <c r="S1787" s="24">
        <v>0</v>
      </c>
      <c r="T1787" s="24">
        <v>47</v>
      </c>
    </row>
    <row r="1788" spans="1:20">
      <c r="A1788" s="9" t="s">
        <v>1233</v>
      </c>
      <c r="B1788" s="30" t="s">
        <v>1263</v>
      </c>
      <c r="C1788" s="30" t="str">
        <f>CONCATENATE(VOL_VOLUMEN_SUMINISTROS[[#This Row],[Proyecto]],VOL_VOLUMEN_SUMINISTROS[[#This Row],[J]],VOL_VOLUMEN_SUMINISTROS[[#This Row],[FIN DE SEMANA]])</f>
        <v>1052-2MNO</v>
      </c>
      <c r="D1788" s="360" t="str">
        <f>CONCATENATE(VOL_VOLUMEN_SUMINISTROS[[#This Row],[Grupo]],VOL_VOLUMEN_SUMINISTROS[[#This Row],[Proyecto]],VOL_VOLUMEN_SUMINISTROS[[#This Row],[FIN DE SEMANA]])</f>
        <v>221052-2NO</v>
      </c>
      <c r="E1788" s="30" t="s">
        <v>182</v>
      </c>
      <c r="F1788" s="30" t="s">
        <v>147</v>
      </c>
      <c r="G1788" s="360">
        <v>22</v>
      </c>
      <c r="H1788" s="30">
        <v>19</v>
      </c>
      <c r="I1788" s="9" t="s">
        <v>249</v>
      </c>
      <c r="J1788" s="9" t="s">
        <v>1251</v>
      </c>
      <c r="K1788" s="30">
        <v>2</v>
      </c>
      <c r="L1788" s="9" t="s">
        <v>1253</v>
      </c>
      <c r="M1788" s="30" t="s">
        <v>84</v>
      </c>
      <c r="N1788" s="30" t="s">
        <v>151</v>
      </c>
      <c r="O1788" s="24">
        <v>50</v>
      </c>
      <c r="P1788" s="24">
        <v>0</v>
      </c>
      <c r="Q1788" s="24">
        <v>0</v>
      </c>
      <c r="R1788" s="24">
        <v>0</v>
      </c>
      <c r="S1788" s="24">
        <v>0</v>
      </c>
      <c r="T1788" s="24">
        <v>50</v>
      </c>
    </row>
    <row r="1789" spans="1:20">
      <c r="A1789" s="9" t="s">
        <v>1233</v>
      </c>
      <c r="B1789" s="30" t="s">
        <v>1263</v>
      </c>
      <c r="C1789" s="30" t="str">
        <f>CONCATENATE(VOL_VOLUMEN_SUMINISTROS[[#This Row],[Proyecto]],VOL_VOLUMEN_SUMINISTROS[[#This Row],[J]],VOL_VOLUMEN_SUMINISTROS[[#This Row],[FIN DE SEMANA]])</f>
        <v>1052-2TNO</v>
      </c>
      <c r="D1789" s="360" t="str">
        <f>CONCATENATE(VOL_VOLUMEN_SUMINISTROS[[#This Row],[Grupo]],VOL_VOLUMEN_SUMINISTROS[[#This Row],[Proyecto]],VOL_VOLUMEN_SUMINISTROS[[#This Row],[FIN DE SEMANA]])</f>
        <v>221052-2NO</v>
      </c>
      <c r="E1789" s="30" t="s">
        <v>182</v>
      </c>
      <c r="F1789" s="30" t="s">
        <v>147</v>
      </c>
      <c r="G1789" s="360">
        <v>22</v>
      </c>
      <c r="H1789" s="30">
        <v>19</v>
      </c>
      <c r="I1789" s="9" t="s">
        <v>249</v>
      </c>
      <c r="J1789" s="9" t="s">
        <v>1251</v>
      </c>
      <c r="K1789" s="30">
        <v>2</v>
      </c>
      <c r="L1789" s="9" t="s">
        <v>1253</v>
      </c>
      <c r="M1789" s="30" t="s">
        <v>84</v>
      </c>
      <c r="N1789" s="30" t="s">
        <v>154</v>
      </c>
      <c r="O1789" s="24">
        <v>48</v>
      </c>
      <c r="P1789" s="24">
        <v>0</v>
      </c>
      <c r="Q1789" s="24">
        <v>0</v>
      </c>
      <c r="R1789" s="24">
        <v>0</v>
      </c>
      <c r="S1789" s="24">
        <v>0</v>
      </c>
      <c r="T1789" s="24">
        <v>48</v>
      </c>
    </row>
    <row r="1790" spans="1:20">
      <c r="A1790" s="9" t="s">
        <v>1233</v>
      </c>
      <c r="B1790" s="30" t="s">
        <v>1264</v>
      </c>
      <c r="C1790" s="30" t="str">
        <f>CONCATENATE(VOL_VOLUMEN_SUMINISTROS[[#This Row],[Proyecto]],VOL_VOLUMEN_SUMINISTROS[[#This Row],[J]],VOL_VOLUMEN_SUMINISTROS[[#This Row],[FIN DE SEMANA]])</f>
        <v>1052-1MNO</v>
      </c>
      <c r="D1790" s="360" t="str">
        <f>CONCATENATE(VOL_VOLUMEN_SUMINISTROS[[#This Row],[Grupo]],VOL_VOLUMEN_SUMINISTROS[[#This Row],[Proyecto]],VOL_VOLUMEN_SUMINISTROS[[#This Row],[FIN DE SEMANA]])</f>
        <v>231052-1NO</v>
      </c>
      <c r="E1790" s="30" t="s">
        <v>146</v>
      </c>
      <c r="F1790" s="30" t="s">
        <v>147</v>
      </c>
      <c r="G1790" s="360">
        <v>23</v>
      </c>
      <c r="H1790" s="30">
        <v>19</v>
      </c>
      <c r="I1790" s="9" t="s">
        <v>249</v>
      </c>
      <c r="J1790" s="9" t="s">
        <v>1265</v>
      </c>
      <c r="K1790" s="30">
        <v>1</v>
      </c>
      <c r="L1790" s="9" t="s">
        <v>1266</v>
      </c>
      <c r="M1790" s="30" t="s">
        <v>84</v>
      </c>
      <c r="N1790" s="30" t="s">
        <v>151</v>
      </c>
      <c r="O1790" s="24">
        <v>281</v>
      </c>
      <c r="P1790" s="24">
        <v>171</v>
      </c>
      <c r="Q1790" s="24">
        <v>20</v>
      </c>
      <c r="R1790" s="24">
        <v>0</v>
      </c>
      <c r="S1790" s="24">
        <v>0</v>
      </c>
      <c r="T1790" s="24">
        <v>472</v>
      </c>
    </row>
    <row r="1791" spans="1:20">
      <c r="A1791" s="9" t="s">
        <v>1233</v>
      </c>
      <c r="B1791" s="30" t="s">
        <v>1264</v>
      </c>
      <c r="C1791" s="30" t="str">
        <f>CONCATENATE(VOL_VOLUMEN_SUMINISTROS[[#This Row],[Proyecto]],VOL_VOLUMEN_SUMINISTROS[[#This Row],[J]],VOL_VOLUMEN_SUMINISTROS[[#This Row],[FIN DE SEMANA]])</f>
        <v>1052-1TNO</v>
      </c>
      <c r="D1791" s="360" t="str">
        <f>CONCATENATE(VOL_VOLUMEN_SUMINISTROS[[#This Row],[Grupo]],VOL_VOLUMEN_SUMINISTROS[[#This Row],[Proyecto]],VOL_VOLUMEN_SUMINISTROS[[#This Row],[FIN DE SEMANA]])</f>
        <v>231052-1NO</v>
      </c>
      <c r="E1791" s="30" t="s">
        <v>146</v>
      </c>
      <c r="F1791" s="30" t="s">
        <v>147</v>
      </c>
      <c r="G1791" s="360">
        <v>23</v>
      </c>
      <c r="H1791" s="30">
        <v>19</v>
      </c>
      <c r="I1791" s="9" t="s">
        <v>249</v>
      </c>
      <c r="J1791" s="9" t="s">
        <v>1265</v>
      </c>
      <c r="K1791" s="30">
        <v>1</v>
      </c>
      <c r="L1791" s="9" t="s">
        <v>1266</v>
      </c>
      <c r="M1791" s="30" t="s">
        <v>84</v>
      </c>
      <c r="N1791" s="30" t="s">
        <v>154</v>
      </c>
      <c r="O1791" s="24">
        <v>35</v>
      </c>
      <c r="P1791" s="24">
        <v>216</v>
      </c>
      <c r="Q1791" s="24">
        <v>167</v>
      </c>
      <c r="R1791" s="24">
        <v>0</v>
      </c>
      <c r="S1791" s="24">
        <v>0</v>
      </c>
      <c r="T1791" s="24">
        <v>418</v>
      </c>
    </row>
    <row r="1792" spans="1:20">
      <c r="A1792" s="9" t="s">
        <v>1233</v>
      </c>
      <c r="B1792" s="30" t="s">
        <v>1264</v>
      </c>
      <c r="C1792" s="30" t="str">
        <f>CONCATENATE(VOL_VOLUMEN_SUMINISTROS[[#This Row],[Proyecto]],VOL_VOLUMEN_SUMINISTROS[[#This Row],[J]],VOL_VOLUMEN_SUMINISTROS[[#This Row],[FIN DE SEMANA]])</f>
        <v>1052-1MNO</v>
      </c>
      <c r="D1792" s="360" t="str">
        <f>CONCATENATE(VOL_VOLUMEN_SUMINISTROS[[#This Row],[Grupo]],VOL_VOLUMEN_SUMINISTROS[[#This Row],[Proyecto]],VOL_VOLUMEN_SUMINISTROS[[#This Row],[FIN DE SEMANA]])</f>
        <v>231052-1NO</v>
      </c>
      <c r="E1792" s="30" t="s">
        <v>146</v>
      </c>
      <c r="F1792" s="30" t="s">
        <v>147</v>
      </c>
      <c r="G1792" s="360">
        <v>23</v>
      </c>
      <c r="H1792" s="30">
        <v>19</v>
      </c>
      <c r="I1792" s="9" t="s">
        <v>249</v>
      </c>
      <c r="J1792" s="9" t="s">
        <v>1267</v>
      </c>
      <c r="K1792" s="30">
        <v>1</v>
      </c>
      <c r="L1792" s="9" t="s">
        <v>1268</v>
      </c>
      <c r="M1792" s="30" t="s">
        <v>84</v>
      </c>
      <c r="N1792" s="30" t="s">
        <v>151</v>
      </c>
      <c r="O1792" s="24">
        <v>0</v>
      </c>
      <c r="P1792" s="24">
        <v>114</v>
      </c>
      <c r="Q1792" s="24">
        <v>295</v>
      </c>
      <c r="R1792" s="24">
        <v>0</v>
      </c>
      <c r="S1792" s="24">
        <v>0</v>
      </c>
      <c r="T1792" s="24">
        <v>409</v>
      </c>
    </row>
    <row r="1793" spans="1:20">
      <c r="A1793" s="9" t="s">
        <v>1233</v>
      </c>
      <c r="B1793" s="30" t="s">
        <v>1264</v>
      </c>
      <c r="C1793" s="30" t="str">
        <f>CONCATENATE(VOL_VOLUMEN_SUMINISTROS[[#This Row],[Proyecto]],VOL_VOLUMEN_SUMINISTROS[[#This Row],[J]],VOL_VOLUMEN_SUMINISTROS[[#This Row],[FIN DE SEMANA]])</f>
        <v>1052-1TNO</v>
      </c>
      <c r="D1793" s="360" t="str">
        <f>CONCATENATE(VOL_VOLUMEN_SUMINISTROS[[#This Row],[Grupo]],VOL_VOLUMEN_SUMINISTROS[[#This Row],[Proyecto]],VOL_VOLUMEN_SUMINISTROS[[#This Row],[FIN DE SEMANA]])</f>
        <v>231052-1NO</v>
      </c>
      <c r="E1793" s="30" t="s">
        <v>146</v>
      </c>
      <c r="F1793" s="30" t="s">
        <v>147</v>
      </c>
      <c r="G1793" s="360">
        <v>23</v>
      </c>
      <c r="H1793" s="30">
        <v>19</v>
      </c>
      <c r="I1793" s="9" t="s">
        <v>249</v>
      </c>
      <c r="J1793" s="9" t="s">
        <v>1267</v>
      </c>
      <c r="K1793" s="30">
        <v>1</v>
      </c>
      <c r="L1793" s="9" t="s">
        <v>1268</v>
      </c>
      <c r="M1793" s="30" t="s">
        <v>84</v>
      </c>
      <c r="N1793" s="30" t="s">
        <v>154</v>
      </c>
      <c r="O1793" s="24">
        <v>0</v>
      </c>
      <c r="P1793" s="24">
        <v>114</v>
      </c>
      <c r="Q1793" s="24">
        <v>224</v>
      </c>
      <c r="R1793" s="24">
        <v>0</v>
      </c>
      <c r="S1793" s="24">
        <v>0</v>
      </c>
      <c r="T1793" s="24">
        <v>338</v>
      </c>
    </row>
    <row r="1794" spans="1:20">
      <c r="A1794" s="9" t="s">
        <v>1233</v>
      </c>
      <c r="B1794" s="30" t="s">
        <v>1264</v>
      </c>
      <c r="C1794" s="30" t="str">
        <f>CONCATENATE(VOL_VOLUMEN_SUMINISTROS[[#This Row],[Proyecto]],VOL_VOLUMEN_SUMINISTROS[[#This Row],[J]],VOL_VOLUMEN_SUMINISTROS[[#This Row],[FIN DE SEMANA]])</f>
        <v>1052-1MNO</v>
      </c>
      <c r="D1794" s="360" t="str">
        <f>CONCATENATE(VOL_VOLUMEN_SUMINISTROS[[#This Row],[Grupo]],VOL_VOLUMEN_SUMINISTROS[[#This Row],[Proyecto]],VOL_VOLUMEN_SUMINISTROS[[#This Row],[FIN DE SEMANA]])</f>
        <v>231052-1NO</v>
      </c>
      <c r="E1794" s="30" t="s">
        <v>146</v>
      </c>
      <c r="F1794" s="30" t="s">
        <v>147</v>
      </c>
      <c r="G1794" s="360">
        <v>23</v>
      </c>
      <c r="H1794" s="30">
        <v>19</v>
      </c>
      <c r="I1794" s="9" t="s">
        <v>249</v>
      </c>
      <c r="J1794" s="9" t="s">
        <v>1267</v>
      </c>
      <c r="K1794" s="30">
        <v>2</v>
      </c>
      <c r="L1794" s="9" t="s">
        <v>1269</v>
      </c>
      <c r="M1794" s="30" t="s">
        <v>84</v>
      </c>
      <c r="N1794" s="30" t="s">
        <v>151</v>
      </c>
      <c r="O1794" s="24">
        <v>140</v>
      </c>
      <c r="P1794" s="24">
        <v>104</v>
      </c>
      <c r="Q1794" s="24">
        <v>15</v>
      </c>
      <c r="R1794" s="24">
        <v>0</v>
      </c>
      <c r="S1794" s="24">
        <v>0</v>
      </c>
      <c r="T1794" s="24">
        <v>259</v>
      </c>
    </row>
    <row r="1795" spans="1:20">
      <c r="A1795" s="9" t="s">
        <v>1233</v>
      </c>
      <c r="B1795" s="30" t="s">
        <v>1264</v>
      </c>
      <c r="C1795" s="30" t="str">
        <f>CONCATENATE(VOL_VOLUMEN_SUMINISTROS[[#This Row],[Proyecto]],VOL_VOLUMEN_SUMINISTROS[[#This Row],[J]],VOL_VOLUMEN_SUMINISTROS[[#This Row],[FIN DE SEMANA]])</f>
        <v>1052-1TNO</v>
      </c>
      <c r="D1795" s="360" t="str">
        <f>CONCATENATE(VOL_VOLUMEN_SUMINISTROS[[#This Row],[Grupo]],VOL_VOLUMEN_SUMINISTROS[[#This Row],[Proyecto]],VOL_VOLUMEN_SUMINISTROS[[#This Row],[FIN DE SEMANA]])</f>
        <v>231052-1NO</v>
      </c>
      <c r="E1795" s="30" t="s">
        <v>146</v>
      </c>
      <c r="F1795" s="30" t="s">
        <v>147</v>
      </c>
      <c r="G1795" s="360">
        <v>23</v>
      </c>
      <c r="H1795" s="30">
        <v>19</v>
      </c>
      <c r="I1795" s="9" t="s">
        <v>249</v>
      </c>
      <c r="J1795" s="9" t="s">
        <v>1267</v>
      </c>
      <c r="K1795" s="30">
        <v>2</v>
      </c>
      <c r="L1795" s="9" t="s">
        <v>1269</v>
      </c>
      <c r="M1795" s="30" t="s">
        <v>84</v>
      </c>
      <c r="N1795" s="30" t="s">
        <v>154</v>
      </c>
      <c r="O1795" s="24">
        <v>106</v>
      </c>
      <c r="P1795" s="24">
        <v>104</v>
      </c>
      <c r="Q1795" s="24">
        <v>24</v>
      </c>
      <c r="R1795" s="24">
        <v>0</v>
      </c>
      <c r="S1795" s="24">
        <v>0</v>
      </c>
      <c r="T1795" s="24">
        <v>234</v>
      </c>
    </row>
    <row r="1796" spans="1:20">
      <c r="A1796" s="9" t="s">
        <v>1233</v>
      </c>
      <c r="B1796" s="30" t="s">
        <v>1264</v>
      </c>
      <c r="C1796" s="30" t="str">
        <f>CONCATENATE(VOL_VOLUMEN_SUMINISTROS[[#This Row],[Proyecto]],VOL_VOLUMEN_SUMINISTROS[[#This Row],[J]],VOL_VOLUMEN_SUMINISTROS[[#This Row],[FIN DE SEMANA]])</f>
        <v>1052-1MNO</v>
      </c>
      <c r="D1796" s="360" t="str">
        <f>CONCATENATE(VOL_VOLUMEN_SUMINISTROS[[#This Row],[Grupo]],VOL_VOLUMEN_SUMINISTROS[[#This Row],[Proyecto]],VOL_VOLUMEN_SUMINISTROS[[#This Row],[FIN DE SEMANA]])</f>
        <v>231052-1NO</v>
      </c>
      <c r="E1796" s="30" t="s">
        <v>146</v>
      </c>
      <c r="F1796" s="30" t="s">
        <v>147</v>
      </c>
      <c r="G1796" s="360">
        <v>23</v>
      </c>
      <c r="H1796" s="30">
        <v>19</v>
      </c>
      <c r="I1796" s="9" t="s">
        <v>249</v>
      </c>
      <c r="J1796" s="9" t="s">
        <v>1267</v>
      </c>
      <c r="K1796" s="30">
        <v>3</v>
      </c>
      <c r="L1796" s="9" t="s">
        <v>1270</v>
      </c>
      <c r="M1796" s="30" t="s">
        <v>84</v>
      </c>
      <c r="N1796" s="30" t="s">
        <v>151</v>
      </c>
      <c r="O1796" s="24">
        <v>124</v>
      </c>
      <c r="P1796" s="24">
        <v>101</v>
      </c>
      <c r="Q1796" s="24">
        <v>17</v>
      </c>
      <c r="R1796" s="24">
        <v>0</v>
      </c>
      <c r="S1796" s="24">
        <v>0</v>
      </c>
      <c r="T1796" s="24">
        <v>242</v>
      </c>
    </row>
    <row r="1797" spans="1:20">
      <c r="A1797" s="9" t="s">
        <v>1233</v>
      </c>
      <c r="B1797" s="30" t="s">
        <v>1264</v>
      </c>
      <c r="C1797" s="30" t="str">
        <f>CONCATENATE(VOL_VOLUMEN_SUMINISTROS[[#This Row],[Proyecto]],VOL_VOLUMEN_SUMINISTROS[[#This Row],[J]],VOL_VOLUMEN_SUMINISTROS[[#This Row],[FIN DE SEMANA]])</f>
        <v>1052-1TNO</v>
      </c>
      <c r="D1797" s="360" t="str">
        <f>CONCATENATE(VOL_VOLUMEN_SUMINISTROS[[#This Row],[Grupo]],VOL_VOLUMEN_SUMINISTROS[[#This Row],[Proyecto]],VOL_VOLUMEN_SUMINISTROS[[#This Row],[FIN DE SEMANA]])</f>
        <v>231052-1NO</v>
      </c>
      <c r="E1797" s="30" t="s">
        <v>146</v>
      </c>
      <c r="F1797" s="30" t="s">
        <v>147</v>
      </c>
      <c r="G1797" s="360">
        <v>23</v>
      </c>
      <c r="H1797" s="30">
        <v>19</v>
      </c>
      <c r="I1797" s="9" t="s">
        <v>249</v>
      </c>
      <c r="J1797" s="9" t="s">
        <v>1267</v>
      </c>
      <c r="K1797" s="30">
        <v>3</v>
      </c>
      <c r="L1797" s="9" t="s">
        <v>1270</v>
      </c>
      <c r="M1797" s="30" t="s">
        <v>84</v>
      </c>
      <c r="N1797" s="30" t="s">
        <v>154</v>
      </c>
      <c r="O1797" s="24">
        <v>117</v>
      </c>
      <c r="P1797" s="24">
        <v>95</v>
      </c>
      <c r="Q1797" s="24">
        <v>16</v>
      </c>
      <c r="R1797" s="24">
        <v>0</v>
      </c>
      <c r="S1797" s="24">
        <v>0</v>
      </c>
      <c r="T1797" s="24">
        <v>228</v>
      </c>
    </row>
    <row r="1798" spans="1:20">
      <c r="A1798" s="9" t="s">
        <v>1233</v>
      </c>
      <c r="B1798" s="30" t="s">
        <v>1264</v>
      </c>
      <c r="C1798" s="30" t="str">
        <f>CONCATENATE(VOL_VOLUMEN_SUMINISTROS[[#This Row],[Proyecto]],VOL_VOLUMEN_SUMINISTROS[[#This Row],[J]],VOL_VOLUMEN_SUMINISTROS[[#This Row],[FIN DE SEMANA]])</f>
        <v>1052-1MNO</v>
      </c>
      <c r="D1798" s="360" t="str">
        <f>CONCATENATE(VOL_VOLUMEN_SUMINISTROS[[#This Row],[Grupo]],VOL_VOLUMEN_SUMINISTROS[[#This Row],[Proyecto]],VOL_VOLUMEN_SUMINISTROS[[#This Row],[FIN DE SEMANA]])</f>
        <v>231052-1NO</v>
      </c>
      <c r="E1798" s="30" t="s">
        <v>146</v>
      </c>
      <c r="F1798" s="30" t="s">
        <v>147</v>
      </c>
      <c r="G1798" s="360">
        <v>23</v>
      </c>
      <c r="H1798" s="30">
        <v>19</v>
      </c>
      <c r="I1798" s="9" t="s">
        <v>249</v>
      </c>
      <c r="J1798" s="9" t="s">
        <v>1271</v>
      </c>
      <c r="K1798" s="30">
        <v>1</v>
      </c>
      <c r="L1798" s="9" t="s">
        <v>1272</v>
      </c>
      <c r="M1798" s="30" t="s">
        <v>84</v>
      </c>
      <c r="N1798" s="30" t="s">
        <v>151</v>
      </c>
      <c r="O1798" s="24">
        <v>188</v>
      </c>
      <c r="P1798" s="24">
        <v>354</v>
      </c>
      <c r="Q1798" s="24">
        <v>392</v>
      </c>
      <c r="R1798" s="24">
        <v>0</v>
      </c>
      <c r="S1798" s="24">
        <v>0</v>
      </c>
      <c r="T1798" s="24">
        <v>934</v>
      </c>
    </row>
    <row r="1799" spans="1:20">
      <c r="A1799" s="9" t="s">
        <v>1233</v>
      </c>
      <c r="B1799" s="30" t="s">
        <v>1264</v>
      </c>
      <c r="C1799" s="30" t="str">
        <f>CONCATENATE(VOL_VOLUMEN_SUMINISTROS[[#This Row],[Proyecto]],VOL_VOLUMEN_SUMINISTROS[[#This Row],[J]],VOL_VOLUMEN_SUMINISTROS[[#This Row],[FIN DE SEMANA]])</f>
        <v>1052-1TNO</v>
      </c>
      <c r="D1799" s="360" t="str">
        <f>CONCATENATE(VOL_VOLUMEN_SUMINISTROS[[#This Row],[Grupo]],VOL_VOLUMEN_SUMINISTROS[[#This Row],[Proyecto]],VOL_VOLUMEN_SUMINISTROS[[#This Row],[FIN DE SEMANA]])</f>
        <v>231052-1NO</v>
      </c>
      <c r="E1799" s="30" t="s">
        <v>146</v>
      </c>
      <c r="F1799" s="30" t="s">
        <v>147</v>
      </c>
      <c r="G1799" s="360">
        <v>23</v>
      </c>
      <c r="H1799" s="30">
        <v>19</v>
      </c>
      <c r="I1799" s="9" t="s">
        <v>249</v>
      </c>
      <c r="J1799" s="9" t="s">
        <v>1271</v>
      </c>
      <c r="K1799" s="30">
        <v>1</v>
      </c>
      <c r="L1799" s="9" t="s">
        <v>1272</v>
      </c>
      <c r="M1799" s="30" t="s">
        <v>84</v>
      </c>
      <c r="N1799" s="30" t="s">
        <v>154</v>
      </c>
      <c r="O1799" s="24">
        <v>180</v>
      </c>
      <c r="P1799" s="24">
        <v>341</v>
      </c>
      <c r="Q1799" s="24">
        <v>358</v>
      </c>
      <c r="R1799" s="24">
        <v>0</v>
      </c>
      <c r="S1799" s="24">
        <v>0</v>
      </c>
      <c r="T1799" s="24">
        <v>879</v>
      </c>
    </row>
    <row r="1800" spans="1:20">
      <c r="A1800" s="9" t="s">
        <v>1233</v>
      </c>
      <c r="B1800" s="30" t="s">
        <v>1264</v>
      </c>
      <c r="C1800" s="30" t="str">
        <f>CONCATENATE(VOL_VOLUMEN_SUMINISTROS[[#This Row],[Proyecto]],VOL_VOLUMEN_SUMINISTROS[[#This Row],[J]],VOL_VOLUMEN_SUMINISTROS[[#This Row],[FIN DE SEMANA]])</f>
        <v>1052-1MNO</v>
      </c>
      <c r="D1800" s="360" t="str">
        <f>CONCATENATE(VOL_VOLUMEN_SUMINISTROS[[#This Row],[Grupo]],VOL_VOLUMEN_SUMINISTROS[[#This Row],[Proyecto]],VOL_VOLUMEN_SUMINISTROS[[#This Row],[FIN DE SEMANA]])</f>
        <v>231052-1NO</v>
      </c>
      <c r="E1800" s="30" t="s">
        <v>146</v>
      </c>
      <c r="F1800" s="30" t="s">
        <v>147</v>
      </c>
      <c r="G1800" s="360">
        <v>23</v>
      </c>
      <c r="H1800" s="30">
        <v>19</v>
      </c>
      <c r="I1800" s="9" t="s">
        <v>249</v>
      </c>
      <c r="J1800" s="9" t="s">
        <v>1271</v>
      </c>
      <c r="K1800" s="30">
        <v>2</v>
      </c>
      <c r="L1800" s="9" t="s">
        <v>1098</v>
      </c>
      <c r="M1800" s="30" t="s">
        <v>84</v>
      </c>
      <c r="N1800" s="30" t="s">
        <v>151</v>
      </c>
      <c r="O1800" s="24">
        <v>100</v>
      </c>
      <c r="P1800" s="24">
        <v>52</v>
      </c>
      <c r="Q1800" s="24">
        <v>7</v>
      </c>
      <c r="R1800" s="24">
        <v>0</v>
      </c>
      <c r="S1800" s="24">
        <v>0</v>
      </c>
      <c r="T1800" s="24">
        <v>159</v>
      </c>
    </row>
    <row r="1801" spans="1:20">
      <c r="A1801" s="9" t="s">
        <v>1233</v>
      </c>
      <c r="B1801" s="30" t="s">
        <v>1264</v>
      </c>
      <c r="C1801" s="30" t="str">
        <f>CONCATENATE(VOL_VOLUMEN_SUMINISTROS[[#This Row],[Proyecto]],VOL_VOLUMEN_SUMINISTROS[[#This Row],[J]],VOL_VOLUMEN_SUMINISTROS[[#This Row],[FIN DE SEMANA]])</f>
        <v>1052-1TNO</v>
      </c>
      <c r="D1801" s="360" t="str">
        <f>CONCATENATE(VOL_VOLUMEN_SUMINISTROS[[#This Row],[Grupo]],VOL_VOLUMEN_SUMINISTROS[[#This Row],[Proyecto]],VOL_VOLUMEN_SUMINISTROS[[#This Row],[FIN DE SEMANA]])</f>
        <v>231052-1NO</v>
      </c>
      <c r="E1801" s="30" t="s">
        <v>146</v>
      </c>
      <c r="F1801" s="30" t="s">
        <v>147</v>
      </c>
      <c r="G1801" s="360">
        <v>23</v>
      </c>
      <c r="H1801" s="30">
        <v>19</v>
      </c>
      <c r="I1801" s="9" t="s">
        <v>249</v>
      </c>
      <c r="J1801" s="9" t="s">
        <v>1271</v>
      </c>
      <c r="K1801" s="30">
        <v>2</v>
      </c>
      <c r="L1801" s="9" t="s">
        <v>1098</v>
      </c>
      <c r="M1801" s="30" t="s">
        <v>84</v>
      </c>
      <c r="N1801" s="30" t="s">
        <v>154</v>
      </c>
      <c r="O1801" s="24">
        <v>105</v>
      </c>
      <c r="P1801" s="24">
        <v>51</v>
      </c>
      <c r="Q1801" s="24">
        <v>7</v>
      </c>
      <c r="R1801" s="24">
        <v>0</v>
      </c>
      <c r="S1801" s="24">
        <v>0</v>
      </c>
      <c r="T1801" s="24">
        <v>163</v>
      </c>
    </row>
    <row r="1802" spans="1:20">
      <c r="A1802" s="9" t="s">
        <v>1233</v>
      </c>
      <c r="B1802" s="30" t="s">
        <v>1264</v>
      </c>
      <c r="C1802" s="30" t="str">
        <f>CONCATENATE(VOL_VOLUMEN_SUMINISTROS[[#This Row],[Proyecto]],VOL_VOLUMEN_SUMINISTROS[[#This Row],[J]],VOL_VOLUMEN_SUMINISTROS[[#This Row],[FIN DE SEMANA]])</f>
        <v>1052-1MNO</v>
      </c>
      <c r="D1802" s="360" t="str">
        <f>CONCATENATE(VOL_VOLUMEN_SUMINISTROS[[#This Row],[Grupo]],VOL_VOLUMEN_SUMINISTROS[[#This Row],[Proyecto]],VOL_VOLUMEN_SUMINISTROS[[#This Row],[FIN DE SEMANA]])</f>
        <v>231052-1NO</v>
      </c>
      <c r="E1802" s="30" t="s">
        <v>146</v>
      </c>
      <c r="F1802" s="30" t="s">
        <v>147</v>
      </c>
      <c r="G1802" s="360">
        <v>23</v>
      </c>
      <c r="H1802" s="30">
        <v>19</v>
      </c>
      <c r="I1802" s="9" t="s">
        <v>249</v>
      </c>
      <c r="J1802" s="9" t="s">
        <v>1273</v>
      </c>
      <c r="K1802" s="30">
        <v>1</v>
      </c>
      <c r="L1802" s="9" t="s">
        <v>1274</v>
      </c>
      <c r="M1802" s="30" t="s">
        <v>84</v>
      </c>
      <c r="N1802" s="30" t="s">
        <v>151</v>
      </c>
      <c r="O1802" s="24">
        <v>305</v>
      </c>
      <c r="P1802" s="24">
        <v>396</v>
      </c>
      <c r="Q1802" s="24">
        <v>508</v>
      </c>
      <c r="R1802" s="24">
        <v>0</v>
      </c>
      <c r="S1802" s="24">
        <v>0</v>
      </c>
      <c r="T1802" s="24">
        <v>1209</v>
      </c>
    </row>
    <row r="1803" spans="1:20">
      <c r="A1803" s="9" t="s">
        <v>1233</v>
      </c>
      <c r="B1803" s="30" t="s">
        <v>1264</v>
      </c>
      <c r="C1803" s="30" t="str">
        <f>CONCATENATE(VOL_VOLUMEN_SUMINISTROS[[#This Row],[Proyecto]],VOL_VOLUMEN_SUMINISTROS[[#This Row],[J]],VOL_VOLUMEN_SUMINISTROS[[#This Row],[FIN DE SEMANA]])</f>
        <v>1052-1TNO</v>
      </c>
      <c r="D1803" s="360" t="str">
        <f>CONCATENATE(VOL_VOLUMEN_SUMINISTROS[[#This Row],[Grupo]],VOL_VOLUMEN_SUMINISTROS[[#This Row],[Proyecto]],VOL_VOLUMEN_SUMINISTROS[[#This Row],[FIN DE SEMANA]])</f>
        <v>231052-1NO</v>
      </c>
      <c r="E1803" s="30" t="s">
        <v>146</v>
      </c>
      <c r="F1803" s="30" t="s">
        <v>147</v>
      </c>
      <c r="G1803" s="360">
        <v>23</v>
      </c>
      <c r="H1803" s="30">
        <v>19</v>
      </c>
      <c r="I1803" s="9" t="s">
        <v>249</v>
      </c>
      <c r="J1803" s="9" t="s">
        <v>1273</v>
      </c>
      <c r="K1803" s="30">
        <v>1</v>
      </c>
      <c r="L1803" s="9" t="s">
        <v>1274</v>
      </c>
      <c r="M1803" s="30" t="s">
        <v>84</v>
      </c>
      <c r="N1803" s="30" t="s">
        <v>154</v>
      </c>
      <c r="O1803" s="24">
        <v>263</v>
      </c>
      <c r="P1803" s="24">
        <v>482</v>
      </c>
      <c r="Q1803" s="24">
        <v>482</v>
      </c>
      <c r="R1803" s="24">
        <v>0</v>
      </c>
      <c r="S1803" s="24">
        <v>0</v>
      </c>
      <c r="T1803" s="24">
        <v>1227</v>
      </c>
    </row>
    <row r="1804" spans="1:20">
      <c r="A1804" s="9" t="s">
        <v>1233</v>
      </c>
      <c r="B1804" s="30" t="s">
        <v>1264</v>
      </c>
      <c r="C1804" s="30" t="str">
        <f>CONCATENATE(VOL_VOLUMEN_SUMINISTROS[[#This Row],[Proyecto]],VOL_VOLUMEN_SUMINISTROS[[#This Row],[J]],VOL_VOLUMEN_SUMINISTROS[[#This Row],[FIN DE SEMANA]])</f>
        <v>1052-1MNO</v>
      </c>
      <c r="D1804" s="360" t="str">
        <f>CONCATENATE(VOL_VOLUMEN_SUMINISTROS[[#This Row],[Grupo]],VOL_VOLUMEN_SUMINISTROS[[#This Row],[Proyecto]],VOL_VOLUMEN_SUMINISTROS[[#This Row],[FIN DE SEMANA]])</f>
        <v>231052-1NO</v>
      </c>
      <c r="E1804" s="30" t="s">
        <v>146</v>
      </c>
      <c r="F1804" s="30" t="s">
        <v>147</v>
      </c>
      <c r="G1804" s="360">
        <v>23</v>
      </c>
      <c r="H1804" s="30">
        <v>19</v>
      </c>
      <c r="I1804" s="9" t="s">
        <v>249</v>
      </c>
      <c r="J1804" s="9" t="s">
        <v>1275</v>
      </c>
      <c r="K1804" s="30">
        <v>1</v>
      </c>
      <c r="L1804" s="9" t="s">
        <v>1276</v>
      </c>
      <c r="M1804" s="30" t="s">
        <v>84</v>
      </c>
      <c r="N1804" s="30" t="s">
        <v>151</v>
      </c>
      <c r="O1804" s="24">
        <v>196</v>
      </c>
      <c r="P1804" s="24">
        <v>347</v>
      </c>
      <c r="Q1804" s="24">
        <v>498</v>
      </c>
      <c r="R1804" s="24">
        <v>0</v>
      </c>
      <c r="S1804" s="24">
        <v>0</v>
      </c>
      <c r="T1804" s="24">
        <v>1041</v>
      </c>
    </row>
    <row r="1805" spans="1:20">
      <c r="A1805" s="9" t="s">
        <v>1233</v>
      </c>
      <c r="B1805" s="30" t="s">
        <v>1264</v>
      </c>
      <c r="C1805" s="30" t="str">
        <f>CONCATENATE(VOL_VOLUMEN_SUMINISTROS[[#This Row],[Proyecto]],VOL_VOLUMEN_SUMINISTROS[[#This Row],[J]],VOL_VOLUMEN_SUMINISTROS[[#This Row],[FIN DE SEMANA]])</f>
        <v>1052-1TNO</v>
      </c>
      <c r="D1805" s="360" t="str">
        <f>CONCATENATE(VOL_VOLUMEN_SUMINISTROS[[#This Row],[Grupo]],VOL_VOLUMEN_SUMINISTROS[[#This Row],[Proyecto]],VOL_VOLUMEN_SUMINISTROS[[#This Row],[FIN DE SEMANA]])</f>
        <v>231052-1NO</v>
      </c>
      <c r="E1805" s="30" t="s">
        <v>146</v>
      </c>
      <c r="F1805" s="30" t="s">
        <v>147</v>
      </c>
      <c r="G1805" s="360">
        <v>23</v>
      </c>
      <c r="H1805" s="30">
        <v>19</v>
      </c>
      <c r="I1805" s="9" t="s">
        <v>249</v>
      </c>
      <c r="J1805" s="9" t="s">
        <v>1275</v>
      </c>
      <c r="K1805" s="30">
        <v>1</v>
      </c>
      <c r="L1805" s="9" t="s">
        <v>1276</v>
      </c>
      <c r="M1805" s="30" t="s">
        <v>84</v>
      </c>
      <c r="N1805" s="30" t="s">
        <v>154</v>
      </c>
      <c r="O1805" s="24">
        <v>188</v>
      </c>
      <c r="P1805" s="24">
        <v>328</v>
      </c>
      <c r="Q1805" s="24">
        <v>475</v>
      </c>
      <c r="R1805" s="24">
        <v>0</v>
      </c>
      <c r="S1805" s="24">
        <v>0</v>
      </c>
      <c r="T1805" s="24">
        <v>991</v>
      </c>
    </row>
    <row r="1806" spans="1:20">
      <c r="A1806" s="9" t="s">
        <v>1233</v>
      </c>
      <c r="B1806" s="30" t="s">
        <v>1264</v>
      </c>
      <c r="C1806" s="30" t="str">
        <f>CONCATENATE(VOL_VOLUMEN_SUMINISTROS[[#This Row],[Proyecto]],VOL_VOLUMEN_SUMINISTROS[[#This Row],[J]],VOL_VOLUMEN_SUMINISTROS[[#This Row],[FIN DE SEMANA]])</f>
        <v>1052-1MNO</v>
      </c>
      <c r="D1806" s="360" t="str">
        <f>CONCATENATE(VOL_VOLUMEN_SUMINISTROS[[#This Row],[Grupo]],VOL_VOLUMEN_SUMINISTROS[[#This Row],[Proyecto]],VOL_VOLUMEN_SUMINISTROS[[#This Row],[FIN DE SEMANA]])</f>
        <v>231052-1NO</v>
      </c>
      <c r="E1806" s="30" t="s">
        <v>146</v>
      </c>
      <c r="F1806" s="30" t="s">
        <v>147</v>
      </c>
      <c r="G1806" s="360">
        <v>23</v>
      </c>
      <c r="H1806" s="30">
        <v>19</v>
      </c>
      <c r="I1806" s="9" t="s">
        <v>249</v>
      </c>
      <c r="J1806" s="9" t="s">
        <v>1275</v>
      </c>
      <c r="K1806" s="30">
        <v>2</v>
      </c>
      <c r="L1806" s="9" t="s">
        <v>1277</v>
      </c>
      <c r="M1806" s="30" t="s">
        <v>84</v>
      </c>
      <c r="N1806" s="30" t="s">
        <v>151</v>
      </c>
      <c r="O1806" s="24">
        <v>127</v>
      </c>
      <c r="P1806" s="24">
        <v>136</v>
      </c>
      <c r="Q1806" s="24">
        <v>28</v>
      </c>
      <c r="R1806" s="24">
        <v>0</v>
      </c>
      <c r="S1806" s="24">
        <v>0</v>
      </c>
      <c r="T1806" s="24">
        <v>291</v>
      </c>
    </row>
    <row r="1807" spans="1:20">
      <c r="A1807" s="9" t="s">
        <v>1233</v>
      </c>
      <c r="B1807" s="30" t="s">
        <v>1264</v>
      </c>
      <c r="C1807" s="30" t="str">
        <f>CONCATENATE(VOL_VOLUMEN_SUMINISTROS[[#This Row],[Proyecto]],VOL_VOLUMEN_SUMINISTROS[[#This Row],[J]],VOL_VOLUMEN_SUMINISTROS[[#This Row],[FIN DE SEMANA]])</f>
        <v>1052-1TNO</v>
      </c>
      <c r="D1807" s="360" t="str">
        <f>CONCATENATE(VOL_VOLUMEN_SUMINISTROS[[#This Row],[Grupo]],VOL_VOLUMEN_SUMINISTROS[[#This Row],[Proyecto]],VOL_VOLUMEN_SUMINISTROS[[#This Row],[FIN DE SEMANA]])</f>
        <v>231052-1NO</v>
      </c>
      <c r="E1807" s="30" t="s">
        <v>146</v>
      </c>
      <c r="F1807" s="30" t="s">
        <v>147</v>
      </c>
      <c r="G1807" s="360">
        <v>23</v>
      </c>
      <c r="H1807" s="30">
        <v>19</v>
      </c>
      <c r="I1807" s="9" t="s">
        <v>249</v>
      </c>
      <c r="J1807" s="9" t="s">
        <v>1275</v>
      </c>
      <c r="K1807" s="30">
        <v>2</v>
      </c>
      <c r="L1807" s="9" t="s">
        <v>1278</v>
      </c>
      <c r="M1807" s="30" t="s">
        <v>84</v>
      </c>
      <c r="N1807" s="30" t="s">
        <v>154</v>
      </c>
      <c r="O1807" s="24">
        <v>105</v>
      </c>
      <c r="P1807" s="24">
        <v>121</v>
      </c>
      <c r="Q1807" s="24">
        <v>26</v>
      </c>
      <c r="R1807" s="24">
        <v>0</v>
      </c>
      <c r="S1807" s="24">
        <v>0</v>
      </c>
      <c r="T1807" s="24">
        <v>252</v>
      </c>
    </row>
    <row r="1808" spans="1:20">
      <c r="A1808" s="9" t="s">
        <v>1233</v>
      </c>
      <c r="B1808" s="30" t="s">
        <v>1264</v>
      </c>
      <c r="C1808" s="30" t="str">
        <f>CONCATENATE(VOL_VOLUMEN_SUMINISTROS[[#This Row],[Proyecto]],VOL_VOLUMEN_SUMINISTROS[[#This Row],[J]],VOL_VOLUMEN_SUMINISTROS[[#This Row],[FIN DE SEMANA]])</f>
        <v>1052-1MNO</v>
      </c>
      <c r="D1808" s="360" t="str">
        <f>CONCATENATE(VOL_VOLUMEN_SUMINISTROS[[#This Row],[Grupo]],VOL_VOLUMEN_SUMINISTROS[[#This Row],[Proyecto]],VOL_VOLUMEN_SUMINISTROS[[#This Row],[FIN DE SEMANA]])</f>
        <v>231052-1NO</v>
      </c>
      <c r="E1808" s="30" t="s">
        <v>146</v>
      </c>
      <c r="F1808" s="30" t="s">
        <v>147</v>
      </c>
      <c r="G1808" s="360">
        <v>23</v>
      </c>
      <c r="H1808" s="30">
        <v>19</v>
      </c>
      <c r="I1808" s="9" t="s">
        <v>249</v>
      </c>
      <c r="J1808" s="9" t="s">
        <v>1279</v>
      </c>
      <c r="K1808" s="30">
        <v>1</v>
      </c>
      <c r="L1808" s="9" t="s">
        <v>1280</v>
      </c>
      <c r="M1808" s="30" t="s">
        <v>84</v>
      </c>
      <c r="N1808" s="30" t="s">
        <v>151</v>
      </c>
      <c r="O1808" s="24">
        <v>58</v>
      </c>
      <c r="P1808" s="24">
        <v>107</v>
      </c>
      <c r="Q1808" s="24">
        <v>26</v>
      </c>
      <c r="R1808" s="24">
        <v>0</v>
      </c>
      <c r="S1808" s="24">
        <v>0</v>
      </c>
      <c r="T1808" s="24">
        <v>191</v>
      </c>
    </row>
    <row r="1809" spans="1:20">
      <c r="A1809" s="9" t="s">
        <v>1233</v>
      </c>
      <c r="B1809" s="30" t="s">
        <v>1264</v>
      </c>
      <c r="C1809" s="30" t="str">
        <f>CONCATENATE(VOL_VOLUMEN_SUMINISTROS[[#This Row],[Proyecto]],VOL_VOLUMEN_SUMINISTROS[[#This Row],[J]],VOL_VOLUMEN_SUMINISTROS[[#This Row],[FIN DE SEMANA]])</f>
        <v>1052-1TNO</v>
      </c>
      <c r="D1809" s="360" t="str">
        <f>CONCATENATE(VOL_VOLUMEN_SUMINISTROS[[#This Row],[Grupo]],VOL_VOLUMEN_SUMINISTROS[[#This Row],[Proyecto]],VOL_VOLUMEN_SUMINISTROS[[#This Row],[FIN DE SEMANA]])</f>
        <v>231052-1NO</v>
      </c>
      <c r="E1809" s="30" t="s">
        <v>146</v>
      </c>
      <c r="F1809" s="30" t="s">
        <v>147</v>
      </c>
      <c r="G1809" s="360">
        <v>23</v>
      </c>
      <c r="H1809" s="30">
        <v>19</v>
      </c>
      <c r="I1809" s="9" t="s">
        <v>249</v>
      </c>
      <c r="J1809" s="9" t="s">
        <v>1279</v>
      </c>
      <c r="K1809" s="30">
        <v>1</v>
      </c>
      <c r="L1809" s="9" t="s">
        <v>1280</v>
      </c>
      <c r="M1809" s="30" t="s">
        <v>84</v>
      </c>
      <c r="N1809" s="30" t="s">
        <v>154</v>
      </c>
      <c r="O1809" s="24">
        <v>90</v>
      </c>
      <c r="P1809" s="24">
        <v>63</v>
      </c>
      <c r="Q1809" s="24">
        <v>6</v>
      </c>
      <c r="R1809" s="24">
        <v>0</v>
      </c>
      <c r="S1809" s="24">
        <v>0</v>
      </c>
      <c r="T1809" s="24">
        <v>159</v>
      </c>
    </row>
    <row r="1810" spans="1:20">
      <c r="A1810" s="9" t="s">
        <v>1233</v>
      </c>
      <c r="B1810" s="30" t="s">
        <v>1264</v>
      </c>
      <c r="C1810" s="30" t="str">
        <f>CONCATENATE(VOL_VOLUMEN_SUMINISTROS[[#This Row],[Proyecto]],VOL_VOLUMEN_SUMINISTROS[[#This Row],[J]],VOL_VOLUMEN_SUMINISTROS[[#This Row],[FIN DE SEMANA]])</f>
        <v>1052-1MNO</v>
      </c>
      <c r="D1810" s="360" t="str">
        <f>CONCATENATE(VOL_VOLUMEN_SUMINISTROS[[#This Row],[Grupo]],VOL_VOLUMEN_SUMINISTROS[[#This Row],[Proyecto]],VOL_VOLUMEN_SUMINISTROS[[#This Row],[FIN DE SEMANA]])</f>
        <v>231052-1NO</v>
      </c>
      <c r="E1810" s="30" t="s">
        <v>146</v>
      </c>
      <c r="F1810" s="30" t="s">
        <v>147</v>
      </c>
      <c r="G1810" s="360">
        <v>23</v>
      </c>
      <c r="H1810" s="30">
        <v>19</v>
      </c>
      <c r="I1810" s="9" t="s">
        <v>249</v>
      </c>
      <c r="J1810" s="9" t="s">
        <v>1279</v>
      </c>
      <c r="K1810" s="30">
        <v>2</v>
      </c>
      <c r="L1810" s="9" t="s">
        <v>1281</v>
      </c>
      <c r="M1810" s="30" t="s">
        <v>84</v>
      </c>
      <c r="N1810" s="30" t="s">
        <v>151</v>
      </c>
      <c r="O1810" s="24">
        <v>0</v>
      </c>
      <c r="P1810" s="24">
        <v>246</v>
      </c>
      <c r="Q1810" s="24">
        <v>82</v>
      </c>
      <c r="R1810" s="24">
        <v>0</v>
      </c>
      <c r="S1810" s="24">
        <v>0</v>
      </c>
      <c r="T1810" s="24">
        <v>328</v>
      </c>
    </row>
    <row r="1811" spans="1:20">
      <c r="A1811" s="9" t="s">
        <v>1233</v>
      </c>
      <c r="B1811" s="30" t="s">
        <v>1264</v>
      </c>
      <c r="C1811" s="30" t="str">
        <f>CONCATENATE(VOL_VOLUMEN_SUMINISTROS[[#This Row],[Proyecto]],VOL_VOLUMEN_SUMINISTROS[[#This Row],[J]],VOL_VOLUMEN_SUMINISTROS[[#This Row],[FIN DE SEMANA]])</f>
        <v>1052-1TNO</v>
      </c>
      <c r="D1811" s="360" t="str">
        <f>CONCATENATE(VOL_VOLUMEN_SUMINISTROS[[#This Row],[Grupo]],VOL_VOLUMEN_SUMINISTROS[[#This Row],[Proyecto]],VOL_VOLUMEN_SUMINISTROS[[#This Row],[FIN DE SEMANA]])</f>
        <v>231052-1NO</v>
      </c>
      <c r="E1811" s="30" t="s">
        <v>146</v>
      </c>
      <c r="F1811" s="30" t="s">
        <v>147</v>
      </c>
      <c r="G1811" s="360">
        <v>23</v>
      </c>
      <c r="H1811" s="30">
        <v>19</v>
      </c>
      <c r="I1811" s="9" t="s">
        <v>249</v>
      </c>
      <c r="J1811" s="9" t="s">
        <v>1279</v>
      </c>
      <c r="K1811" s="30">
        <v>2</v>
      </c>
      <c r="L1811" s="9" t="s">
        <v>1281</v>
      </c>
      <c r="M1811" s="30" t="s">
        <v>84</v>
      </c>
      <c r="N1811" s="30" t="s">
        <v>154</v>
      </c>
      <c r="O1811" s="24">
        <v>0</v>
      </c>
      <c r="P1811" s="24">
        <v>243</v>
      </c>
      <c r="Q1811" s="24">
        <v>81</v>
      </c>
      <c r="R1811" s="24">
        <v>0</v>
      </c>
      <c r="S1811" s="24">
        <v>0</v>
      </c>
      <c r="T1811" s="24">
        <v>324</v>
      </c>
    </row>
    <row r="1812" spans="1:20">
      <c r="A1812" s="9" t="s">
        <v>1233</v>
      </c>
      <c r="B1812" s="30" t="s">
        <v>1264</v>
      </c>
      <c r="C1812" s="30" t="str">
        <f>CONCATENATE(VOL_VOLUMEN_SUMINISTROS[[#This Row],[Proyecto]],VOL_VOLUMEN_SUMINISTROS[[#This Row],[J]],VOL_VOLUMEN_SUMINISTROS[[#This Row],[FIN DE SEMANA]])</f>
        <v>1052-1MNO</v>
      </c>
      <c r="D1812" s="360" t="str">
        <f>CONCATENATE(VOL_VOLUMEN_SUMINISTROS[[#This Row],[Grupo]],VOL_VOLUMEN_SUMINISTROS[[#This Row],[Proyecto]],VOL_VOLUMEN_SUMINISTROS[[#This Row],[FIN DE SEMANA]])</f>
        <v>231052-1NO</v>
      </c>
      <c r="E1812" s="30" t="s">
        <v>146</v>
      </c>
      <c r="F1812" s="30" t="s">
        <v>147</v>
      </c>
      <c r="G1812" s="360">
        <v>23</v>
      </c>
      <c r="H1812" s="30">
        <v>19</v>
      </c>
      <c r="I1812" s="9" t="s">
        <v>249</v>
      </c>
      <c r="J1812" s="9" t="s">
        <v>1279</v>
      </c>
      <c r="K1812" s="30">
        <v>3</v>
      </c>
      <c r="L1812" s="9" t="s">
        <v>1282</v>
      </c>
      <c r="M1812" s="30" t="s">
        <v>84</v>
      </c>
      <c r="N1812" s="30" t="s">
        <v>151</v>
      </c>
      <c r="O1812" s="24">
        <v>228</v>
      </c>
      <c r="P1812" s="24">
        <v>91</v>
      </c>
      <c r="Q1812" s="24">
        <v>8</v>
      </c>
      <c r="R1812" s="24">
        <v>0</v>
      </c>
      <c r="S1812" s="24">
        <v>0</v>
      </c>
      <c r="T1812" s="24">
        <v>327</v>
      </c>
    </row>
    <row r="1813" spans="1:20">
      <c r="A1813" s="9" t="s">
        <v>1233</v>
      </c>
      <c r="B1813" s="30" t="s">
        <v>1264</v>
      </c>
      <c r="C1813" s="30" t="str">
        <f>CONCATENATE(VOL_VOLUMEN_SUMINISTROS[[#This Row],[Proyecto]],VOL_VOLUMEN_SUMINISTROS[[#This Row],[J]],VOL_VOLUMEN_SUMINISTROS[[#This Row],[FIN DE SEMANA]])</f>
        <v>1052-1TNO</v>
      </c>
      <c r="D1813" s="360" t="str">
        <f>CONCATENATE(VOL_VOLUMEN_SUMINISTROS[[#This Row],[Grupo]],VOL_VOLUMEN_SUMINISTROS[[#This Row],[Proyecto]],VOL_VOLUMEN_SUMINISTROS[[#This Row],[FIN DE SEMANA]])</f>
        <v>231052-1NO</v>
      </c>
      <c r="E1813" s="30" t="s">
        <v>146</v>
      </c>
      <c r="F1813" s="30" t="s">
        <v>147</v>
      </c>
      <c r="G1813" s="360">
        <v>23</v>
      </c>
      <c r="H1813" s="30">
        <v>19</v>
      </c>
      <c r="I1813" s="9" t="s">
        <v>249</v>
      </c>
      <c r="J1813" s="9" t="s">
        <v>1279</v>
      </c>
      <c r="K1813" s="30">
        <v>3</v>
      </c>
      <c r="L1813" s="9" t="s">
        <v>1282</v>
      </c>
      <c r="M1813" s="30" t="s">
        <v>84</v>
      </c>
      <c r="N1813" s="30" t="s">
        <v>154</v>
      </c>
      <c r="O1813" s="24">
        <v>234</v>
      </c>
      <c r="P1813" s="24">
        <v>42</v>
      </c>
      <c r="Q1813" s="24">
        <v>0</v>
      </c>
      <c r="R1813" s="24">
        <v>0</v>
      </c>
      <c r="S1813" s="24">
        <v>0</v>
      </c>
      <c r="T1813" s="24">
        <v>276</v>
      </c>
    </row>
    <row r="1814" spans="1:20">
      <c r="A1814" s="9" t="s">
        <v>1233</v>
      </c>
      <c r="B1814" s="30" t="s">
        <v>1264</v>
      </c>
      <c r="C1814" s="30" t="str">
        <f>CONCATENATE(VOL_VOLUMEN_SUMINISTROS[[#This Row],[Proyecto]],VOL_VOLUMEN_SUMINISTROS[[#This Row],[J]],VOL_VOLUMEN_SUMINISTROS[[#This Row],[FIN DE SEMANA]])</f>
        <v>1052-1MNO</v>
      </c>
      <c r="D1814" s="360" t="str">
        <f>CONCATENATE(VOL_VOLUMEN_SUMINISTROS[[#This Row],[Grupo]],VOL_VOLUMEN_SUMINISTROS[[#This Row],[Proyecto]],VOL_VOLUMEN_SUMINISTROS[[#This Row],[FIN DE SEMANA]])</f>
        <v>231052-1NO</v>
      </c>
      <c r="E1814" s="30" t="s">
        <v>146</v>
      </c>
      <c r="F1814" s="30" t="s">
        <v>147</v>
      </c>
      <c r="G1814" s="360">
        <v>23</v>
      </c>
      <c r="H1814" s="30">
        <v>19</v>
      </c>
      <c r="I1814" s="9" t="s">
        <v>249</v>
      </c>
      <c r="J1814" s="9" t="s">
        <v>1279</v>
      </c>
      <c r="K1814" s="30">
        <v>4</v>
      </c>
      <c r="L1814" s="9" t="s">
        <v>1283</v>
      </c>
      <c r="M1814" s="30" t="s">
        <v>84</v>
      </c>
      <c r="N1814" s="30" t="s">
        <v>151</v>
      </c>
      <c r="O1814" s="24">
        <v>0</v>
      </c>
      <c r="P1814" s="24">
        <v>0</v>
      </c>
      <c r="Q1814" s="24">
        <v>313</v>
      </c>
      <c r="R1814" s="24">
        <v>0</v>
      </c>
      <c r="S1814" s="24">
        <v>0</v>
      </c>
      <c r="T1814" s="24">
        <v>313</v>
      </c>
    </row>
    <row r="1815" spans="1:20">
      <c r="A1815" s="9" t="s">
        <v>1233</v>
      </c>
      <c r="B1815" s="30" t="s">
        <v>1264</v>
      </c>
      <c r="C1815" s="30" t="str">
        <f>CONCATENATE(VOL_VOLUMEN_SUMINISTROS[[#This Row],[Proyecto]],VOL_VOLUMEN_SUMINISTROS[[#This Row],[J]],VOL_VOLUMEN_SUMINISTROS[[#This Row],[FIN DE SEMANA]])</f>
        <v>1052-1TNO</v>
      </c>
      <c r="D1815" s="360" t="str">
        <f>CONCATENATE(VOL_VOLUMEN_SUMINISTROS[[#This Row],[Grupo]],VOL_VOLUMEN_SUMINISTROS[[#This Row],[Proyecto]],VOL_VOLUMEN_SUMINISTROS[[#This Row],[FIN DE SEMANA]])</f>
        <v>231052-1NO</v>
      </c>
      <c r="E1815" s="30" t="s">
        <v>146</v>
      </c>
      <c r="F1815" s="30" t="s">
        <v>147</v>
      </c>
      <c r="G1815" s="360">
        <v>23</v>
      </c>
      <c r="H1815" s="30">
        <v>19</v>
      </c>
      <c r="I1815" s="9" t="s">
        <v>249</v>
      </c>
      <c r="J1815" s="9" t="s">
        <v>1279</v>
      </c>
      <c r="K1815" s="30">
        <v>4</v>
      </c>
      <c r="L1815" s="9" t="s">
        <v>1283</v>
      </c>
      <c r="M1815" s="30" t="s">
        <v>84</v>
      </c>
      <c r="N1815" s="30" t="s">
        <v>154</v>
      </c>
      <c r="O1815" s="24">
        <v>0</v>
      </c>
      <c r="P1815" s="24">
        <v>0</v>
      </c>
      <c r="Q1815" s="24">
        <v>279</v>
      </c>
      <c r="R1815" s="24">
        <v>0</v>
      </c>
      <c r="S1815" s="24">
        <v>0</v>
      </c>
      <c r="T1815" s="24">
        <v>279</v>
      </c>
    </row>
    <row r="1816" spans="1:20">
      <c r="A1816" s="9" t="s">
        <v>1233</v>
      </c>
      <c r="B1816" s="30" t="s">
        <v>1264</v>
      </c>
      <c r="C1816" s="30" t="str">
        <f>CONCATENATE(VOL_VOLUMEN_SUMINISTROS[[#This Row],[Proyecto]],VOL_VOLUMEN_SUMINISTROS[[#This Row],[J]],VOL_VOLUMEN_SUMINISTROS[[#This Row],[FIN DE SEMANA]])</f>
        <v>1052-1TNO</v>
      </c>
      <c r="D1816" s="360" t="str">
        <f>CONCATENATE(VOL_VOLUMEN_SUMINISTROS[[#This Row],[Grupo]],VOL_VOLUMEN_SUMINISTROS[[#This Row],[Proyecto]],VOL_VOLUMEN_SUMINISTROS[[#This Row],[FIN DE SEMANA]])</f>
        <v>231052-1NO</v>
      </c>
      <c r="E1816" s="30" t="s">
        <v>146</v>
      </c>
      <c r="F1816" s="30" t="s">
        <v>147</v>
      </c>
      <c r="G1816" s="360">
        <v>23</v>
      </c>
      <c r="H1816" s="30">
        <v>19</v>
      </c>
      <c r="I1816" s="9" t="s">
        <v>249</v>
      </c>
      <c r="J1816" s="9" t="s">
        <v>1279</v>
      </c>
      <c r="K1816" s="30">
        <v>6</v>
      </c>
      <c r="L1816" s="9" t="s">
        <v>1284</v>
      </c>
      <c r="M1816" s="30" t="s">
        <v>84</v>
      </c>
      <c r="N1816" s="30" t="s">
        <v>154</v>
      </c>
      <c r="O1816" s="24">
        <v>72</v>
      </c>
      <c r="P1816" s="24">
        <v>141</v>
      </c>
      <c r="Q1816" s="24">
        <v>35</v>
      </c>
      <c r="R1816" s="24">
        <v>0</v>
      </c>
      <c r="S1816" s="24">
        <v>0</v>
      </c>
      <c r="T1816" s="24">
        <v>248</v>
      </c>
    </row>
    <row r="1817" spans="1:20">
      <c r="A1817" s="9" t="s">
        <v>1233</v>
      </c>
      <c r="B1817" s="30" t="s">
        <v>1264</v>
      </c>
      <c r="C1817" s="30" t="str">
        <f>CONCATENATE(VOL_VOLUMEN_SUMINISTROS[[#This Row],[Proyecto]],VOL_VOLUMEN_SUMINISTROS[[#This Row],[J]],VOL_VOLUMEN_SUMINISTROS[[#This Row],[FIN DE SEMANA]])</f>
        <v>1052-1MNO</v>
      </c>
      <c r="D1817" s="360" t="str">
        <f>CONCATENATE(VOL_VOLUMEN_SUMINISTROS[[#This Row],[Grupo]],VOL_VOLUMEN_SUMINISTROS[[#This Row],[Proyecto]],VOL_VOLUMEN_SUMINISTROS[[#This Row],[FIN DE SEMANA]])</f>
        <v>231052-1NO</v>
      </c>
      <c r="E1817" s="30" t="s">
        <v>146</v>
      </c>
      <c r="F1817" s="30" t="s">
        <v>147</v>
      </c>
      <c r="G1817" s="360">
        <v>23</v>
      </c>
      <c r="H1817" s="30">
        <v>19</v>
      </c>
      <c r="I1817" s="9" t="s">
        <v>249</v>
      </c>
      <c r="J1817" s="9" t="s">
        <v>1285</v>
      </c>
      <c r="K1817" s="30">
        <v>3</v>
      </c>
      <c r="L1817" s="9" t="s">
        <v>1286</v>
      </c>
      <c r="M1817" s="30" t="s">
        <v>84</v>
      </c>
      <c r="N1817" s="30" t="s">
        <v>151</v>
      </c>
      <c r="O1817" s="24">
        <v>144</v>
      </c>
      <c r="P1817" s="24">
        <v>117</v>
      </c>
      <c r="Q1817" s="24">
        <v>20</v>
      </c>
      <c r="R1817" s="24">
        <v>0</v>
      </c>
      <c r="S1817" s="24">
        <v>0</v>
      </c>
      <c r="T1817" s="24">
        <v>281</v>
      </c>
    </row>
    <row r="1818" spans="1:20">
      <c r="A1818" s="9" t="s">
        <v>1233</v>
      </c>
      <c r="B1818" s="30" t="s">
        <v>1264</v>
      </c>
      <c r="C1818" s="30" t="str">
        <f>CONCATENATE(VOL_VOLUMEN_SUMINISTROS[[#This Row],[Proyecto]],VOL_VOLUMEN_SUMINISTROS[[#This Row],[J]],VOL_VOLUMEN_SUMINISTROS[[#This Row],[FIN DE SEMANA]])</f>
        <v>1052-1TNO</v>
      </c>
      <c r="D1818" s="360" t="str">
        <f>CONCATENATE(VOL_VOLUMEN_SUMINISTROS[[#This Row],[Grupo]],VOL_VOLUMEN_SUMINISTROS[[#This Row],[Proyecto]],VOL_VOLUMEN_SUMINISTROS[[#This Row],[FIN DE SEMANA]])</f>
        <v>231052-1NO</v>
      </c>
      <c r="E1818" s="30" t="s">
        <v>146</v>
      </c>
      <c r="F1818" s="30" t="s">
        <v>147</v>
      </c>
      <c r="G1818" s="360">
        <v>23</v>
      </c>
      <c r="H1818" s="30">
        <v>19</v>
      </c>
      <c r="I1818" s="9" t="s">
        <v>249</v>
      </c>
      <c r="J1818" s="9" t="s">
        <v>1285</v>
      </c>
      <c r="K1818" s="30">
        <v>3</v>
      </c>
      <c r="L1818" s="9" t="s">
        <v>1286</v>
      </c>
      <c r="M1818" s="30" t="s">
        <v>84</v>
      </c>
      <c r="N1818" s="30" t="s">
        <v>154</v>
      </c>
      <c r="O1818" s="24">
        <v>148</v>
      </c>
      <c r="P1818" s="24">
        <v>119</v>
      </c>
      <c r="Q1818" s="24">
        <v>20</v>
      </c>
      <c r="R1818" s="24">
        <v>0</v>
      </c>
      <c r="S1818" s="24">
        <v>0</v>
      </c>
      <c r="T1818" s="24">
        <v>287</v>
      </c>
    </row>
    <row r="1819" spans="1:20">
      <c r="A1819" s="9" t="s">
        <v>1233</v>
      </c>
      <c r="B1819" s="30" t="s">
        <v>1264</v>
      </c>
      <c r="C1819" s="30" t="str">
        <f>CONCATENATE(VOL_VOLUMEN_SUMINISTROS[[#This Row],[Proyecto]],VOL_VOLUMEN_SUMINISTROS[[#This Row],[J]],VOL_VOLUMEN_SUMINISTROS[[#This Row],[FIN DE SEMANA]])</f>
        <v>1052-1MNO</v>
      </c>
      <c r="D1819" s="360" t="str">
        <f>CONCATENATE(VOL_VOLUMEN_SUMINISTROS[[#This Row],[Grupo]],VOL_VOLUMEN_SUMINISTROS[[#This Row],[Proyecto]],VOL_VOLUMEN_SUMINISTROS[[#This Row],[FIN DE SEMANA]])</f>
        <v>231052-1NO</v>
      </c>
      <c r="E1819" s="30" t="s">
        <v>146</v>
      </c>
      <c r="F1819" s="30" t="s">
        <v>147</v>
      </c>
      <c r="G1819" s="360">
        <v>23</v>
      </c>
      <c r="H1819" s="30">
        <v>19</v>
      </c>
      <c r="I1819" s="9" t="s">
        <v>249</v>
      </c>
      <c r="J1819" s="9" t="s">
        <v>1285</v>
      </c>
      <c r="K1819" s="30">
        <v>4</v>
      </c>
      <c r="L1819" s="9" t="s">
        <v>1287</v>
      </c>
      <c r="M1819" s="30" t="s">
        <v>84</v>
      </c>
      <c r="N1819" s="30" t="s">
        <v>151</v>
      </c>
      <c r="O1819" s="24">
        <v>57</v>
      </c>
      <c r="P1819" s="24">
        <v>191</v>
      </c>
      <c r="Q1819" s="24">
        <v>57</v>
      </c>
      <c r="R1819" s="24">
        <v>0</v>
      </c>
      <c r="S1819" s="24">
        <v>0</v>
      </c>
      <c r="T1819" s="24">
        <v>305</v>
      </c>
    </row>
    <row r="1820" spans="1:20">
      <c r="A1820" s="9" t="s">
        <v>1233</v>
      </c>
      <c r="B1820" s="30" t="s">
        <v>1264</v>
      </c>
      <c r="C1820" s="30" t="str">
        <f>CONCATENATE(VOL_VOLUMEN_SUMINISTROS[[#This Row],[Proyecto]],VOL_VOLUMEN_SUMINISTROS[[#This Row],[J]],VOL_VOLUMEN_SUMINISTROS[[#This Row],[FIN DE SEMANA]])</f>
        <v>1052-1TNO</v>
      </c>
      <c r="D1820" s="360" t="str">
        <f>CONCATENATE(VOL_VOLUMEN_SUMINISTROS[[#This Row],[Grupo]],VOL_VOLUMEN_SUMINISTROS[[#This Row],[Proyecto]],VOL_VOLUMEN_SUMINISTROS[[#This Row],[FIN DE SEMANA]])</f>
        <v>231052-1NO</v>
      </c>
      <c r="E1820" s="30" t="s">
        <v>146</v>
      </c>
      <c r="F1820" s="30" t="s">
        <v>147</v>
      </c>
      <c r="G1820" s="360">
        <v>23</v>
      </c>
      <c r="H1820" s="30">
        <v>19</v>
      </c>
      <c r="I1820" s="9" t="s">
        <v>249</v>
      </c>
      <c r="J1820" s="9" t="s">
        <v>1285</v>
      </c>
      <c r="K1820" s="30">
        <v>4</v>
      </c>
      <c r="L1820" s="9" t="s">
        <v>1287</v>
      </c>
      <c r="M1820" s="30" t="s">
        <v>84</v>
      </c>
      <c r="N1820" s="30" t="s">
        <v>154</v>
      </c>
      <c r="O1820" s="24">
        <v>60</v>
      </c>
      <c r="P1820" s="24">
        <v>185</v>
      </c>
      <c r="Q1820" s="24">
        <v>55</v>
      </c>
      <c r="R1820" s="24">
        <v>0</v>
      </c>
      <c r="S1820" s="24">
        <v>0</v>
      </c>
      <c r="T1820" s="24">
        <v>300</v>
      </c>
    </row>
    <row r="1821" spans="1:20">
      <c r="A1821" s="9" t="s">
        <v>1233</v>
      </c>
      <c r="B1821" s="30" t="s">
        <v>1264</v>
      </c>
      <c r="C1821" s="30" t="str">
        <f>CONCATENATE(VOL_VOLUMEN_SUMINISTROS[[#This Row],[Proyecto]],VOL_VOLUMEN_SUMINISTROS[[#This Row],[J]],VOL_VOLUMEN_SUMINISTROS[[#This Row],[FIN DE SEMANA]])</f>
        <v>1052-1MNO</v>
      </c>
      <c r="D1821" s="360" t="str">
        <f>CONCATENATE(VOL_VOLUMEN_SUMINISTROS[[#This Row],[Grupo]],VOL_VOLUMEN_SUMINISTROS[[#This Row],[Proyecto]],VOL_VOLUMEN_SUMINISTROS[[#This Row],[FIN DE SEMANA]])</f>
        <v>231052-1NO</v>
      </c>
      <c r="E1821" s="30" t="s">
        <v>146</v>
      </c>
      <c r="F1821" s="30" t="s">
        <v>147</v>
      </c>
      <c r="G1821" s="360">
        <v>23</v>
      </c>
      <c r="H1821" s="30">
        <v>19</v>
      </c>
      <c r="I1821" s="9" t="s">
        <v>249</v>
      </c>
      <c r="J1821" s="9" t="s">
        <v>1288</v>
      </c>
      <c r="K1821" s="30">
        <v>1</v>
      </c>
      <c r="L1821" s="9" t="s">
        <v>1289</v>
      </c>
      <c r="M1821" s="30" t="s">
        <v>84</v>
      </c>
      <c r="N1821" s="30" t="s">
        <v>151</v>
      </c>
      <c r="O1821" s="24">
        <v>100</v>
      </c>
      <c r="P1821" s="24">
        <v>95</v>
      </c>
      <c r="Q1821" s="24">
        <v>15</v>
      </c>
      <c r="R1821" s="24">
        <v>0</v>
      </c>
      <c r="S1821" s="24">
        <v>0</v>
      </c>
      <c r="T1821" s="24">
        <v>210</v>
      </c>
    </row>
    <row r="1822" spans="1:20">
      <c r="A1822" s="9" t="s">
        <v>1233</v>
      </c>
      <c r="B1822" s="30" t="s">
        <v>1264</v>
      </c>
      <c r="C1822" s="30" t="str">
        <f>CONCATENATE(VOL_VOLUMEN_SUMINISTROS[[#This Row],[Proyecto]],VOL_VOLUMEN_SUMINISTROS[[#This Row],[J]],VOL_VOLUMEN_SUMINISTROS[[#This Row],[FIN DE SEMANA]])</f>
        <v>1052-1TNO</v>
      </c>
      <c r="D1822" s="360" t="str">
        <f>CONCATENATE(VOL_VOLUMEN_SUMINISTROS[[#This Row],[Grupo]],VOL_VOLUMEN_SUMINISTROS[[#This Row],[Proyecto]],VOL_VOLUMEN_SUMINISTROS[[#This Row],[FIN DE SEMANA]])</f>
        <v>231052-1NO</v>
      </c>
      <c r="E1822" s="30" t="s">
        <v>146</v>
      </c>
      <c r="F1822" s="30" t="s">
        <v>147</v>
      </c>
      <c r="G1822" s="360">
        <v>23</v>
      </c>
      <c r="H1822" s="30">
        <v>19</v>
      </c>
      <c r="I1822" s="9" t="s">
        <v>249</v>
      </c>
      <c r="J1822" s="9" t="s">
        <v>1288</v>
      </c>
      <c r="K1822" s="30">
        <v>1</v>
      </c>
      <c r="L1822" s="9" t="s">
        <v>1289</v>
      </c>
      <c r="M1822" s="30" t="s">
        <v>84</v>
      </c>
      <c r="N1822" s="30" t="s">
        <v>154</v>
      </c>
      <c r="O1822" s="24">
        <v>0</v>
      </c>
      <c r="P1822" s="24">
        <v>123</v>
      </c>
      <c r="Q1822" s="24">
        <v>41</v>
      </c>
      <c r="R1822" s="24">
        <v>0</v>
      </c>
      <c r="S1822" s="24">
        <v>0</v>
      </c>
      <c r="T1822" s="24">
        <v>164</v>
      </c>
    </row>
    <row r="1823" spans="1:20">
      <c r="A1823" s="9" t="s">
        <v>1233</v>
      </c>
      <c r="B1823" s="30" t="s">
        <v>1264</v>
      </c>
      <c r="C1823" s="30" t="str">
        <f>CONCATENATE(VOL_VOLUMEN_SUMINISTROS[[#This Row],[Proyecto]],VOL_VOLUMEN_SUMINISTROS[[#This Row],[J]],VOL_VOLUMEN_SUMINISTROS[[#This Row],[FIN DE SEMANA]])</f>
        <v>1052-1MNO</v>
      </c>
      <c r="D1823" s="360" t="str">
        <f>CONCATENATE(VOL_VOLUMEN_SUMINISTROS[[#This Row],[Grupo]],VOL_VOLUMEN_SUMINISTROS[[#This Row],[Proyecto]],VOL_VOLUMEN_SUMINISTROS[[#This Row],[FIN DE SEMANA]])</f>
        <v>231052-1NO</v>
      </c>
      <c r="E1823" s="30" t="s">
        <v>146</v>
      </c>
      <c r="F1823" s="30" t="s">
        <v>147</v>
      </c>
      <c r="G1823" s="360">
        <v>23</v>
      </c>
      <c r="H1823" s="30">
        <v>19</v>
      </c>
      <c r="I1823" s="9" t="s">
        <v>249</v>
      </c>
      <c r="J1823" s="9" t="s">
        <v>1288</v>
      </c>
      <c r="K1823" s="30">
        <v>2</v>
      </c>
      <c r="L1823" s="9" t="s">
        <v>1290</v>
      </c>
      <c r="M1823" s="30" t="s">
        <v>84</v>
      </c>
      <c r="N1823" s="30" t="s">
        <v>151</v>
      </c>
      <c r="O1823" s="24">
        <v>100</v>
      </c>
      <c r="P1823" s="24">
        <v>0</v>
      </c>
      <c r="Q1823" s="24">
        <v>0</v>
      </c>
      <c r="R1823" s="24">
        <v>0</v>
      </c>
      <c r="S1823" s="24">
        <v>0</v>
      </c>
      <c r="T1823" s="24">
        <v>100</v>
      </c>
    </row>
    <row r="1824" spans="1:20">
      <c r="A1824" s="9" t="s">
        <v>1233</v>
      </c>
      <c r="B1824" s="30" t="s">
        <v>1264</v>
      </c>
      <c r="C1824" s="30" t="str">
        <f>CONCATENATE(VOL_VOLUMEN_SUMINISTROS[[#This Row],[Proyecto]],VOL_VOLUMEN_SUMINISTROS[[#This Row],[J]],VOL_VOLUMEN_SUMINISTROS[[#This Row],[FIN DE SEMANA]])</f>
        <v>1052-1TNO</v>
      </c>
      <c r="D1824" s="360" t="str">
        <f>CONCATENATE(VOL_VOLUMEN_SUMINISTROS[[#This Row],[Grupo]],VOL_VOLUMEN_SUMINISTROS[[#This Row],[Proyecto]],VOL_VOLUMEN_SUMINISTROS[[#This Row],[FIN DE SEMANA]])</f>
        <v>231052-1NO</v>
      </c>
      <c r="E1824" s="30" t="s">
        <v>146</v>
      </c>
      <c r="F1824" s="30" t="s">
        <v>147</v>
      </c>
      <c r="G1824" s="360">
        <v>23</v>
      </c>
      <c r="H1824" s="30">
        <v>19</v>
      </c>
      <c r="I1824" s="9" t="s">
        <v>249</v>
      </c>
      <c r="J1824" s="9" t="s">
        <v>1288</v>
      </c>
      <c r="K1824" s="30">
        <v>2</v>
      </c>
      <c r="L1824" s="9" t="s">
        <v>1290</v>
      </c>
      <c r="M1824" s="30" t="s">
        <v>84</v>
      </c>
      <c r="N1824" s="30" t="s">
        <v>154</v>
      </c>
      <c r="O1824" s="24">
        <v>36</v>
      </c>
      <c r="P1824" s="24">
        <v>0</v>
      </c>
      <c r="Q1824" s="24">
        <v>0</v>
      </c>
      <c r="R1824" s="24">
        <v>0</v>
      </c>
      <c r="S1824" s="24">
        <v>0</v>
      </c>
      <c r="T1824" s="24">
        <v>36</v>
      </c>
    </row>
    <row r="1825" spans="1:20">
      <c r="A1825" s="9" t="s">
        <v>1233</v>
      </c>
      <c r="B1825" s="30" t="s">
        <v>1264</v>
      </c>
      <c r="C1825" s="30" t="str">
        <f>CONCATENATE(VOL_VOLUMEN_SUMINISTROS[[#This Row],[Proyecto]],VOL_VOLUMEN_SUMINISTROS[[#This Row],[J]],VOL_VOLUMEN_SUMINISTROS[[#This Row],[FIN DE SEMANA]])</f>
        <v>1052-1MNO</v>
      </c>
      <c r="D1825" s="360" t="str">
        <f>CONCATENATE(VOL_VOLUMEN_SUMINISTROS[[#This Row],[Grupo]],VOL_VOLUMEN_SUMINISTROS[[#This Row],[Proyecto]],VOL_VOLUMEN_SUMINISTROS[[#This Row],[FIN DE SEMANA]])</f>
        <v>231052-1NO</v>
      </c>
      <c r="E1825" s="30" t="s">
        <v>146</v>
      </c>
      <c r="F1825" s="30" t="s">
        <v>147</v>
      </c>
      <c r="G1825" s="360">
        <v>23</v>
      </c>
      <c r="H1825" s="30">
        <v>19</v>
      </c>
      <c r="I1825" s="9" t="s">
        <v>249</v>
      </c>
      <c r="J1825" s="9" t="s">
        <v>1288</v>
      </c>
      <c r="K1825" s="30">
        <v>3</v>
      </c>
      <c r="L1825" s="9" t="s">
        <v>457</v>
      </c>
      <c r="M1825" s="30" t="s">
        <v>84</v>
      </c>
      <c r="N1825" s="30" t="s">
        <v>151</v>
      </c>
      <c r="O1825" s="24">
        <v>208</v>
      </c>
      <c r="P1825" s="24">
        <v>294</v>
      </c>
      <c r="Q1825" s="24">
        <v>305</v>
      </c>
      <c r="R1825" s="24">
        <v>0</v>
      </c>
      <c r="S1825" s="24">
        <v>0</v>
      </c>
      <c r="T1825" s="24">
        <v>807</v>
      </c>
    </row>
    <row r="1826" spans="1:20">
      <c r="A1826" s="9" t="s">
        <v>1233</v>
      </c>
      <c r="B1826" s="30" t="s">
        <v>1264</v>
      </c>
      <c r="C1826" s="30" t="str">
        <f>CONCATENATE(VOL_VOLUMEN_SUMINISTROS[[#This Row],[Proyecto]],VOL_VOLUMEN_SUMINISTROS[[#This Row],[J]],VOL_VOLUMEN_SUMINISTROS[[#This Row],[FIN DE SEMANA]])</f>
        <v>1052-1TNO</v>
      </c>
      <c r="D1826" s="360" t="str">
        <f>CONCATENATE(VOL_VOLUMEN_SUMINISTROS[[#This Row],[Grupo]],VOL_VOLUMEN_SUMINISTROS[[#This Row],[Proyecto]],VOL_VOLUMEN_SUMINISTROS[[#This Row],[FIN DE SEMANA]])</f>
        <v>231052-1NO</v>
      </c>
      <c r="E1826" s="30" t="s">
        <v>146</v>
      </c>
      <c r="F1826" s="30" t="s">
        <v>147</v>
      </c>
      <c r="G1826" s="360">
        <v>23</v>
      </c>
      <c r="H1826" s="30">
        <v>19</v>
      </c>
      <c r="I1826" s="9" t="s">
        <v>249</v>
      </c>
      <c r="J1826" s="9" t="s">
        <v>1288</v>
      </c>
      <c r="K1826" s="30">
        <v>3</v>
      </c>
      <c r="L1826" s="9" t="s">
        <v>457</v>
      </c>
      <c r="M1826" s="30" t="s">
        <v>84</v>
      </c>
      <c r="N1826" s="30" t="s">
        <v>154</v>
      </c>
      <c r="O1826" s="24">
        <v>104</v>
      </c>
      <c r="P1826" s="24">
        <v>238</v>
      </c>
      <c r="Q1826" s="24">
        <v>212</v>
      </c>
      <c r="R1826" s="24">
        <v>0</v>
      </c>
      <c r="S1826" s="24">
        <v>0</v>
      </c>
      <c r="T1826" s="24">
        <v>554</v>
      </c>
    </row>
    <row r="1827" spans="1:20">
      <c r="A1827" s="9" t="s">
        <v>1233</v>
      </c>
      <c r="B1827" s="30" t="s">
        <v>1264</v>
      </c>
      <c r="C1827" s="30" t="str">
        <f>CONCATENATE(VOL_VOLUMEN_SUMINISTROS[[#This Row],[Proyecto]],VOL_VOLUMEN_SUMINISTROS[[#This Row],[J]],VOL_VOLUMEN_SUMINISTROS[[#This Row],[FIN DE SEMANA]])</f>
        <v>1052-1MNO</v>
      </c>
      <c r="D1827" s="360" t="str">
        <f>CONCATENATE(VOL_VOLUMEN_SUMINISTROS[[#This Row],[Grupo]],VOL_VOLUMEN_SUMINISTROS[[#This Row],[Proyecto]],VOL_VOLUMEN_SUMINISTROS[[#This Row],[FIN DE SEMANA]])</f>
        <v>231052-1NO</v>
      </c>
      <c r="E1827" s="30" t="s">
        <v>146</v>
      </c>
      <c r="F1827" s="30" t="s">
        <v>147</v>
      </c>
      <c r="G1827" s="360">
        <v>23</v>
      </c>
      <c r="H1827" s="30">
        <v>19</v>
      </c>
      <c r="I1827" s="9" t="s">
        <v>249</v>
      </c>
      <c r="J1827" s="9" t="s">
        <v>1291</v>
      </c>
      <c r="K1827" s="30">
        <v>1</v>
      </c>
      <c r="L1827" s="9" t="s">
        <v>1292</v>
      </c>
      <c r="M1827" s="30" t="s">
        <v>84</v>
      </c>
      <c r="N1827" s="30" t="s">
        <v>151</v>
      </c>
      <c r="O1827" s="24">
        <v>49</v>
      </c>
      <c r="P1827" s="24">
        <v>119</v>
      </c>
      <c r="Q1827" s="24">
        <v>129</v>
      </c>
      <c r="R1827" s="24">
        <v>0</v>
      </c>
      <c r="S1827" s="24">
        <v>0</v>
      </c>
      <c r="T1827" s="24">
        <v>297</v>
      </c>
    </row>
    <row r="1828" spans="1:20">
      <c r="A1828" s="9" t="s">
        <v>1233</v>
      </c>
      <c r="B1828" s="30" t="s">
        <v>1264</v>
      </c>
      <c r="C1828" s="30" t="str">
        <f>CONCATENATE(VOL_VOLUMEN_SUMINISTROS[[#This Row],[Proyecto]],VOL_VOLUMEN_SUMINISTROS[[#This Row],[J]],VOL_VOLUMEN_SUMINISTROS[[#This Row],[FIN DE SEMANA]])</f>
        <v>1052-1TNO</v>
      </c>
      <c r="D1828" s="360" t="str">
        <f>CONCATENATE(VOL_VOLUMEN_SUMINISTROS[[#This Row],[Grupo]],VOL_VOLUMEN_SUMINISTROS[[#This Row],[Proyecto]],VOL_VOLUMEN_SUMINISTROS[[#This Row],[FIN DE SEMANA]])</f>
        <v>231052-1NO</v>
      </c>
      <c r="E1828" s="30" t="s">
        <v>146</v>
      </c>
      <c r="F1828" s="30" t="s">
        <v>147</v>
      </c>
      <c r="G1828" s="360">
        <v>23</v>
      </c>
      <c r="H1828" s="30">
        <v>19</v>
      </c>
      <c r="I1828" s="9" t="s">
        <v>249</v>
      </c>
      <c r="J1828" s="9" t="s">
        <v>1291</v>
      </c>
      <c r="K1828" s="30">
        <v>1</v>
      </c>
      <c r="L1828" s="9" t="s">
        <v>1292</v>
      </c>
      <c r="M1828" s="30" t="s">
        <v>84</v>
      </c>
      <c r="N1828" s="30" t="s">
        <v>154</v>
      </c>
      <c r="O1828" s="24">
        <v>142</v>
      </c>
      <c r="P1828" s="24">
        <v>128</v>
      </c>
      <c r="Q1828" s="24">
        <v>26</v>
      </c>
      <c r="R1828" s="24">
        <v>0</v>
      </c>
      <c r="S1828" s="24">
        <v>0</v>
      </c>
      <c r="T1828" s="24">
        <v>296</v>
      </c>
    </row>
    <row r="1829" spans="1:20">
      <c r="A1829" s="9" t="s">
        <v>1233</v>
      </c>
      <c r="B1829" s="30" t="s">
        <v>1264</v>
      </c>
      <c r="C1829" s="30" t="str">
        <f>CONCATENATE(VOL_VOLUMEN_SUMINISTROS[[#This Row],[Proyecto]],VOL_VOLUMEN_SUMINISTROS[[#This Row],[J]],VOL_VOLUMEN_SUMINISTROS[[#This Row],[FIN DE SEMANA]])</f>
        <v>1052-1MNO</v>
      </c>
      <c r="D1829" s="360" t="str">
        <f>CONCATENATE(VOL_VOLUMEN_SUMINISTROS[[#This Row],[Grupo]],VOL_VOLUMEN_SUMINISTROS[[#This Row],[Proyecto]],VOL_VOLUMEN_SUMINISTROS[[#This Row],[FIN DE SEMANA]])</f>
        <v>231052-1NO</v>
      </c>
      <c r="E1829" s="30" t="s">
        <v>146</v>
      </c>
      <c r="F1829" s="30" t="s">
        <v>147</v>
      </c>
      <c r="G1829" s="360">
        <v>23</v>
      </c>
      <c r="H1829" s="30">
        <v>19</v>
      </c>
      <c r="I1829" s="9" t="s">
        <v>249</v>
      </c>
      <c r="J1829" s="9" t="s">
        <v>1291</v>
      </c>
      <c r="K1829" s="30">
        <v>2</v>
      </c>
      <c r="L1829" s="9" t="s">
        <v>1293</v>
      </c>
      <c r="M1829" s="30" t="s">
        <v>84</v>
      </c>
      <c r="N1829" s="30" t="s">
        <v>151</v>
      </c>
      <c r="O1829" s="24">
        <v>108</v>
      </c>
      <c r="P1829" s="24">
        <v>59</v>
      </c>
      <c r="Q1829" s="24">
        <v>11</v>
      </c>
      <c r="R1829" s="24">
        <v>0</v>
      </c>
      <c r="S1829" s="24">
        <v>0</v>
      </c>
      <c r="T1829" s="24">
        <v>178</v>
      </c>
    </row>
    <row r="1830" spans="1:20">
      <c r="A1830" s="9" t="s">
        <v>1233</v>
      </c>
      <c r="B1830" s="30" t="s">
        <v>1264</v>
      </c>
      <c r="C1830" s="30" t="str">
        <f>CONCATENATE(VOL_VOLUMEN_SUMINISTROS[[#This Row],[Proyecto]],VOL_VOLUMEN_SUMINISTROS[[#This Row],[J]],VOL_VOLUMEN_SUMINISTROS[[#This Row],[FIN DE SEMANA]])</f>
        <v>1052-1TNO</v>
      </c>
      <c r="D1830" s="360" t="str">
        <f>CONCATENATE(VOL_VOLUMEN_SUMINISTROS[[#This Row],[Grupo]],VOL_VOLUMEN_SUMINISTROS[[#This Row],[Proyecto]],VOL_VOLUMEN_SUMINISTROS[[#This Row],[FIN DE SEMANA]])</f>
        <v>231052-1NO</v>
      </c>
      <c r="E1830" s="30" t="s">
        <v>146</v>
      </c>
      <c r="F1830" s="30" t="s">
        <v>147</v>
      </c>
      <c r="G1830" s="360">
        <v>23</v>
      </c>
      <c r="H1830" s="30">
        <v>19</v>
      </c>
      <c r="I1830" s="9" t="s">
        <v>249</v>
      </c>
      <c r="J1830" s="9" t="s">
        <v>1291</v>
      </c>
      <c r="K1830" s="30">
        <v>2</v>
      </c>
      <c r="L1830" s="9" t="s">
        <v>1293</v>
      </c>
      <c r="M1830" s="30" t="s">
        <v>84</v>
      </c>
      <c r="N1830" s="30" t="s">
        <v>154</v>
      </c>
      <c r="O1830" s="24">
        <v>92</v>
      </c>
      <c r="P1830" s="24">
        <v>32</v>
      </c>
      <c r="Q1830" s="24">
        <v>6</v>
      </c>
      <c r="R1830" s="24">
        <v>0</v>
      </c>
      <c r="S1830" s="24">
        <v>0</v>
      </c>
      <c r="T1830" s="24">
        <v>130</v>
      </c>
    </row>
    <row r="1831" spans="1:20">
      <c r="A1831" s="9" t="s">
        <v>1233</v>
      </c>
      <c r="B1831" s="30" t="s">
        <v>1264</v>
      </c>
      <c r="C1831" s="30" t="str">
        <f>CONCATENATE(VOL_VOLUMEN_SUMINISTROS[[#This Row],[Proyecto]],VOL_VOLUMEN_SUMINISTROS[[#This Row],[J]],VOL_VOLUMEN_SUMINISTROS[[#This Row],[FIN DE SEMANA]])</f>
        <v>1052-1MNO</v>
      </c>
      <c r="D1831" s="360" t="str">
        <f>CONCATENATE(VOL_VOLUMEN_SUMINISTROS[[#This Row],[Grupo]],VOL_VOLUMEN_SUMINISTROS[[#This Row],[Proyecto]],VOL_VOLUMEN_SUMINISTROS[[#This Row],[FIN DE SEMANA]])</f>
        <v>231052-1NO</v>
      </c>
      <c r="E1831" s="30" t="s">
        <v>146</v>
      </c>
      <c r="F1831" s="30" t="s">
        <v>147</v>
      </c>
      <c r="G1831" s="360">
        <v>23</v>
      </c>
      <c r="H1831" s="30">
        <v>19</v>
      </c>
      <c r="I1831" s="9" t="s">
        <v>249</v>
      </c>
      <c r="J1831" s="9" t="s">
        <v>1294</v>
      </c>
      <c r="K1831" s="30">
        <v>1</v>
      </c>
      <c r="L1831" s="9" t="s">
        <v>1295</v>
      </c>
      <c r="M1831" s="30" t="s">
        <v>84</v>
      </c>
      <c r="N1831" s="30" t="s">
        <v>151</v>
      </c>
      <c r="O1831" s="24">
        <v>204</v>
      </c>
      <c r="P1831" s="24">
        <v>126</v>
      </c>
      <c r="Q1831" s="24">
        <v>18</v>
      </c>
      <c r="R1831" s="24">
        <v>0</v>
      </c>
      <c r="S1831" s="24">
        <v>0</v>
      </c>
      <c r="T1831" s="24">
        <v>348</v>
      </c>
    </row>
    <row r="1832" spans="1:20">
      <c r="A1832" s="9" t="s">
        <v>1233</v>
      </c>
      <c r="B1832" s="30" t="s">
        <v>1264</v>
      </c>
      <c r="C1832" s="30" t="str">
        <f>CONCATENATE(VOL_VOLUMEN_SUMINISTROS[[#This Row],[Proyecto]],VOL_VOLUMEN_SUMINISTROS[[#This Row],[J]],VOL_VOLUMEN_SUMINISTROS[[#This Row],[FIN DE SEMANA]])</f>
        <v>1052-1TNO</v>
      </c>
      <c r="D1832" s="360" t="str">
        <f>CONCATENATE(VOL_VOLUMEN_SUMINISTROS[[#This Row],[Grupo]],VOL_VOLUMEN_SUMINISTROS[[#This Row],[Proyecto]],VOL_VOLUMEN_SUMINISTROS[[#This Row],[FIN DE SEMANA]])</f>
        <v>231052-1NO</v>
      </c>
      <c r="E1832" s="30" t="s">
        <v>146</v>
      </c>
      <c r="F1832" s="30" t="s">
        <v>147</v>
      </c>
      <c r="G1832" s="360">
        <v>23</v>
      </c>
      <c r="H1832" s="30">
        <v>19</v>
      </c>
      <c r="I1832" s="9" t="s">
        <v>249</v>
      </c>
      <c r="J1832" s="9" t="s">
        <v>1294</v>
      </c>
      <c r="K1832" s="30">
        <v>1</v>
      </c>
      <c r="L1832" s="9" t="s">
        <v>1295</v>
      </c>
      <c r="M1832" s="30" t="s">
        <v>84</v>
      </c>
      <c r="N1832" s="30" t="s">
        <v>154</v>
      </c>
      <c r="O1832" s="24">
        <v>252</v>
      </c>
      <c r="P1832" s="24">
        <v>68</v>
      </c>
      <c r="Q1832" s="24">
        <v>0</v>
      </c>
      <c r="R1832" s="24">
        <v>0</v>
      </c>
      <c r="S1832" s="24">
        <v>0</v>
      </c>
      <c r="T1832" s="24">
        <v>320</v>
      </c>
    </row>
    <row r="1833" spans="1:20">
      <c r="A1833" s="9" t="s">
        <v>1233</v>
      </c>
      <c r="B1833" s="30" t="s">
        <v>1264</v>
      </c>
      <c r="C1833" s="30" t="str">
        <f>CONCATENATE(VOL_VOLUMEN_SUMINISTROS[[#This Row],[Proyecto]],VOL_VOLUMEN_SUMINISTROS[[#This Row],[J]],VOL_VOLUMEN_SUMINISTROS[[#This Row],[FIN DE SEMANA]])</f>
        <v>1052-1MNO</v>
      </c>
      <c r="D1833" s="360" t="str">
        <f>CONCATENATE(VOL_VOLUMEN_SUMINISTROS[[#This Row],[Grupo]],VOL_VOLUMEN_SUMINISTROS[[#This Row],[Proyecto]],VOL_VOLUMEN_SUMINISTROS[[#This Row],[FIN DE SEMANA]])</f>
        <v>231052-1NO</v>
      </c>
      <c r="E1833" s="30" t="s">
        <v>146</v>
      </c>
      <c r="F1833" s="30" t="s">
        <v>147</v>
      </c>
      <c r="G1833" s="360">
        <v>23</v>
      </c>
      <c r="H1833" s="30">
        <v>19</v>
      </c>
      <c r="I1833" s="9" t="s">
        <v>249</v>
      </c>
      <c r="J1833" s="9" t="s">
        <v>1296</v>
      </c>
      <c r="K1833" s="30">
        <v>1</v>
      </c>
      <c r="L1833" s="9" t="s">
        <v>1297</v>
      </c>
      <c r="M1833" s="30" t="s">
        <v>84</v>
      </c>
      <c r="N1833" s="30" t="s">
        <v>151</v>
      </c>
      <c r="O1833" s="24">
        <v>0</v>
      </c>
      <c r="P1833" s="24">
        <v>132</v>
      </c>
      <c r="Q1833" s="24">
        <v>253</v>
      </c>
      <c r="R1833" s="24">
        <v>0</v>
      </c>
      <c r="S1833" s="24">
        <v>0</v>
      </c>
      <c r="T1833" s="24">
        <v>385</v>
      </c>
    </row>
    <row r="1834" spans="1:20">
      <c r="A1834" s="9" t="s">
        <v>1233</v>
      </c>
      <c r="B1834" s="30" t="s">
        <v>1264</v>
      </c>
      <c r="C1834" s="30" t="str">
        <f>CONCATENATE(VOL_VOLUMEN_SUMINISTROS[[#This Row],[Proyecto]],VOL_VOLUMEN_SUMINISTROS[[#This Row],[J]],VOL_VOLUMEN_SUMINISTROS[[#This Row],[FIN DE SEMANA]])</f>
        <v>1052-1TNO</v>
      </c>
      <c r="D1834" s="360" t="str">
        <f>CONCATENATE(VOL_VOLUMEN_SUMINISTROS[[#This Row],[Grupo]],VOL_VOLUMEN_SUMINISTROS[[#This Row],[Proyecto]],VOL_VOLUMEN_SUMINISTROS[[#This Row],[FIN DE SEMANA]])</f>
        <v>231052-1NO</v>
      </c>
      <c r="E1834" s="30" t="s">
        <v>146</v>
      </c>
      <c r="F1834" s="30" t="s">
        <v>147</v>
      </c>
      <c r="G1834" s="360">
        <v>23</v>
      </c>
      <c r="H1834" s="30">
        <v>19</v>
      </c>
      <c r="I1834" s="9" t="s">
        <v>249</v>
      </c>
      <c r="J1834" s="9" t="s">
        <v>1296</v>
      </c>
      <c r="K1834" s="30">
        <v>1</v>
      </c>
      <c r="L1834" s="9" t="s">
        <v>1297</v>
      </c>
      <c r="M1834" s="30" t="s">
        <v>84</v>
      </c>
      <c r="N1834" s="30" t="s">
        <v>154</v>
      </c>
      <c r="O1834" s="24">
        <v>0</v>
      </c>
      <c r="P1834" s="24">
        <v>138</v>
      </c>
      <c r="Q1834" s="24">
        <v>46</v>
      </c>
      <c r="R1834" s="24">
        <v>0</v>
      </c>
      <c r="S1834" s="24">
        <v>0</v>
      </c>
      <c r="T1834" s="24">
        <v>184</v>
      </c>
    </row>
    <row r="1835" spans="1:20">
      <c r="A1835" s="9" t="s">
        <v>1233</v>
      </c>
      <c r="B1835" s="30" t="s">
        <v>1264</v>
      </c>
      <c r="C1835" s="30" t="str">
        <f>CONCATENATE(VOL_VOLUMEN_SUMINISTROS[[#This Row],[Proyecto]],VOL_VOLUMEN_SUMINISTROS[[#This Row],[J]],VOL_VOLUMEN_SUMINISTROS[[#This Row],[FIN DE SEMANA]])</f>
        <v>1052-1MNO</v>
      </c>
      <c r="D1835" s="360" t="str">
        <f>CONCATENATE(VOL_VOLUMEN_SUMINISTROS[[#This Row],[Grupo]],VOL_VOLUMEN_SUMINISTROS[[#This Row],[Proyecto]],VOL_VOLUMEN_SUMINISTROS[[#This Row],[FIN DE SEMANA]])</f>
        <v>231052-1NO</v>
      </c>
      <c r="E1835" s="30" t="s">
        <v>146</v>
      </c>
      <c r="F1835" s="30" t="s">
        <v>147</v>
      </c>
      <c r="G1835" s="360">
        <v>23</v>
      </c>
      <c r="H1835" s="30">
        <v>19</v>
      </c>
      <c r="I1835" s="9" t="s">
        <v>249</v>
      </c>
      <c r="J1835" s="9" t="s">
        <v>1296</v>
      </c>
      <c r="K1835" s="30">
        <v>2</v>
      </c>
      <c r="L1835" s="9" t="s">
        <v>1298</v>
      </c>
      <c r="M1835" s="30" t="s">
        <v>84</v>
      </c>
      <c r="N1835" s="30" t="s">
        <v>151</v>
      </c>
      <c r="O1835" s="24">
        <v>222</v>
      </c>
      <c r="P1835" s="24">
        <v>107</v>
      </c>
      <c r="Q1835" s="24">
        <v>15</v>
      </c>
      <c r="R1835" s="24">
        <v>0</v>
      </c>
      <c r="S1835" s="24">
        <v>0</v>
      </c>
      <c r="T1835" s="24">
        <v>344</v>
      </c>
    </row>
    <row r="1836" spans="1:20">
      <c r="A1836" s="9" t="s">
        <v>1233</v>
      </c>
      <c r="B1836" s="30" t="s">
        <v>1264</v>
      </c>
      <c r="C1836" s="30" t="str">
        <f>CONCATENATE(VOL_VOLUMEN_SUMINISTROS[[#This Row],[Proyecto]],VOL_VOLUMEN_SUMINISTROS[[#This Row],[J]],VOL_VOLUMEN_SUMINISTROS[[#This Row],[FIN DE SEMANA]])</f>
        <v>1052-1TNO</v>
      </c>
      <c r="D1836" s="360" t="str">
        <f>CONCATENATE(VOL_VOLUMEN_SUMINISTROS[[#This Row],[Grupo]],VOL_VOLUMEN_SUMINISTROS[[#This Row],[Proyecto]],VOL_VOLUMEN_SUMINISTROS[[#This Row],[FIN DE SEMANA]])</f>
        <v>231052-1NO</v>
      </c>
      <c r="E1836" s="30" t="s">
        <v>146</v>
      </c>
      <c r="F1836" s="30" t="s">
        <v>147</v>
      </c>
      <c r="G1836" s="360">
        <v>23</v>
      </c>
      <c r="H1836" s="30">
        <v>19</v>
      </c>
      <c r="I1836" s="9" t="s">
        <v>249</v>
      </c>
      <c r="J1836" s="9" t="s">
        <v>1296</v>
      </c>
      <c r="K1836" s="30">
        <v>2</v>
      </c>
      <c r="L1836" s="9" t="s">
        <v>1298</v>
      </c>
      <c r="M1836" s="30" t="s">
        <v>84</v>
      </c>
      <c r="N1836" s="30" t="s">
        <v>154</v>
      </c>
      <c r="O1836" s="24">
        <v>232</v>
      </c>
      <c r="P1836" s="24">
        <v>93</v>
      </c>
      <c r="Q1836" s="24">
        <v>8</v>
      </c>
      <c r="R1836" s="24">
        <v>0</v>
      </c>
      <c r="S1836" s="24">
        <v>0</v>
      </c>
      <c r="T1836" s="24">
        <v>333</v>
      </c>
    </row>
    <row r="1837" spans="1:20">
      <c r="A1837" s="9" t="s">
        <v>1233</v>
      </c>
      <c r="B1837" s="30" t="s">
        <v>1299</v>
      </c>
      <c r="C1837" s="30" t="str">
        <f>CONCATENATE(VOL_VOLUMEN_SUMINISTROS[[#This Row],[Proyecto]],VOL_VOLUMEN_SUMINISTROS[[#This Row],[J]],VOL_VOLUMEN_SUMINISTROS[[#This Row],[FIN DE SEMANA]])</f>
        <v>1052-2MNO</v>
      </c>
      <c r="D1837" s="360" t="str">
        <f>CONCATENATE(VOL_VOLUMEN_SUMINISTROS[[#This Row],[Grupo]],VOL_VOLUMEN_SUMINISTROS[[#This Row],[Proyecto]],VOL_VOLUMEN_SUMINISTROS[[#This Row],[FIN DE SEMANA]])</f>
        <v>61052-2NO</v>
      </c>
      <c r="E1837" s="30" t="s">
        <v>182</v>
      </c>
      <c r="F1837" s="30" t="s">
        <v>147</v>
      </c>
      <c r="G1837" s="360">
        <v>6</v>
      </c>
      <c r="H1837" s="30">
        <v>19</v>
      </c>
      <c r="I1837" s="9" t="s">
        <v>249</v>
      </c>
      <c r="J1837" s="9" t="s">
        <v>1237</v>
      </c>
      <c r="K1837" s="30">
        <v>6</v>
      </c>
      <c r="L1837" s="9" t="s">
        <v>1300</v>
      </c>
      <c r="M1837" s="30" t="s">
        <v>84</v>
      </c>
      <c r="N1837" s="30" t="s">
        <v>151</v>
      </c>
      <c r="O1837" s="24">
        <v>0</v>
      </c>
      <c r="P1837" s="24">
        <v>135</v>
      </c>
      <c r="Q1837" s="24">
        <v>45</v>
      </c>
      <c r="R1837" s="24">
        <v>0</v>
      </c>
      <c r="S1837" s="24">
        <v>0</v>
      </c>
      <c r="T1837" s="24">
        <v>180</v>
      </c>
    </row>
    <row r="1838" spans="1:20">
      <c r="A1838" s="9" t="s">
        <v>1233</v>
      </c>
      <c r="B1838" s="30" t="s">
        <v>1299</v>
      </c>
      <c r="C1838" s="30" t="str">
        <f>CONCATENATE(VOL_VOLUMEN_SUMINISTROS[[#This Row],[Proyecto]],VOL_VOLUMEN_SUMINISTROS[[#This Row],[J]],VOL_VOLUMEN_SUMINISTROS[[#This Row],[FIN DE SEMANA]])</f>
        <v>1052-2M1NO</v>
      </c>
      <c r="D1838" s="360" t="str">
        <f>CONCATENATE(VOL_VOLUMEN_SUMINISTROS[[#This Row],[Grupo]],VOL_VOLUMEN_SUMINISTROS[[#This Row],[Proyecto]],VOL_VOLUMEN_SUMINISTROS[[#This Row],[FIN DE SEMANA]])</f>
        <v>61052-2NO</v>
      </c>
      <c r="E1838" s="30" t="s">
        <v>182</v>
      </c>
      <c r="F1838" s="30" t="s">
        <v>147</v>
      </c>
      <c r="G1838" s="360">
        <v>6</v>
      </c>
      <c r="H1838" s="30">
        <v>19</v>
      </c>
      <c r="I1838" s="9" t="s">
        <v>249</v>
      </c>
      <c r="J1838" s="9" t="s">
        <v>1237</v>
      </c>
      <c r="K1838" s="30">
        <v>6</v>
      </c>
      <c r="L1838" s="9" t="s">
        <v>1300</v>
      </c>
      <c r="M1838" s="30" t="s">
        <v>84</v>
      </c>
      <c r="N1838" s="30" t="s">
        <v>215</v>
      </c>
      <c r="O1838" s="24">
        <v>0</v>
      </c>
      <c r="P1838" s="24">
        <v>0</v>
      </c>
      <c r="Q1838" s="24">
        <v>141</v>
      </c>
      <c r="R1838" s="24">
        <v>0</v>
      </c>
      <c r="S1838" s="24">
        <v>0</v>
      </c>
      <c r="T1838" s="24">
        <v>141</v>
      </c>
    </row>
    <row r="1839" spans="1:20">
      <c r="A1839" s="9" t="s">
        <v>1233</v>
      </c>
      <c r="B1839" s="30" t="s">
        <v>1299</v>
      </c>
      <c r="C1839" s="30" t="str">
        <f>CONCATENATE(VOL_VOLUMEN_SUMINISTROS[[#This Row],[Proyecto]],VOL_VOLUMEN_SUMINISTROS[[#This Row],[J]],VOL_VOLUMEN_SUMINISTROS[[#This Row],[FIN DE SEMANA]])</f>
        <v>1052-2TNO</v>
      </c>
      <c r="D1839" s="360" t="str">
        <f>CONCATENATE(VOL_VOLUMEN_SUMINISTROS[[#This Row],[Grupo]],VOL_VOLUMEN_SUMINISTROS[[#This Row],[Proyecto]],VOL_VOLUMEN_SUMINISTROS[[#This Row],[FIN DE SEMANA]])</f>
        <v>61052-2NO</v>
      </c>
      <c r="E1839" s="30" t="s">
        <v>182</v>
      </c>
      <c r="F1839" s="30" t="s">
        <v>147</v>
      </c>
      <c r="G1839" s="360">
        <v>6</v>
      </c>
      <c r="H1839" s="30">
        <v>19</v>
      </c>
      <c r="I1839" s="9" t="s">
        <v>249</v>
      </c>
      <c r="J1839" s="9" t="s">
        <v>1237</v>
      </c>
      <c r="K1839" s="30">
        <v>6</v>
      </c>
      <c r="L1839" s="9" t="s">
        <v>1300</v>
      </c>
      <c r="M1839" s="30" t="s">
        <v>84</v>
      </c>
      <c r="N1839" s="30" t="s">
        <v>154</v>
      </c>
      <c r="O1839" s="24">
        <v>0</v>
      </c>
      <c r="P1839" s="24">
        <v>0</v>
      </c>
      <c r="Q1839" s="24">
        <v>324</v>
      </c>
      <c r="R1839" s="24">
        <v>0</v>
      </c>
      <c r="S1839" s="24">
        <v>0</v>
      </c>
      <c r="T1839" s="24">
        <v>324</v>
      </c>
    </row>
    <row r="1840" spans="1:20">
      <c r="A1840" s="9" t="s">
        <v>1233</v>
      </c>
      <c r="B1840" s="30" t="s">
        <v>1299</v>
      </c>
      <c r="C1840" s="30" t="str">
        <f>CONCATENATE(VOL_VOLUMEN_SUMINISTROS[[#This Row],[Proyecto]],VOL_VOLUMEN_SUMINISTROS[[#This Row],[J]],VOL_VOLUMEN_SUMINISTROS[[#This Row],[FIN DE SEMANA]])</f>
        <v>1052-2MNO</v>
      </c>
      <c r="D1840" s="360" t="str">
        <f>CONCATENATE(VOL_VOLUMEN_SUMINISTROS[[#This Row],[Grupo]],VOL_VOLUMEN_SUMINISTROS[[#This Row],[Proyecto]],VOL_VOLUMEN_SUMINISTROS[[#This Row],[FIN DE SEMANA]])</f>
        <v>231052-2NO</v>
      </c>
      <c r="E1840" s="30" t="s">
        <v>182</v>
      </c>
      <c r="F1840" s="30" t="s">
        <v>147</v>
      </c>
      <c r="G1840" s="360">
        <v>23</v>
      </c>
      <c r="H1840" s="30">
        <v>19</v>
      </c>
      <c r="I1840" s="9" t="s">
        <v>249</v>
      </c>
      <c r="J1840" s="9" t="s">
        <v>1288</v>
      </c>
      <c r="K1840" s="30">
        <v>1</v>
      </c>
      <c r="L1840" s="9" t="s">
        <v>1289</v>
      </c>
      <c r="M1840" s="30" t="s">
        <v>84</v>
      </c>
      <c r="N1840" s="30" t="s">
        <v>151</v>
      </c>
      <c r="O1840" s="24">
        <v>50</v>
      </c>
      <c r="P1840" s="24">
        <v>97</v>
      </c>
      <c r="Q1840" s="24">
        <v>24</v>
      </c>
      <c r="R1840" s="24">
        <v>0</v>
      </c>
      <c r="S1840" s="24">
        <v>0</v>
      </c>
      <c r="T1840" s="24">
        <v>171</v>
      </c>
    </row>
    <row r="1841" spans="1:20">
      <c r="A1841" s="9" t="s">
        <v>1233</v>
      </c>
      <c r="B1841" s="30" t="s">
        <v>1299</v>
      </c>
      <c r="C1841" s="30" t="str">
        <f>CONCATENATE(VOL_VOLUMEN_SUMINISTROS[[#This Row],[Proyecto]],VOL_VOLUMEN_SUMINISTROS[[#This Row],[J]],VOL_VOLUMEN_SUMINISTROS[[#This Row],[FIN DE SEMANA]])</f>
        <v>1052-2TNO</v>
      </c>
      <c r="D1841" s="360" t="str">
        <f>CONCATENATE(VOL_VOLUMEN_SUMINISTROS[[#This Row],[Grupo]],VOL_VOLUMEN_SUMINISTROS[[#This Row],[Proyecto]],VOL_VOLUMEN_SUMINISTROS[[#This Row],[FIN DE SEMANA]])</f>
        <v>231052-2NO</v>
      </c>
      <c r="E1841" s="30" t="s">
        <v>182</v>
      </c>
      <c r="F1841" s="30" t="s">
        <v>147</v>
      </c>
      <c r="G1841" s="360">
        <v>23</v>
      </c>
      <c r="H1841" s="30">
        <v>19</v>
      </c>
      <c r="I1841" s="9" t="s">
        <v>249</v>
      </c>
      <c r="J1841" s="9" t="s">
        <v>1288</v>
      </c>
      <c r="K1841" s="30">
        <v>1</v>
      </c>
      <c r="L1841" s="9" t="s">
        <v>1289</v>
      </c>
      <c r="M1841" s="30" t="s">
        <v>84</v>
      </c>
      <c r="N1841" s="30" t="s">
        <v>154</v>
      </c>
      <c r="O1841" s="24">
        <v>68</v>
      </c>
      <c r="P1841" s="24">
        <v>73</v>
      </c>
      <c r="Q1841" s="24">
        <v>13</v>
      </c>
      <c r="R1841" s="24">
        <v>0</v>
      </c>
      <c r="S1841" s="24">
        <v>0</v>
      </c>
      <c r="T1841" s="24">
        <v>154</v>
      </c>
    </row>
    <row r="1842" spans="1:20">
      <c r="A1842" s="9" t="s">
        <v>1233</v>
      </c>
      <c r="B1842" s="30" t="s">
        <v>1299</v>
      </c>
      <c r="C1842" s="30" t="str">
        <f>CONCATENATE(VOL_VOLUMEN_SUMINISTROS[[#This Row],[Proyecto]],VOL_VOLUMEN_SUMINISTROS[[#This Row],[J]],VOL_VOLUMEN_SUMINISTROS[[#This Row],[FIN DE SEMANA]])</f>
        <v>1052-2MNO</v>
      </c>
      <c r="D1842" s="360" t="str">
        <f>CONCATENATE(VOL_VOLUMEN_SUMINISTROS[[#This Row],[Grupo]],VOL_VOLUMEN_SUMINISTROS[[#This Row],[Proyecto]],VOL_VOLUMEN_SUMINISTROS[[#This Row],[FIN DE SEMANA]])</f>
        <v>231052-2NO</v>
      </c>
      <c r="E1842" s="30" t="s">
        <v>182</v>
      </c>
      <c r="F1842" s="30" t="s">
        <v>147</v>
      </c>
      <c r="G1842" s="360">
        <v>23</v>
      </c>
      <c r="H1842" s="30">
        <v>19</v>
      </c>
      <c r="I1842" s="9" t="s">
        <v>249</v>
      </c>
      <c r="J1842" s="9" t="s">
        <v>1288</v>
      </c>
      <c r="K1842" s="30">
        <v>3</v>
      </c>
      <c r="L1842" s="9" t="s">
        <v>457</v>
      </c>
      <c r="M1842" s="30" t="s">
        <v>84</v>
      </c>
      <c r="N1842" s="30" t="s">
        <v>151</v>
      </c>
      <c r="O1842" s="24">
        <v>68</v>
      </c>
      <c r="P1842" s="24">
        <v>154</v>
      </c>
      <c r="Q1842" s="24">
        <v>80</v>
      </c>
      <c r="R1842" s="24">
        <v>0</v>
      </c>
      <c r="S1842" s="24">
        <v>0</v>
      </c>
      <c r="T1842" s="24">
        <v>302</v>
      </c>
    </row>
    <row r="1843" spans="1:20">
      <c r="A1843" s="9" t="s">
        <v>1233</v>
      </c>
      <c r="B1843" s="30" t="s">
        <v>1299</v>
      </c>
      <c r="C1843" s="30" t="str">
        <f>CONCATENATE(VOL_VOLUMEN_SUMINISTROS[[#This Row],[Proyecto]],VOL_VOLUMEN_SUMINISTROS[[#This Row],[J]],VOL_VOLUMEN_SUMINISTROS[[#This Row],[FIN DE SEMANA]])</f>
        <v>1052-2TNO</v>
      </c>
      <c r="D1843" s="360" t="str">
        <f>CONCATENATE(VOL_VOLUMEN_SUMINISTROS[[#This Row],[Grupo]],VOL_VOLUMEN_SUMINISTROS[[#This Row],[Proyecto]],VOL_VOLUMEN_SUMINISTROS[[#This Row],[FIN DE SEMANA]])</f>
        <v>231052-2NO</v>
      </c>
      <c r="E1843" s="30" t="s">
        <v>182</v>
      </c>
      <c r="F1843" s="30" t="s">
        <v>147</v>
      </c>
      <c r="G1843" s="360">
        <v>23</v>
      </c>
      <c r="H1843" s="30">
        <v>19</v>
      </c>
      <c r="I1843" s="9" t="s">
        <v>249</v>
      </c>
      <c r="J1843" s="9" t="s">
        <v>1288</v>
      </c>
      <c r="K1843" s="30">
        <v>3</v>
      </c>
      <c r="L1843" s="9" t="s">
        <v>457</v>
      </c>
      <c r="M1843" s="30" t="s">
        <v>84</v>
      </c>
      <c r="N1843" s="30" t="s">
        <v>154</v>
      </c>
      <c r="O1843" s="24">
        <v>150</v>
      </c>
      <c r="P1843" s="24">
        <v>207</v>
      </c>
      <c r="Q1843" s="24">
        <v>94</v>
      </c>
      <c r="R1843" s="24">
        <v>0</v>
      </c>
      <c r="S1843" s="24">
        <v>0</v>
      </c>
      <c r="T1843" s="24">
        <v>451</v>
      </c>
    </row>
    <row r="1844" spans="1:20">
      <c r="A1844" s="9" t="s">
        <v>1233</v>
      </c>
      <c r="B1844" s="30" t="s">
        <v>1299</v>
      </c>
      <c r="C1844" s="30" t="str">
        <f>CONCATENATE(VOL_VOLUMEN_SUMINISTROS[[#This Row],[Proyecto]],VOL_VOLUMEN_SUMINISTROS[[#This Row],[J]],VOL_VOLUMEN_SUMINISTROS[[#This Row],[FIN DE SEMANA]])</f>
        <v>1052-2M1NO</v>
      </c>
      <c r="D1844" s="360" t="str">
        <f>CONCATENATE(VOL_VOLUMEN_SUMINISTROS[[#This Row],[Grupo]],VOL_VOLUMEN_SUMINISTROS[[#This Row],[Proyecto]],VOL_VOLUMEN_SUMINISTROS[[#This Row],[FIN DE SEMANA]])</f>
        <v>231052-2NO</v>
      </c>
      <c r="E1844" s="30" t="s">
        <v>182</v>
      </c>
      <c r="F1844" s="30" t="s">
        <v>147</v>
      </c>
      <c r="G1844" s="360">
        <v>23</v>
      </c>
      <c r="H1844" s="30">
        <v>19</v>
      </c>
      <c r="I1844" s="9" t="s">
        <v>249</v>
      </c>
      <c r="J1844" s="9" t="s">
        <v>1291</v>
      </c>
      <c r="K1844" s="30">
        <v>1</v>
      </c>
      <c r="L1844" s="9" t="s">
        <v>1292</v>
      </c>
      <c r="M1844" s="30" t="s">
        <v>84</v>
      </c>
      <c r="N1844" s="30" t="s">
        <v>215</v>
      </c>
      <c r="O1844" s="24">
        <v>122</v>
      </c>
      <c r="P1844" s="24">
        <v>169</v>
      </c>
      <c r="Q1844" s="24">
        <v>112</v>
      </c>
      <c r="R1844" s="24">
        <v>0</v>
      </c>
      <c r="S1844" s="24">
        <v>0</v>
      </c>
      <c r="T1844" s="24">
        <v>403</v>
      </c>
    </row>
    <row r="1845" spans="1:20">
      <c r="A1845" s="9" t="s">
        <v>1233</v>
      </c>
      <c r="B1845" s="30" t="s">
        <v>1299</v>
      </c>
      <c r="C1845" s="30" t="str">
        <f>CONCATENATE(VOL_VOLUMEN_SUMINISTROS[[#This Row],[Proyecto]],VOL_VOLUMEN_SUMINISTROS[[#This Row],[J]],VOL_VOLUMEN_SUMINISTROS[[#This Row],[FIN DE SEMANA]])</f>
        <v>1052-2M1NO</v>
      </c>
      <c r="D1845" s="360" t="str">
        <f>CONCATENATE(VOL_VOLUMEN_SUMINISTROS[[#This Row],[Grupo]],VOL_VOLUMEN_SUMINISTROS[[#This Row],[Proyecto]],VOL_VOLUMEN_SUMINISTROS[[#This Row],[FIN DE SEMANA]])</f>
        <v>231052-2NO</v>
      </c>
      <c r="E1845" s="30" t="s">
        <v>182</v>
      </c>
      <c r="F1845" s="30" t="s">
        <v>147</v>
      </c>
      <c r="G1845" s="360">
        <v>23</v>
      </c>
      <c r="H1845" s="30">
        <v>19</v>
      </c>
      <c r="I1845" s="9" t="s">
        <v>249</v>
      </c>
      <c r="J1845" s="9" t="s">
        <v>1291</v>
      </c>
      <c r="K1845" s="30">
        <v>2</v>
      </c>
      <c r="L1845" s="9" t="s">
        <v>1293</v>
      </c>
      <c r="M1845" s="30" t="s">
        <v>84</v>
      </c>
      <c r="N1845" s="30" t="s">
        <v>215</v>
      </c>
      <c r="O1845" s="24">
        <v>88</v>
      </c>
      <c r="P1845" s="24">
        <v>92</v>
      </c>
      <c r="Q1845" s="24">
        <v>16</v>
      </c>
      <c r="R1845" s="24">
        <v>0</v>
      </c>
      <c r="S1845" s="24">
        <v>0</v>
      </c>
      <c r="T1845" s="24">
        <v>196</v>
      </c>
    </row>
    <row r="1846" spans="1:20">
      <c r="A1846" s="9" t="s">
        <v>1233</v>
      </c>
      <c r="B1846" s="30" t="s">
        <v>1299</v>
      </c>
      <c r="C1846" s="30" t="str">
        <f>CONCATENATE(VOL_VOLUMEN_SUMINISTROS[[#This Row],[Proyecto]],VOL_VOLUMEN_SUMINISTROS[[#This Row],[J]],VOL_VOLUMEN_SUMINISTROS[[#This Row],[FIN DE SEMANA]])</f>
        <v>1052-2M1NO</v>
      </c>
      <c r="D1846" s="360" t="str">
        <f>CONCATENATE(VOL_VOLUMEN_SUMINISTROS[[#This Row],[Grupo]],VOL_VOLUMEN_SUMINISTROS[[#This Row],[Proyecto]],VOL_VOLUMEN_SUMINISTROS[[#This Row],[FIN DE SEMANA]])</f>
        <v>231052-2NO</v>
      </c>
      <c r="E1846" s="30" t="s">
        <v>182</v>
      </c>
      <c r="F1846" s="30" t="s">
        <v>147</v>
      </c>
      <c r="G1846" s="360">
        <v>23</v>
      </c>
      <c r="H1846" s="30">
        <v>19</v>
      </c>
      <c r="I1846" s="9" t="s">
        <v>249</v>
      </c>
      <c r="J1846" s="9" t="s">
        <v>1296</v>
      </c>
      <c r="K1846" s="30">
        <v>1</v>
      </c>
      <c r="L1846" s="9" t="s">
        <v>1297</v>
      </c>
      <c r="M1846" s="30" t="s">
        <v>84</v>
      </c>
      <c r="N1846" s="30" t="s">
        <v>215</v>
      </c>
      <c r="O1846" s="24">
        <v>0</v>
      </c>
      <c r="P1846" s="24">
        <v>81</v>
      </c>
      <c r="Q1846" s="24">
        <v>27</v>
      </c>
      <c r="R1846" s="24">
        <v>0</v>
      </c>
      <c r="S1846" s="24">
        <v>0</v>
      </c>
      <c r="T1846" s="24">
        <v>108</v>
      </c>
    </row>
    <row r="1847" spans="1:20">
      <c r="A1847" s="9" t="s">
        <v>1233</v>
      </c>
      <c r="B1847" s="30" t="s">
        <v>1299</v>
      </c>
      <c r="C1847" s="30" t="str">
        <f>CONCATENATE(VOL_VOLUMEN_SUMINISTROS[[#This Row],[Proyecto]],VOL_VOLUMEN_SUMINISTROS[[#This Row],[J]],VOL_VOLUMEN_SUMINISTROS[[#This Row],[FIN DE SEMANA]])</f>
        <v>1052-2TNO</v>
      </c>
      <c r="D1847" s="360" t="str">
        <f>CONCATENATE(VOL_VOLUMEN_SUMINISTROS[[#This Row],[Grupo]],VOL_VOLUMEN_SUMINISTROS[[#This Row],[Proyecto]],VOL_VOLUMEN_SUMINISTROS[[#This Row],[FIN DE SEMANA]])</f>
        <v>231052-2NO</v>
      </c>
      <c r="E1847" s="30" t="s">
        <v>182</v>
      </c>
      <c r="F1847" s="30" t="s">
        <v>147</v>
      </c>
      <c r="G1847" s="360">
        <v>23</v>
      </c>
      <c r="H1847" s="30">
        <v>19</v>
      </c>
      <c r="I1847" s="9" t="s">
        <v>249</v>
      </c>
      <c r="J1847" s="9" t="s">
        <v>1296</v>
      </c>
      <c r="K1847" s="30">
        <v>1</v>
      </c>
      <c r="L1847" s="9" t="s">
        <v>1297</v>
      </c>
      <c r="M1847" s="30" t="s">
        <v>84</v>
      </c>
      <c r="N1847" s="30" t="s">
        <v>154</v>
      </c>
      <c r="O1847" s="24">
        <v>0</v>
      </c>
      <c r="P1847" s="24">
        <v>0</v>
      </c>
      <c r="Q1847" s="24">
        <v>112</v>
      </c>
      <c r="R1847" s="24">
        <v>0</v>
      </c>
      <c r="S1847" s="24">
        <v>0</v>
      </c>
      <c r="T1847" s="24">
        <v>112</v>
      </c>
    </row>
    <row r="1848" spans="1:20">
      <c r="A1848" s="9" t="s">
        <v>1233</v>
      </c>
      <c r="B1848" s="30" t="s">
        <v>1301</v>
      </c>
      <c r="C1848" s="30" t="str">
        <f>CONCATENATE(VOL_VOLUMEN_SUMINISTROS[[#This Row],[Proyecto]],VOL_VOLUMEN_SUMINISTROS[[#This Row],[J]],VOL_VOLUMEN_SUMINISTROS[[#This Row],[FIN DE SEMANA]])</f>
        <v>1052-2MNO</v>
      </c>
      <c r="D1848" s="360" t="str">
        <f>CONCATENATE(VOL_VOLUMEN_SUMINISTROS[[#This Row],[Grupo]],VOL_VOLUMEN_SUMINISTROS[[#This Row],[Proyecto]],VOL_VOLUMEN_SUMINISTROS[[#This Row],[FIN DE SEMANA]])</f>
        <v>221052-2NO</v>
      </c>
      <c r="E1848" s="30" t="s">
        <v>182</v>
      </c>
      <c r="F1848" s="30" t="s">
        <v>147</v>
      </c>
      <c r="G1848" s="360">
        <v>22</v>
      </c>
      <c r="H1848" s="30">
        <v>19</v>
      </c>
      <c r="I1848" s="9" t="s">
        <v>249</v>
      </c>
      <c r="J1848" s="9" t="s">
        <v>1239</v>
      </c>
      <c r="K1848" s="30">
        <v>1</v>
      </c>
      <c r="L1848" s="9" t="s">
        <v>1240</v>
      </c>
      <c r="M1848" s="30" t="s">
        <v>84</v>
      </c>
      <c r="N1848" s="30" t="s">
        <v>151</v>
      </c>
      <c r="O1848" s="24">
        <v>0</v>
      </c>
      <c r="P1848" s="24">
        <v>0</v>
      </c>
      <c r="Q1848" s="24">
        <v>132</v>
      </c>
      <c r="R1848" s="24">
        <v>0</v>
      </c>
      <c r="S1848" s="24">
        <v>0</v>
      </c>
      <c r="T1848" s="24">
        <v>132</v>
      </c>
    </row>
    <row r="1849" spans="1:20">
      <c r="A1849" s="9" t="s">
        <v>1233</v>
      </c>
      <c r="B1849" s="30" t="s">
        <v>1301</v>
      </c>
      <c r="C1849" s="30" t="str">
        <f>CONCATENATE(VOL_VOLUMEN_SUMINISTROS[[#This Row],[Proyecto]],VOL_VOLUMEN_SUMINISTROS[[#This Row],[J]],VOL_VOLUMEN_SUMINISTROS[[#This Row],[FIN DE SEMANA]])</f>
        <v>1052-2MNO</v>
      </c>
      <c r="D1849" s="360" t="str">
        <f>CONCATENATE(VOL_VOLUMEN_SUMINISTROS[[#This Row],[Grupo]],VOL_VOLUMEN_SUMINISTROS[[#This Row],[Proyecto]],VOL_VOLUMEN_SUMINISTROS[[#This Row],[FIN DE SEMANA]])</f>
        <v>231052-2NO</v>
      </c>
      <c r="E1849" s="30" t="s">
        <v>182</v>
      </c>
      <c r="F1849" s="30" t="s">
        <v>147</v>
      </c>
      <c r="G1849" s="360">
        <v>23</v>
      </c>
      <c r="H1849" s="30">
        <v>19</v>
      </c>
      <c r="I1849" s="9" t="s">
        <v>249</v>
      </c>
      <c r="J1849" s="9" t="s">
        <v>1271</v>
      </c>
      <c r="K1849" s="30">
        <v>1</v>
      </c>
      <c r="L1849" s="9" t="s">
        <v>1272</v>
      </c>
      <c r="M1849" s="30" t="s">
        <v>84</v>
      </c>
      <c r="N1849" s="30" t="s">
        <v>151</v>
      </c>
      <c r="O1849" s="24">
        <v>0</v>
      </c>
      <c r="P1849" s="24">
        <v>0</v>
      </c>
      <c r="Q1849" s="24">
        <v>60</v>
      </c>
      <c r="R1849" s="24">
        <v>0</v>
      </c>
      <c r="S1849" s="24">
        <v>0</v>
      </c>
      <c r="T1849" s="24">
        <v>60</v>
      </c>
    </row>
    <row r="1850" spans="1:20">
      <c r="A1850" s="9" t="s">
        <v>1233</v>
      </c>
      <c r="B1850" s="30" t="s">
        <v>1301</v>
      </c>
      <c r="C1850" s="30" t="str">
        <f>CONCATENATE(VOL_VOLUMEN_SUMINISTROS[[#This Row],[Proyecto]],VOL_VOLUMEN_SUMINISTROS[[#This Row],[J]],VOL_VOLUMEN_SUMINISTROS[[#This Row],[FIN DE SEMANA]])</f>
        <v>1052-2TNO</v>
      </c>
      <c r="D1850" s="360" t="str">
        <f>CONCATENATE(VOL_VOLUMEN_SUMINISTROS[[#This Row],[Grupo]],VOL_VOLUMEN_SUMINISTROS[[#This Row],[Proyecto]],VOL_VOLUMEN_SUMINISTROS[[#This Row],[FIN DE SEMANA]])</f>
        <v>231052-2NO</v>
      </c>
      <c r="E1850" s="30" t="s">
        <v>182</v>
      </c>
      <c r="F1850" s="30" t="s">
        <v>147</v>
      </c>
      <c r="G1850" s="360">
        <v>23</v>
      </c>
      <c r="H1850" s="30">
        <v>19</v>
      </c>
      <c r="I1850" s="9" t="s">
        <v>249</v>
      </c>
      <c r="J1850" s="9" t="s">
        <v>1271</v>
      </c>
      <c r="K1850" s="30">
        <v>1</v>
      </c>
      <c r="L1850" s="9" t="s">
        <v>1272</v>
      </c>
      <c r="M1850" s="30" t="s">
        <v>84</v>
      </c>
      <c r="N1850" s="30" t="s">
        <v>154</v>
      </c>
      <c r="O1850" s="24">
        <v>0</v>
      </c>
      <c r="P1850" s="24">
        <v>0</v>
      </c>
      <c r="Q1850" s="24">
        <v>75</v>
      </c>
      <c r="R1850" s="24">
        <v>0</v>
      </c>
      <c r="S1850" s="24">
        <v>0</v>
      </c>
      <c r="T1850" s="24">
        <v>75</v>
      </c>
    </row>
    <row r="1851" spans="1:20">
      <c r="A1851" s="9" t="s">
        <v>1233</v>
      </c>
      <c r="B1851" s="30" t="s">
        <v>1301</v>
      </c>
      <c r="C1851" s="30" t="str">
        <f>CONCATENATE(VOL_VOLUMEN_SUMINISTROS[[#This Row],[Proyecto]],VOL_VOLUMEN_SUMINISTROS[[#This Row],[J]],VOL_VOLUMEN_SUMINISTROS[[#This Row],[FIN DE SEMANA]])</f>
        <v>1052-2MNO</v>
      </c>
      <c r="D1851" s="360" t="str">
        <f>CONCATENATE(VOL_VOLUMEN_SUMINISTROS[[#This Row],[Grupo]],VOL_VOLUMEN_SUMINISTROS[[#This Row],[Proyecto]],VOL_VOLUMEN_SUMINISTROS[[#This Row],[FIN DE SEMANA]])</f>
        <v>231052-2NO</v>
      </c>
      <c r="E1851" s="30" t="s">
        <v>182</v>
      </c>
      <c r="F1851" s="30" t="s">
        <v>147</v>
      </c>
      <c r="G1851" s="360">
        <v>23</v>
      </c>
      <c r="H1851" s="30">
        <v>19</v>
      </c>
      <c r="I1851" s="9" t="s">
        <v>249</v>
      </c>
      <c r="J1851" s="9" t="s">
        <v>1271</v>
      </c>
      <c r="K1851" s="30">
        <v>2</v>
      </c>
      <c r="L1851" s="9" t="s">
        <v>1098</v>
      </c>
      <c r="M1851" s="30" t="s">
        <v>84</v>
      </c>
      <c r="N1851" s="30" t="s">
        <v>151</v>
      </c>
      <c r="O1851" s="24">
        <v>0</v>
      </c>
      <c r="P1851" s="24">
        <v>0</v>
      </c>
      <c r="Q1851" s="24">
        <v>27</v>
      </c>
      <c r="R1851" s="24">
        <v>0</v>
      </c>
      <c r="S1851" s="24">
        <v>0</v>
      </c>
      <c r="T1851" s="24">
        <v>27</v>
      </c>
    </row>
    <row r="1852" spans="1:20">
      <c r="A1852" s="9" t="s">
        <v>1233</v>
      </c>
      <c r="B1852" s="30" t="s">
        <v>1301</v>
      </c>
      <c r="C1852" s="30" t="str">
        <f>CONCATENATE(VOL_VOLUMEN_SUMINISTROS[[#This Row],[Proyecto]],VOL_VOLUMEN_SUMINISTROS[[#This Row],[J]],VOL_VOLUMEN_SUMINISTROS[[#This Row],[FIN DE SEMANA]])</f>
        <v>1052-2TNO</v>
      </c>
      <c r="D1852" s="360" t="str">
        <f>CONCATENATE(VOL_VOLUMEN_SUMINISTROS[[#This Row],[Grupo]],VOL_VOLUMEN_SUMINISTROS[[#This Row],[Proyecto]],VOL_VOLUMEN_SUMINISTROS[[#This Row],[FIN DE SEMANA]])</f>
        <v>231052-2NO</v>
      </c>
      <c r="E1852" s="30" t="s">
        <v>182</v>
      </c>
      <c r="F1852" s="30" t="s">
        <v>147</v>
      </c>
      <c r="G1852" s="360">
        <v>23</v>
      </c>
      <c r="H1852" s="30">
        <v>19</v>
      </c>
      <c r="I1852" s="9" t="s">
        <v>249</v>
      </c>
      <c r="J1852" s="9" t="s">
        <v>1271</v>
      </c>
      <c r="K1852" s="30">
        <v>2</v>
      </c>
      <c r="L1852" s="9" t="s">
        <v>1098</v>
      </c>
      <c r="M1852" s="30" t="s">
        <v>84</v>
      </c>
      <c r="N1852" s="30" t="s">
        <v>154</v>
      </c>
      <c r="O1852" s="24">
        <v>0</v>
      </c>
      <c r="P1852" s="24">
        <v>0</v>
      </c>
      <c r="Q1852" s="24">
        <v>25</v>
      </c>
      <c r="R1852" s="24">
        <v>0</v>
      </c>
      <c r="S1852" s="24">
        <v>0</v>
      </c>
      <c r="T1852" s="24">
        <v>25</v>
      </c>
    </row>
    <row r="1853" spans="1:20">
      <c r="A1853" s="9" t="s">
        <v>1233</v>
      </c>
      <c r="B1853" s="30" t="s">
        <v>1301</v>
      </c>
      <c r="C1853" s="30" t="str">
        <f>CONCATENATE(VOL_VOLUMEN_SUMINISTROS[[#This Row],[Proyecto]],VOL_VOLUMEN_SUMINISTROS[[#This Row],[J]],VOL_VOLUMEN_SUMINISTROS[[#This Row],[FIN DE SEMANA]])</f>
        <v>1052-2MNO</v>
      </c>
      <c r="D1853" s="360" t="str">
        <f>CONCATENATE(VOL_VOLUMEN_SUMINISTROS[[#This Row],[Grupo]],VOL_VOLUMEN_SUMINISTROS[[#This Row],[Proyecto]],VOL_VOLUMEN_SUMINISTROS[[#This Row],[FIN DE SEMANA]])</f>
        <v>231052-2NO</v>
      </c>
      <c r="E1853" s="30" t="s">
        <v>182</v>
      </c>
      <c r="F1853" s="30" t="s">
        <v>147</v>
      </c>
      <c r="G1853" s="360">
        <v>23</v>
      </c>
      <c r="H1853" s="30">
        <v>19</v>
      </c>
      <c r="I1853" s="9" t="s">
        <v>249</v>
      </c>
      <c r="J1853" s="9" t="s">
        <v>1273</v>
      </c>
      <c r="K1853" s="30">
        <v>1</v>
      </c>
      <c r="L1853" s="9" t="s">
        <v>1274</v>
      </c>
      <c r="M1853" s="30" t="s">
        <v>84</v>
      </c>
      <c r="N1853" s="30" t="s">
        <v>151</v>
      </c>
      <c r="O1853" s="24">
        <v>0</v>
      </c>
      <c r="P1853" s="24">
        <v>0</v>
      </c>
      <c r="Q1853" s="24">
        <v>65</v>
      </c>
      <c r="R1853" s="24">
        <v>0</v>
      </c>
      <c r="S1853" s="24">
        <v>0</v>
      </c>
      <c r="T1853" s="24">
        <v>65</v>
      </c>
    </row>
    <row r="1854" spans="1:20">
      <c r="A1854" s="9" t="s">
        <v>1233</v>
      </c>
      <c r="B1854" s="30" t="s">
        <v>1301</v>
      </c>
      <c r="C1854" s="30" t="str">
        <f>CONCATENATE(VOL_VOLUMEN_SUMINISTROS[[#This Row],[Proyecto]],VOL_VOLUMEN_SUMINISTROS[[#This Row],[J]],VOL_VOLUMEN_SUMINISTROS[[#This Row],[FIN DE SEMANA]])</f>
        <v>1052-2TNO</v>
      </c>
      <c r="D1854" s="360" t="str">
        <f>CONCATENATE(VOL_VOLUMEN_SUMINISTROS[[#This Row],[Grupo]],VOL_VOLUMEN_SUMINISTROS[[#This Row],[Proyecto]],VOL_VOLUMEN_SUMINISTROS[[#This Row],[FIN DE SEMANA]])</f>
        <v>231052-2NO</v>
      </c>
      <c r="E1854" s="30" t="s">
        <v>182</v>
      </c>
      <c r="F1854" s="30" t="s">
        <v>147</v>
      </c>
      <c r="G1854" s="360">
        <v>23</v>
      </c>
      <c r="H1854" s="30">
        <v>19</v>
      </c>
      <c r="I1854" s="9" t="s">
        <v>249</v>
      </c>
      <c r="J1854" s="9" t="s">
        <v>1273</v>
      </c>
      <c r="K1854" s="30">
        <v>1</v>
      </c>
      <c r="L1854" s="9" t="s">
        <v>1274</v>
      </c>
      <c r="M1854" s="30" t="s">
        <v>84</v>
      </c>
      <c r="N1854" s="30" t="s">
        <v>154</v>
      </c>
      <c r="O1854" s="24">
        <v>0</v>
      </c>
      <c r="P1854" s="24">
        <v>0</v>
      </c>
      <c r="Q1854" s="24">
        <v>70</v>
      </c>
      <c r="R1854" s="24">
        <v>0</v>
      </c>
      <c r="S1854" s="24">
        <v>0</v>
      </c>
      <c r="T1854" s="24">
        <v>70</v>
      </c>
    </row>
    <row r="1855" spans="1:20">
      <c r="A1855" s="9" t="s">
        <v>1233</v>
      </c>
      <c r="B1855" s="30" t="s">
        <v>1301</v>
      </c>
      <c r="C1855" s="30" t="str">
        <f>CONCATENATE(VOL_VOLUMEN_SUMINISTROS[[#This Row],[Proyecto]],VOL_VOLUMEN_SUMINISTROS[[#This Row],[J]],VOL_VOLUMEN_SUMINISTROS[[#This Row],[FIN DE SEMANA]])</f>
        <v>1052-2MNO</v>
      </c>
      <c r="D1855" s="360" t="str">
        <f>CONCATENATE(VOL_VOLUMEN_SUMINISTROS[[#This Row],[Grupo]],VOL_VOLUMEN_SUMINISTROS[[#This Row],[Proyecto]],VOL_VOLUMEN_SUMINISTROS[[#This Row],[FIN DE SEMANA]])</f>
        <v>231052-2NO</v>
      </c>
      <c r="E1855" s="30" t="s">
        <v>182</v>
      </c>
      <c r="F1855" s="30" t="s">
        <v>147</v>
      </c>
      <c r="G1855" s="360">
        <v>23</v>
      </c>
      <c r="H1855" s="30">
        <v>19</v>
      </c>
      <c r="I1855" s="9" t="s">
        <v>249</v>
      </c>
      <c r="J1855" s="9" t="s">
        <v>1275</v>
      </c>
      <c r="K1855" s="30">
        <v>1</v>
      </c>
      <c r="L1855" s="9" t="s">
        <v>1276</v>
      </c>
      <c r="M1855" s="30" t="s">
        <v>84</v>
      </c>
      <c r="N1855" s="30" t="s">
        <v>151</v>
      </c>
      <c r="O1855" s="24">
        <v>0</v>
      </c>
      <c r="P1855" s="24">
        <v>0</v>
      </c>
      <c r="Q1855" s="24">
        <v>45</v>
      </c>
      <c r="R1855" s="24">
        <v>0</v>
      </c>
      <c r="S1855" s="24">
        <v>0</v>
      </c>
      <c r="T1855" s="24">
        <v>45</v>
      </c>
    </row>
    <row r="1856" spans="1:20">
      <c r="A1856" s="9" t="s">
        <v>1233</v>
      </c>
      <c r="B1856" s="30" t="s">
        <v>1301</v>
      </c>
      <c r="C1856" s="30" t="str">
        <f>CONCATENATE(VOL_VOLUMEN_SUMINISTROS[[#This Row],[Proyecto]],VOL_VOLUMEN_SUMINISTROS[[#This Row],[J]],VOL_VOLUMEN_SUMINISTROS[[#This Row],[FIN DE SEMANA]])</f>
        <v>1052-2TNO</v>
      </c>
      <c r="D1856" s="360" t="str">
        <f>CONCATENATE(VOL_VOLUMEN_SUMINISTROS[[#This Row],[Grupo]],VOL_VOLUMEN_SUMINISTROS[[#This Row],[Proyecto]],VOL_VOLUMEN_SUMINISTROS[[#This Row],[FIN DE SEMANA]])</f>
        <v>231052-2NO</v>
      </c>
      <c r="E1856" s="30" t="s">
        <v>182</v>
      </c>
      <c r="F1856" s="30" t="s">
        <v>147</v>
      </c>
      <c r="G1856" s="360">
        <v>23</v>
      </c>
      <c r="H1856" s="30">
        <v>19</v>
      </c>
      <c r="I1856" s="9" t="s">
        <v>249</v>
      </c>
      <c r="J1856" s="9" t="s">
        <v>1275</v>
      </c>
      <c r="K1856" s="30">
        <v>1</v>
      </c>
      <c r="L1856" s="9" t="s">
        <v>1276</v>
      </c>
      <c r="M1856" s="30" t="s">
        <v>84</v>
      </c>
      <c r="N1856" s="30" t="s">
        <v>154</v>
      </c>
      <c r="O1856" s="24">
        <v>0</v>
      </c>
      <c r="P1856" s="24">
        <v>0</v>
      </c>
      <c r="Q1856" s="24">
        <v>45</v>
      </c>
      <c r="R1856" s="24">
        <v>0</v>
      </c>
      <c r="S1856" s="24">
        <v>0</v>
      </c>
      <c r="T1856" s="24">
        <v>45</v>
      </c>
    </row>
    <row r="1857" spans="1:20">
      <c r="A1857" s="9" t="s">
        <v>1233</v>
      </c>
      <c r="B1857" s="30" t="s">
        <v>1301</v>
      </c>
      <c r="C1857" s="30" t="str">
        <f>CONCATENATE(VOL_VOLUMEN_SUMINISTROS[[#This Row],[Proyecto]],VOL_VOLUMEN_SUMINISTROS[[#This Row],[J]],VOL_VOLUMEN_SUMINISTROS[[#This Row],[FIN DE SEMANA]])</f>
        <v>1052-2MNO</v>
      </c>
      <c r="D1857" s="360" t="str">
        <f>CONCATENATE(VOL_VOLUMEN_SUMINISTROS[[#This Row],[Grupo]],VOL_VOLUMEN_SUMINISTROS[[#This Row],[Proyecto]],VOL_VOLUMEN_SUMINISTROS[[#This Row],[FIN DE SEMANA]])</f>
        <v>221052-2NO</v>
      </c>
      <c r="E1857" s="30" t="s">
        <v>182</v>
      </c>
      <c r="F1857" s="30" t="s">
        <v>147</v>
      </c>
      <c r="G1857" s="360">
        <v>22</v>
      </c>
      <c r="H1857" s="30">
        <v>19</v>
      </c>
      <c r="I1857" s="9" t="s">
        <v>249</v>
      </c>
      <c r="J1857" s="9" t="s">
        <v>1241</v>
      </c>
      <c r="K1857" s="30">
        <v>1</v>
      </c>
      <c r="L1857" s="9" t="s">
        <v>1242</v>
      </c>
      <c r="M1857" s="30" t="s">
        <v>84</v>
      </c>
      <c r="N1857" s="30" t="s">
        <v>151</v>
      </c>
      <c r="O1857" s="24">
        <v>0</v>
      </c>
      <c r="P1857" s="24">
        <v>0</v>
      </c>
      <c r="Q1857" s="24">
        <v>338</v>
      </c>
      <c r="R1857" s="24">
        <v>0</v>
      </c>
      <c r="S1857" s="24">
        <v>0</v>
      </c>
      <c r="T1857" s="24">
        <v>338</v>
      </c>
    </row>
    <row r="1858" spans="1:20">
      <c r="A1858" s="9" t="s">
        <v>1233</v>
      </c>
      <c r="B1858" s="30" t="s">
        <v>1301</v>
      </c>
      <c r="C1858" s="30" t="str">
        <f>CONCATENATE(VOL_VOLUMEN_SUMINISTROS[[#This Row],[Proyecto]],VOL_VOLUMEN_SUMINISTROS[[#This Row],[J]],VOL_VOLUMEN_SUMINISTROS[[#This Row],[FIN DE SEMANA]])</f>
        <v>1052-2MNO</v>
      </c>
      <c r="D1858" s="360" t="str">
        <f>CONCATENATE(VOL_VOLUMEN_SUMINISTROS[[#This Row],[Grupo]],VOL_VOLUMEN_SUMINISTROS[[#This Row],[Proyecto]],VOL_VOLUMEN_SUMINISTROS[[#This Row],[FIN DE SEMANA]])</f>
        <v>231052-2NO</v>
      </c>
      <c r="E1858" s="30" t="s">
        <v>182</v>
      </c>
      <c r="F1858" s="30" t="s">
        <v>147</v>
      </c>
      <c r="G1858" s="360">
        <v>23</v>
      </c>
      <c r="H1858" s="30">
        <v>19</v>
      </c>
      <c r="I1858" s="9" t="s">
        <v>249</v>
      </c>
      <c r="J1858" s="9" t="s">
        <v>1279</v>
      </c>
      <c r="K1858" s="30">
        <v>4</v>
      </c>
      <c r="L1858" s="9" t="s">
        <v>1283</v>
      </c>
      <c r="M1858" s="30" t="s">
        <v>84</v>
      </c>
      <c r="N1858" s="30" t="s">
        <v>151</v>
      </c>
      <c r="O1858" s="24">
        <v>0</v>
      </c>
      <c r="P1858" s="24">
        <v>0</v>
      </c>
      <c r="Q1858" s="24">
        <v>52</v>
      </c>
      <c r="R1858" s="24">
        <v>0</v>
      </c>
      <c r="S1858" s="24">
        <v>0</v>
      </c>
      <c r="T1858" s="24">
        <v>52</v>
      </c>
    </row>
    <row r="1859" spans="1:20">
      <c r="A1859" s="9" t="s">
        <v>1233</v>
      </c>
      <c r="B1859" s="30" t="s">
        <v>1301</v>
      </c>
      <c r="C1859" s="30" t="str">
        <f>CONCATENATE(VOL_VOLUMEN_SUMINISTROS[[#This Row],[Proyecto]],VOL_VOLUMEN_SUMINISTROS[[#This Row],[J]],VOL_VOLUMEN_SUMINISTROS[[#This Row],[FIN DE SEMANA]])</f>
        <v>1052-2TNO</v>
      </c>
      <c r="D1859" s="360" t="str">
        <f>CONCATENATE(VOL_VOLUMEN_SUMINISTROS[[#This Row],[Grupo]],VOL_VOLUMEN_SUMINISTROS[[#This Row],[Proyecto]],VOL_VOLUMEN_SUMINISTROS[[#This Row],[FIN DE SEMANA]])</f>
        <v>231052-2NO</v>
      </c>
      <c r="E1859" s="30" t="s">
        <v>182</v>
      </c>
      <c r="F1859" s="30" t="s">
        <v>147</v>
      </c>
      <c r="G1859" s="360">
        <v>23</v>
      </c>
      <c r="H1859" s="30">
        <v>19</v>
      </c>
      <c r="I1859" s="9" t="s">
        <v>249</v>
      </c>
      <c r="J1859" s="9" t="s">
        <v>1279</v>
      </c>
      <c r="K1859" s="30">
        <v>4</v>
      </c>
      <c r="L1859" s="9" t="s">
        <v>1283</v>
      </c>
      <c r="M1859" s="30" t="s">
        <v>84</v>
      </c>
      <c r="N1859" s="30" t="s">
        <v>154</v>
      </c>
      <c r="O1859" s="24">
        <v>0</v>
      </c>
      <c r="P1859" s="24">
        <v>0</v>
      </c>
      <c r="Q1859" s="24">
        <v>68</v>
      </c>
      <c r="R1859" s="24">
        <v>0</v>
      </c>
      <c r="S1859" s="24">
        <v>0</v>
      </c>
      <c r="T1859" s="24">
        <v>68</v>
      </c>
    </row>
    <row r="1860" spans="1:20">
      <c r="A1860" s="9" t="s">
        <v>1233</v>
      </c>
      <c r="B1860" s="30" t="s">
        <v>1301</v>
      </c>
      <c r="C1860" s="30" t="str">
        <f>CONCATENATE(VOL_VOLUMEN_SUMINISTROS[[#This Row],[Proyecto]],VOL_VOLUMEN_SUMINISTROS[[#This Row],[J]],VOL_VOLUMEN_SUMINISTROS[[#This Row],[FIN DE SEMANA]])</f>
        <v>1052-2MNO</v>
      </c>
      <c r="D1860" s="360" t="str">
        <f>CONCATENATE(VOL_VOLUMEN_SUMINISTROS[[#This Row],[Grupo]],VOL_VOLUMEN_SUMINISTROS[[#This Row],[Proyecto]],VOL_VOLUMEN_SUMINISTROS[[#This Row],[FIN DE SEMANA]])</f>
        <v>221052-2NO</v>
      </c>
      <c r="E1860" s="30" t="s">
        <v>182</v>
      </c>
      <c r="F1860" s="30" t="s">
        <v>147</v>
      </c>
      <c r="G1860" s="360">
        <v>22</v>
      </c>
      <c r="H1860" s="30">
        <v>19</v>
      </c>
      <c r="I1860" s="9" t="s">
        <v>249</v>
      </c>
      <c r="J1860" s="9" t="s">
        <v>1254</v>
      </c>
      <c r="K1860" s="30">
        <v>1</v>
      </c>
      <c r="L1860" s="9" t="s">
        <v>1255</v>
      </c>
      <c r="M1860" s="30" t="s">
        <v>84</v>
      </c>
      <c r="N1860" s="30" t="s">
        <v>151</v>
      </c>
      <c r="O1860" s="24">
        <v>0</v>
      </c>
      <c r="P1860" s="24">
        <v>0</v>
      </c>
      <c r="Q1860" s="24">
        <v>85</v>
      </c>
      <c r="R1860" s="24">
        <v>0</v>
      </c>
      <c r="S1860" s="24">
        <v>0</v>
      </c>
      <c r="T1860" s="24">
        <v>85</v>
      </c>
    </row>
    <row r="1861" spans="1:20">
      <c r="A1861" s="9" t="s">
        <v>1233</v>
      </c>
      <c r="B1861" s="30" t="s">
        <v>1301</v>
      </c>
      <c r="C1861" s="30" t="str">
        <f>CONCATENATE(VOL_VOLUMEN_SUMINISTROS[[#This Row],[Proyecto]],VOL_VOLUMEN_SUMINISTROS[[#This Row],[J]],VOL_VOLUMEN_SUMINISTROS[[#This Row],[FIN DE SEMANA]])</f>
        <v>1052-2TNO</v>
      </c>
      <c r="D1861" s="360" t="str">
        <f>CONCATENATE(VOL_VOLUMEN_SUMINISTROS[[#This Row],[Grupo]],VOL_VOLUMEN_SUMINISTROS[[#This Row],[Proyecto]],VOL_VOLUMEN_SUMINISTROS[[#This Row],[FIN DE SEMANA]])</f>
        <v>231052-2NO</v>
      </c>
      <c r="E1861" s="30" t="s">
        <v>182</v>
      </c>
      <c r="F1861" s="30" t="s">
        <v>147</v>
      </c>
      <c r="G1861" s="360">
        <v>23</v>
      </c>
      <c r="H1861" s="30">
        <v>19</v>
      </c>
      <c r="I1861" s="9" t="s">
        <v>249</v>
      </c>
      <c r="J1861" s="9" t="s">
        <v>1296</v>
      </c>
      <c r="K1861" s="30">
        <v>1</v>
      </c>
      <c r="L1861" s="9" t="s">
        <v>1297</v>
      </c>
      <c r="M1861" s="30" t="s">
        <v>84</v>
      </c>
      <c r="N1861" s="30" t="s">
        <v>154</v>
      </c>
      <c r="O1861" s="24">
        <v>0</v>
      </c>
      <c r="P1861" s="24">
        <v>0</v>
      </c>
      <c r="Q1861" s="24">
        <v>94</v>
      </c>
      <c r="R1861" s="24">
        <v>0</v>
      </c>
      <c r="S1861" s="24">
        <v>0</v>
      </c>
      <c r="T1861" s="24">
        <v>94</v>
      </c>
    </row>
    <row r="1862" spans="1:20">
      <c r="A1862" s="9" t="s">
        <v>1233</v>
      </c>
      <c r="B1862" s="30" t="s">
        <v>1301</v>
      </c>
      <c r="C1862" s="30" t="str">
        <f>CONCATENATE(VOL_VOLUMEN_SUMINISTROS[[#This Row],[Proyecto]],VOL_VOLUMEN_SUMINISTROS[[#This Row],[J]],VOL_VOLUMEN_SUMINISTROS[[#This Row],[FIN DE SEMANA]])</f>
        <v>1052-2MNO</v>
      </c>
      <c r="D1862" s="360" t="str">
        <f>CONCATENATE(VOL_VOLUMEN_SUMINISTROS[[#This Row],[Grupo]],VOL_VOLUMEN_SUMINISTROS[[#This Row],[Proyecto]],VOL_VOLUMEN_SUMINISTROS[[#This Row],[FIN DE SEMANA]])</f>
        <v>221052-2NO</v>
      </c>
      <c r="E1862" s="30" t="s">
        <v>182</v>
      </c>
      <c r="F1862" s="30" t="s">
        <v>147</v>
      </c>
      <c r="G1862" s="360">
        <v>22</v>
      </c>
      <c r="H1862" s="30">
        <v>19</v>
      </c>
      <c r="I1862" s="9" t="s">
        <v>249</v>
      </c>
      <c r="J1862" s="9" t="s">
        <v>1257</v>
      </c>
      <c r="K1862" s="30">
        <v>1</v>
      </c>
      <c r="L1862" s="9" t="s">
        <v>1258</v>
      </c>
      <c r="M1862" s="30" t="s">
        <v>84</v>
      </c>
      <c r="N1862" s="30" t="s">
        <v>151</v>
      </c>
      <c r="O1862" s="24">
        <v>0</v>
      </c>
      <c r="P1862" s="24">
        <v>0</v>
      </c>
      <c r="Q1862" s="24">
        <v>64</v>
      </c>
      <c r="R1862" s="24">
        <v>0</v>
      </c>
      <c r="S1862" s="24">
        <v>0</v>
      </c>
      <c r="T1862" s="24">
        <v>64</v>
      </c>
    </row>
    <row r="1863" spans="1:20">
      <c r="A1863" s="9" t="s">
        <v>1233</v>
      </c>
      <c r="B1863" s="30" t="s">
        <v>1302</v>
      </c>
      <c r="C1863" s="30" t="str">
        <f>CONCATENATE(VOL_VOLUMEN_SUMINISTROS[[#This Row],[Proyecto]],VOL_VOLUMEN_SUMINISTROS[[#This Row],[J]],VOL_VOLUMEN_SUMINISTROS[[#This Row],[FIN DE SEMANA]])</f>
        <v>1052-2MNO</v>
      </c>
      <c r="D1863" s="360" t="str">
        <f>CONCATENATE(VOL_VOLUMEN_SUMINISTROS[[#This Row],[Grupo]],VOL_VOLUMEN_SUMINISTROS[[#This Row],[Proyecto]],VOL_VOLUMEN_SUMINISTROS[[#This Row],[FIN DE SEMANA]])</f>
        <v>231052-2NO</v>
      </c>
      <c r="E1863" s="30" t="s">
        <v>182</v>
      </c>
      <c r="F1863" s="30" t="s">
        <v>147</v>
      </c>
      <c r="G1863" s="360">
        <v>23</v>
      </c>
      <c r="H1863" s="30">
        <v>19</v>
      </c>
      <c r="I1863" s="9" t="s">
        <v>249</v>
      </c>
      <c r="J1863" s="9" t="s">
        <v>1288</v>
      </c>
      <c r="K1863" s="30">
        <v>2</v>
      </c>
      <c r="L1863" s="9" t="s">
        <v>1290</v>
      </c>
      <c r="M1863" s="30" t="s">
        <v>84</v>
      </c>
      <c r="N1863" s="30" t="s">
        <v>151</v>
      </c>
      <c r="O1863" s="24">
        <v>49</v>
      </c>
      <c r="P1863" s="24">
        <v>0</v>
      </c>
      <c r="Q1863" s="24">
        <v>0</v>
      </c>
      <c r="R1863" s="24">
        <v>0</v>
      </c>
      <c r="S1863" s="24">
        <v>0</v>
      </c>
      <c r="T1863" s="24">
        <v>49</v>
      </c>
    </row>
    <row r="1864" spans="1:20">
      <c r="A1864" s="9" t="s">
        <v>1233</v>
      </c>
      <c r="B1864" s="30" t="s">
        <v>1302</v>
      </c>
      <c r="C1864" s="30" t="str">
        <f>CONCATENATE(VOL_VOLUMEN_SUMINISTROS[[#This Row],[Proyecto]],VOL_VOLUMEN_SUMINISTROS[[#This Row],[J]],VOL_VOLUMEN_SUMINISTROS[[#This Row],[FIN DE SEMANA]])</f>
        <v>1052-2MNO</v>
      </c>
      <c r="D1864" s="360" t="str">
        <f>CONCATENATE(VOL_VOLUMEN_SUMINISTROS[[#This Row],[Grupo]],VOL_VOLUMEN_SUMINISTROS[[#This Row],[Proyecto]],VOL_VOLUMEN_SUMINISTROS[[#This Row],[FIN DE SEMANA]])</f>
        <v>231052-2NO</v>
      </c>
      <c r="E1864" s="30" t="s">
        <v>182</v>
      </c>
      <c r="F1864" s="30" t="s">
        <v>147</v>
      </c>
      <c r="G1864" s="360">
        <v>23</v>
      </c>
      <c r="H1864" s="30">
        <v>19</v>
      </c>
      <c r="I1864" s="9" t="s">
        <v>249</v>
      </c>
      <c r="J1864" s="9" t="s">
        <v>1288</v>
      </c>
      <c r="K1864" s="30">
        <v>3</v>
      </c>
      <c r="L1864" s="9" t="s">
        <v>457</v>
      </c>
      <c r="M1864" s="30" t="s">
        <v>84</v>
      </c>
      <c r="N1864" s="30" t="s">
        <v>151</v>
      </c>
      <c r="O1864" s="24">
        <v>50</v>
      </c>
      <c r="P1864" s="24">
        <v>0</v>
      </c>
      <c r="Q1864" s="24">
        <v>0</v>
      </c>
      <c r="R1864" s="24">
        <v>0</v>
      </c>
      <c r="S1864" s="24">
        <v>0</v>
      </c>
      <c r="T1864" s="24">
        <v>50</v>
      </c>
    </row>
    <row r="1865" spans="1:20">
      <c r="A1865" s="9" t="s">
        <v>1233</v>
      </c>
      <c r="B1865" s="30" t="s">
        <v>1302</v>
      </c>
      <c r="C1865" s="30" t="str">
        <f>CONCATENATE(VOL_VOLUMEN_SUMINISTROS[[#This Row],[Proyecto]],VOL_VOLUMEN_SUMINISTROS[[#This Row],[J]],VOL_VOLUMEN_SUMINISTROS[[#This Row],[FIN DE SEMANA]])</f>
        <v>1052-2TNO</v>
      </c>
      <c r="D1865" s="360" t="str">
        <f>CONCATENATE(VOL_VOLUMEN_SUMINISTROS[[#This Row],[Grupo]],VOL_VOLUMEN_SUMINISTROS[[#This Row],[Proyecto]],VOL_VOLUMEN_SUMINISTROS[[#This Row],[FIN DE SEMANA]])</f>
        <v>231052-2NO</v>
      </c>
      <c r="E1865" s="30" t="s">
        <v>182</v>
      </c>
      <c r="F1865" s="30" t="s">
        <v>147</v>
      </c>
      <c r="G1865" s="360">
        <v>23</v>
      </c>
      <c r="H1865" s="30">
        <v>19</v>
      </c>
      <c r="I1865" s="9" t="s">
        <v>249</v>
      </c>
      <c r="J1865" s="9" t="s">
        <v>1288</v>
      </c>
      <c r="K1865" s="30">
        <v>3</v>
      </c>
      <c r="L1865" s="9" t="s">
        <v>457</v>
      </c>
      <c r="M1865" s="30" t="s">
        <v>84</v>
      </c>
      <c r="N1865" s="30" t="s">
        <v>154</v>
      </c>
      <c r="O1865" s="24">
        <v>49</v>
      </c>
      <c r="P1865" s="24">
        <v>0</v>
      </c>
      <c r="Q1865" s="24">
        <v>0</v>
      </c>
      <c r="R1865" s="24">
        <v>0</v>
      </c>
      <c r="S1865" s="24">
        <v>0</v>
      </c>
      <c r="T1865" s="24">
        <v>49</v>
      </c>
    </row>
    <row r="1866" spans="1:20">
      <c r="A1866" s="9" t="s">
        <v>1233</v>
      </c>
      <c r="B1866" s="30" t="s">
        <v>1302</v>
      </c>
      <c r="C1866" s="30" t="str">
        <f>CONCATENATE(VOL_VOLUMEN_SUMINISTROS[[#This Row],[Proyecto]],VOL_VOLUMEN_SUMINISTROS[[#This Row],[J]],VOL_VOLUMEN_SUMINISTROS[[#This Row],[FIN DE SEMANA]])</f>
        <v>1052-2MNO</v>
      </c>
      <c r="D1866" s="360" t="str">
        <f>CONCATENATE(VOL_VOLUMEN_SUMINISTROS[[#This Row],[Grupo]],VOL_VOLUMEN_SUMINISTROS[[#This Row],[Proyecto]],VOL_VOLUMEN_SUMINISTROS[[#This Row],[FIN DE SEMANA]])</f>
        <v>231052-2NO</v>
      </c>
      <c r="E1866" s="30" t="s">
        <v>182</v>
      </c>
      <c r="F1866" s="30" t="s">
        <v>147</v>
      </c>
      <c r="G1866" s="360">
        <v>23</v>
      </c>
      <c r="H1866" s="30">
        <v>19</v>
      </c>
      <c r="I1866" s="9" t="s">
        <v>249</v>
      </c>
      <c r="J1866" s="9" t="s">
        <v>1296</v>
      </c>
      <c r="K1866" s="30">
        <v>2</v>
      </c>
      <c r="L1866" s="9" t="s">
        <v>1298</v>
      </c>
      <c r="M1866" s="30" t="s">
        <v>84</v>
      </c>
      <c r="N1866" s="30" t="s">
        <v>151</v>
      </c>
      <c r="O1866" s="24">
        <v>97</v>
      </c>
      <c r="P1866" s="24">
        <v>0</v>
      </c>
      <c r="Q1866" s="24">
        <v>0</v>
      </c>
      <c r="R1866" s="24">
        <v>0</v>
      </c>
      <c r="S1866" s="24">
        <v>0</v>
      </c>
      <c r="T1866" s="24">
        <v>97</v>
      </c>
    </row>
    <row r="1867" spans="1:20">
      <c r="A1867" s="9" t="s">
        <v>1233</v>
      </c>
      <c r="B1867" s="30" t="s">
        <v>1302</v>
      </c>
      <c r="C1867" s="30" t="str">
        <f>CONCATENATE(VOL_VOLUMEN_SUMINISTROS[[#This Row],[Proyecto]],VOL_VOLUMEN_SUMINISTROS[[#This Row],[J]],VOL_VOLUMEN_SUMINISTROS[[#This Row],[FIN DE SEMANA]])</f>
        <v>1052-2TNO</v>
      </c>
      <c r="D1867" s="360" t="str">
        <f>CONCATENATE(VOL_VOLUMEN_SUMINISTROS[[#This Row],[Grupo]],VOL_VOLUMEN_SUMINISTROS[[#This Row],[Proyecto]],VOL_VOLUMEN_SUMINISTROS[[#This Row],[FIN DE SEMANA]])</f>
        <v>231052-2NO</v>
      </c>
      <c r="E1867" s="30" t="s">
        <v>182</v>
      </c>
      <c r="F1867" s="30" t="s">
        <v>147</v>
      </c>
      <c r="G1867" s="360">
        <v>23</v>
      </c>
      <c r="H1867" s="30">
        <v>19</v>
      </c>
      <c r="I1867" s="9" t="s">
        <v>249</v>
      </c>
      <c r="J1867" s="9" t="s">
        <v>1296</v>
      </c>
      <c r="K1867" s="30">
        <v>2</v>
      </c>
      <c r="L1867" s="9" t="s">
        <v>1298</v>
      </c>
      <c r="M1867" s="30" t="s">
        <v>84</v>
      </c>
      <c r="N1867" s="30" t="s">
        <v>154</v>
      </c>
      <c r="O1867" s="24">
        <v>102</v>
      </c>
      <c r="P1867" s="24">
        <v>0</v>
      </c>
      <c r="Q1867" s="24">
        <v>0</v>
      </c>
      <c r="R1867" s="24">
        <v>0</v>
      </c>
      <c r="S1867" s="24">
        <v>0</v>
      </c>
      <c r="T1867" s="24">
        <v>102</v>
      </c>
    </row>
    <row r="1868" spans="1:20">
      <c r="A1868" s="9" t="s">
        <v>1303</v>
      </c>
      <c r="B1868" s="30" t="s">
        <v>1304</v>
      </c>
      <c r="C1868" s="30" t="str">
        <f>CONCATENATE(VOL_VOLUMEN_SUMINISTROS[[#This Row],[Proyecto]],VOL_VOLUMEN_SUMINISTROS[[#This Row],[J]],VOL_VOLUMEN_SUMINISTROS[[#This Row],[FIN DE SEMANA]])</f>
        <v>1052-2M1NO</v>
      </c>
      <c r="D1868" s="360" t="str">
        <f>CONCATENATE(VOL_VOLUMEN_SUMINISTROS[[#This Row],[Grupo]],VOL_VOLUMEN_SUMINISTROS[[#This Row],[Proyecto]],VOL_VOLUMEN_SUMINISTROS[[#This Row],[FIN DE SEMANA]])</f>
        <v>161052-2NO</v>
      </c>
      <c r="E1868" s="30" t="s">
        <v>182</v>
      </c>
      <c r="F1868" s="30" t="s">
        <v>147</v>
      </c>
      <c r="G1868" s="360">
        <v>16</v>
      </c>
      <c r="H1868" s="30">
        <v>1</v>
      </c>
      <c r="I1868" s="9" t="s">
        <v>396</v>
      </c>
      <c r="J1868" s="9" t="s">
        <v>397</v>
      </c>
      <c r="K1868" s="30">
        <v>1</v>
      </c>
      <c r="L1868" s="9" t="s">
        <v>398</v>
      </c>
      <c r="M1868" s="30" t="s">
        <v>84</v>
      </c>
      <c r="N1868" s="30" t="s">
        <v>215</v>
      </c>
      <c r="O1868" s="24">
        <v>0</v>
      </c>
      <c r="P1868" s="24">
        <v>0</v>
      </c>
      <c r="Q1868" s="24">
        <v>30</v>
      </c>
      <c r="R1868" s="24">
        <v>0</v>
      </c>
      <c r="S1868" s="24">
        <v>0</v>
      </c>
      <c r="T1868" s="24">
        <v>30</v>
      </c>
    </row>
    <row r="1869" spans="1:20">
      <c r="A1869" s="9" t="s">
        <v>1303</v>
      </c>
      <c r="B1869" s="30" t="s">
        <v>1304</v>
      </c>
      <c r="C1869" s="30" t="str">
        <f>CONCATENATE(VOL_VOLUMEN_SUMINISTROS[[#This Row],[Proyecto]],VOL_VOLUMEN_SUMINISTROS[[#This Row],[J]],VOL_VOLUMEN_SUMINISTROS[[#This Row],[FIN DE SEMANA]])</f>
        <v>1052-2M1NO</v>
      </c>
      <c r="D1869" s="360" t="str">
        <f>CONCATENATE(VOL_VOLUMEN_SUMINISTROS[[#This Row],[Grupo]],VOL_VOLUMEN_SUMINISTROS[[#This Row],[Proyecto]],VOL_VOLUMEN_SUMINISTROS[[#This Row],[FIN DE SEMANA]])</f>
        <v>161052-2NO</v>
      </c>
      <c r="E1869" s="30" t="s">
        <v>182</v>
      </c>
      <c r="F1869" s="30" t="s">
        <v>147</v>
      </c>
      <c r="G1869" s="360">
        <v>16</v>
      </c>
      <c r="H1869" s="30">
        <v>1</v>
      </c>
      <c r="I1869" s="9" t="s">
        <v>396</v>
      </c>
      <c r="J1869" s="9" t="s">
        <v>397</v>
      </c>
      <c r="K1869" s="30">
        <v>2</v>
      </c>
      <c r="L1869" s="9" t="s">
        <v>399</v>
      </c>
      <c r="M1869" s="30" t="s">
        <v>84</v>
      </c>
      <c r="N1869" s="30" t="s">
        <v>215</v>
      </c>
      <c r="O1869" s="24">
        <v>16</v>
      </c>
      <c r="P1869" s="24">
        <v>32</v>
      </c>
      <c r="Q1869" s="24">
        <v>8</v>
      </c>
      <c r="R1869" s="24">
        <v>0</v>
      </c>
      <c r="S1869" s="24">
        <v>0</v>
      </c>
      <c r="T1869" s="24">
        <v>56</v>
      </c>
    </row>
    <row r="1870" spans="1:20">
      <c r="A1870" s="9" t="s">
        <v>1303</v>
      </c>
      <c r="B1870" s="30" t="s">
        <v>1304</v>
      </c>
      <c r="C1870" s="30" t="str">
        <f>CONCATENATE(VOL_VOLUMEN_SUMINISTROS[[#This Row],[Proyecto]],VOL_VOLUMEN_SUMINISTROS[[#This Row],[J]],VOL_VOLUMEN_SUMINISTROS[[#This Row],[FIN DE SEMANA]])</f>
        <v>1052-2TNO</v>
      </c>
      <c r="D1870" s="360" t="str">
        <f>CONCATENATE(VOL_VOLUMEN_SUMINISTROS[[#This Row],[Grupo]],VOL_VOLUMEN_SUMINISTROS[[#This Row],[Proyecto]],VOL_VOLUMEN_SUMINISTROS[[#This Row],[FIN DE SEMANA]])</f>
        <v>161052-2NO</v>
      </c>
      <c r="E1870" s="30" t="s">
        <v>182</v>
      </c>
      <c r="F1870" s="30" t="s">
        <v>147</v>
      </c>
      <c r="G1870" s="360">
        <v>16</v>
      </c>
      <c r="H1870" s="30">
        <v>1</v>
      </c>
      <c r="I1870" s="9" t="s">
        <v>396</v>
      </c>
      <c r="J1870" s="9" t="s">
        <v>397</v>
      </c>
      <c r="K1870" s="30">
        <v>2</v>
      </c>
      <c r="L1870" s="9" t="s">
        <v>399</v>
      </c>
      <c r="M1870" s="30" t="s">
        <v>84</v>
      </c>
      <c r="N1870" s="30" t="s">
        <v>154</v>
      </c>
      <c r="O1870" s="24">
        <v>0</v>
      </c>
      <c r="P1870" s="24">
        <v>21</v>
      </c>
      <c r="Q1870" s="24">
        <v>7</v>
      </c>
      <c r="R1870" s="24">
        <v>0</v>
      </c>
      <c r="S1870" s="24">
        <v>0</v>
      </c>
      <c r="T1870" s="24">
        <v>28</v>
      </c>
    </row>
    <row r="1871" spans="1:20">
      <c r="A1871" s="9" t="s">
        <v>1303</v>
      </c>
      <c r="B1871" s="30" t="s">
        <v>1304</v>
      </c>
      <c r="C1871" s="30" t="str">
        <f>CONCATENATE(VOL_VOLUMEN_SUMINISTROS[[#This Row],[Proyecto]],VOL_VOLUMEN_SUMINISTROS[[#This Row],[J]],VOL_VOLUMEN_SUMINISTROS[[#This Row],[FIN DE SEMANA]])</f>
        <v>1052-2M1NO</v>
      </c>
      <c r="D1871" s="360" t="str">
        <f>CONCATENATE(VOL_VOLUMEN_SUMINISTROS[[#This Row],[Grupo]],VOL_VOLUMEN_SUMINISTROS[[#This Row],[Proyecto]],VOL_VOLUMEN_SUMINISTROS[[#This Row],[FIN DE SEMANA]])</f>
        <v>161052-2NO</v>
      </c>
      <c r="E1871" s="30" t="s">
        <v>182</v>
      </c>
      <c r="F1871" s="30" t="s">
        <v>147</v>
      </c>
      <c r="G1871" s="360">
        <v>16</v>
      </c>
      <c r="H1871" s="30">
        <v>1</v>
      </c>
      <c r="I1871" s="9" t="s">
        <v>396</v>
      </c>
      <c r="J1871" s="9" t="s">
        <v>397</v>
      </c>
      <c r="K1871" s="30">
        <v>3</v>
      </c>
      <c r="L1871" s="9" t="s">
        <v>400</v>
      </c>
      <c r="M1871" s="30" t="s">
        <v>84</v>
      </c>
      <c r="N1871" s="30" t="s">
        <v>215</v>
      </c>
      <c r="O1871" s="24">
        <v>84</v>
      </c>
      <c r="P1871" s="24">
        <v>156</v>
      </c>
      <c r="Q1871" s="24">
        <v>38</v>
      </c>
      <c r="R1871" s="24">
        <v>0</v>
      </c>
      <c r="S1871" s="24">
        <v>0</v>
      </c>
      <c r="T1871" s="24">
        <v>278</v>
      </c>
    </row>
    <row r="1872" spans="1:20">
      <c r="A1872" s="9" t="s">
        <v>1303</v>
      </c>
      <c r="B1872" s="30" t="s">
        <v>1304</v>
      </c>
      <c r="C1872" s="30" t="str">
        <f>CONCATENATE(VOL_VOLUMEN_SUMINISTROS[[#This Row],[Proyecto]],VOL_VOLUMEN_SUMINISTROS[[#This Row],[J]],VOL_VOLUMEN_SUMINISTROS[[#This Row],[FIN DE SEMANA]])</f>
        <v>1052-2M1NO</v>
      </c>
      <c r="D1872" s="360" t="str">
        <f>CONCATENATE(VOL_VOLUMEN_SUMINISTROS[[#This Row],[Grupo]],VOL_VOLUMEN_SUMINISTROS[[#This Row],[Proyecto]],VOL_VOLUMEN_SUMINISTROS[[#This Row],[FIN DE SEMANA]])</f>
        <v>161052-2NO</v>
      </c>
      <c r="E1872" s="30" t="s">
        <v>182</v>
      </c>
      <c r="F1872" s="30" t="s">
        <v>147</v>
      </c>
      <c r="G1872" s="360">
        <v>16</v>
      </c>
      <c r="H1872" s="30">
        <v>1</v>
      </c>
      <c r="I1872" s="9" t="s">
        <v>396</v>
      </c>
      <c r="J1872" s="9" t="s">
        <v>397</v>
      </c>
      <c r="K1872" s="30">
        <v>4</v>
      </c>
      <c r="L1872" s="9" t="s">
        <v>1305</v>
      </c>
      <c r="M1872" s="30" t="s">
        <v>84</v>
      </c>
      <c r="N1872" s="30" t="s">
        <v>215</v>
      </c>
      <c r="O1872" s="24">
        <v>16</v>
      </c>
      <c r="P1872" s="24">
        <v>152</v>
      </c>
      <c r="Q1872" s="24">
        <v>139</v>
      </c>
      <c r="R1872" s="24">
        <v>0</v>
      </c>
      <c r="S1872" s="24">
        <v>0</v>
      </c>
      <c r="T1872" s="24">
        <v>307</v>
      </c>
    </row>
    <row r="1873" spans="1:20">
      <c r="A1873" s="9" t="s">
        <v>1303</v>
      </c>
      <c r="B1873" s="30" t="s">
        <v>1304</v>
      </c>
      <c r="C1873" s="30" t="str">
        <f>CONCATENATE(VOL_VOLUMEN_SUMINISTROS[[#This Row],[Proyecto]],VOL_VOLUMEN_SUMINISTROS[[#This Row],[J]],VOL_VOLUMEN_SUMINISTROS[[#This Row],[FIN DE SEMANA]])</f>
        <v>1052-2TNO</v>
      </c>
      <c r="D1873" s="360" t="str">
        <f>CONCATENATE(VOL_VOLUMEN_SUMINISTROS[[#This Row],[Grupo]],VOL_VOLUMEN_SUMINISTROS[[#This Row],[Proyecto]],VOL_VOLUMEN_SUMINISTROS[[#This Row],[FIN DE SEMANA]])</f>
        <v>161052-2NO</v>
      </c>
      <c r="E1873" s="30" t="s">
        <v>182</v>
      </c>
      <c r="F1873" s="30" t="s">
        <v>147</v>
      </c>
      <c r="G1873" s="360">
        <v>16</v>
      </c>
      <c r="H1873" s="30">
        <v>1</v>
      </c>
      <c r="I1873" s="9" t="s">
        <v>396</v>
      </c>
      <c r="J1873" s="9" t="s">
        <v>397</v>
      </c>
      <c r="K1873" s="30">
        <v>4</v>
      </c>
      <c r="L1873" s="9" t="s">
        <v>1305</v>
      </c>
      <c r="M1873" s="30" t="s">
        <v>84</v>
      </c>
      <c r="N1873" s="30" t="s">
        <v>154</v>
      </c>
      <c r="O1873" s="24">
        <v>20</v>
      </c>
      <c r="P1873" s="24">
        <v>184</v>
      </c>
      <c r="Q1873" s="24">
        <v>198</v>
      </c>
      <c r="R1873" s="24">
        <v>0</v>
      </c>
      <c r="S1873" s="24">
        <v>0</v>
      </c>
      <c r="T1873" s="24">
        <v>402</v>
      </c>
    </row>
    <row r="1874" spans="1:20">
      <c r="A1874" s="9" t="s">
        <v>1303</v>
      </c>
      <c r="B1874" s="30" t="s">
        <v>1304</v>
      </c>
      <c r="C1874" s="30" t="str">
        <f>CONCATENATE(VOL_VOLUMEN_SUMINISTROS[[#This Row],[Proyecto]],VOL_VOLUMEN_SUMINISTROS[[#This Row],[J]],VOL_VOLUMEN_SUMINISTROS[[#This Row],[FIN DE SEMANA]])</f>
        <v>1052-2M1NO</v>
      </c>
      <c r="D1874" s="360" t="str">
        <f>CONCATENATE(VOL_VOLUMEN_SUMINISTROS[[#This Row],[Grupo]],VOL_VOLUMEN_SUMINISTROS[[#This Row],[Proyecto]],VOL_VOLUMEN_SUMINISTROS[[#This Row],[FIN DE SEMANA]])</f>
        <v>161052-2NO</v>
      </c>
      <c r="E1874" s="30" t="s">
        <v>182</v>
      </c>
      <c r="F1874" s="30" t="s">
        <v>147</v>
      </c>
      <c r="G1874" s="360">
        <v>16</v>
      </c>
      <c r="H1874" s="30">
        <v>1</v>
      </c>
      <c r="I1874" s="9" t="s">
        <v>396</v>
      </c>
      <c r="J1874" s="9" t="s">
        <v>397</v>
      </c>
      <c r="K1874" s="30">
        <v>5</v>
      </c>
      <c r="L1874" s="9" t="s">
        <v>1306</v>
      </c>
      <c r="M1874" s="30" t="s">
        <v>84</v>
      </c>
      <c r="N1874" s="30" t="s">
        <v>215</v>
      </c>
      <c r="O1874" s="24">
        <v>0</v>
      </c>
      <c r="P1874" s="24">
        <v>24</v>
      </c>
      <c r="Q1874" s="24">
        <v>38</v>
      </c>
      <c r="R1874" s="24">
        <v>0</v>
      </c>
      <c r="S1874" s="24">
        <v>0</v>
      </c>
      <c r="T1874" s="24">
        <v>62</v>
      </c>
    </row>
    <row r="1875" spans="1:20">
      <c r="A1875" s="9" t="s">
        <v>1303</v>
      </c>
      <c r="B1875" s="30" t="s">
        <v>1304</v>
      </c>
      <c r="C1875" s="30" t="str">
        <f>CONCATENATE(VOL_VOLUMEN_SUMINISTROS[[#This Row],[Proyecto]],VOL_VOLUMEN_SUMINISTROS[[#This Row],[J]],VOL_VOLUMEN_SUMINISTROS[[#This Row],[FIN DE SEMANA]])</f>
        <v>1052-2TNO</v>
      </c>
      <c r="D1875" s="360" t="str">
        <f>CONCATENATE(VOL_VOLUMEN_SUMINISTROS[[#This Row],[Grupo]],VOL_VOLUMEN_SUMINISTROS[[#This Row],[Proyecto]],VOL_VOLUMEN_SUMINISTROS[[#This Row],[FIN DE SEMANA]])</f>
        <v>161052-2NO</v>
      </c>
      <c r="E1875" s="30" t="s">
        <v>182</v>
      </c>
      <c r="F1875" s="30" t="s">
        <v>147</v>
      </c>
      <c r="G1875" s="360">
        <v>16</v>
      </c>
      <c r="H1875" s="30">
        <v>1</v>
      </c>
      <c r="I1875" s="9" t="s">
        <v>396</v>
      </c>
      <c r="J1875" s="9" t="s">
        <v>397</v>
      </c>
      <c r="K1875" s="30">
        <v>5</v>
      </c>
      <c r="L1875" s="9" t="s">
        <v>1306</v>
      </c>
      <c r="M1875" s="30" t="s">
        <v>84</v>
      </c>
      <c r="N1875" s="30" t="s">
        <v>154</v>
      </c>
      <c r="O1875" s="24">
        <v>0</v>
      </c>
      <c r="P1875" s="24">
        <v>66</v>
      </c>
      <c r="Q1875" s="24">
        <v>52</v>
      </c>
      <c r="R1875" s="24">
        <v>0</v>
      </c>
      <c r="S1875" s="24">
        <v>0</v>
      </c>
      <c r="T1875" s="24">
        <v>118</v>
      </c>
    </row>
    <row r="1876" spans="1:20">
      <c r="A1876" s="9" t="s">
        <v>1303</v>
      </c>
      <c r="B1876" s="30" t="s">
        <v>1304</v>
      </c>
      <c r="C1876" s="30" t="str">
        <f>CONCATENATE(VOL_VOLUMEN_SUMINISTROS[[#This Row],[Proyecto]],VOL_VOLUMEN_SUMINISTROS[[#This Row],[J]],VOL_VOLUMEN_SUMINISTROS[[#This Row],[FIN DE SEMANA]])</f>
        <v>1052-2M1NO</v>
      </c>
      <c r="D1876" s="360" t="str">
        <f>CONCATENATE(VOL_VOLUMEN_SUMINISTROS[[#This Row],[Grupo]],VOL_VOLUMEN_SUMINISTROS[[#This Row],[Proyecto]],VOL_VOLUMEN_SUMINISTROS[[#This Row],[FIN DE SEMANA]])</f>
        <v>161052-2NO</v>
      </c>
      <c r="E1876" s="30" t="s">
        <v>182</v>
      </c>
      <c r="F1876" s="30" t="s">
        <v>147</v>
      </c>
      <c r="G1876" s="360">
        <v>16</v>
      </c>
      <c r="H1876" s="30">
        <v>1</v>
      </c>
      <c r="I1876" s="9" t="s">
        <v>396</v>
      </c>
      <c r="J1876" s="9" t="s">
        <v>397</v>
      </c>
      <c r="K1876" s="30">
        <v>7</v>
      </c>
      <c r="L1876" s="9" t="s">
        <v>1307</v>
      </c>
      <c r="M1876" s="30" t="s">
        <v>84</v>
      </c>
      <c r="N1876" s="30" t="s">
        <v>215</v>
      </c>
      <c r="O1876" s="24">
        <v>14</v>
      </c>
      <c r="P1876" s="24">
        <v>106</v>
      </c>
      <c r="Q1876" s="24">
        <v>58</v>
      </c>
      <c r="R1876" s="24">
        <v>0</v>
      </c>
      <c r="S1876" s="24">
        <v>0</v>
      </c>
      <c r="T1876" s="24">
        <v>178</v>
      </c>
    </row>
    <row r="1877" spans="1:20">
      <c r="A1877" s="9" t="s">
        <v>1303</v>
      </c>
      <c r="B1877" s="30" t="s">
        <v>1304</v>
      </c>
      <c r="C1877" s="30" t="str">
        <f>CONCATENATE(VOL_VOLUMEN_SUMINISTROS[[#This Row],[Proyecto]],VOL_VOLUMEN_SUMINISTROS[[#This Row],[J]],VOL_VOLUMEN_SUMINISTROS[[#This Row],[FIN DE SEMANA]])</f>
        <v>1052-2TNO</v>
      </c>
      <c r="D1877" s="360" t="str">
        <f>CONCATENATE(VOL_VOLUMEN_SUMINISTROS[[#This Row],[Grupo]],VOL_VOLUMEN_SUMINISTROS[[#This Row],[Proyecto]],VOL_VOLUMEN_SUMINISTROS[[#This Row],[FIN DE SEMANA]])</f>
        <v>161052-2NO</v>
      </c>
      <c r="E1877" s="30" t="s">
        <v>182</v>
      </c>
      <c r="F1877" s="30" t="s">
        <v>147</v>
      </c>
      <c r="G1877" s="360">
        <v>16</v>
      </c>
      <c r="H1877" s="30">
        <v>1</v>
      </c>
      <c r="I1877" s="9" t="s">
        <v>396</v>
      </c>
      <c r="J1877" s="9" t="s">
        <v>397</v>
      </c>
      <c r="K1877" s="30">
        <v>7</v>
      </c>
      <c r="L1877" s="9" t="s">
        <v>1307</v>
      </c>
      <c r="M1877" s="30" t="s">
        <v>84</v>
      </c>
      <c r="N1877" s="30" t="s">
        <v>154</v>
      </c>
      <c r="O1877" s="24">
        <v>14</v>
      </c>
      <c r="P1877" s="24">
        <v>79</v>
      </c>
      <c r="Q1877" s="24">
        <v>69</v>
      </c>
      <c r="R1877" s="24">
        <v>0</v>
      </c>
      <c r="S1877" s="24">
        <v>0</v>
      </c>
      <c r="T1877" s="24">
        <v>162</v>
      </c>
    </row>
    <row r="1878" spans="1:20">
      <c r="A1878" s="9" t="s">
        <v>1303</v>
      </c>
      <c r="B1878" s="30" t="s">
        <v>1304</v>
      </c>
      <c r="C1878" s="30" t="str">
        <f>CONCATENATE(VOL_VOLUMEN_SUMINISTROS[[#This Row],[Proyecto]],VOL_VOLUMEN_SUMINISTROS[[#This Row],[J]],VOL_VOLUMEN_SUMINISTROS[[#This Row],[FIN DE SEMANA]])</f>
        <v>1052-2M1NO</v>
      </c>
      <c r="D1878" s="360" t="str">
        <f>CONCATENATE(VOL_VOLUMEN_SUMINISTROS[[#This Row],[Grupo]],VOL_VOLUMEN_SUMINISTROS[[#This Row],[Proyecto]],VOL_VOLUMEN_SUMINISTROS[[#This Row],[FIN DE SEMANA]])</f>
        <v>161052-2NO</v>
      </c>
      <c r="E1878" s="30" t="s">
        <v>182</v>
      </c>
      <c r="F1878" s="30" t="s">
        <v>147</v>
      </c>
      <c r="G1878" s="360">
        <v>16</v>
      </c>
      <c r="H1878" s="30">
        <v>1</v>
      </c>
      <c r="I1878" s="9" t="s">
        <v>396</v>
      </c>
      <c r="J1878" s="9" t="s">
        <v>397</v>
      </c>
      <c r="K1878" s="30">
        <v>8</v>
      </c>
      <c r="L1878" s="9" t="s">
        <v>1308</v>
      </c>
      <c r="M1878" s="30" t="s">
        <v>84</v>
      </c>
      <c r="N1878" s="30" t="s">
        <v>215</v>
      </c>
      <c r="O1878" s="24">
        <v>0</v>
      </c>
      <c r="P1878" s="24">
        <v>18</v>
      </c>
      <c r="Q1878" s="24">
        <v>50</v>
      </c>
      <c r="R1878" s="24">
        <v>0</v>
      </c>
      <c r="S1878" s="24">
        <v>0</v>
      </c>
      <c r="T1878" s="24">
        <v>68</v>
      </c>
    </row>
    <row r="1879" spans="1:20">
      <c r="A1879" s="9" t="s">
        <v>1303</v>
      </c>
      <c r="B1879" s="30" t="s">
        <v>1304</v>
      </c>
      <c r="C1879" s="30" t="str">
        <f>CONCATENATE(VOL_VOLUMEN_SUMINISTROS[[#This Row],[Proyecto]],VOL_VOLUMEN_SUMINISTROS[[#This Row],[J]],VOL_VOLUMEN_SUMINISTROS[[#This Row],[FIN DE SEMANA]])</f>
        <v>1052-2TNO</v>
      </c>
      <c r="D1879" s="360" t="str">
        <f>CONCATENATE(VOL_VOLUMEN_SUMINISTROS[[#This Row],[Grupo]],VOL_VOLUMEN_SUMINISTROS[[#This Row],[Proyecto]],VOL_VOLUMEN_SUMINISTROS[[#This Row],[FIN DE SEMANA]])</f>
        <v>161052-2NO</v>
      </c>
      <c r="E1879" s="30" t="s">
        <v>182</v>
      </c>
      <c r="F1879" s="30" t="s">
        <v>147</v>
      </c>
      <c r="G1879" s="360">
        <v>16</v>
      </c>
      <c r="H1879" s="30">
        <v>1</v>
      </c>
      <c r="I1879" s="9" t="s">
        <v>396</v>
      </c>
      <c r="J1879" s="9" t="s">
        <v>397</v>
      </c>
      <c r="K1879" s="30">
        <v>8</v>
      </c>
      <c r="L1879" s="9" t="s">
        <v>1308</v>
      </c>
      <c r="M1879" s="30" t="s">
        <v>84</v>
      </c>
      <c r="N1879" s="30" t="s">
        <v>154</v>
      </c>
      <c r="O1879" s="24">
        <v>0</v>
      </c>
      <c r="P1879" s="24">
        <v>39</v>
      </c>
      <c r="Q1879" s="24">
        <v>68</v>
      </c>
      <c r="R1879" s="24">
        <v>0</v>
      </c>
      <c r="S1879" s="24">
        <v>0</v>
      </c>
      <c r="T1879" s="24">
        <v>107</v>
      </c>
    </row>
    <row r="1880" spans="1:20">
      <c r="A1880" s="9" t="s">
        <v>1303</v>
      </c>
      <c r="B1880" s="30" t="s">
        <v>1304</v>
      </c>
      <c r="C1880" s="30" t="str">
        <f>CONCATENATE(VOL_VOLUMEN_SUMINISTROS[[#This Row],[Proyecto]],VOL_VOLUMEN_SUMINISTROS[[#This Row],[J]],VOL_VOLUMEN_SUMINISTROS[[#This Row],[FIN DE SEMANA]])</f>
        <v>1052-2M1NO</v>
      </c>
      <c r="D1880" s="360" t="str">
        <f>CONCATENATE(VOL_VOLUMEN_SUMINISTROS[[#This Row],[Grupo]],VOL_VOLUMEN_SUMINISTROS[[#This Row],[Proyecto]],VOL_VOLUMEN_SUMINISTROS[[#This Row],[FIN DE SEMANA]])</f>
        <v>161052-2NO</v>
      </c>
      <c r="E1880" s="30" t="s">
        <v>182</v>
      </c>
      <c r="F1880" s="30" t="s">
        <v>147</v>
      </c>
      <c r="G1880" s="360">
        <v>16</v>
      </c>
      <c r="H1880" s="30">
        <v>1</v>
      </c>
      <c r="I1880" s="9" t="s">
        <v>396</v>
      </c>
      <c r="J1880" s="9" t="s">
        <v>410</v>
      </c>
      <c r="K1880" s="30">
        <v>1</v>
      </c>
      <c r="L1880" s="9" t="s">
        <v>411</v>
      </c>
      <c r="M1880" s="30" t="s">
        <v>84</v>
      </c>
      <c r="N1880" s="30" t="s">
        <v>215</v>
      </c>
      <c r="O1880" s="24">
        <v>0</v>
      </c>
      <c r="P1880" s="24">
        <v>186</v>
      </c>
      <c r="Q1880" s="24">
        <v>307</v>
      </c>
      <c r="R1880" s="24">
        <v>0</v>
      </c>
      <c r="S1880" s="24">
        <v>0</v>
      </c>
      <c r="T1880" s="24">
        <v>493</v>
      </c>
    </row>
    <row r="1881" spans="1:20">
      <c r="A1881" s="9" t="s">
        <v>1303</v>
      </c>
      <c r="B1881" s="30" t="s">
        <v>1304</v>
      </c>
      <c r="C1881" s="30" t="str">
        <f>CONCATENATE(VOL_VOLUMEN_SUMINISTROS[[#This Row],[Proyecto]],VOL_VOLUMEN_SUMINISTROS[[#This Row],[J]],VOL_VOLUMEN_SUMINISTROS[[#This Row],[FIN DE SEMANA]])</f>
        <v>1052-2M1NO</v>
      </c>
      <c r="D1881" s="360" t="str">
        <f>CONCATENATE(VOL_VOLUMEN_SUMINISTROS[[#This Row],[Grupo]],VOL_VOLUMEN_SUMINISTROS[[#This Row],[Proyecto]],VOL_VOLUMEN_SUMINISTROS[[#This Row],[FIN DE SEMANA]])</f>
        <v>161052-2NO</v>
      </c>
      <c r="E1881" s="30" t="s">
        <v>182</v>
      </c>
      <c r="F1881" s="30" t="s">
        <v>147</v>
      </c>
      <c r="G1881" s="360">
        <v>16</v>
      </c>
      <c r="H1881" s="30">
        <v>1</v>
      </c>
      <c r="I1881" s="9" t="s">
        <v>396</v>
      </c>
      <c r="J1881" s="9" t="s">
        <v>410</v>
      </c>
      <c r="K1881" s="30">
        <v>2</v>
      </c>
      <c r="L1881" s="9" t="s">
        <v>412</v>
      </c>
      <c r="M1881" s="30" t="s">
        <v>84</v>
      </c>
      <c r="N1881" s="30" t="s">
        <v>215</v>
      </c>
      <c r="O1881" s="24">
        <v>72</v>
      </c>
      <c r="P1881" s="24">
        <v>93</v>
      </c>
      <c r="Q1881" s="24">
        <v>19</v>
      </c>
      <c r="R1881" s="24">
        <v>0</v>
      </c>
      <c r="S1881" s="24">
        <v>0</v>
      </c>
      <c r="T1881" s="24">
        <v>184</v>
      </c>
    </row>
    <row r="1882" spans="1:20">
      <c r="A1882" s="9" t="s">
        <v>1303</v>
      </c>
      <c r="B1882" s="30" t="s">
        <v>1304</v>
      </c>
      <c r="C1882" s="30" t="str">
        <f>CONCATENATE(VOL_VOLUMEN_SUMINISTROS[[#This Row],[Proyecto]],VOL_VOLUMEN_SUMINISTROS[[#This Row],[J]],VOL_VOLUMEN_SUMINISTROS[[#This Row],[FIN DE SEMANA]])</f>
        <v>1052-2M1NO</v>
      </c>
      <c r="D1882" s="360" t="str">
        <f>CONCATENATE(VOL_VOLUMEN_SUMINISTROS[[#This Row],[Grupo]],VOL_VOLUMEN_SUMINISTROS[[#This Row],[Proyecto]],VOL_VOLUMEN_SUMINISTROS[[#This Row],[FIN DE SEMANA]])</f>
        <v>161052-2NO</v>
      </c>
      <c r="E1882" s="30" t="s">
        <v>182</v>
      </c>
      <c r="F1882" s="30" t="s">
        <v>147</v>
      </c>
      <c r="G1882" s="360">
        <v>16</v>
      </c>
      <c r="H1882" s="30">
        <v>1</v>
      </c>
      <c r="I1882" s="9" t="s">
        <v>396</v>
      </c>
      <c r="J1882" s="9" t="s">
        <v>410</v>
      </c>
      <c r="K1882" s="30">
        <v>3</v>
      </c>
      <c r="L1882" s="9" t="s">
        <v>413</v>
      </c>
      <c r="M1882" s="30" t="s">
        <v>84</v>
      </c>
      <c r="N1882" s="30" t="s">
        <v>215</v>
      </c>
      <c r="O1882" s="24">
        <v>62</v>
      </c>
      <c r="P1882" s="24">
        <v>79</v>
      </c>
      <c r="Q1882" s="24">
        <v>16</v>
      </c>
      <c r="R1882" s="24">
        <v>0</v>
      </c>
      <c r="S1882" s="24">
        <v>0</v>
      </c>
      <c r="T1882" s="24">
        <v>157</v>
      </c>
    </row>
    <row r="1883" spans="1:20">
      <c r="A1883" s="9" t="s">
        <v>1303</v>
      </c>
      <c r="B1883" s="30" t="s">
        <v>1309</v>
      </c>
      <c r="C1883" s="30" t="str">
        <f>CONCATENATE(VOL_VOLUMEN_SUMINISTROS[[#This Row],[Proyecto]],VOL_VOLUMEN_SUMINISTROS[[#This Row],[J]],VOL_VOLUMEN_SUMINISTROS[[#This Row],[FIN DE SEMANA]])</f>
        <v>1052-2MNO</v>
      </c>
      <c r="D1883" s="360" t="str">
        <f>CONCATENATE(VOL_VOLUMEN_SUMINISTROS[[#This Row],[Grupo]],VOL_VOLUMEN_SUMINISTROS[[#This Row],[Proyecto]],VOL_VOLUMEN_SUMINISTROS[[#This Row],[FIN DE SEMANA]])</f>
        <v>161052-2NO</v>
      </c>
      <c r="E1883" s="30" t="s">
        <v>182</v>
      </c>
      <c r="F1883" s="30" t="s">
        <v>147</v>
      </c>
      <c r="G1883" s="360">
        <v>16</v>
      </c>
      <c r="H1883" s="30">
        <v>1</v>
      </c>
      <c r="I1883" s="9" t="s">
        <v>396</v>
      </c>
      <c r="J1883" s="9" t="s">
        <v>397</v>
      </c>
      <c r="K1883" s="30">
        <v>1</v>
      </c>
      <c r="L1883" s="9" t="s">
        <v>398</v>
      </c>
      <c r="M1883" s="30" t="s">
        <v>84</v>
      </c>
      <c r="N1883" s="30" t="s">
        <v>151</v>
      </c>
      <c r="O1883" s="24">
        <v>0</v>
      </c>
      <c r="P1883" s="24">
        <v>0</v>
      </c>
      <c r="Q1883" s="24">
        <v>30</v>
      </c>
      <c r="R1883" s="24">
        <v>0</v>
      </c>
      <c r="S1883" s="24">
        <v>0</v>
      </c>
      <c r="T1883" s="24">
        <v>30</v>
      </c>
    </row>
    <row r="1884" spans="1:20">
      <c r="A1884" s="9" t="s">
        <v>1303</v>
      </c>
      <c r="B1884" s="30" t="s">
        <v>1309</v>
      </c>
      <c r="C1884" s="30" t="str">
        <f>CONCATENATE(VOL_VOLUMEN_SUMINISTROS[[#This Row],[Proyecto]],VOL_VOLUMEN_SUMINISTROS[[#This Row],[J]],VOL_VOLUMEN_SUMINISTROS[[#This Row],[FIN DE SEMANA]])</f>
        <v>1052-2TNO</v>
      </c>
      <c r="D1884" s="360" t="str">
        <f>CONCATENATE(VOL_VOLUMEN_SUMINISTROS[[#This Row],[Grupo]],VOL_VOLUMEN_SUMINISTROS[[#This Row],[Proyecto]],VOL_VOLUMEN_SUMINISTROS[[#This Row],[FIN DE SEMANA]])</f>
        <v>161052-2NO</v>
      </c>
      <c r="E1884" s="30" t="s">
        <v>182</v>
      </c>
      <c r="F1884" s="30" t="s">
        <v>147</v>
      </c>
      <c r="G1884" s="360">
        <v>16</v>
      </c>
      <c r="H1884" s="30">
        <v>1</v>
      </c>
      <c r="I1884" s="9" t="s">
        <v>396</v>
      </c>
      <c r="J1884" s="9" t="s">
        <v>397</v>
      </c>
      <c r="K1884" s="30">
        <v>1</v>
      </c>
      <c r="L1884" s="9" t="s">
        <v>398</v>
      </c>
      <c r="M1884" s="30" t="s">
        <v>84</v>
      </c>
      <c r="N1884" s="30" t="s">
        <v>154</v>
      </c>
      <c r="O1884" s="24">
        <v>0</v>
      </c>
      <c r="P1884" s="24">
        <v>0</v>
      </c>
      <c r="Q1884" s="24">
        <v>35</v>
      </c>
      <c r="R1884" s="24">
        <v>0</v>
      </c>
      <c r="S1884" s="24">
        <v>0</v>
      </c>
      <c r="T1884" s="24">
        <v>35</v>
      </c>
    </row>
    <row r="1885" spans="1:20">
      <c r="A1885" s="9" t="s">
        <v>1303</v>
      </c>
      <c r="B1885" s="30" t="s">
        <v>1309</v>
      </c>
      <c r="C1885" s="30" t="str">
        <f>CONCATENATE(VOL_VOLUMEN_SUMINISTROS[[#This Row],[Proyecto]],VOL_VOLUMEN_SUMINISTROS[[#This Row],[J]],VOL_VOLUMEN_SUMINISTROS[[#This Row],[FIN DE SEMANA]])</f>
        <v>1052-2MNO</v>
      </c>
      <c r="D1885" s="360" t="str">
        <f>CONCATENATE(VOL_VOLUMEN_SUMINISTROS[[#This Row],[Grupo]],VOL_VOLUMEN_SUMINISTROS[[#This Row],[Proyecto]],VOL_VOLUMEN_SUMINISTROS[[#This Row],[FIN DE SEMANA]])</f>
        <v>161052-2NO</v>
      </c>
      <c r="E1885" s="30" t="s">
        <v>182</v>
      </c>
      <c r="F1885" s="30" t="s">
        <v>147</v>
      </c>
      <c r="G1885" s="360">
        <v>16</v>
      </c>
      <c r="H1885" s="30">
        <v>1</v>
      </c>
      <c r="I1885" s="9" t="s">
        <v>396</v>
      </c>
      <c r="J1885" s="9" t="s">
        <v>397</v>
      </c>
      <c r="K1885" s="30">
        <v>5</v>
      </c>
      <c r="L1885" s="9" t="s">
        <v>1306</v>
      </c>
      <c r="M1885" s="30" t="s">
        <v>84</v>
      </c>
      <c r="N1885" s="30" t="s">
        <v>151</v>
      </c>
      <c r="O1885" s="24">
        <v>0</v>
      </c>
      <c r="P1885" s="24">
        <v>0</v>
      </c>
      <c r="Q1885" s="24">
        <v>55</v>
      </c>
      <c r="R1885" s="24">
        <v>0</v>
      </c>
      <c r="S1885" s="24">
        <v>0</v>
      </c>
      <c r="T1885" s="24">
        <v>55</v>
      </c>
    </row>
    <row r="1886" spans="1:20">
      <c r="A1886" s="9" t="s">
        <v>1303</v>
      </c>
      <c r="B1886" s="30" t="s">
        <v>1309</v>
      </c>
      <c r="C1886" s="30" t="str">
        <f>CONCATENATE(VOL_VOLUMEN_SUMINISTROS[[#This Row],[Proyecto]],VOL_VOLUMEN_SUMINISTROS[[#This Row],[J]],VOL_VOLUMEN_SUMINISTROS[[#This Row],[FIN DE SEMANA]])</f>
        <v>1052-2TNO</v>
      </c>
      <c r="D1886" s="360" t="str">
        <f>CONCATENATE(VOL_VOLUMEN_SUMINISTROS[[#This Row],[Grupo]],VOL_VOLUMEN_SUMINISTROS[[#This Row],[Proyecto]],VOL_VOLUMEN_SUMINISTROS[[#This Row],[FIN DE SEMANA]])</f>
        <v>161052-2NO</v>
      </c>
      <c r="E1886" s="30" t="s">
        <v>182</v>
      </c>
      <c r="F1886" s="30" t="s">
        <v>147</v>
      </c>
      <c r="G1886" s="360">
        <v>16</v>
      </c>
      <c r="H1886" s="30">
        <v>1</v>
      </c>
      <c r="I1886" s="9" t="s">
        <v>396</v>
      </c>
      <c r="J1886" s="9" t="s">
        <v>397</v>
      </c>
      <c r="K1886" s="30">
        <v>5</v>
      </c>
      <c r="L1886" s="9" t="s">
        <v>1306</v>
      </c>
      <c r="M1886" s="30" t="s">
        <v>84</v>
      </c>
      <c r="N1886" s="30" t="s">
        <v>154</v>
      </c>
      <c r="O1886" s="24">
        <v>0</v>
      </c>
      <c r="P1886" s="24">
        <v>0</v>
      </c>
      <c r="Q1886" s="24">
        <v>74</v>
      </c>
      <c r="R1886" s="24">
        <v>0</v>
      </c>
      <c r="S1886" s="24">
        <v>0</v>
      </c>
      <c r="T1886" s="24">
        <v>74</v>
      </c>
    </row>
    <row r="1887" spans="1:20">
      <c r="A1887" s="9" t="s">
        <v>1303</v>
      </c>
      <c r="B1887" s="30" t="s">
        <v>1309</v>
      </c>
      <c r="C1887" s="30" t="str">
        <f>CONCATENATE(VOL_VOLUMEN_SUMINISTROS[[#This Row],[Proyecto]],VOL_VOLUMEN_SUMINISTROS[[#This Row],[J]],VOL_VOLUMEN_SUMINISTROS[[#This Row],[FIN DE SEMANA]])</f>
        <v>1052-2MNO</v>
      </c>
      <c r="D1887" s="360" t="str">
        <f>CONCATENATE(VOL_VOLUMEN_SUMINISTROS[[#This Row],[Grupo]],VOL_VOLUMEN_SUMINISTROS[[#This Row],[Proyecto]],VOL_VOLUMEN_SUMINISTROS[[#This Row],[FIN DE SEMANA]])</f>
        <v>161052-2NO</v>
      </c>
      <c r="E1887" s="30" t="s">
        <v>182</v>
      </c>
      <c r="F1887" s="30" t="s">
        <v>147</v>
      </c>
      <c r="G1887" s="360">
        <v>16</v>
      </c>
      <c r="H1887" s="30">
        <v>1</v>
      </c>
      <c r="I1887" s="9" t="s">
        <v>396</v>
      </c>
      <c r="J1887" s="9" t="s">
        <v>1167</v>
      </c>
      <c r="K1887" s="30">
        <v>1</v>
      </c>
      <c r="L1887" s="9" t="s">
        <v>1168</v>
      </c>
      <c r="M1887" s="30" t="s">
        <v>84</v>
      </c>
      <c r="N1887" s="30" t="s">
        <v>151</v>
      </c>
      <c r="O1887" s="24">
        <v>0</v>
      </c>
      <c r="P1887" s="24">
        <v>0</v>
      </c>
      <c r="Q1887" s="24">
        <v>67</v>
      </c>
      <c r="R1887" s="24">
        <v>0</v>
      </c>
      <c r="S1887" s="24">
        <v>0</v>
      </c>
      <c r="T1887" s="24">
        <v>67</v>
      </c>
    </row>
    <row r="1888" spans="1:20">
      <c r="A1888" s="9" t="s">
        <v>1303</v>
      </c>
      <c r="B1888" s="30" t="s">
        <v>1309</v>
      </c>
      <c r="C1888" s="30" t="str">
        <f>CONCATENATE(VOL_VOLUMEN_SUMINISTROS[[#This Row],[Proyecto]],VOL_VOLUMEN_SUMINISTROS[[#This Row],[J]],VOL_VOLUMEN_SUMINISTROS[[#This Row],[FIN DE SEMANA]])</f>
        <v>1052-2TNO</v>
      </c>
      <c r="D1888" s="360" t="str">
        <f>CONCATENATE(VOL_VOLUMEN_SUMINISTROS[[#This Row],[Grupo]],VOL_VOLUMEN_SUMINISTROS[[#This Row],[Proyecto]],VOL_VOLUMEN_SUMINISTROS[[#This Row],[FIN DE SEMANA]])</f>
        <v>161052-2NO</v>
      </c>
      <c r="E1888" s="30" t="s">
        <v>182</v>
      </c>
      <c r="F1888" s="30" t="s">
        <v>147</v>
      </c>
      <c r="G1888" s="360">
        <v>16</v>
      </c>
      <c r="H1888" s="30">
        <v>1</v>
      </c>
      <c r="I1888" s="9" t="s">
        <v>396</v>
      </c>
      <c r="J1888" s="9" t="s">
        <v>1167</v>
      </c>
      <c r="K1888" s="30">
        <v>1</v>
      </c>
      <c r="L1888" s="9" t="s">
        <v>1168</v>
      </c>
      <c r="M1888" s="30" t="s">
        <v>84</v>
      </c>
      <c r="N1888" s="30" t="s">
        <v>154</v>
      </c>
      <c r="O1888" s="24">
        <v>0</v>
      </c>
      <c r="P1888" s="24">
        <v>0</v>
      </c>
      <c r="Q1888" s="24">
        <v>63</v>
      </c>
      <c r="R1888" s="24">
        <v>0</v>
      </c>
      <c r="S1888" s="24">
        <v>0</v>
      </c>
      <c r="T1888" s="24">
        <v>63</v>
      </c>
    </row>
    <row r="1889" spans="1:20">
      <c r="A1889" s="9" t="s">
        <v>1303</v>
      </c>
      <c r="B1889" s="30" t="s">
        <v>1309</v>
      </c>
      <c r="C1889" s="30" t="str">
        <f>CONCATENATE(VOL_VOLUMEN_SUMINISTROS[[#This Row],[Proyecto]],VOL_VOLUMEN_SUMINISTROS[[#This Row],[J]],VOL_VOLUMEN_SUMINISTROS[[#This Row],[FIN DE SEMANA]])</f>
        <v>1052-2M1NO</v>
      </c>
      <c r="D1889" s="360" t="str">
        <f>CONCATENATE(VOL_VOLUMEN_SUMINISTROS[[#This Row],[Grupo]],VOL_VOLUMEN_SUMINISTROS[[#This Row],[Proyecto]],VOL_VOLUMEN_SUMINISTROS[[#This Row],[FIN DE SEMANA]])</f>
        <v>161052-2NO</v>
      </c>
      <c r="E1889" s="30" t="s">
        <v>182</v>
      </c>
      <c r="F1889" s="30" t="s">
        <v>147</v>
      </c>
      <c r="G1889" s="360">
        <v>16</v>
      </c>
      <c r="H1889" s="30">
        <v>1</v>
      </c>
      <c r="I1889" s="9" t="s">
        <v>396</v>
      </c>
      <c r="J1889" s="9" t="s">
        <v>410</v>
      </c>
      <c r="K1889" s="30">
        <v>1</v>
      </c>
      <c r="L1889" s="9" t="s">
        <v>411</v>
      </c>
      <c r="M1889" s="30" t="s">
        <v>84</v>
      </c>
      <c r="N1889" s="30" t="s">
        <v>215</v>
      </c>
      <c r="O1889" s="24">
        <v>0</v>
      </c>
      <c r="P1889" s="24">
        <v>0</v>
      </c>
      <c r="Q1889" s="24">
        <v>210</v>
      </c>
      <c r="R1889" s="24">
        <v>0</v>
      </c>
      <c r="S1889" s="24">
        <v>0</v>
      </c>
      <c r="T1889" s="24">
        <v>210</v>
      </c>
    </row>
    <row r="1890" spans="1:20">
      <c r="A1890" s="9" t="s">
        <v>1303</v>
      </c>
      <c r="B1890" s="30" t="s">
        <v>1310</v>
      </c>
      <c r="C1890" s="30" t="str">
        <f>CONCATENATE(VOL_VOLUMEN_SUMINISTROS[[#This Row],[Proyecto]],VOL_VOLUMEN_SUMINISTROS[[#This Row],[J]],VOL_VOLUMEN_SUMINISTROS[[#This Row],[FIN DE SEMANA]])</f>
        <v>1052-2MNO</v>
      </c>
      <c r="D1890" s="360" t="str">
        <f>CONCATENATE(VOL_VOLUMEN_SUMINISTROS[[#This Row],[Grupo]],VOL_VOLUMEN_SUMINISTROS[[#This Row],[Proyecto]],VOL_VOLUMEN_SUMINISTROS[[#This Row],[FIN DE SEMANA]])</f>
        <v>161052-2NO</v>
      </c>
      <c r="E1890" s="30" t="s">
        <v>182</v>
      </c>
      <c r="F1890" s="30" t="s">
        <v>147</v>
      </c>
      <c r="G1890" s="360">
        <v>16</v>
      </c>
      <c r="H1890" s="30">
        <v>1</v>
      </c>
      <c r="I1890" s="9" t="s">
        <v>396</v>
      </c>
      <c r="J1890" s="9" t="s">
        <v>397</v>
      </c>
      <c r="K1890" s="30">
        <v>2</v>
      </c>
      <c r="L1890" s="9" t="s">
        <v>399</v>
      </c>
      <c r="M1890" s="30" t="s">
        <v>84</v>
      </c>
      <c r="N1890" s="30" t="s">
        <v>151</v>
      </c>
      <c r="O1890" s="24">
        <v>45</v>
      </c>
      <c r="P1890" s="24">
        <v>0</v>
      </c>
      <c r="Q1890" s="24">
        <v>0</v>
      </c>
      <c r="R1890" s="24">
        <v>0</v>
      </c>
      <c r="S1890" s="24">
        <v>0</v>
      </c>
      <c r="T1890" s="24">
        <v>45</v>
      </c>
    </row>
    <row r="1891" spans="1:20">
      <c r="A1891" s="9" t="s">
        <v>1303</v>
      </c>
      <c r="B1891" s="30" t="s">
        <v>1310</v>
      </c>
      <c r="C1891" s="30" t="str">
        <f>CONCATENATE(VOL_VOLUMEN_SUMINISTROS[[#This Row],[Proyecto]],VOL_VOLUMEN_SUMINISTROS[[#This Row],[J]],VOL_VOLUMEN_SUMINISTROS[[#This Row],[FIN DE SEMANA]])</f>
        <v>1052-2TNO</v>
      </c>
      <c r="D1891" s="360" t="str">
        <f>CONCATENATE(VOL_VOLUMEN_SUMINISTROS[[#This Row],[Grupo]],VOL_VOLUMEN_SUMINISTROS[[#This Row],[Proyecto]],VOL_VOLUMEN_SUMINISTROS[[#This Row],[FIN DE SEMANA]])</f>
        <v>161052-2NO</v>
      </c>
      <c r="E1891" s="30" t="s">
        <v>182</v>
      </c>
      <c r="F1891" s="30" t="s">
        <v>147</v>
      </c>
      <c r="G1891" s="360">
        <v>16</v>
      </c>
      <c r="H1891" s="30">
        <v>1</v>
      </c>
      <c r="I1891" s="9" t="s">
        <v>396</v>
      </c>
      <c r="J1891" s="9" t="s">
        <v>397</v>
      </c>
      <c r="K1891" s="30">
        <v>2</v>
      </c>
      <c r="L1891" s="9" t="s">
        <v>399</v>
      </c>
      <c r="M1891" s="30" t="s">
        <v>84</v>
      </c>
      <c r="N1891" s="30" t="s">
        <v>154</v>
      </c>
      <c r="O1891" s="24">
        <v>44</v>
      </c>
      <c r="P1891" s="24">
        <v>0</v>
      </c>
      <c r="Q1891" s="24">
        <v>0</v>
      </c>
      <c r="R1891" s="24">
        <v>0</v>
      </c>
      <c r="S1891" s="24">
        <v>0</v>
      </c>
      <c r="T1891" s="24">
        <v>44</v>
      </c>
    </row>
    <row r="1892" spans="1:20">
      <c r="A1892" s="9" t="s">
        <v>1303</v>
      </c>
      <c r="B1892" s="30" t="s">
        <v>1310</v>
      </c>
      <c r="C1892" s="30" t="str">
        <f>CONCATENATE(VOL_VOLUMEN_SUMINISTROS[[#This Row],[Proyecto]],VOL_VOLUMEN_SUMINISTROS[[#This Row],[J]],VOL_VOLUMEN_SUMINISTROS[[#This Row],[FIN DE SEMANA]])</f>
        <v>1052-2TNO</v>
      </c>
      <c r="D1892" s="360" t="str">
        <f>CONCATENATE(VOL_VOLUMEN_SUMINISTROS[[#This Row],[Grupo]],VOL_VOLUMEN_SUMINISTROS[[#This Row],[Proyecto]],VOL_VOLUMEN_SUMINISTROS[[#This Row],[FIN DE SEMANA]])</f>
        <v>161052-2NO</v>
      </c>
      <c r="E1892" s="30" t="s">
        <v>182</v>
      </c>
      <c r="F1892" s="30" t="s">
        <v>147</v>
      </c>
      <c r="G1892" s="360">
        <v>16</v>
      </c>
      <c r="H1892" s="30">
        <v>1</v>
      </c>
      <c r="I1892" s="9" t="s">
        <v>396</v>
      </c>
      <c r="J1892" s="9" t="s">
        <v>397</v>
      </c>
      <c r="K1892" s="30">
        <v>3</v>
      </c>
      <c r="L1892" s="9" t="s">
        <v>400</v>
      </c>
      <c r="M1892" s="30" t="s">
        <v>84</v>
      </c>
      <c r="N1892" s="30" t="s">
        <v>154</v>
      </c>
      <c r="O1892" s="24">
        <v>68</v>
      </c>
      <c r="P1892" s="24">
        <v>0</v>
      </c>
      <c r="Q1892" s="24">
        <v>0</v>
      </c>
      <c r="R1892" s="24">
        <v>0</v>
      </c>
      <c r="S1892" s="24">
        <v>0</v>
      </c>
      <c r="T1892" s="24">
        <v>68</v>
      </c>
    </row>
    <row r="1893" spans="1:20">
      <c r="A1893" s="9" t="s">
        <v>1303</v>
      </c>
      <c r="B1893" s="30" t="s">
        <v>1310</v>
      </c>
      <c r="C1893" s="30" t="str">
        <f>CONCATENATE(VOL_VOLUMEN_SUMINISTROS[[#This Row],[Proyecto]],VOL_VOLUMEN_SUMINISTROS[[#This Row],[J]],VOL_VOLUMEN_SUMINISTROS[[#This Row],[FIN DE SEMANA]])</f>
        <v>1052-2MNO</v>
      </c>
      <c r="D1893" s="360" t="str">
        <f>CONCATENATE(VOL_VOLUMEN_SUMINISTROS[[#This Row],[Grupo]],VOL_VOLUMEN_SUMINISTROS[[#This Row],[Proyecto]],VOL_VOLUMEN_SUMINISTROS[[#This Row],[FIN DE SEMANA]])</f>
        <v>161052-2NO</v>
      </c>
      <c r="E1893" s="30" t="s">
        <v>182</v>
      </c>
      <c r="F1893" s="30" t="s">
        <v>147</v>
      </c>
      <c r="G1893" s="360">
        <v>16</v>
      </c>
      <c r="H1893" s="30">
        <v>1</v>
      </c>
      <c r="I1893" s="9" t="s">
        <v>396</v>
      </c>
      <c r="J1893" s="9" t="s">
        <v>397</v>
      </c>
      <c r="K1893" s="30">
        <v>6</v>
      </c>
      <c r="L1893" s="9" t="s">
        <v>401</v>
      </c>
      <c r="M1893" s="30" t="s">
        <v>84</v>
      </c>
      <c r="N1893" s="30" t="s">
        <v>151</v>
      </c>
      <c r="O1893" s="24">
        <v>33</v>
      </c>
      <c r="P1893" s="24">
        <v>0</v>
      </c>
      <c r="Q1893" s="24">
        <v>0</v>
      </c>
      <c r="R1893" s="24">
        <v>0</v>
      </c>
      <c r="S1893" s="24">
        <v>0</v>
      </c>
      <c r="T1893" s="24">
        <v>33</v>
      </c>
    </row>
    <row r="1894" spans="1:20">
      <c r="A1894" s="9" t="s">
        <v>1303</v>
      </c>
      <c r="B1894" s="30" t="s">
        <v>1310</v>
      </c>
      <c r="C1894" s="30" t="str">
        <f>CONCATENATE(VOL_VOLUMEN_SUMINISTROS[[#This Row],[Proyecto]],VOL_VOLUMEN_SUMINISTROS[[#This Row],[J]],VOL_VOLUMEN_SUMINISTROS[[#This Row],[FIN DE SEMANA]])</f>
        <v>1052-2TNO</v>
      </c>
      <c r="D1894" s="360" t="str">
        <f>CONCATENATE(VOL_VOLUMEN_SUMINISTROS[[#This Row],[Grupo]],VOL_VOLUMEN_SUMINISTROS[[#This Row],[Proyecto]],VOL_VOLUMEN_SUMINISTROS[[#This Row],[FIN DE SEMANA]])</f>
        <v>161052-2NO</v>
      </c>
      <c r="E1894" s="30" t="s">
        <v>182</v>
      </c>
      <c r="F1894" s="30" t="s">
        <v>147</v>
      </c>
      <c r="G1894" s="360">
        <v>16</v>
      </c>
      <c r="H1894" s="30">
        <v>1</v>
      </c>
      <c r="I1894" s="9" t="s">
        <v>396</v>
      </c>
      <c r="J1894" s="9" t="s">
        <v>397</v>
      </c>
      <c r="K1894" s="30">
        <v>6</v>
      </c>
      <c r="L1894" s="9" t="s">
        <v>401</v>
      </c>
      <c r="M1894" s="30" t="s">
        <v>84</v>
      </c>
      <c r="N1894" s="30" t="s">
        <v>154</v>
      </c>
      <c r="O1894" s="24">
        <v>25</v>
      </c>
      <c r="P1894" s="24">
        <v>0</v>
      </c>
      <c r="Q1894" s="24">
        <v>0</v>
      </c>
      <c r="R1894" s="24">
        <v>0</v>
      </c>
      <c r="S1894" s="24">
        <v>0</v>
      </c>
      <c r="T1894" s="24">
        <v>25</v>
      </c>
    </row>
    <row r="1895" spans="1:20">
      <c r="A1895" s="9" t="s">
        <v>1303</v>
      </c>
      <c r="B1895" s="30" t="s">
        <v>1310</v>
      </c>
      <c r="C1895" s="30" t="str">
        <f>CONCATENATE(VOL_VOLUMEN_SUMINISTROS[[#This Row],[Proyecto]],VOL_VOLUMEN_SUMINISTROS[[#This Row],[J]],VOL_VOLUMEN_SUMINISTROS[[#This Row],[FIN DE SEMANA]])</f>
        <v>1052-2TNO</v>
      </c>
      <c r="D1895" s="360" t="str">
        <f>CONCATENATE(VOL_VOLUMEN_SUMINISTROS[[#This Row],[Grupo]],VOL_VOLUMEN_SUMINISTROS[[#This Row],[Proyecto]],VOL_VOLUMEN_SUMINISTROS[[#This Row],[FIN DE SEMANA]])</f>
        <v>161052-2NO</v>
      </c>
      <c r="E1895" s="30" t="s">
        <v>182</v>
      </c>
      <c r="F1895" s="30" t="s">
        <v>147</v>
      </c>
      <c r="G1895" s="360">
        <v>16</v>
      </c>
      <c r="H1895" s="30">
        <v>1</v>
      </c>
      <c r="I1895" s="9" t="s">
        <v>396</v>
      </c>
      <c r="J1895" s="9" t="s">
        <v>402</v>
      </c>
      <c r="K1895" s="30">
        <v>4</v>
      </c>
      <c r="L1895" s="9" t="s">
        <v>405</v>
      </c>
      <c r="M1895" s="30" t="s">
        <v>84</v>
      </c>
      <c r="N1895" s="30" t="s">
        <v>154</v>
      </c>
      <c r="O1895" s="24">
        <v>69</v>
      </c>
      <c r="P1895" s="24">
        <v>0</v>
      </c>
      <c r="Q1895" s="24">
        <v>0</v>
      </c>
      <c r="R1895" s="24">
        <v>0</v>
      </c>
      <c r="S1895" s="24">
        <v>0</v>
      </c>
      <c r="T1895" s="24">
        <v>69</v>
      </c>
    </row>
    <row r="1896" spans="1:20">
      <c r="A1896" s="9" t="s">
        <v>1104</v>
      </c>
      <c r="B1896" s="30" t="s">
        <v>1209</v>
      </c>
      <c r="C1896" s="30" t="str">
        <f>CONCATENATE(VOL_VOLUMEN_SUMINISTROS[[#This Row],[Proyecto]],VOL_VOLUMEN_SUMINISTROS[[#This Row],[J]],VOL_VOLUMEN_SUMINISTROS[[#This Row],[FIN DE SEMANA]])</f>
        <v>1052-1MNO</v>
      </c>
      <c r="D1896" s="360" t="str">
        <f>CONCATENATE(VOL_VOLUMEN_SUMINISTROS[[#This Row],[Grupo]],VOL_VOLUMEN_SUMINISTROS[[#This Row],[Proyecto]],VOL_VOLUMEN_SUMINISTROS[[#This Row],[FIN DE SEMANA]])</f>
        <v>61052-1NO</v>
      </c>
      <c r="E1896" s="30" t="s">
        <v>146</v>
      </c>
      <c r="F1896" s="30" t="s">
        <v>147</v>
      </c>
      <c r="G1896" s="360">
        <v>6</v>
      </c>
      <c r="H1896" s="30">
        <v>5</v>
      </c>
      <c r="I1896" s="9" t="s">
        <v>763</v>
      </c>
      <c r="J1896" s="9" t="s">
        <v>1311</v>
      </c>
      <c r="K1896" s="30"/>
      <c r="M1896" s="30" t="s">
        <v>84</v>
      </c>
      <c r="N1896" s="30" t="s">
        <v>151</v>
      </c>
      <c r="O1896" s="24">
        <v>289</v>
      </c>
      <c r="P1896" s="24">
        <v>370</v>
      </c>
      <c r="Q1896" s="24">
        <v>482</v>
      </c>
      <c r="R1896" s="24">
        <v>0</v>
      </c>
      <c r="S1896" s="24">
        <v>0</v>
      </c>
      <c r="T1896" s="24">
        <v>1141</v>
      </c>
    </row>
    <row r="1897" spans="1:20">
      <c r="A1897" s="9" t="s">
        <v>1104</v>
      </c>
      <c r="B1897" s="30" t="s">
        <v>1209</v>
      </c>
      <c r="C1897" s="30" t="str">
        <f>CONCATENATE(VOL_VOLUMEN_SUMINISTROS[[#This Row],[Proyecto]],VOL_VOLUMEN_SUMINISTROS[[#This Row],[J]],VOL_VOLUMEN_SUMINISTROS[[#This Row],[FIN DE SEMANA]])</f>
        <v>1052-2MNO</v>
      </c>
      <c r="D1897" s="360" t="str">
        <f>CONCATENATE(VOL_VOLUMEN_SUMINISTROS[[#This Row],[Grupo]],VOL_VOLUMEN_SUMINISTROS[[#This Row],[Proyecto]],VOL_VOLUMEN_SUMINISTROS[[#This Row],[FIN DE SEMANA]])</f>
        <v>61052-2NO</v>
      </c>
      <c r="E1897" s="30" t="s">
        <v>182</v>
      </c>
      <c r="F1897" s="30" t="s">
        <v>147</v>
      </c>
      <c r="G1897" s="360">
        <v>6</v>
      </c>
      <c r="H1897" s="30">
        <v>5</v>
      </c>
      <c r="I1897" s="9" t="s">
        <v>763</v>
      </c>
      <c r="J1897" s="9" t="s">
        <v>1311</v>
      </c>
      <c r="K1897" s="30"/>
      <c r="M1897" s="30" t="s">
        <v>84</v>
      </c>
      <c r="N1897" s="30" t="s">
        <v>151</v>
      </c>
      <c r="O1897" s="24">
        <v>289</v>
      </c>
      <c r="P1897" s="24">
        <v>370</v>
      </c>
      <c r="Q1897" s="24">
        <v>482</v>
      </c>
      <c r="R1897" s="24">
        <v>0</v>
      </c>
      <c r="S1897" s="24">
        <v>0</v>
      </c>
      <c r="T1897" s="24">
        <v>1141</v>
      </c>
    </row>
    <row r="1898" spans="1:20">
      <c r="A1898" s="9" t="s">
        <v>1104</v>
      </c>
      <c r="B1898" s="30" t="s">
        <v>1209</v>
      </c>
      <c r="C1898" s="30" t="str">
        <f>CONCATENATE(VOL_VOLUMEN_SUMINISTROS[[#This Row],[Proyecto]],VOL_VOLUMEN_SUMINISTROS[[#This Row],[J]],VOL_VOLUMEN_SUMINISTROS[[#This Row],[FIN DE SEMANA]])</f>
        <v>1052-1MNO</v>
      </c>
      <c r="D1898" s="360" t="str">
        <f>CONCATENATE(VOL_VOLUMEN_SUMINISTROS[[#This Row],[Grupo]],VOL_VOLUMEN_SUMINISTROS[[#This Row],[Proyecto]],VOL_VOLUMEN_SUMINISTROS[[#This Row],[FIN DE SEMANA]])</f>
        <v>61052-1NO</v>
      </c>
      <c r="E1898" s="30" t="s">
        <v>146</v>
      </c>
      <c r="F1898" s="30" t="s">
        <v>147</v>
      </c>
      <c r="G1898" s="360">
        <v>6</v>
      </c>
      <c r="H1898" s="30">
        <v>5</v>
      </c>
      <c r="I1898" s="9" t="s">
        <v>763</v>
      </c>
      <c r="J1898" s="9" t="s">
        <v>1312</v>
      </c>
      <c r="K1898" s="30"/>
      <c r="M1898" s="30" t="s">
        <v>84</v>
      </c>
      <c r="N1898" s="30" t="s">
        <v>151</v>
      </c>
      <c r="O1898" s="24">
        <v>270</v>
      </c>
      <c r="P1898" s="24">
        <v>391</v>
      </c>
      <c r="Q1898" s="24">
        <v>472</v>
      </c>
      <c r="R1898" s="24">
        <v>0</v>
      </c>
      <c r="S1898" s="24">
        <v>0</v>
      </c>
      <c r="T1898" s="24">
        <v>1133</v>
      </c>
    </row>
    <row r="1899" spans="1:20">
      <c r="A1899" s="9" t="s">
        <v>1104</v>
      </c>
      <c r="B1899" s="30" t="s">
        <v>1209</v>
      </c>
      <c r="C1899" s="30" t="str">
        <f>CONCATENATE(VOL_VOLUMEN_SUMINISTROS[[#This Row],[Proyecto]],VOL_VOLUMEN_SUMINISTROS[[#This Row],[J]],VOL_VOLUMEN_SUMINISTROS[[#This Row],[FIN DE SEMANA]])</f>
        <v>1052-2MNO</v>
      </c>
      <c r="D1899" s="360" t="str">
        <f>CONCATENATE(VOL_VOLUMEN_SUMINISTROS[[#This Row],[Grupo]],VOL_VOLUMEN_SUMINISTROS[[#This Row],[Proyecto]],VOL_VOLUMEN_SUMINISTROS[[#This Row],[FIN DE SEMANA]])</f>
        <v>61052-2NO</v>
      </c>
      <c r="E1899" s="30" t="s">
        <v>182</v>
      </c>
      <c r="F1899" s="30" t="s">
        <v>147</v>
      </c>
      <c r="G1899" s="360">
        <v>6</v>
      </c>
      <c r="H1899" s="30">
        <v>5</v>
      </c>
      <c r="I1899" s="9" t="s">
        <v>763</v>
      </c>
      <c r="J1899" s="9" t="s">
        <v>1312</v>
      </c>
      <c r="K1899" s="30"/>
      <c r="M1899" s="30" t="s">
        <v>84</v>
      </c>
      <c r="N1899" s="30" t="s">
        <v>151</v>
      </c>
      <c r="O1899" s="24">
        <v>270</v>
      </c>
      <c r="P1899" s="24">
        <v>391</v>
      </c>
      <c r="Q1899" s="24">
        <v>472</v>
      </c>
      <c r="R1899" s="24">
        <v>0</v>
      </c>
      <c r="S1899" s="24">
        <v>0</v>
      </c>
      <c r="T1899" s="24">
        <v>1133</v>
      </c>
    </row>
    <row r="1900" spans="1:20">
      <c r="A1900" s="9" t="s">
        <v>1104</v>
      </c>
      <c r="B1900" s="30" t="s">
        <v>1209</v>
      </c>
      <c r="C1900" s="30" t="str">
        <f>CONCATENATE(VOL_VOLUMEN_SUMINISTROS[[#This Row],[Proyecto]],VOL_VOLUMEN_SUMINISTROS[[#This Row],[J]],VOL_VOLUMEN_SUMINISTROS[[#This Row],[FIN DE SEMANA]])</f>
        <v>1052-1MNO</v>
      </c>
      <c r="D1900" s="360" t="str">
        <f>CONCATENATE(VOL_VOLUMEN_SUMINISTROS[[#This Row],[Grupo]],VOL_VOLUMEN_SUMINISTROS[[#This Row],[Proyecto]],VOL_VOLUMEN_SUMINISTROS[[#This Row],[FIN DE SEMANA]])</f>
        <v>61052-1NO</v>
      </c>
      <c r="E1900" s="30" t="s">
        <v>146</v>
      </c>
      <c r="F1900" s="30" t="s">
        <v>147</v>
      </c>
      <c r="G1900" s="360">
        <v>6</v>
      </c>
      <c r="H1900" s="30">
        <v>5</v>
      </c>
      <c r="I1900" s="9" t="s">
        <v>763</v>
      </c>
      <c r="J1900" s="9" t="s">
        <v>1313</v>
      </c>
      <c r="K1900" s="30"/>
      <c r="M1900" s="30" t="s">
        <v>84</v>
      </c>
      <c r="N1900" s="30" t="s">
        <v>151</v>
      </c>
      <c r="O1900" s="24">
        <v>327</v>
      </c>
      <c r="P1900" s="24">
        <v>569</v>
      </c>
      <c r="Q1900" s="24">
        <v>532</v>
      </c>
      <c r="R1900" s="24">
        <v>0</v>
      </c>
      <c r="S1900" s="24">
        <v>0</v>
      </c>
      <c r="T1900" s="24">
        <v>1428</v>
      </c>
    </row>
    <row r="1901" spans="1:20">
      <c r="A1901" s="9" t="s">
        <v>1104</v>
      </c>
      <c r="B1901" s="30" t="s">
        <v>1209</v>
      </c>
      <c r="C1901" s="30" t="str">
        <f>CONCATENATE(VOL_VOLUMEN_SUMINISTROS[[#This Row],[Proyecto]],VOL_VOLUMEN_SUMINISTROS[[#This Row],[J]],VOL_VOLUMEN_SUMINISTROS[[#This Row],[FIN DE SEMANA]])</f>
        <v>1052-2MNO</v>
      </c>
      <c r="D1901" s="360" t="str">
        <f>CONCATENATE(VOL_VOLUMEN_SUMINISTROS[[#This Row],[Grupo]],VOL_VOLUMEN_SUMINISTROS[[#This Row],[Proyecto]],VOL_VOLUMEN_SUMINISTROS[[#This Row],[FIN DE SEMANA]])</f>
        <v>61052-2NO</v>
      </c>
      <c r="E1901" s="30" t="s">
        <v>182</v>
      </c>
      <c r="F1901" s="30" t="s">
        <v>147</v>
      </c>
      <c r="G1901" s="360">
        <v>6</v>
      </c>
      <c r="H1901" s="30">
        <v>5</v>
      </c>
      <c r="I1901" s="9" t="s">
        <v>763</v>
      </c>
      <c r="J1901" s="9" t="s">
        <v>1313</v>
      </c>
      <c r="K1901" s="30"/>
      <c r="M1901" s="30" t="s">
        <v>84</v>
      </c>
      <c r="N1901" s="30" t="s">
        <v>151</v>
      </c>
      <c r="O1901" s="24">
        <v>327</v>
      </c>
      <c r="P1901" s="24">
        <v>569</v>
      </c>
      <c r="Q1901" s="24">
        <v>532</v>
      </c>
      <c r="R1901" s="24">
        <v>0</v>
      </c>
      <c r="S1901" s="24">
        <v>0</v>
      </c>
      <c r="T1901" s="24">
        <v>1428</v>
      </c>
    </row>
    <row r="1902" spans="1:20">
      <c r="A1902" s="9" t="s">
        <v>1104</v>
      </c>
      <c r="B1902" s="30" t="s">
        <v>1209</v>
      </c>
      <c r="C1902" s="30" t="str">
        <f>CONCATENATE(VOL_VOLUMEN_SUMINISTROS[[#This Row],[Proyecto]],VOL_VOLUMEN_SUMINISTROS[[#This Row],[J]],VOL_VOLUMEN_SUMINISTROS[[#This Row],[FIN DE SEMANA]])</f>
        <v>1052-1MNO</v>
      </c>
      <c r="D1902" s="360" t="str">
        <f>CONCATENATE(VOL_VOLUMEN_SUMINISTROS[[#This Row],[Grupo]],VOL_VOLUMEN_SUMINISTROS[[#This Row],[Proyecto]],VOL_VOLUMEN_SUMINISTROS[[#This Row],[FIN DE SEMANA]])</f>
        <v>61052-1NO</v>
      </c>
      <c r="E1902" s="30" t="s">
        <v>146</v>
      </c>
      <c r="F1902" s="30" t="s">
        <v>147</v>
      </c>
      <c r="G1902" s="360">
        <v>6</v>
      </c>
      <c r="H1902" s="30">
        <v>5</v>
      </c>
      <c r="I1902" s="9" t="s">
        <v>763</v>
      </c>
      <c r="J1902" s="9" t="s">
        <v>1314</v>
      </c>
      <c r="K1902" s="30"/>
      <c r="M1902" s="30" t="s">
        <v>84</v>
      </c>
      <c r="N1902" s="30" t="s">
        <v>151</v>
      </c>
      <c r="O1902" s="24">
        <v>359</v>
      </c>
      <c r="P1902" s="24">
        <v>432</v>
      </c>
      <c r="Q1902" s="24">
        <v>448</v>
      </c>
      <c r="R1902" s="24">
        <v>0</v>
      </c>
      <c r="S1902" s="24">
        <v>0</v>
      </c>
      <c r="T1902" s="24">
        <v>1239</v>
      </c>
    </row>
    <row r="1903" spans="1:20">
      <c r="A1903" s="9" t="s">
        <v>1104</v>
      </c>
      <c r="B1903" s="30" t="s">
        <v>1164</v>
      </c>
      <c r="C1903" s="30" t="str">
        <f>CONCATENATE(VOL_VOLUMEN_SUMINISTROS[[#This Row],[Proyecto]],VOL_VOLUMEN_SUMINISTROS[[#This Row],[J]],VOL_VOLUMEN_SUMINISTROS[[#This Row],[FIN DE SEMANA]])</f>
        <v>1052-1MNO</v>
      </c>
      <c r="D1903" s="360" t="str">
        <f>CONCATENATE(VOL_VOLUMEN_SUMINISTROS[[#This Row],[Grupo]],VOL_VOLUMEN_SUMINISTROS[[#This Row],[Proyecto]],VOL_VOLUMEN_SUMINISTROS[[#This Row],[FIN DE SEMANA]])</f>
        <v>291052-1NO</v>
      </c>
      <c r="E1903" s="30" t="s">
        <v>146</v>
      </c>
      <c r="F1903" s="30" t="s">
        <v>147</v>
      </c>
      <c r="G1903" s="360">
        <v>29</v>
      </c>
      <c r="H1903" s="30">
        <v>7</v>
      </c>
      <c r="I1903" s="9" t="s">
        <v>220</v>
      </c>
      <c r="J1903" s="9" t="s">
        <v>1315</v>
      </c>
      <c r="K1903" s="30"/>
      <c r="M1903" s="30" t="s">
        <v>84</v>
      </c>
      <c r="N1903" s="30" t="s">
        <v>151</v>
      </c>
      <c r="O1903" s="24">
        <v>363</v>
      </c>
      <c r="P1903" s="24">
        <v>425</v>
      </c>
      <c r="Q1903" s="24">
        <v>456</v>
      </c>
      <c r="R1903" s="24">
        <v>0</v>
      </c>
      <c r="S1903" s="24">
        <v>0</v>
      </c>
      <c r="T1903" s="24">
        <v>1244</v>
      </c>
    </row>
    <row r="1904" spans="1:20">
      <c r="A1904" s="9" t="s">
        <v>1104</v>
      </c>
      <c r="B1904" s="30" t="s">
        <v>1164</v>
      </c>
      <c r="C1904" s="30" t="str">
        <f>CONCATENATE(VOL_VOLUMEN_SUMINISTROS[[#This Row],[Proyecto]],VOL_VOLUMEN_SUMINISTROS[[#This Row],[J]],VOL_VOLUMEN_SUMINISTROS[[#This Row],[FIN DE SEMANA]])</f>
        <v>1052-1MNO</v>
      </c>
      <c r="D1904" s="360" t="str">
        <f>CONCATENATE(VOL_VOLUMEN_SUMINISTROS[[#This Row],[Grupo]],VOL_VOLUMEN_SUMINISTROS[[#This Row],[Proyecto]],VOL_VOLUMEN_SUMINISTROS[[#This Row],[FIN DE SEMANA]])</f>
        <v>291052-1NO</v>
      </c>
      <c r="E1904" s="30" t="s">
        <v>146</v>
      </c>
      <c r="F1904" s="30" t="s">
        <v>147</v>
      </c>
      <c r="G1904" s="360">
        <v>29</v>
      </c>
      <c r="H1904" s="30">
        <v>7</v>
      </c>
      <c r="I1904" s="9" t="s">
        <v>220</v>
      </c>
      <c r="J1904" s="9" t="s">
        <v>1316</v>
      </c>
      <c r="K1904" s="30"/>
      <c r="M1904" s="30" t="s">
        <v>84</v>
      </c>
      <c r="N1904" s="30" t="s">
        <v>151</v>
      </c>
      <c r="O1904" s="24">
        <v>457</v>
      </c>
      <c r="P1904" s="24">
        <v>553</v>
      </c>
      <c r="Q1904" s="24">
        <v>913</v>
      </c>
      <c r="R1904" s="24">
        <v>0</v>
      </c>
      <c r="S1904" s="24">
        <v>0</v>
      </c>
      <c r="T1904" s="24">
        <v>1923</v>
      </c>
    </row>
    <row r="1905" spans="1:20">
      <c r="A1905" s="9" t="s">
        <v>1104</v>
      </c>
      <c r="B1905" s="30" t="s">
        <v>1164</v>
      </c>
      <c r="C1905" s="30" t="str">
        <f>CONCATENATE(VOL_VOLUMEN_SUMINISTROS[[#This Row],[Proyecto]],VOL_VOLUMEN_SUMINISTROS[[#This Row],[J]],VOL_VOLUMEN_SUMINISTROS[[#This Row],[FIN DE SEMANA]])</f>
        <v>1052-1MNO</v>
      </c>
      <c r="D1905" s="360" t="str">
        <f>CONCATENATE(VOL_VOLUMEN_SUMINISTROS[[#This Row],[Grupo]],VOL_VOLUMEN_SUMINISTROS[[#This Row],[Proyecto]],VOL_VOLUMEN_SUMINISTROS[[#This Row],[FIN DE SEMANA]])</f>
        <v>291052-1NO</v>
      </c>
      <c r="E1905" s="30" t="s">
        <v>146</v>
      </c>
      <c r="F1905" s="30" t="s">
        <v>147</v>
      </c>
      <c r="G1905" s="360">
        <v>29</v>
      </c>
      <c r="H1905" s="30">
        <v>7</v>
      </c>
      <c r="I1905" s="9" t="s">
        <v>220</v>
      </c>
      <c r="J1905" s="9" t="s">
        <v>1317</v>
      </c>
      <c r="K1905" s="30"/>
      <c r="M1905" s="30" t="s">
        <v>84</v>
      </c>
      <c r="N1905" s="30" t="s">
        <v>151</v>
      </c>
      <c r="O1905" s="24">
        <v>377</v>
      </c>
      <c r="P1905" s="24">
        <v>462</v>
      </c>
      <c r="Q1905" s="24">
        <v>566</v>
      </c>
      <c r="R1905" s="24">
        <v>0</v>
      </c>
      <c r="S1905" s="24">
        <v>0</v>
      </c>
      <c r="T1905" s="24">
        <v>1405</v>
      </c>
    </row>
    <row r="1906" spans="1:20">
      <c r="A1906" s="9" t="s">
        <v>701</v>
      </c>
      <c r="B1906" s="30" t="s">
        <v>702</v>
      </c>
      <c r="C1906" s="30" t="str">
        <f>CONCATENATE(VOL_VOLUMEN_SUMINISTROS[[#This Row],[Proyecto]],VOL_VOLUMEN_SUMINISTROS[[#This Row],[J]],VOL_VOLUMEN_SUMINISTROS[[#This Row],[FIN DE SEMANA]])</f>
        <v>1052-1MNO</v>
      </c>
      <c r="D1906" s="360" t="str">
        <f>CONCATENATE(VOL_VOLUMEN_SUMINISTROS[[#This Row],[Grupo]],VOL_VOLUMEN_SUMINISTROS[[#This Row],[Proyecto]],VOL_VOLUMEN_SUMINISTROS[[#This Row],[FIN DE SEMANA]])</f>
        <v>61052-1NO</v>
      </c>
      <c r="E1906" s="30" t="s">
        <v>146</v>
      </c>
      <c r="F1906" s="30" t="s">
        <v>147</v>
      </c>
      <c r="G1906" s="360">
        <v>6</v>
      </c>
      <c r="H1906" s="30">
        <v>19</v>
      </c>
      <c r="I1906" s="9" t="s">
        <v>249</v>
      </c>
      <c r="J1906" s="9" t="s">
        <v>1318</v>
      </c>
      <c r="K1906" s="30"/>
      <c r="M1906" s="30" t="s">
        <v>84</v>
      </c>
      <c r="N1906" s="30" t="s">
        <v>151</v>
      </c>
      <c r="O1906" s="24">
        <v>310</v>
      </c>
      <c r="P1906" s="24">
        <v>426</v>
      </c>
      <c r="Q1906" s="24">
        <v>441</v>
      </c>
      <c r="R1906" s="24">
        <v>0</v>
      </c>
      <c r="S1906" s="24">
        <v>0</v>
      </c>
      <c r="T1906" s="24">
        <v>1177</v>
      </c>
    </row>
    <row r="1907" spans="1:20">
      <c r="A1907" s="9" t="s">
        <v>1048</v>
      </c>
      <c r="B1907" s="30" t="s">
        <v>1049</v>
      </c>
      <c r="C1907" s="30" t="str">
        <f>CONCATENATE(VOL_VOLUMEN_SUMINISTROS[[#This Row],[Proyecto]],VOL_VOLUMEN_SUMINISTROS[[#This Row],[J]],VOL_VOLUMEN_SUMINISTROS[[#This Row],[FIN DE SEMANA]])</f>
        <v>1052-1MNO</v>
      </c>
      <c r="D1907" s="360" t="str">
        <f>CONCATENATE(VOL_VOLUMEN_SUMINISTROS[[#This Row],[Grupo]],VOL_VOLUMEN_SUMINISTROS[[#This Row],[Proyecto]],VOL_VOLUMEN_SUMINISTROS[[#This Row],[FIN DE SEMANA]])</f>
        <v>121052-1NO</v>
      </c>
      <c r="E1907" s="30" t="s">
        <v>146</v>
      </c>
      <c r="F1907" s="30" t="s">
        <v>147</v>
      </c>
      <c r="G1907" s="360">
        <v>12</v>
      </c>
      <c r="H1907" s="30">
        <v>8</v>
      </c>
      <c r="I1907" s="9" t="s">
        <v>148</v>
      </c>
      <c r="J1907" s="9" t="s">
        <v>1319</v>
      </c>
      <c r="K1907" s="30"/>
      <c r="M1907" s="30" t="s">
        <v>84</v>
      </c>
      <c r="N1907" s="30" t="s">
        <v>151</v>
      </c>
      <c r="O1907" s="24">
        <v>364</v>
      </c>
      <c r="P1907" s="24">
        <v>456</v>
      </c>
      <c r="Q1907" s="24">
        <v>578</v>
      </c>
      <c r="R1907" s="24">
        <v>0</v>
      </c>
      <c r="S1907" s="24">
        <v>0</v>
      </c>
      <c r="T1907" s="24">
        <v>1398</v>
      </c>
    </row>
    <row r="1908" spans="1:20">
      <c r="A1908" s="9" t="s">
        <v>828</v>
      </c>
      <c r="B1908" s="30" t="s">
        <v>905</v>
      </c>
      <c r="C1908" s="30" t="str">
        <f>CONCATENATE(VOL_VOLUMEN_SUMINISTROS[[#This Row],[Proyecto]],VOL_VOLUMEN_SUMINISTROS[[#This Row],[J]],VOL_VOLUMEN_SUMINISTROS[[#This Row],[FIN DE SEMANA]])</f>
        <v>1052-1MNO</v>
      </c>
      <c r="D1908" s="360" t="str">
        <f>CONCATENATE(VOL_VOLUMEN_SUMINISTROS[[#This Row],[Grupo]],VOL_VOLUMEN_SUMINISTROS[[#This Row],[Proyecto]],VOL_VOLUMEN_SUMINISTROS[[#This Row],[FIN DE SEMANA]])</f>
        <v>161052-1NO</v>
      </c>
      <c r="E1908" s="30" t="s">
        <v>146</v>
      </c>
      <c r="F1908" s="30" t="s">
        <v>147</v>
      </c>
      <c r="G1908" s="360">
        <v>16</v>
      </c>
      <c r="H1908" s="30">
        <v>1</v>
      </c>
      <c r="I1908" s="9" t="s">
        <v>1320</v>
      </c>
      <c r="J1908" s="9" t="s">
        <v>1321</v>
      </c>
      <c r="K1908" s="30"/>
      <c r="M1908" s="30" t="s">
        <v>84</v>
      </c>
      <c r="N1908" s="30" t="s">
        <v>151</v>
      </c>
      <c r="O1908" s="24">
        <v>345</v>
      </c>
      <c r="P1908" s="24">
        <v>404</v>
      </c>
      <c r="Q1908" s="24">
        <v>487</v>
      </c>
      <c r="R1908" s="24">
        <v>0</v>
      </c>
      <c r="S1908" s="24">
        <v>0</v>
      </c>
      <c r="T1908" s="24">
        <v>1236</v>
      </c>
    </row>
    <row r="1909" spans="1:20">
      <c r="A1909" s="9" t="s">
        <v>828</v>
      </c>
      <c r="B1909" s="30" t="s">
        <v>905</v>
      </c>
      <c r="C1909" s="30" t="str">
        <f>CONCATENATE(VOL_VOLUMEN_SUMINISTROS[[#This Row],[Proyecto]],VOL_VOLUMEN_SUMINISTROS[[#This Row],[J]],VOL_VOLUMEN_SUMINISTROS[[#This Row],[FIN DE SEMANA]])</f>
        <v>1052-2MNO</v>
      </c>
      <c r="D1909" s="360" t="str">
        <f>CONCATENATE(VOL_VOLUMEN_SUMINISTROS[[#This Row],[Grupo]],VOL_VOLUMEN_SUMINISTROS[[#This Row],[Proyecto]],VOL_VOLUMEN_SUMINISTROS[[#This Row],[FIN DE SEMANA]])</f>
        <v>161052-2NO</v>
      </c>
      <c r="E1909" s="30" t="s">
        <v>182</v>
      </c>
      <c r="F1909" s="30" t="s">
        <v>147</v>
      </c>
      <c r="G1909" s="360">
        <v>16</v>
      </c>
      <c r="H1909" s="30">
        <v>1</v>
      </c>
      <c r="I1909" s="9" t="s">
        <v>1320</v>
      </c>
      <c r="J1909" s="9" t="s">
        <v>1321</v>
      </c>
      <c r="K1909" s="30"/>
      <c r="M1909" s="30" t="s">
        <v>84</v>
      </c>
      <c r="N1909" s="30" t="s">
        <v>151</v>
      </c>
      <c r="O1909" s="24">
        <v>345</v>
      </c>
      <c r="P1909" s="24">
        <v>404</v>
      </c>
      <c r="Q1909" s="24">
        <v>487</v>
      </c>
      <c r="R1909" s="24">
        <v>0</v>
      </c>
      <c r="S1909" s="24">
        <v>0</v>
      </c>
      <c r="T1909" s="24">
        <v>1236</v>
      </c>
    </row>
    <row r="1910" spans="1:20">
      <c r="A1910" s="9" t="s">
        <v>828</v>
      </c>
      <c r="B1910" s="30" t="s">
        <v>905</v>
      </c>
      <c r="C1910" s="30" t="str">
        <f>CONCATENATE(VOL_VOLUMEN_SUMINISTROS[[#This Row],[Proyecto]],VOL_VOLUMEN_SUMINISTROS[[#This Row],[J]],VOL_VOLUMEN_SUMINISTROS[[#This Row],[FIN DE SEMANA]])</f>
        <v>1052-1MNO</v>
      </c>
      <c r="D1910" s="360" t="str">
        <f>CONCATENATE(VOL_VOLUMEN_SUMINISTROS[[#This Row],[Grupo]],VOL_VOLUMEN_SUMINISTROS[[#This Row],[Proyecto]],VOL_VOLUMEN_SUMINISTROS[[#This Row],[FIN DE SEMANA]])</f>
        <v>201052-1NO</v>
      </c>
      <c r="E1910" s="30" t="s">
        <v>146</v>
      </c>
      <c r="F1910" s="30" t="s">
        <v>147</v>
      </c>
      <c r="G1910" s="360">
        <v>20</v>
      </c>
      <c r="H1910" s="30">
        <v>11</v>
      </c>
      <c r="I1910" s="9" t="s">
        <v>802</v>
      </c>
      <c r="J1910" s="9" t="s">
        <v>1322</v>
      </c>
      <c r="K1910" s="30"/>
      <c r="M1910" s="30" t="s">
        <v>84</v>
      </c>
      <c r="N1910" s="30" t="s">
        <v>151</v>
      </c>
      <c r="O1910" s="24">
        <v>291</v>
      </c>
      <c r="P1910" s="24">
        <v>368</v>
      </c>
      <c r="Q1910" s="24">
        <v>574</v>
      </c>
      <c r="R1910" s="24">
        <v>0</v>
      </c>
      <c r="S1910" s="24">
        <v>0</v>
      </c>
      <c r="T1910" s="24">
        <v>1233</v>
      </c>
    </row>
    <row r="1911" spans="1:20">
      <c r="A1911" s="9" t="s">
        <v>828</v>
      </c>
      <c r="B1911" s="30" t="s">
        <v>905</v>
      </c>
      <c r="C1911" s="30" t="str">
        <f>CONCATENATE(VOL_VOLUMEN_SUMINISTROS[[#This Row],[Proyecto]],VOL_VOLUMEN_SUMINISTROS[[#This Row],[J]],VOL_VOLUMEN_SUMINISTROS[[#This Row],[FIN DE SEMANA]])</f>
        <v>1052-2MNO</v>
      </c>
      <c r="D1911" s="360" t="str">
        <f>CONCATENATE(VOL_VOLUMEN_SUMINISTROS[[#This Row],[Grupo]],VOL_VOLUMEN_SUMINISTROS[[#This Row],[Proyecto]],VOL_VOLUMEN_SUMINISTROS[[#This Row],[FIN DE SEMANA]])</f>
        <v>201052-2NO</v>
      </c>
      <c r="E1911" s="30" t="s">
        <v>182</v>
      </c>
      <c r="F1911" s="30" t="s">
        <v>147</v>
      </c>
      <c r="G1911" s="360">
        <v>20</v>
      </c>
      <c r="H1911" s="30">
        <v>11</v>
      </c>
      <c r="I1911" s="9" t="s">
        <v>802</v>
      </c>
      <c r="J1911" s="9" t="s">
        <v>1322</v>
      </c>
      <c r="K1911" s="30"/>
      <c r="M1911" s="30" t="s">
        <v>84</v>
      </c>
      <c r="N1911" s="30" t="s">
        <v>151</v>
      </c>
      <c r="O1911" s="24">
        <v>291</v>
      </c>
      <c r="P1911" s="24">
        <v>368</v>
      </c>
      <c r="Q1911" s="24">
        <v>574</v>
      </c>
      <c r="R1911" s="24">
        <v>0</v>
      </c>
      <c r="S1911" s="24">
        <v>0</v>
      </c>
      <c r="T1911" s="24">
        <v>1233</v>
      </c>
    </row>
    <row r="1912" spans="1:20">
      <c r="A1912" s="9" t="s">
        <v>828</v>
      </c>
      <c r="B1912" s="30" t="s">
        <v>905</v>
      </c>
      <c r="C1912" s="30" t="str">
        <f>CONCATENATE(VOL_VOLUMEN_SUMINISTROS[[#This Row],[Proyecto]],VOL_VOLUMEN_SUMINISTROS[[#This Row],[J]],VOL_VOLUMEN_SUMINISTROS[[#This Row],[FIN DE SEMANA]])</f>
        <v>1052-1MNO</v>
      </c>
      <c r="D1912" s="360" t="str">
        <f>CONCATENATE(VOL_VOLUMEN_SUMINISTROS[[#This Row],[Grupo]],VOL_VOLUMEN_SUMINISTROS[[#This Row],[Proyecto]],VOL_VOLUMEN_SUMINISTROS[[#This Row],[FIN DE SEMANA]])</f>
        <v>191052-1NO</v>
      </c>
      <c r="E1912" s="30" t="s">
        <v>146</v>
      </c>
      <c r="F1912" s="30" t="s">
        <v>147</v>
      </c>
      <c r="G1912" s="360">
        <v>19</v>
      </c>
      <c r="H1912" s="30">
        <v>11</v>
      </c>
      <c r="I1912" s="9" t="s">
        <v>802</v>
      </c>
      <c r="J1912" s="9" t="s">
        <v>1323</v>
      </c>
      <c r="K1912" s="30"/>
      <c r="M1912" s="30" t="s">
        <v>84</v>
      </c>
      <c r="N1912" s="30" t="s">
        <v>151</v>
      </c>
      <c r="O1912" s="24">
        <v>381</v>
      </c>
      <c r="P1912" s="24">
        <v>615</v>
      </c>
      <c r="Q1912" s="24">
        <v>930</v>
      </c>
      <c r="R1912" s="24">
        <v>0</v>
      </c>
      <c r="S1912" s="24">
        <v>0</v>
      </c>
      <c r="T1912" s="24">
        <v>1926</v>
      </c>
    </row>
    <row r="1913" spans="1:20">
      <c r="A1913" s="9" t="s">
        <v>554</v>
      </c>
      <c r="B1913" s="30" t="s">
        <v>607</v>
      </c>
      <c r="C1913" s="30" t="str">
        <f>CONCATENATE(VOL_VOLUMEN_SUMINISTROS[[#This Row],[Proyecto]],VOL_VOLUMEN_SUMINISTROS[[#This Row],[J]],VOL_VOLUMEN_SUMINISTROS[[#This Row],[FIN DE SEMANA]])</f>
        <v>1052-1MNO</v>
      </c>
      <c r="D1913" s="360" t="str">
        <f>CONCATENATE(VOL_VOLUMEN_SUMINISTROS[[#This Row],[Grupo]],VOL_VOLUMEN_SUMINISTROS[[#This Row],[Proyecto]],VOL_VOLUMEN_SUMINISTROS[[#This Row],[FIN DE SEMANA]])</f>
        <v>141052-1NO</v>
      </c>
      <c r="E1913" s="30" t="s">
        <v>146</v>
      </c>
      <c r="F1913" s="30" t="s">
        <v>147</v>
      </c>
      <c r="G1913" s="360">
        <v>14</v>
      </c>
      <c r="H1913" s="30">
        <v>3</v>
      </c>
      <c r="I1913" s="9" t="s">
        <v>577</v>
      </c>
      <c r="J1913" s="9" t="s">
        <v>1324</v>
      </c>
      <c r="K1913" s="30"/>
      <c r="M1913" s="30" t="s">
        <v>84</v>
      </c>
      <c r="N1913" s="30" t="s">
        <v>151</v>
      </c>
      <c r="O1913" s="24">
        <v>367</v>
      </c>
      <c r="P1913" s="24">
        <v>496</v>
      </c>
      <c r="Q1913" s="24">
        <v>537</v>
      </c>
      <c r="R1913" s="24">
        <v>0</v>
      </c>
      <c r="S1913" s="24">
        <v>0</v>
      </c>
      <c r="T1913" s="24">
        <v>1400</v>
      </c>
    </row>
    <row r="1914" spans="1:20">
      <c r="A1914" s="9" t="s">
        <v>701</v>
      </c>
      <c r="B1914" s="30" t="s">
        <v>702</v>
      </c>
      <c r="C1914" s="30" t="str">
        <f>CONCATENATE(VOL_VOLUMEN_SUMINISTROS[[#This Row],[Proyecto]],VOL_VOLUMEN_SUMINISTROS[[#This Row],[J]],VOL_VOLUMEN_SUMINISTROS[[#This Row],[FIN DE SEMANA]])</f>
        <v>1052-1MNO</v>
      </c>
      <c r="D1914" s="360" t="str">
        <f>CONCATENATE(VOL_VOLUMEN_SUMINISTROS[[#This Row],[Grupo]],VOL_VOLUMEN_SUMINISTROS[[#This Row],[Proyecto]],VOL_VOLUMEN_SUMINISTROS[[#This Row],[FIN DE SEMANA]])</f>
        <v>61052-1NO</v>
      </c>
      <c r="E1914" s="30" t="s">
        <v>146</v>
      </c>
      <c r="F1914" s="30" t="s">
        <v>147</v>
      </c>
      <c r="G1914" s="360">
        <v>6</v>
      </c>
      <c r="H1914" s="30">
        <v>19</v>
      </c>
      <c r="I1914" s="9" t="s">
        <v>249</v>
      </c>
      <c r="J1914" s="9" t="s">
        <v>1325</v>
      </c>
      <c r="K1914" s="30"/>
      <c r="M1914" s="30" t="s">
        <v>84</v>
      </c>
      <c r="N1914" s="30" t="s">
        <v>151</v>
      </c>
      <c r="O1914" s="24">
        <v>257</v>
      </c>
      <c r="P1914" s="24">
        <v>362</v>
      </c>
      <c r="Q1914" s="24">
        <v>410</v>
      </c>
      <c r="R1914" s="24">
        <v>0</v>
      </c>
      <c r="S1914" s="24">
        <v>0</v>
      </c>
      <c r="T1914" s="24">
        <v>1029</v>
      </c>
    </row>
    <row r="1915" spans="1:20">
      <c r="A1915" s="9" t="s">
        <v>1326</v>
      </c>
      <c r="B1915" s="30">
        <v>3538</v>
      </c>
      <c r="C1915" s="30" t="str">
        <f>CONCATENATE(VOL_VOLUMEN_SUMINISTROS[[#This Row],[Proyecto]],VOL_VOLUMEN_SUMINISTROS[[#This Row],[J]],VOL_VOLUMEN_SUMINISTROS[[#This Row],[FIN DE SEMANA]])</f>
        <v>1052-1MNO</v>
      </c>
      <c r="D1915" s="360" t="str">
        <f>CONCATENATE(VOL_VOLUMEN_SUMINISTROS[[#This Row],[Grupo]],VOL_VOLUMEN_SUMINISTROS[[#This Row],[Proyecto]],VOL_VOLUMEN_SUMINISTROS[[#This Row],[FIN DE SEMANA]])</f>
        <v>131052-1NO</v>
      </c>
      <c r="E1915" s="30" t="s">
        <v>146</v>
      </c>
      <c r="F1915" s="30" t="s">
        <v>147</v>
      </c>
      <c r="G1915" s="360">
        <v>13</v>
      </c>
      <c r="H1915" s="30">
        <v>10</v>
      </c>
      <c r="I1915" s="9" t="s">
        <v>330</v>
      </c>
      <c r="J1915" s="9" t="s">
        <v>1327</v>
      </c>
      <c r="K1915" s="30"/>
      <c r="M1915" s="30" t="s">
        <v>84</v>
      </c>
      <c r="N1915" s="30" t="s">
        <v>151</v>
      </c>
      <c r="O1915" s="24">
        <v>616</v>
      </c>
      <c r="P1915" s="24">
        <v>852</v>
      </c>
      <c r="Q1915" s="24">
        <v>887</v>
      </c>
      <c r="R1915" s="24">
        <v>0</v>
      </c>
      <c r="S1915" s="24">
        <v>0</v>
      </c>
      <c r="T1915" s="24">
        <v>2355</v>
      </c>
    </row>
    <row r="1916" spans="1:20">
      <c r="A1916" s="9" t="s">
        <v>1326</v>
      </c>
      <c r="B1916" s="30">
        <v>3538</v>
      </c>
      <c r="C1916" s="30" t="str">
        <f>CONCATENATE(VOL_VOLUMEN_SUMINISTROS[[#This Row],[Proyecto]],VOL_VOLUMEN_SUMINISTROS[[#This Row],[J]],VOL_VOLUMEN_SUMINISTROS[[#This Row],[FIN DE SEMANA]])</f>
        <v>1052-1MNO</v>
      </c>
      <c r="D1916" s="360" t="str">
        <f>CONCATENATE(VOL_VOLUMEN_SUMINISTROS[[#This Row],[Grupo]],VOL_VOLUMEN_SUMINISTROS[[#This Row],[Proyecto]],VOL_VOLUMEN_SUMINISTROS[[#This Row],[FIN DE SEMANA]])</f>
        <v>131052-1NO</v>
      </c>
      <c r="E1916" s="30" t="s">
        <v>146</v>
      </c>
      <c r="F1916" s="30" t="s">
        <v>147</v>
      </c>
      <c r="G1916" s="360">
        <v>13</v>
      </c>
      <c r="H1916" s="30">
        <v>10</v>
      </c>
      <c r="I1916" s="9" t="s">
        <v>330</v>
      </c>
      <c r="J1916" s="9" t="s">
        <v>1328</v>
      </c>
      <c r="K1916" s="30"/>
      <c r="M1916" s="30" t="s">
        <v>84</v>
      </c>
      <c r="N1916" s="30" t="s">
        <v>151</v>
      </c>
      <c r="O1916" s="24">
        <v>628</v>
      </c>
      <c r="P1916" s="24">
        <v>838</v>
      </c>
      <c r="Q1916" s="24">
        <v>886</v>
      </c>
      <c r="R1916" s="24">
        <v>0</v>
      </c>
      <c r="S1916" s="24">
        <v>0</v>
      </c>
      <c r="T1916" s="24">
        <v>2352</v>
      </c>
    </row>
    <row r="1917" spans="1:20">
      <c r="A1917" s="9" t="s">
        <v>127</v>
      </c>
      <c r="B1917" s="30"/>
      <c r="C1917" s="31"/>
      <c r="D1917" s="361"/>
      <c r="E1917" s="30"/>
      <c r="F1917" s="30"/>
      <c r="G1917" s="30"/>
      <c r="H1917" s="30"/>
      <c r="K1917" s="30"/>
      <c r="M1917" s="30"/>
      <c r="N1917" s="30"/>
      <c r="O1917" s="24">
        <f>SUBTOTAL(109,VOL_VOLUMEN_SUMINISTROS[TIPO A])</f>
        <v>191455</v>
      </c>
      <c r="P1917" s="24">
        <f>SUBTOTAL(109,VOL_VOLUMEN_SUMINISTROS[TIPO B])</f>
        <v>249627</v>
      </c>
      <c r="Q1917" s="24">
        <f>SUBTOTAL(109,VOL_VOLUMEN_SUMINISTROS[TIPO C])</f>
        <v>280233</v>
      </c>
      <c r="R1917" s="24">
        <f>SUBTOTAL(109,VOL_VOLUMEN_SUMINISTROS[TIPO M])</f>
        <v>7582</v>
      </c>
      <c r="S1917" s="24">
        <f>SUBTOTAL(109,VOL_VOLUMEN_SUMINISTROS[TIPO H])</f>
        <v>7530</v>
      </c>
      <c r="T1917" s="24">
        <f>SUBTOTAL(109,VOL_VOLUMEN_SUMINISTROS[TOTAL])</f>
        <v>736427</v>
      </c>
    </row>
  </sheetData>
  <mergeCells count="5">
    <mergeCell ref="A3:T3"/>
    <mergeCell ref="A4:T4"/>
    <mergeCell ref="A7:T7"/>
    <mergeCell ref="B2:E2"/>
    <mergeCell ref="A5:T5"/>
  </mergeCells>
  <hyperlinks>
    <hyperlink ref="B2:C2" location="'INDICE_ MODELO'!A1" display="Ir a Indice"/>
    <hyperlink ref="B2:E2" location="'INDICE_ MODELO'!C149" display="Ir a Índice"/>
  </hyperlinks>
  <pageMargins left="0.7" right="0.7" top="0.75" bottom="0.75" header="0.3" footer="0.3"/>
  <pageSetup orientation="portrait" r:id="rId1"/>
  <drawing r:id="rId2"/>
  <tableParts count="1"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3"/>
  <dimension ref="A1:G63"/>
  <sheetViews>
    <sheetView zoomScaleNormal="100" workbookViewId="0"/>
  </sheetViews>
  <sheetFormatPr baseColWidth="10" defaultColWidth="0" defaultRowHeight="13.5" customHeight="1" zeroHeight="1"/>
  <cols>
    <col min="1" max="1" width="11" style="235" customWidth="1"/>
    <col min="2" max="2" width="27.42578125" style="235" customWidth="1"/>
    <col min="3" max="3" width="33.7109375" style="235" customWidth="1"/>
    <col min="4" max="4" width="14.5703125" style="235" customWidth="1"/>
    <col min="5" max="5" width="16.28515625" style="235" customWidth="1"/>
    <col min="6" max="6" width="22.140625" style="235" customWidth="1"/>
    <col min="7" max="7" width="11" style="235" customWidth="1"/>
    <col min="8" max="16384" width="11" style="235" hidden="1"/>
  </cols>
  <sheetData>
    <row r="1" spans="1:7" s="35" customFormat="1" ht="16.5">
      <c r="A1" s="453" t="str">
        <f>+C18</f>
        <v>CEREAL EMPACADO</v>
      </c>
      <c r="B1" s="70"/>
      <c r="C1" s="70"/>
      <c r="D1" s="70"/>
      <c r="E1" s="70"/>
      <c r="F1" s="70"/>
      <c r="G1" s="8"/>
    </row>
    <row r="2" spans="1:7" s="35" customFormat="1" ht="20.25">
      <c r="A2" s="39"/>
      <c r="B2" s="474" t="s">
        <v>1971</v>
      </c>
      <c r="C2" s="474"/>
      <c r="D2" s="38"/>
      <c r="E2" s="86"/>
      <c r="F2" s="86"/>
      <c r="G2" s="5"/>
    </row>
    <row r="3" spans="1:7" s="35" customFormat="1" ht="18.75">
      <c r="A3" s="475" t="s">
        <v>1968</v>
      </c>
      <c r="B3" s="476"/>
      <c r="C3" s="476"/>
      <c r="D3" s="476"/>
      <c r="E3" s="476"/>
      <c r="F3" s="476"/>
      <c r="G3" s="477"/>
    </row>
    <row r="4" spans="1:7" s="35" customFormat="1" ht="18.75">
      <c r="A4" s="475" t="s">
        <v>1969</v>
      </c>
      <c r="B4" s="476"/>
      <c r="C4" s="476"/>
      <c r="D4" s="476"/>
      <c r="E4" s="476"/>
      <c r="F4" s="476"/>
      <c r="G4" s="477"/>
    </row>
    <row r="5" spans="1:7" s="35" customFormat="1" ht="18.75">
      <c r="A5" s="475" t="s">
        <v>1970</v>
      </c>
      <c r="B5" s="476"/>
      <c r="C5" s="476"/>
      <c r="D5" s="476"/>
      <c r="E5" s="476"/>
      <c r="F5" s="476"/>
      <c r="G5" s="477"/>
    </row>
    <row r="6" spans="1:7" s="35" customFormat="1" ht="18.75">
      <c r="A6" s="39"/>
      <c r="B6" s="38"/>
      <c r="C6" s="38"/>
      <c r="D6" s="100"/>
      <c r="E6" s="100"/>
      <c r="F6" s="100"/>
      <c r="G6" s="101"/>
    </row>
    <row r="7" spans="1:7" s="35" customFormat="1" ht="18.75">
      <c r="A7" s="39"/>
      <c r="B7" s="38"/>
      <c r="C7" s="38"/>
      <c r="D7" s="100"/>
      <c r="E7" s="100"/>
      <c r="F7" s="100"/>
      <c r="G7" s="101"/>
    </row>
    <row r="8" spans="1:7" s="35" customFormat="1" ht="18.75">
      <c r="A8" s="475" t="str">
        <f>CONCATENATE("RESUMEN CATEGORÍA"," : ",A1)</f>
        <v>RESUMEN CATEGORÍA : CEREAL EMPACADO</v>
      </c>
      <c r="B8" s="476"/>
      <c r="C8" s="476"/>
      <c r="D8" s="476"/>
      <c r="E8" s="476"/>
      <c r="F8" s="476"/>
      <c r="G8" s="477"/>
    </row>
    <row r="9" spans="1:7" s="35" customFormat="1" ht="18.75">
      <c r="A9" s="478">
        <f>F23</f>
        <v>62298784295</v>
      </c>
      <c r="B9" s="479"/>
      <c r="C9" s="479"/>
      <c r="D9" s="479"/>
      <c r="E9" s="479"/>
      <c r="F9" s="479"/>
      <c r="G9" s="480"/>
    </row>
    <row r="10" spans="1:7">
      <c r="A10" s="122"/>
      <c r="B10" s="82"/>
      <c r="C10" s="82"/>
      <c r="D10" s="82"/>
      <c r="E10" s="82"/>
      <c r="F10" s="82"/>
      <c r="G10" s="41"/>
    </row>
    <row r="11" spans="1:7" ht="27">
      <c r="A11" s="122"/>
      <c r="B11" s="127" t="s">
        <v>1556</v>
      </c>
      <c r="C11" s="128" t="s">
        <v>1483</v>
      </c>
      <c r="D11" s="128" t="s">
        <v>1553</v>
      </c>
      <c r="E11" s="128" t="s">
        <v>1554</v>
      </c>
      <c r="F11" s="82"/>
      <c r="G11" s="41"/>
    </row>
    <row r="12" spans="1:7">
      <c r="A12" s="122"/>
      <c r="B12" s="118" t="s">
        <v>1548</v>
      </c>
      <c r="C12" s="119">
        <f>FRE_FRECUENCIAS!$O$17</f>
        <v>629438</v>
      </c>
      <c r="D12" s="119">
        <f>FRE_FRECUENCIAS!$O$21</f>
        <v>105799</v>
      </c>
      <c r="E12" s="119">
        <f>FRE_FRECUENCIAS!$O$22</f>
        <v>1190</v>
      </c>
      <c r="F12" s="120"/>
      <c r="G12" s="41"/>
    </row>
    <row r="13" spans="1:7">
      <c r="A13" s="122"/>
      <c r="B13" s="118" t="s">
        <v>1549</v>
      </c>
      <c r="C13" s="119">
        <f>COUNTIF(CAL_DIAS_SUMINISTRO_PE,"si")</f>
        <v>259</v>
      </c>
      <c r="D13" s="119">
        <f>COUNTIF(CAL_DIAS_SUMINISTRO_SE_LAV,"si")</f>
        <v>259</v>
      </c>
      <c r="E13" s="119">
        <f>COUNTIF(CAL_DIAS_SUMINISTRO_SE_FDS,"si")</f>
        <v>53</v>
      </c>
      <c r="F13" s="120"/>
      <c r="G13" s="41"/>
    </row>
    <row r="14" spans="1:7">
      <c r="A14" s="122"/>
      <c r="B14" s="118" t="s">
        <v>1550</v>
      </c>
      <c r="C14" s="119">
        <f>C12*C13</f>
        <v>163024442</v>
      </c>
      <c r="D14" s="119">
        <f>D12*D13</f>
        <v>27401941</v>
      </c>
      <c r="E14" s="119">
        <f>E12*E13</f>
        <v>63070</v>
      </c>
      <c r="F14" s="120"/>
      <c r="G14" s="41"/>
    </row>
    <row r="15" spans="1:7">
      <c r="A15" s="122"/>
      <c r="B15" s="118" t="s">
        <v>1551</v>
      </c>
      <c r="C15" s="118">
        <v>15</v>
      </c>
      <c r="D15" s="118">
        <v>15</v>
      </c>
      <c r="E15" s="118">
        <v>15</v>
      </c>
      <c r="F15" s="120"/>
      <c r="G15" s="41"/>
    </row>
    <row r="16" spans="1:7">
      <c r="A16" s="122"/>
      <c r="B16" s="82"/>
      <c r="C16" s="82"/>
      <c r="D16" s="82"/>
      <c r="E16" s="82"/>
      <c r="F16" s="82"/>
      <c r="G16" s="41"/>
    </row>
    <row r="17" spans="1:7" ht="25.5">
      <c r="A17" s="122"/>
      <c r="B17" s="126" t="s">
        <v>1552</v>
      </c>
      <c r="C17" s="126" t="s">
        <v>1972</v>
      </c>
      <c r="D17" s="126" t="s">
        <v>1973</v>
      </c>
      <c r="E17" s="126" t="s">
        <v>1645</v>
      </c>
      <c r="F17" s="126" t="s">
        <v>1689</v>
      </c>
      <c r="G17" s="41"/>
    </row>
    <row r="18" spans="1:7">
      <c r="A18" s="122"/>
      <c r="B18" s="460" t="s">
        <v>1555</v>
      </c>
      <c r="C18" s="452" t="s">
        <v>1607</v>
      </c>
      <c r="D18" s="461">
        <f>COUNTIF(CAL_DIAS_SUMINISTRO_PE,"si")</f>
        <v>259</v>
      </c>
      <c r="E18" s="116">
        <f t="shared" ref="E18" si="0">VLOOKUP(C18,PRE_A_CONSOLIDADO_CATEGORIA,7,FALSE)</f>
        <v>54910336479</v>
      </c>
      <c r="F18" s="462">
        <f>SUM(E18:E18)</f>
        <v>54910336479</v>
      </c>
      <c r="G18" s="41"/>
    </row>
    <row r="19" spans="1:7">
      <c r="A19" s="122"/>
      <c r="B19" s="473" t="s">
        <v>1558</v>
      </c>
      <c r="C19" s="473"/>
      <c r="D19" s="473"/>
      <c r="E19" s="473"/>
      <c r="F19" s="125">
        <f>SUM(F18)</f>
        <v>54910336479</v>
      </c>
      <c r="G19" s="41"/>
    </row>
    <row r="20" spans="1:7">
      <c r="A20" s="122"/>
      <c r="B20" s="460" t="s">
        <v>2534</v>
      </c>
      <c r="C20" s="121" t="s">
        <v>1607</v>
      </c>
      <c r="D20" s="461">
        <f>COUNTIF(CAL_DIAS_SUMINISTRO_PE,"si")</f>
        <v>259</v>
      </c>
      <c r="E20" s="116">
        <f t="shared" ref="E20" si="1">VLOOKUP(C20,PRE_A_CONSOLIDADO_CATEGORIA,11,FALSE)</f>
        <v>7388447816</v>
      </c>
      <c r="F20" s="462">
        <f>SUM(E20:E20)</f>
        <v>7388447816</v>
      </c>
      <c r="G20" s="41"/>
    </row>
    <row r="21" spans="1:7">
      <c r="A21" s="122"/>
      <c r="B21" s="473" t="s">
        <v>1557</v>
      </c>
      <c r="C21" s="473"/>
      <c r="D21" s="473"/>
      <c r="E21" s="473"/>
      <c r="F21" s="125">
        <f>SUM(F20:F20)</f>
        <v>7388447816</v>
      </c>
      <c r="G21" s="41"/>
    </row>
    <row r="22" spans="1:7" ht="14.25">
      <c r="A22" s="122"/>
      <c r="B22" s="42"/>
      <c r="C22" s="42"/>
      <c r="D22" s="42"/>
      <c r="E22" s="42"/>
      <c r="F22" s="42"/>
      <c r="G22" s="41"/>
    </row>
    <row r="23" spans="1:7">
      <c r="A23" s="122"/>
      <c r="B23" s="473" t="s">
        <v>1974</v>
      </c>
      <c r="C23" s="473"/>
      <c r="D23" s="473"/>
      <c r="E23" s="473"/>
      <c r="F23" s="125">
        <f>F19+F21</f>
        <v>62298784295</v>
      </c>
      <c r="G23" s="41"/>
    </row>
    <row r="24" spans="1:7">
      <c r="A24" s="122"/>
      <c r="B24" s="82"/>
      <c r="C24" s="82"/>
      <c r="D24" s="82"/>
      <c r="E24" s="236"/>
      <c r="F24" s="236"/>
      <c r="G24" s="41"/>
    </row>
    <row r="25" spans="1:7">
      <c r="A25" s="123"/>
      <c r="B25" s="50"/>
      <c r="C25" s="50"/>
      <c r="D25" s="50"/>
      <c r="E25" s="334"/>
      <c r="F25" s="334"/>
      <c r="G25" s="124"/>
    </row>
    <row r="26" spans="1:7" hidden="1">
      <c r="A26" s="117"/>
      <c r="B26" s="117"/>
      <c r="C26" s="117"/>
      <c r="D26" s="117"/>
      <c r="E26" s="117"/>
      <c r="F26" s="117"/>
      <c r="G26" s="117"/>
    </row>
    <row r="27" spans="1:7" ht="13.5" customHeight="1">
      <c r="A27" s="90"/>
      <c r="B27" s="90"/>
      <c r="C27" s="90"/>
      <c r="D27" s="90"/>
      <c r="E27" s="90"/>
      <c r="F27" s="90"/>
      <c r="G27" s="90"/>
    </row>
    <row r="28" spans="1:7" ht="13.5" hidden="1" customHeight="1"/>
    <row r="29" spans="1:7" ht="13.5" hidden="1" customHeight="1"/>
    <row r="30" spans="1:7" ht="13.5" hidden="1" customHeight="1"/>
    <row r="31" spans="1:7" ht="13.5" hidden="1" customHeight="1"/>
    <row r="32" spans="1:7" ht="13.5" hidden="1" customHeight="1"/>
    <row r="33" ht="13.5" hidden="1" customHeight="1"/>
    <row r="34" ht="13.5" hidden="1" customHeight="1"/>
    <row r="35" ht="13.5" hidden="1" customHeight="1"/>
    <row r="36" ht="13.5" hidden="1" customHeight="1"/>
    <row r="37" ht="13.5" hidden="1" customHeight="1"/>
    <row r="38" ht="13.5" hidden="1" customHeight="1"/>
    <row r="39" ht="13.5" hidden="1" customHeight="1"/>
    <row r="40" ht="13.5" hidden="1" customHeight="1"/>
    <row r="41" ht="13.5" hidden="1" customHeight="1"/>
    <row r="42" ht="13.5" hidden="1" customHeight="1"/>
    <row r="43" ht="13.5" hidden="1" customHeight="1"/>
    <row r="44" ht="13.5" hidden="1" customHeight="1"/>
    <row r="45" ht="13.5" hidden="1" customHeight="1"/>
    <row r="46" ht="13.5" hidden="1" customHeight="1"/>
    <row r="47" ht="13.5" customHeight="1"/>
    <row r="48" ht="13.5" customHeight="1"/>
    <row r="49" ht="13.5" customHeight="1"/>
    <row r="50" ht="13.5" customHeight="1"/>
    <row r="51" ht="13.5" customHeight="1"/>
    <row r="52" ht="13.5" customHeight="1"/>
    <row r="53" ht="13.5" customHeight="1"/>
    <row r="54" ht="13.5" customHeight="1"/>
    <row r="55" ht="13.5" customHeight="1"/>
    <row r="56" ht="13.5" customHeight="1"/>
    <row r="57" ht="13.5" customHeight="1"/>
    <row r="58" ht="13.5" customHeight="1"/>
    <row r="59" ht="13.5" customHeight="1"/>
    <row r="60" ht="13.5" customHeight="1"/>
    <row r="61" ht="13.5" customHeight="1"/>
    <row r="62" ht="13.5" customHeight="1"/>
    <row r="63" ht="13.5" customHeight="1"/>
  </sheetData>
  <mergeCells count="9">
    <mergeCell ref="B23:E23"/>
    <mergeCell ref="B2:C2"/>
    <mergeCell ref="A3:G3"/>
    <mergeCell ref="A4:G4"/>
    <mergeCell ref="A8:G8"/>
    <mergeCell ref="A9:G9"/>
    <mergeCell ref="B21:E21"/>
    <mergeCell ref="B19:E19"/>
    <mergeCell ref="A5:G5"/>
  </mergeCells>
  <hyperlinks>
    <hyperlink ref="B2:C2" location="'INDICE_ MODELO'!D9" display="Ir a Índice"/>
  </hyperlinks>
  <pageMargins left="0.7" right="0.7" top="0.75" bottom="0.75" header="0.3" footer="0.3"/>
  <pageSetup orientation="portrait" r:id="rId1"/>
  <drawing r:id="rId2"/>
  <tableParts count="1">
    <tablePart r:id="rId3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63"/>
  <sheetViews>
    <sheetView zoomScaleNormal="100" workbookViewId="0"/>
  </sheetViews>
  <sheetFormatPr baseColWidth="10" defaultColWidth="0" defaultRowHeight="0" customHeight="1" zeroHeight="1"/>
  <cols>
    <col min="1" max="1" width="6.28515625" style="350" customWidth="1"/>
    <col min="2" max="2" width="26.42578125" style="350" customWidth="1"/>
    <col min="3" max="14" width="15.85546875" style="350" customWidth="1"/>
    <col min="15" max="15" width="17.85546875" style="350" customWidth="1"/>
    <col min="16" max="16" width="11" style="350" customWidth="1"/>
    <col min="17" max="30" width="0" style="350" hidden="1" customWidth="1"/>
    <col min="31" max="16384" width="11" style="350" hidden="1"/>
  </cols>
  <sheetData>
    <row r="1" spans="1:16" s="363" customFormat="1" ht="16.5">
      <c r="A1" s="374"/>
      <c r="B1" s="353"/>
      <c r="C1" s="353"/>
      <c r="D1" s="353"/>
      <c r="E1" s="353"/>
      <c r="F1" s="353"/>
      <c r="G1" s="353"/>
      <c r="H1" s="353"/>
      <c r="I1" s="353"/>
      <c r="J1" s="353"/>
      <c r="K1" s="353"/>
      <c r="L1" s="353"/>
      <c r="M1" s="353"/>
      <c r="N1" s="353"/>
      <c r="O1" s="353"/>
      <c r="P1" s="354"/>
    </row>
    <row r="2" spans="1:16" s="363" customFormat="1" ht="20.25">
      <c r="A2" s="365"/>
      <c r="B2" s="474" t="s">
        <v>1971</v>
      </c>
      <c r="C2" s="474"/>
      <c r="D2" s="474"/>
      <c r="E2" s="369"/>
      <c r="F2" s="369"/>
      <c r="G2" s="364"/>
      <c r="H2" s="351"/>
      <c r="I2" s="351"/>
      <c r="J2" s="351"/>
      <c r="K2" s="351"/>
      <c r="L2" s="351"/>
      <c r="M2" s="351"/>
      <c r="N2" s="351"/>
      <c r="O2" s="351"/>
      <c r="P2" s="352"/>
    </row>
    <row r="3" spans="1:16" s="363" customFormat="1" ht="18.75">
      <c r="A3" s="475" t="s">
        <v>1968</v>
      </c>
      <c r="B3" s="476"/>
      <c r="C3" s="476"/>
      <c r="D3" s="476"/>
      <c r="E3" s="476"/>
      <c r="F3" s="476"/>
      <c r="G3" s="476"/>
      <c r="H3" s="476"/>
      <c r="I3" s="476"/>
      <c r="J3" s="476"/>
      <c r="K3" s="476"/>
      <c r="L3" s="476"/>
      <c r="M3" s="476"/>
      <c r="N3" s="476"/>
      <c r="O3" s="476"/>
      <c r="P3" s="477"/>
    </row>
    <row r="4" spans="1:16" s="363" customFormat="1" ht="18.75">
      <c r="A4" s="475" t="s">
        <v>1969</v>
      </c>
      <c r="B4" s="476"/>
      <c r="C4" s="476"/>
      <c r="D4" s="476"/>
      <c r="E4" s="476"/>
      <c r="F4" s="476"/>
      <c r="G4" s="476"/>
      <c r="H4" s="476"/>
      <c r="I4" s="476"/>
      <c r="J4" s="476"/>
      <c r="K4" s="476"/>
      <c r="L4" s="476"/>
      <c r="M4" s="476"/>
      <c r="N4" s="476"/>
      <c r="O4" s="476"/>
      <c r="P4" s="477"/>
    </row>
    <row r="5" spans="1:16" s="363" customFormat="1" ht="18.75">
      <c r="A5" s="475" t="s">
        <v>1970</v>
      </c>
      <c r="B5" s="476"/>
      <c r="C5" s="476"/>
      <c r="D5" s="476"/>
      <c r="E5" s="476"/>
      <c r="F5" s="476"/>
      <c r="G5" s="476"/>
      <c r="H5" s="476"/>
      <c r="I5" s="476"/>
      <c r="J5" s="476"/>
      <c r="K5" s="476"/>
      <c r="L5" s="476"/>
      <c r="M5" s="476"/>
      <c r="N5" s="476"/>
      <c r="O5" s="476"/>
      <c r="P5" s="477"/>
    </row>
    <row r="6" spans="1:16" s="363" customFormat="1" ht="18.75">
      <c r="A6" s="365"/>
      <c r="B6" s="364"/>
      <c r="C6" s="364"/>
      <c r="D6" s="364"/>
      <c r="E6" s="364"/>
      <c r="F6" s="364"/>
      <c r="G6" s="370"/>
      <c r="H6" s="370"/>
      <c r="I6" s="370"/>
      <c r="J6" s="370"/>
      <c r="K6" s="370"/>
      <c r="L6" s="370"/>
      <c r="M6" s="370"/>
      <c r="N6" s="370"/>
      <c r="O6" s="370"/>
      <c r="P6" s="371"/>
    </row>
    <row r="7" spans="1:16" s="363" customFormat="1" ht="18.75">
      <c r="A7" s="457"/>
      <c r="B7" s="364"/>
      <c r="C7" s="364"/>
      <c r="D7" s="364"/>
      <c r="E7" s="364"/>
      <c r="F7" s="364"/>
      <c r="G7" s="370"/>
      <c r="H7" s="370"/>
      <c r="I7" s="370"/>
      <c r="J7" s="370"/>
      <c r="K7" s="370"/>
      <c r="L7" s="370"/>
      <c r="M7" s="370"/>
      <c r="N7" s="370"/>
      <c r="O7" s="370"/>
      <c r="P7" s="371"/>
    </row>
    <row r="8" spans="1:16" s="363" customFormat="1" ht="18.75">
      <c r="A8" s="475" t="str">
        <f>CONCATENATE("RESUMEN PRESUPUESTO PAE 2017: ",RES_RESUMEN_PRESUPUESTO_2!A1)</f>
        <v>RESUMEN PRESUPUESTO PAE 2017: CEREAL EMPACADO</v>
      </c>
      <c r="B8" s="476"/>
      <c r="C8" s="476"/>
      <c r="D8" s="476"/>
      <c r="E8" s="476"/>
      <c r="F8" s="476"/>
      <c r="G8" s="476"/>
      <c r="H8" s="476"/>
      <c r="I8" s="476"/>
      <c r="J8" s="476"/>
      <c r="K8" s="476"/>
      <c r="L8" s="476"/>
      <c r="M8" s="476"/>
      <c r="N8" s="476"/>
      <c r="O8" s="476"/>
      <c r="P8" s="477"/>
    </row>
    <row r="9" spans="1:16" s="363" customFormat="1" ht="18.75">
      <c r="A9" s="478">
        <f>H15+L15</f>
        <v>62298784295</v>
      </c>
      <c r="B9" s="479"/>
      <c r="C9" s="479"/>
      <c r="D9" s="479"/>
      <c r="E9" s="479"/>
      <c r="F9" s="479"/>
      <c r="G9" s="479"/>
      <c r="H9" s="479"/>
      <c r="I9" s="479"/>
      <c r="J9" s="479"/>
      <c r="K9" s="479"/>
      <c r="L9" s="479"/>
      <c r="M9" s="479"/>
      <c r="N9" s="479"/>
      <c r="O9" s="479"/>
      <c r="P9" s="480"/>
    </row>
    <row r="10" spans="1:16" ht="13.5">
      <c r="A10" s="375"/>
      <c r="B10" s="356"/>
      <c r="C10" s="356"/>
      <c r="D10" s="356"/>
      <c r="E10" s="356"/>
      <c r="F10" s="356"/>
      <c r="G10" s="356"/>
      <c r="H10" s="356"/>
      <c r="I10" s="356"/>
      <c r="J10" s="356"/>
      <c r="K10" s="356"/>
      <c r="L10" s="356"/>
      <c r="M10" s="356"/>
      <c r="N10" s="356"/>
      <c r="O10" s="356"/>
      <c r="P10" s="366"/>
    </row>
    <row r="11" spans="1:16" ht="26.25" customHeight="1">
      <c r="A11" s="375"/>
      <c r="B11" s="356"/>
      <c r="C11" s="481" t="s">
        <v>1483</v>
      </c>
      <c r="D11" s="481"/>
      <c r="E11" s="481"/>
      <c r="F11" s="481"/>
      <c r="G11" s="481"/>
      <c r="H11" s="481"/>
      <c r="I11" s="482" t="s">
        <v>1484</v>
      </c>
      <c r="J11" s="482"/>
      <c r="K11" s="482"/>
      <c r="L11" s="482"/>
      <c r="M11" s="356"/>
      <c r="N11" s="356"/>
      <c r="O11" s="437">
        <v>689454</v>
      </c>
      <c r="P11" s="366"/>
    </row>
    <row r="12" spans="1:16" ht="13.5">
      <c r="A12" s="375"/>
      <c r="B12" s="356"/>
      <c r="C12" s="356"/>
      <c r="D12" s="356"/>
      <c r="E12" s="356"/>
      <c r="F12" s="356"/>
      <c r="G12" s="356"/>
      <c r="H12" s="356"/>
      <c r="I12" s="356"/>
      <c r="J12" s="356"/>
      <c r="K12" s="356"/>
      <c r="L12" s="356"/>
      <c r="M12" s="356"/>
      <c r="N12" s="356"/>
      <c r="O12" s="356"/>
      <c r="P12" s="366"/>
    </row>
    <row r="13" spans="1:16" ht="38.25">
      <c r="A13" s="375"/>
      <c r="B13" s="431" t="s">
        <v>1975</v>
      </c>
      <c r="C13" s="431" t="s">
        <v>2542</v>
      </c>
      <c r="D13" s="431" t="s">
        <v>2543</v>
      </c>
      <c r="E13" s="431" t="s">
        <v>2544</v>
      </c>
      <c r="F13" s="431" t="s">
        <v>2466</v>
      </c>
      <c r="G13" s="431" t="s">
        <v>2545</v>
      </c>
      <c r="H13" s="431" t="s">
        <v>2533</v>
      </c>
      <c r="I13" s="432" t="s">
        <v>2542</v>
      </c>
      <c r="J13" s="432" t="s">
        <v>2546</v>
      </c>
      <c r="K13" s="432" t="s">
        <v>2544</v>
      </c>
      <c r="L13" s="432" t="s">
        <v>2467</v>
      </c>
      <c r="M13" s="436" t="s">
        <v>2530</v>
      </c>
      <c r="N13" s="436" t="s">
        <v>2531</v>
      </c>
      <c r="O13" s="436" t="s">
        <v>2532</v>
      </c>
      <c r="P13" s="366"/>
    </row>
    <row r="14" spans="1:16" ht="13.5">
      <c r="A14" s="375"/>
      <c r="B14" s="162" t="s">
        <v>1607</v>
      </c>
      <c r="C14" s="434">
        <f t="shared" ref="C14" si="0">SUMIF(COSTPE_G_CATEGORIA,$B14,COSTPE_G_VALOR_TOTAL_TIPOA)</f>
        <v>10103796736</v>
      </c>
      <c r="D14" s="434">
        <f t="shared" ref="D14" si="1">SUMIF(COSTPE_G_CATEGORIA,$B14,COSTPE_G_VALOR_TOTAL_TIPOB)</f>
        <v>15881137209</v>
      </c>
      <c r="E14" s="434">
        <f t="shared" ref="E14" si="2">SUMIF(COSTPE_G_CATEGORIA,$B14,COSTPE_G_VALOR_TOTAL_TIPOC)</f>
        <v>27484911520</v>
      </c>
      <c r="F14" s="434">
        <f t="shared" ref="F14" si="3">SUMIF(COSTPE_G_CATEGORIA,$B14,COSTPE_G_VALOR_TOTAL_TIPOM)</f>
        <v>552553414</v>
      </c>
      <c r="G14" s="434">
        <f t="shared" ref="G14" si="4">SUMIF(COSTPE_G_CATEGORIA,$B14,COSTPE_G_VALOR_TOTAL_TIPOH)</f>
        <v>887937600</v>
      </c>
      <c r="H14" s="434">
        <f t="shared" ref="H14" si="5">C14+D14+E14+F14+G14</f>
        <v>54910336479</v>
      </c>
      <c r="I14" s="434">
        <f t="shared" ref="I14" si="6">SUMIF(COSTSE_G_CATEGORIA,$B14,COSTSE_G_VALOR_TOTAL_TIPOA)</f>
        <v>1334684376</v>
      </c>
      <c r="J14" s="434">
        <f t="shared" ref="J14" si="7">SUMIF(COSTSE_G_CATEGORIA,$B14,COSTSE_G_VALOR_TOTAL_TIPOB)</f>
        <v>1696587846</v>
      </c>
      <c r="K14" s="434">
        <f t="shared" ref="K14" si="8">SUMIF(COSTSE_G_CATEGORIA,$B14,COSTSE_G_VALOR_TOTAL_TIPOC)</f>
        <v>4357175594</v>
      </c>
      <c r="L14" s="434">
        <f t="shared" ref="L14" si="9">I14+J14+K14</f>
        <v>7388447816</v>
      </c>
      <c r="M14" s="434">
        <f t="shared" ref="M14" si="10">H14+L14</f>
        <v>62298784295</v>
      </c>
      <c r="N14" s="434">
        <f t="shared" ref="N14" si="11">M14/30</f>
        <v>2076626143.1666667</v>
      </c>
      <c r="O14" s="433">
        <f t="shared" ref="O14" si="12">ROUND(N14/$O$11,0)</f>
        <v>3012</v>
      </c>
      <c r="P14" s="366"/>
    </row>
    <row r="15" spans="1:16" ht="13.5">
      <c r="A15" s="375"/>
      <c r="B15" s="438" t="s">
        <v>102</v>
      </c>
      <c r="C15" s="439">
        <f t="shared" ref="C15:M15" si="13">SUM(C14:C14)</f>
        <v>10103796736</v>
      </c>
      <c r="D15" s="439">
        <f t="shared" si="13"/>
        <v>15881137209</v>
      </c>
      <c r="E15" s="439">
        <f t="shared" si="13"/>
        <v>27484911520</v>
      </c>
      <c r="F15" s="439">
        <f t="shared" si="13"/>
        <v>552553414</v>
      </c>
      <c r="G15" s="439">
        <f t="shared" si="13"/>
        <v>887937600</v>
      </c>
      <c r="H15" s="439">
        <f t="shared" si="13"/>
        <v>54910336479</v>
      </c>
      <c r="I15" s="439">
        <f t="shared" si="13"/>
        <v>1334684376</v>
      </c>
      <c r="J15" s="439">
        <f t="shared" si="13"/>
        <v>1696587846</v>
      </c>
      <c r="K15" s="439">
        <f t="shared" si="13"/>
        <v>4357175594</v>
      </c>
      <c r="L15" s="439">
        <f t="shared" si="13"/>
        <v>7388447816</v>
      </c>
      <c r="M15" s="439">
        <f t="shared" si="13"/>
        <v>62298784295</v>
      </c>
      <c r="N15" s="440"/>
      <c r="O15" s="435"/>
      <c r="P15" s="366"/>
    </row>
    <row r="16" spans="1:16" ht="13.5">
      <c r="A16" s="375"/>
      <c r="B16" s="441"/>
      <c r="C16" s="442"/>
      <c r="D16" s="442"/>
      <c r="E16" s="442"/>
      <c r="F16" s="442"/>
      <c r="G16" s="442"/>
      <c r="H16" s="442"/>
      <c r="I16" s="442"/>
      <c r="J16" s="442"/>
      <c r="K16" s="442"/>
      <c r="L16" s="442"/>
      <c r="M16" s="442"/>
      <c r="N16" s="442"/>
      <c r="O16" s="435"/>
      <c r="P16" s="366"/>
    </row>
    <row r="17" spans="1:16" ht="13.5">
      <c r="A17" s="375"/>
      <c r="B17" s="443"/>
      <c r="C17" s="444"/>
      <c r="D17" s="444"/>
      <c r="E17" s="444"/>
      <c r="F17" s="444"/>
      <c r="G17" s="444"/>
      <c r="H17" s="444"/>
      <c r="I17" s="454"/>
      <c r="J17" s="454"/>
      <c r="K17" s="454"/>
      <c r="L17" s="454"/>
      <c r="M17" s="454"/>
      <c r="N17" s="444"/>
      <c r="O17" s="435"/>
      <c r="P17" s="366"/>
    </row>
    <row r="18" spans="1:16" ht="15.75">
      <c r="A18" s="375"/>
      <c r="B18" s="368"/>
      <c r="C18" s="368"/>
      <c r="D18" s="368"/>
      <c r="E18" s="368"/>
      <c r="F18" s="368"/>
      <c r="G18" s="368"/>
      <c r="H18" s="216"/>
      <c r="I18" s="455"/>
      <c r="J18" s="455"/>
      <c r="K18" s="455"/>
      <c r="L18" s="455"/>
      <c r="M18" s="456"/>
      <c r="N18" s="368"/>
      <c r="O18" s="368"/>
      <c r="P18" s="366"/>
    </row>
    <row r="19" spans="1:16" ht="13.5">
      <c r="A19" s="376"/>
      <c r="B19" s="367"/>
      <c r="C19" s="367"/>
      <c r="D19" s="367"/>
      <c r="E19" s="367"/>
      <c r="F19" s="367"/>
      <c r="G19" s="367"/>
      <c r="H19" s="367"/>
      <c r="I19" s="367"/>
      <c r="J19" s="367"/>
      <c r="K19" s="367"/>
      <c r="L19" s="367"/>
      <c r="M19" s="367"/>
      <c r="N19" s="367"/>
      <c r="O19" s="367"/>
      <c r="P19" s="377"/>
    </row>
    <row r="20" spans="1:16" customFormat="1" ht="15" hidden="1">
      <c r="M20" s="349"/>
      <c r="N20" s="349"/>
      <c r="O20" s="349"/>
    </row>
    <row r="21" spans="1:16" customFormat="1" ht="13.5" hidden="1" customHeight="1">
      <c r="M21" s="349"/>
      <c r="N21" s="349"/>
      <c r="O21" s="349"/>
    </row>
    <row r="22" spans="1:16" customFormat="1" ht="13.5" hidden="1" customHeight="1">
      <c r="M22" s="349"/>
      <c r="N22" s="349"/>
      <c r="O22" s="349"/>
    </row>
    <row r="23" spans="1:16" customFormat="1" ht="13.5" hidden="1" customHeight="1">
      <c r="M23" s="349"/>
      <c r="N23" s="349"/>
      <c r="O23" s="349"/>
    </row>
    <row r="24" spans="1:16" customFormat="1" ht="13.5" hidden="1" customHeight="1">
      <c r="M24" s="349"/>
      <c r="N24" s="349"/>
      <c r="O24" s="349"/>
    </row>
    <row r="25" spans="1:16" customFormat="1" ht="13.5" hidden="1" customHeight="1">
      <c r="M25" s="349"/>
      <c r="N25" s="349"/>
      <c r="O25" s="349"/>
    </row>
    <row r="26" spans="1:16" customFormat="1" ht="13.5" hidden="1" customHeight="1">
      <c r="M26" s="349"/>
      <c r="N26" s="349"/>
      <c r="O26" s="349"/>
    </row>
    <row r="27" spans="1:16" customFormat="1" ht="13.5" hidden="1" customHeight="1">
      <c r="M27" s="349"/>
      <c r="N27" s="349"/>
      <c r="O27" s="349"/>
    </row>
    <row r="28" spans="1:16" customFormat="1" ht="13.5" hidden="1" customHeight="1">
      <c r="M28" s="349"/>
      <c r="N28" s="349"/>
      <c r="O28" s="349"/>
    </row>
    <row r="29" spans="1:16" customFormat="1" ht="13.5" hidden="1" customHeight="1">
      <c r="M29" s="349"/>
      <c r="N29" s="349"/>
      <c r="O29" s="349"/>
    </row>
    <row r="30" spans="1:16" customFormat="1" ht="13.5" hidden="1" customHeight="1">
      <c r="M30" s="349"/>
      <c r="N30" s="349"/>
      <c r="O30" s="349"/>
    </row>
    <row r="31" spans="1:16" customFormat="1" ht="13.5" hidden="1" customHeight="1">
      <c r="M31" s="349"/>
      <c r="N31" s="349"/>
      <c r="O31" s="349"/>
    </row>
    <row r="32" spans="1:16" customFormat="1" ht="13.5" hidden="1" customHeight="1">
      <c r="M32" s="349"/>
      <c r="N32" s="349"/>
      <c r="O32" s="349"/>
    </row>
    <row r="33" spans="13:15" customFormat="1" ht="13.5" hidden="1" customHeight="1">
      <c r="M33" s="349"/>
      <c r="N33" s="349"/>
      <c r="O33" s="349"/>
    </row>
    <row r="34" spans="13:15" customFormat="1" ht="13.5" hidden="1" customHeight="1">
      <c r="M34" s="349"/>
      <c r="N34" s="349"/>
      <c r="O34" s="349"/>
    </row>
    <row r="35" spans="13:15" customFormat="1" ht="13.5" hidden="1" customHeight="1">
      <c r="M35" s="349"/>
      <c r="N35" s="349"/>
      <c r="O35" s="349"/>
    </row>
    <row r="36" spans="13:15" customFormat="1" ht="13.5" hidden="1" customHeight="1">
      <c r="M36" s="349"/>
      <c r="N36" s="349"/>
      <c r="O36" s="349"/>
    </row>
    <row r="37" spans="13:15" customFormat="1" ht="13.5" hidden="1" customHeight="1">
      <c r="M37" s="349"/>
      <c r="N37" s="349"/>
      <c r="O37" s="349"/>
    </row>
    <row r="38" spans="13:15" customFormat="1" ht="13.5" hidden="1" customHeight="1">
      <c r="M38" s="349"/>
      <c r="N38" s="349"/>
      <c r="O38" s="349"/>
    </row>
    <row r="39" spans="13:15" customFormat="1" ht="13.5" hidden="1" customHeight="1">
      <c r="M39" s="349"/>
      <c r="N39" s="349"/>
      <c r="O39" s="349"/>
    </row>
    <row r="40" spans="13:15" customFormat="1" ht="13.5" hidden="1" customHeight="1">
      <c r="M40" s="349"/>
      <c r="N40" s="349"/>
      <c r="O40" s="349"/>
    </row>
    <row r="41" spans="13:15" customFormat="1" ht="13.5" hidden="1" customHeight="1">
      <c r="M41" s="349"/>
      <c r="N41" s="349"/>
      <c r="O41" s="349"/>
    </row>
    <row r="42" spans="13:15" customFormat="1" ht="13.5" hidden="1" customHeight="1">
      <c r="M42" s="349"/>
      <c r="N42" s="349"/>
      <c r="O42" s="349"/>
    </row>
    <row r="43" spans="13:15" customFormat="1" ht="13.5" hidden="1" customHeight="1">
      <c r="M43" s="349"/>
      <c r="N43" s="349"/>
      <c r="O43" s="349"/>
    </row>
    <row r="44" spans="13:15" customFormat="1" ht="13.5" hidden="1" customHeight="1">
      <c r="M44" s="349"/>
      <c r="N44" s="349"/>
      <c r="O44" s="349"/>
    </row>
    <row r="45" spans="13:15" customFormat="1" ht="13.5" hidden="1" customHeight="1">
      <c r="M45" s="349"/>
      <c r="N45" s="349"/>
      <c r="O45" s="349"/>
    </row>
    <row r="46" spans="13:15" customFormat="1" ht="13.5" hidden="1" customHeight="1">
      <c r="M46" s="349"/>
      <c r="N46" s="349"/>
      <c r="O46" s="349"/>
    </row>
    <row r="47" spans="13:15" customFormat="1" ht="13.5" hidden="1" customHeight="1">
      <c r="M47" s="349"/>
      <c r="N47" s="349"/>
      <c r="O47" s="349"/>
    </row>
    <row r="48" spans="13:15" customFormat="1" ht="13.5" hidden="1" customHeight="1">
      <c r="M48" s="349"/>
      <c r="N48" s="349"/>
      <c r="O48" s="349"/>
    </row>
    <row r="49" spans="13:15" customFormat="1" ht="13.5" hidden="1" customHeight="1">
      <c r="M49" s="349"/>
      <c r="N49" s="349"/>
      <c r="O49" s="349"/>
    </row>
    <row r="50" spans="13:15" customFormat="1" ht="13.5" hidden="1" customHeight="1">
      <c r="M50" s="349"/>
      <c r="N50" s="349"/>
      <c r="O50" s="349"/>
    </row>
    <row r="51" spans="13:15" customFormat="1" ht="13.5" hidden="1" customHeight="1">
      <c r="M51" s="349"/>
      <c r="N51" s="349"/>
      <c r="O51" s="349"/>
    </row>
    <row r="52" spans="13:15" customFormat="1" ht="13.5" hidden="1" customHeight="1">
      <c r="M52" s="349"/>
      <c r="N52" s="349"/>
      <c r="O52" s="349"/>
    </row>
    <row r="53" spans="13:15" customFormat="1" ht="13.5" hidden="1" customHeight="1">
      <c r="M53" s="349"/>
      <c r="N53" s="349"/>
      <c r="O53" s="349"/>
    </row>
    <row r="54" spans="13:15" customFormat="1" ht="13.5" hidden="1" customHeight="1">
      <c r="M54" s="349"/>
      <c r="N54" s="349"/>
      <c r="O54" s="349"/>
    </row>
    <row r="55" spans="13:15" customFormat="1" ht="13.5" hidden="1" customHeight="1">
      <c r="M55" s="349"/>
      <c r="N55" s="349"/>
      <c r="O55" s="349"/>
    </row>
    <row r="56" spans="13:15" customFormat="1" ht="13.5" hidden="1" customHeight="1">
      <c r="M56" s="349"/>
      <c r="N56" s="349"/>
      <c r="O56" s="349"/>
    </row>
    <row r="57" spans="13:15" customFormat="1" ht="13.5" hidden="1" customHeight="1">
      <c r="M57" s="349"/>
      <c r="N57" s="349"/>
      <c r="O57" s="349"/>
    </row>
    <row r="58" spans="13:15" customFormat="1" ht="13.5" hidden="1" customHeight="1">
      <c r="M58" s="349"/>
      <c r="N58" s="349"/>
      <c r="O58" s="349"/>
    </row>
    <row r="59" spans="13:15" customFormat="1" ht="13.5" hidden="1" customHeight="1">
      <c r="M59" s="349"/>
      <c r="N59" s="349"/>
      <c r="O59" s="349"/>
    </row>
    <row r="60" spans="13:15" customFormat="1" ht="13.5" hidden="1" customHeight="1">
      <c r="M60" s="349"/>
      <c r="N60" s="349"/>
      <c r="O60" s="349"/>
    </row>
    <row r="61" spans="13:15" customFormat="1" ht="13.5" hidden="1" customHeight="1">
      <c r="M61" s="349"/>
      <c r="N61" s="349"/>
      <c r="O61" s="349"/>
    </row>
    <row r="62" spans="13:15" customFormat="1" ht="13.5" hidden="1" customHeight="1">
      <c r="M62" s="349"/>
      <c r="N62" s="349"/>
      <c r="O62" s="349"/>
    </row>
    <row r="63" spans="13:15" customFormat="1" ht="13.5" hidden="1" customHeight="1">
      <c r="M63" s="349"/>
      <c r="N63" s="349"/>
      <c r="O63" s="349"/>
    </row>
  </sheetData>
  <sortState ref="B14:O24">
    <sortCondition ref="B14:B24"/>
  </sortState>
  <mergeCells count="8">
    <mergeCell ref="B2:D2"/>
    <mergeCell ref="C11:H11"/>
    <mergeCell ref="I11:L11"/>
    <mergeCell ref="A3:P3"/>
    <mergeCell ref="A4:P4"/>
    <mergeCell ref="A5:P5"/>
    <mergeCell ref="A8:P8"/>
    <mergeCell ref="A9:P9"/>
  </mergeCells>
  <hyperlinks>
    <hyperlink ref="B2:C2" location="'INDICE_ MODELO'!D9" display="Ir a Índice"/>
  </hyperlinks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I432"/>
  <sheetViews>
    <sheetView zoomScaleNormal="100" workbookViewId="0"/>
  </sheetViews>
  <sheetFormatPr baseColWidth="10" defaultColWidth="0" defaultRowHeight="0" customHeight="1" zeroHeight="1"/>
  <cols>
    <col min="1" max="1" width="10" style="350" customWidth="1"/>
    <col min="2" max="2" width="24.42578125" style="350" customWidth="1"/>
    <col min="3" max="3" width="8.42578125" style="350" customWidth="1"/>
    <col min="4" max="4" width="62" style="350" customWidth="1"/>
    <col min="5" max="5" width="5.7109375" style="350" customWidth="1"/>
    <col min="6" max="6" width="9" style="350" customWidth="1"/>
    <col min="7" max="9" width="13" style="350" customWidth="1"/>
    <col min="10" max="11" width="17.42578125" style="350" customWidth="1"/>
    <col min="12" max="12" width="13.85546875" style="350" customWidth="1"/>
    <col min="13" max="13" width="9" style="350" customWidth="1"/>
    <col min="14" max="16" width="13" style="350" customWidth="1"/>
    <col min="17" max="18" width="17.42578125" style="350" customWidth="1"/>
    <col min="19" max="19" width="13.85546875" style="350" customWidth="1"/>
    <col min="20" max="20" width="9" style="350" customWidth="1"/>
    <col min="21" max="23" width="13" style="350" customWidth="1"/>
    <col min="24" max="25" width="17.42578125" style="350" customWidth="1"/>
    <col min="26" max="26" width="13.85546875" style="350" customWidth="1"/>
    <col min="27" max="27" width="9" style="350" customWidth="1"/>
    <col min="28" max="30" width="13" style="350" customWidth="1"/>
    <col min="31" max="32" width="17.42578125" style="350" customWidth="1"/>
    <col min="33" max="33" width="13.85546875" style="350" customWidth="1"/>
    <col min="34" max="34" width="9" style="350" customWidth="1"/>
    <col min="35" max="37" width="13" style="350" customWidth="1"/>
    <col min="38" max="39" width="17.42578125" style="350" customWidth="1"/>
    <col min="40" max="41" width="13.85546875" style="350" customWidth="1"/>
    <col min="42" max="42" width="18.28515625" style="350" customWidth="1"/>
    <col min="43" max="46" width="11.42578125" style="349" hidden="1" customWidth="1"/>
    <col min="47" max="61" width="14.7109375" style="349" hidden="1" customWidth="1"/>
    <col min="62" max="16384" width="11.42578125" style="349" hidden="1"/>
  </cols>
  <sheetData>
    <row r="1" spans="1:59" ht="15.75">
      <c r="A1" s="383"/>
      <c r="B1" s="384"/>
      <c r="C1" s="384"/>
      <c r="D1" s="384"/>
      <c r="E1" s="384"/>
      <c r="F1" s="384"/>
      <c r="G1" s="384"/>
      <c r="H1" s="384"/>
      <c r="I1" s="384"/>
      <c r="J1" s="384"/>
      <c r="K1" s="384"/>
      <c r="L1" s="384"/>
      <c r="M1" s="384"/>
      <c r="N1" s="384"/>
      <c r="O1" s="384"/>
      <c r="P1" s="384"/>
      <c r="Q1" s="384"/>
      <c r="R1" s="384"/>
      <c r="S1" s="384"/>
      <c r="T1" s="385"/>
      <c r="U1" s="385"/>
      <c r="V1" s="385"/>
      <c r="W1" s="384"/>
      <c r="X1" s="384"/>
      <c r="Y1" s="384"/>
      <c r="Z1" s="384"/>
      <c r="AA1" s="385"/>
      <c r="AB1" s="385"/>
      <c r="AC1" s="385"/>
      <c r="AD1" s="384"/>
      <c r="AE1" s="384"/>
      <c r="AF1" s="384"/>
      <c r="AG1" s="384"/>
      <c r="AH1" s="385"/>
      <c r="AI1" s="385"/>
      <c r="AJ1" s="385"/>
      <c r="AK1" s="384"/>
      <c r="AL1" s="384"/>
      <c r="AM1" s="384"/>
      <c r="AN1" s="384"/>
      <c r="AO1" s="384"/>
      <c r="AP1" s="263"/>
    </row>
    <row r="2" spans="1:59" ht="20.25">
      <c r="A2" s="386"/>
      <c r="B2" s="351"/>
      <c r="C2" s="474" t="s">
        <v>1971</v>
      </c>
      <c r="D2" s="474"/>
      <c r="E2" s="393"/>
      <c r="F2" s="351"/>
      <c r="G2" s="351"/>
      <c r="H2" s="351"/>
      <c r="I2" s="351"/>
      <c r="J2" s="351"/>
      <c r="K2" s="351"/>
      <c r="L2" s="351"/>
      <c r="M2" s="351"/>
      <c r="N2" s="351"/>
      <c r="O2" s="351"/>
      <c r="P2" s="351"/>
      <c r="Q2" s="351"/>
      <c r="R2" s="351"/>
      <c r="S2" s="351"/>
      <c r="T2" s="356"/>
      <c r="U2" s="356"/>
      <c r="V2" s="356"/>
      <c r="W2" s="351"/>
      <c r="X2" s="351"/>
      <c r="Y2" s="351"/>
      <c r="Z2" s="351"/>
      <c r="AA2" s="356"/>
      <c r="AB2" s="356"/>
      <c r="AC2" s="356"/>
      <c r="AD2" s="351"/>
      <c r="AE2" s="351"/>
      <c r="AF2" s="351"/>
      <c r="AG2" s="351"/>
      <c r="AH2" s="356"/>
      <c r="AI2" s="356"/>
      <c r="AJ2" s="356"/>
      <c r="AK2" s="351"/>
      <c r="AL2" s="351"/>
      <c r="AM2" s="351"/>
      <c r="AN2" s="351"/>
      <c r="AO2" s="351"/>
      <c r="AP2" s="264"/>
    </row>
    <row r="3" spans="1:59" ht="18">
      <c r="A3" s="486" t="s">
        <v>1968</v>
      </c>
      <c r="B3" s="487"/>
      <c r="C3" s="487"/>
      <c r="D3" s="487"/>
      <c r="E3" s="487"/>
      <c r="F3" s="487"/>
      <c r="G3" s="487"/>
      <c r="H3" s="487"/>
      <c r="I3" s="487"/>
      <c r="J3" s="487"/>
      <c r="K3" s="487"/>
      <c r="L3" s="487"/>
      <c r="M3" s="487"/>
      <c r="N3" s="487"/>
      <c r="O3" s="487"/>
      <c r="P3" s="487"/>
      <c r="Q3" s="487"/>
      <c r="R3" s="487"/>
      <c r="S3" s="487"/>
      <c r="T3" s="487"/>
      <c r="U3" s="487"/>
      <c r="V3" s="487"/>
      <c r="W3" s="487"/>
      <c r="X3" s="487"/>
      <c r="Y3" s="487"/>
      <c r="Z3" s="487"/>
      <c r="AA3" s="487"/>
      <c r="AB3" s="487"/>
      <c r="AC3" s="487"/>
      <c r="AD3" s="487"/>
      <c r="AE3" s="487"/>
      <c r="AF3" s="487"/>
      <c r="AG3" s="487"/>
      <c r="AH3" s="487"/>
      <c r="AI3" s="487"/>
      <c r="AJ3" s="487"/>
      <c r="AK3" s="487"/>
      <c r="AL3" s="487"/>
      <c r="AM3" s="487"/>
      <c r="AN3" s="487"/>
      <c r="AO3" s="487"/>
      <c r="AP3" s="488"/>
    </row>
    <row r="4" spans="1:59" ht="18">
      <c r="A4" s="486" t="s">
        <v>1969</v>
      </c>
      <c r="B4" s="487"/>
      <c r="C4" s="487"/>
      <c r="D4" s="487"/>
      <c r="E4" s="487"/>
      <c r="F4" s="487"/>
      <c r="G4" s="487"/>
      <c r="H4" s="487"/>
      <c r="I4" s="487"/>
      <c r="J4" s="487"/>
      <c r="K4" s="487"/>
      <c r="L4" s="487"/>
      <c r="M4" s="487"/>
      <c r="N4" s="487"/>
      <c r="O4" s="487"/>
      <c r="P4" s="487"/>
      <c r="Q4" s="487"/>
      <c r="R4" s="487"/>
      <c r="S4" s="487"/>
      <c r="T4" s="487"/>
      <c r="U4" s="487"/>
      <c r="V4" s="487"/>
      <c r="W4" s="487"/>
      <c r="X4" s="487"/>
      <c r="Y4" s="487"/>
      <c r="Z4" s="487"/>
      <c r="AA4" s="487"/>
      <c r="AB4" s="487"/>
      <c r="AC4" s="487"/>
      <c r="AD4" s="487"/>
      <c r="AE4" s="487"/>
      <c r="AF4" s="487"/>
      <c r="AG4" s="487"/>
      <c r="AH4" s="487"/>
      <c r="AI4" s="487"/>
      <c r="AJ4" s="487"/>
      <c r="AK4" s="487"/>
      <c r="AL4" s="487"/>
      <c r="AM4" s="487"/>
      <c r="AN4" s="487"/>
      <c r="AO4" s="487"/>
      <c r="AP4" s="488"/>
    </row>
    <row r="5" spans="1:59" ht="18">
      <c r="A5" s="486" t="s">
        <v>1970</v>
      </c>
      <c r="B5" s="487"/>
      <c r="C5" s="487"/>
      <c r="D5" s="487"/>
      <c r="E5" s="487"/>
      <c r="F5" s="487"/>
      <c r="G5" s="487"/>
      <c r="H5" s="487"/>
      <c r="I5" s="487"/>
      <c r="J5" s="487"/>
      <c r="K5" s="487"/>
      <c r="L5" s="487"/>
      <c r="M5" s="487"/>
      <c r="N5" s="487"/>
      <c r="O5" s="487"/>
      <c r="P5" s="487"/>
      <c r="Q5" s="487"/>
      <c r="R5" s="487"/>
      <c r="S5" s="487"/>
      <c r="T5" s="487"/>
      <c r="U5" s="487"/>
      <c r="V5" s="487"/>
      <c r="W5" s="487"/>
      <c r="X5" s="487"/>
      <c r="Y5" s="487"/>
      <c r="Z5" s="487"/>
      <c r="AA5" s="487"/>
      <c r="AB5" s="487"/>
      <c r="AC5" s="487"/>
      <c r="AD5" s="487"/>
      <c r="AE5" s="487"/>
      <c r="AF5" s="487"/>
      <c r="AG5" s="487"/>
      <c r="AH5" s="487"/>
      <c r="AI5" s="487"/>
      <c r="AJ5" s="487"/>
      <c r="AK5" s="487"/>
      <c r="AL5" s="487"/>
      <c r="AM5" s="487"/>
      <c r="AN5" s="487"/>
      <c r="AO5" s="487"/>
      <c r="AP5" s="488"/>
    </row>
    <row r="6" spans="1:59" ht="18">
      <c r="A6" s="394"/>
      <c r="B6" s="395"/>
      <c r="C6" s="395"/>
      <c r="D6" s="395"/>
      <c r="E6" s="395"/>
      <c r="F6" s="395"/>
      <c r="G6" s="395"/>
      <c r="H6" s="395"/>
      <c r="I6" s="395"/>
      <c r="J6" s="395"/>
      <c r="K6" s="395"/>
      <c r="L6" s="395"/>
      <c r="M6" s="395"/>
      <c r="N6" s="395"/>
      <c r="O6" s="395"/>
      <c r="P6" s="395"/>
      <c r="Q6" s="395"/>
      <c r="R6" s="395"/>
      <c r="S6" s="395"/>
      <c r="T6" s="395"/>
      <c r="U6" s="395"/>
      <c r="V6" s="395"/>
      <c r="W6" s="395"/>
      <c r="X6" s="395"/>
      <c r="Y6" s="395"/>
      <c r="Z6" s="395"/>
      <c r="AA6" s="395"/>
      <c r="AB6" s="395"/>
      <c r="AC6" s="395"/>
      <c r="AD6" s="395"/>
      <c r="AE6" s="395"/>
      <c r="AF6" s="395"/>
      <c r="AG6" s="395"/>
      <c r="AH6" s="395"/>
      <c r="AI6" s="395"/>
      <c r="AJ6" s="395"/>
      <c r="AK6" s="395"/>
      <c r="AL6" s="395"/>
      <c r="AM6" s="395"/>
      <c r="AN6" s="395"/>
      <c r="AO6" s="395"/>
      <c r="AP6" s="396"/>
    </row>
    <row r="7" spans="1:59" ht="18">
      <c r="A7" s="486" t="s">
        <v>1984</v>
      </c>
      <c r="B7" s="487"/>
      <c r="C7" s="487"/>
      <c r="D7" s="487"/>
      <c r="E7" s="487"/>
      <c r="F7" s="487"/>
      <c r="G7" s="487"/>
      <c r="H7" s="487"/>
      <c r="I7" s="487"/>
      <c r="J7" s="487"/>
      <c r="K7" s="487"/>
      <c r="L7" s="487"/>
      <c r="M7" s="487"/>
      <c r="N7" s="487"/>
      <c r="O7" s="487"/>
      <c r="P7" s="487"/>
      <c r="Q7" s="487"/>
      <c r="R7" s="487"/>
      <c r="S7" s="487"/>
      <c r="T7" s="487"/>
      <c r="U7" s="487"/>
      <c r="V7" s="487"/>
      <c r="W7" s="487"/>
      <c r="X7" s="487"/>
      <c r="Y7" s="487"/>
      <c r="Z7" s="487"/>
      <c r="AA7" s="487"/>
      <c r="AB7" s="487"/>
      <c r="AC7" s="487"/>
      <c r="AD7" s="487"/>
      <c r="AE7" s="487"/>
      <c r="AF7" s="487"/>
      <c r="AG7" s="487"/>
      <c r="AH7" s="487"/>
      <c r="AI7" s="487"/>
      <c r="AJ7" s="487"/>
      <c r="AK7" s="487"/>
      <c r="AL7" s="487"/>
      <c r="AM7" s="487"/>
      <c r="AN7" s="487"/>
      <c r="AO7" s="487"/>
      <c r="AP7" s="488"/>
    </row>
    <row r="8" spans="1:59" ht="18">
      <c r="A8" s="483" t="str">
        <f>CONCATENATE("VALORES UNITARIOS CÁLCULADOS :"," ",COT_PRECALCULOS!D24)</f>
        <v>VALORES UNITARIOS CÁLCULADOS : Precios Base Gravable</v>
      </c>
      <c r="B8" s="484"/>
      <c r="C8" s="484"/>
      <c r="D8" s="484"/>
      <c r="E8" s="484"/>
      <c r="F8" s="484"/>
      <c r="G8" s="484"/>
      <c r="H8" s="484"/>
      <c r="I8" s="484"/>
      <c r="J8" s="484"/>
      <c r="K8" s="484"/>
      <c r="L8" s="484"/>
      <c r="M8" s="484"/>
      <c r="N8" s="484"/>
      <c r="O8" s="484"/>
      <c r="P8" s="484"/>
      <c r="Q8" s="484"/>
      <c r="R8" s="484"/>
      <c r="S8" s="484"/>
      <c r="T8" s="484"/>
      <c r="U8" s="484"/>
      <c r="V8" s="484"/>
      <c r="W8" s="484"/>
      <c r="X8" s="484"/>
      <c r="Y8" s="484"/>
      <c r="Z8" s="484"/>
      <c r="AA8" s="484"/>
      <c r="AB8" s="484"/>
      <c r="AC8" s="484"/>
      <c r="AD8" s="484"/>
      <c r="AE8" s="484"/>
      <c r="AF8" s="484"/>
      <c r="AG8" s="484"/>
      <c r="AH8" s="484"/>
      <c r="AI8" s="484"/>
      <c r="AJ8" s="484"/>
      <c r="AK8" s="484"/>
      <c r="AL8" s="484"/>
      <c r="AM8" s="484"/>
      <c r="AN8" s="484"/>
      <c r="AO8" s="484"/>
      <c r="AP8" s="485"/>
    </row>
    <row r="9" spans="1:59" ht="15.75" thickBot="1">
      <c r="A9" s="387"/>
      <c r="B9" s="388"/>
      <c r="C9" s="388"/>
      <c r="D9" s="388"/>
      <c r="E9" s="388"/>
      <c r="F9" s="388"/>
      <c r="G9" s="388"/>
      <c r="H9" s="388"/>
      <c r="I9" s="388"/>
      <c r="J9" s="388"/>
      <c r="K9" s="388"/>
      <c r="L9" s="388"/>
      <c r="M9" s="388"/>
      <c r="N9" s="388"/>
      <c r="O9" s="388"/>
      <c r="P9" s="388"/>
      <c r="Q9" s="388"/>
      <c r="R9" s="388"/>
      <c r="S9" s="388"/>
      <c r="T9" s="388"/>
      <c r="U9" s="388"/>
      <c r="V9" s="388"/>
      <c r="W9" s="388"/>
      <c r="X9" s="388"/>
      <c r="Y9" s="388"/>
      <c r="Z9" s="388"/>
      <c r="AA9" s="388"/>
      <c r="AB9" s="388"/>
      <c r="AC9" s="388"/>
      <c r="AD9" s="388"/>
      <c r="AE9" s="388"/>
      <c r="AF9" s="388"/>
      <c r="AG9" s="388"/>
      <c r="AH9" s="388"/>
      <c r="AI9" s="388"/>
      <c r="AJ9" s="388"/>
      <c r="AK9" s="388"/>
      <c r="AL9" s="388"/>
      <c r="AM9" s="388"/>
      <c r="AN9" s="388"/>
      <c r="AO9" s="388"/>
      <c r="AP9" s="389"/>
    </row>
    <row r="10" spans="1:59" ht="15.75">
      <c r="A10" s="224"/>
      <c r="B10" s="385"/>
      <c r="C10" s="385"/>
      <c r="D10" s="385"/>
      <c r="E10" s="385"/>
      <c r="F10" s="385"/>
      <c r="G10" s="385"/>
      <c r="H10" s="385"/>
      <c r="I10" s="385"/>
      <c r="J10" s="385"/>
      <c r="K10" s="385"/>
      <c r="L10" s="385"/>
      <c r="M10" s="385"/>
      <c r="N10" s="385"/>
      <c r="O10" s="385"/>
      <c r="P10" s="385"/>
      <c r="Q10" s="385"/>
      <c r="R10" s="385"/>
      <c r="S10" s="385"/>
      <c r="T10" s="385"/>
      <c r="U10" s="385"/>
      <c r="V10" s="385"/>
      <c r="W10" s="385"/>
      <c r="X10" s="385"/>
      <c r="Y10" s="385"/>
      <c r="Z10" s="385"/>
      <c r="AA10" s="385"/>
      <c r="AB10" s="385"/>
      <c r="AC10" s="385"/>
      <c r="AD10" s="385"/>
      <c r="AE10" s="385"/>
      <c r="AF10" s="385"/>
      <c r="AG10" s="385"/>
      <c r="AH10" s="385"/>
      <c r="AI10" s="385"/>
      <c r="AJ10" s="385"/>
      <c r="AK10" s="385"/>
      <c r="AL10" s="385"/>
      <c r="AM10" s="385"/>
      <c r="AN10" s="385"/>
      <c r="AO10" s="385"/>
      <c r="AP10" s="385"/>
    </row>
    <row r="11" spans="1:59" ht="15.75">
      <c r="A11" s="356"/>
      <c r="B11" s="356"/>
      <c r="C11" s="356"/>
      <c r="D11" s="356"/>
      <c r="E11" s="356"/>
      <c r="F11" s="489" t="s">
        <v>1637</v>
      </c>
      <c r="G11" s="489"/>
      <c r="H11" s="489"/>
      <c r="I11" s="489"/>
      <c r="J11" s="489"/>
      <c r="K11" s="489"/>
      <c r="L11" s="489"/>
      <c r="M11" s="490" t="s">
        <v>1638</v>
      </c>
      <c r="N11" s="490"/>
      <c r="O11" s="490"/>
      <c r="P11" s="490"/>
      <c r="Q11" s="490"/>
      <c r="R11" s="490"/>
      <c r="S11" s="490"/>
      <c r="T11" s="489" t="s">
        <v>1639</v>
      </c>
      <c r="U11" s="489"/>
      <c r="V11" s="489"/>
      <c r="W11" s="489"/>
      <c r="X11" s="489"/>
      <c r="Y11" s="489"/>
      <c r="Z11" s="489"/>
      <c r="AA11" s="490" t="s">
        <v>1640</v>
      </c>
      <c r="AB11" s="490"/>
      <c r="AC11" s="490"/>
      <c r="AD11" s="490"/>
      <c r="AE11" s="490"/>
      <c r="AF11" s="490"/>
      <c r="AG11" s="490"/>
      <c r="AH11" s="491" t="s">
        <v>1641</v>
      </c>
      <c r="AI11" s="492"/>
      <c r="AJ11" s="492"/>
      <c r="AK11" s="492"/>
      <c r="AL11" s="492"/>
      <c r="AM11" s="492"/>
      <c r="AN11" s="492"/>
      <c r="AO11" s="346"/>
      <c r="AP11" s="346"/>
    </row>
    <row r="12" spans="1:59" ht="4.5" customHeight="1">
      <c r="A12" s="356"/>
      <c r="B12" s="356"/>
      <c r="C12" s="356"/>
      <c r="D12" s="356"/>
      <c r="E12" s="356"/>
      <c r="F12" s="307"/>
      <c r="G12" s="307"/>
      <c r="H12" s="307"/>
      <c r="I12" s="307"/>
      <c r="J12" s="307"/>
      <c r="K12" s="307"/>
      <c r="L12" s="307"/>
      <c r="M12" s="308"/>
      <c r="N12" s="308"/>
      <c r="O12" s="308"/>
      <c r="P12" s="308"/>
      <c r="Q12" s="308"/>
      <c r="R12" s="308"/>
      <c r="S12" s="308"/>
      <c r="T12" s="307"/>
      <c r="U12" s="307"/>
      <c r="V12" s="307"/>
      <c r="W12" s="307"/>
      <c r="X12" s="307"/>
      <c r="Y12" s="307"/>
      <c r="Z12" s="307"/>
      <c r="AA12" s="308"/>
      <c r="AB12" s="308"/>
      <c r="AC12" s="308"/>
      <c r="AD12" s="308"/>
      <c r="AE12" s="308"/>
      <c r="AF12" s="308"/>
      <c r="AG12" s="308"/>
      <c r="AH12" s="308"/>
      <c r="AI12" s="308"/>
      <c r="AJ12" s="308"/>
      <c r="AK12" s="308"/>
      <c r="AL12" s="308"/>
      <c r="AM12" s="308"/>
      <c r="AN12" s="308"/>
      <c r="AO12" s="308"/>
      <c r="AP12" s="308"/>
    </row>
    <row r="13" spans="1:59" ht="37.5" customHeight="1">
      <c r="A13" s="378" t="s">
        <v>2520</v>
      </c>
      <c r="B13" s="378" t="s">
        <v>2521</v>
      </c>
      <c r="C13" s="267" t="s">
        <v>2008</v>
      </c>
      <c r="D13" s="397" t="s">
        <v>1642</v>
      </c>
      <c r="E13" s="267" t="s">
        <v>8</v>
      </c>
      <c r="F13" s="255" t="s">
        <v>2474</v>
      </c>
      <c r="G13" s="255" t="s">
        <v>2529</v>
      </c>
      <c r="H13" s="255" t="s">
        <v>2528</v>
      </c>
      <c r="I13" s="255" t="s">
        <v>2523</v>
      </c>
      <c r="J13" s="255" t="s">
        <v>2548</v>
      </c>
      <c r="K13" s="255" t="s">
        <v>2550</v>
      </c>
      <c r="L13" s="255" t="s">
        <v>2549</v>
      </c>
      <c r="M13" s="267" t="s">
        <v>2474</v>
      </c>
      <c r="N13" s="267" t="s">
        <v>2529</v>
      </c>
      <c r="O13" s="267" t="s">
        <v>2528</v>
      </c>
      <c r="P13" s="267" t="s">
        <v>2523</v>
      </c>
      <c r="Q13" s="267" t="s">
        <v>2548</v>
      </c>
      <c r="R13" s="267" t="s">
        <v>2550</v>
      </c>
      <c r="S13" s="267" t="s">
        <v>2549</v>
      </c>
      <c r="T13" s="255" t="s">
        <v>2474</v>
      </c>
      <c r="U13" s="255" t="s">
        <v>2529</v>
      </c>
      <c r="V13" s="255" t="s">
        <v>2528</v>
      </c>
      <c r="W13" s="255" t="s">
        <v>2523</v>
      </c>
      <c r="X13" s="255" t="s">
        <v>2548</v>
      </c>
      <c r="Y13" s="255" t="s">
        <v>2550</v>
      </c>
      <c r="Z13" s="255" t="s">
        <v>2549</v>
      </c>
      <c r="AA13" s="267" t="s">
        <v>2474</v>
      </c>
      <c r="AB13" s="267" t="s">
        <v>2529</v>
      </c>
      <c r="AC13" s="267" t="s">
        <v>2528</v>
      </c>
      <c r="AD13" s="267" t="s">
        <v>2523</v>
      </c>
      <c r="AE13" s="267" t="s">
        <v>2548</v>
      </c>
      <c r="AF13" s="267" t="s">
        <v>2550</v>
      </c>
      <c r="AG13" s="267" t="s">
        <v>2549</v>
      </c>
      <c r="AH13" s="255" t="s">
        <v>2474</v>
      </c>
      <c r="AI13" s="255" t="s">
        <v>2529</v>
      </c>
      <c r="AJ13" s="255" t="s">
        <v>2528</v>
      </c>
      <c r="AK13" s="255" t="s">
        <v>2523</v>
      </c>
      <c r="AL13" s="255" t="s">
        <v>2548</v>
      </c>
      <c r="AM13" s="255" t="s">
        <v>2550</v>
      </c>
      <c r="AN13" s="255" t="s">
        <v>2549</v>
      </c>
      <c r="AO13" s="445" t="s">
        <v>2547</v>
      </c>
      <c r="AP13" s="445" t="s">
        <v>2551</v>
      </c>
    </row>
    <row r="14" spans="1:59" ht="15.75">
      <c r="A14" s="333">
        <v>1</v>
      </c>
      <c r="B14" s="333" t="s">
        <v>1607</v>
      </c>
      <c r="C14" s="256">
        <v>1</v>
      </c>
      <c r="D14" s="322" t="s">
        <v>16</v>
      </c>
      <c r="E14" s="256" t="s">
        <v>9</v>
      </c>
      <c r="F14" s="425">
        <f t="array" ref="F14">MAX((IF(MNU_CODIGO_ALIMENTO_ENTREGA=CONCATENATE($C14,"_","P_"),MNU_GRAMAJE_REQUERIDO_TIPOA,"")))</f>
        <v>30</v>
      </c>
      <c r="G14" s="257">
        <f t="shared" ref="G14:G49" si="0">SUMIF(COSTPE_G_ALIMENTO_GRUPO,CONCATENATE($C14,"_",$A14),COSTPE_G_VOLUMEN_TOTAL_TIPOA)</f>
        <v>88980</v>
      </c>
      <c r="H14" s="257">
        <f t="shared" ref="H14:H49" si="1">SUMIF(COSTSE_G_ALIMENTO_GRUPO,CONCATENATE($C14,"_",$A14),COSTSE_G_VOLUMEN_TOTAL_TIPOA)</f>
        <v>0</v>
      </c>
      <c r="I14" s="257">
        <f t="shared" ref="I14:I49" si="2">G14+H14</f>
        <v>88980</v>
      </c>
      <c r="J14" s="258">
        <f t="shared" ref="J14:J49" si="3">SUMIF(COSTPE_G_ALIMENTO_GRUPO,CONCATENATE($C14,"_",$A14),COSTPE_G_VALOR_TOTAL_TIPOA)</f>
        <v>71895840</v>
      </c>
      <c r="K14" s="258">
        <f t="shared" ref="K14:K49" si="4">SUMIF(COSTSE_G_ALIMENTO_GRUPO,CONCATENATE($C14,"_",$A14),COSTSE_G_VALOR_TOTAL_TIPOA)</f>
        <v>0</v>
      </c>
      <c r="L14" s="258">
        <f t="shared" ref="L14:L49" si="5">J14+K14</f>
        <v>71895840</v>
      </c>
      <c r="M14" s="426">
        <f t="array" ref="M14">MAX((IF(MNU_CODIGO_ALIMENTO_ENTREGA=CONCATENATE($C14,"_","P_"),MNU_GRAMAJE_REQUERIDO_TIPOB,"")))</f>
        <v>40</v>
      </c>
      <c r="N14" s="343">
        <f t="shared" ref="N14:N49" si="6">SUMIF(COSTPE_G_ALIMENTO_GRUPO,CONCATENATE($C14,"_",$A14),COSTPE_G_VOLUMEN_TOTAL_TIPOB)</f>
        <v>123600</v>
      </c>
      <c r="O14" s="343">
        <f t="shared" ref="O14:O49" si="7">SUMIF(COSTSE_G_ALIMENTO_GRUPO,CONCATENATE($C14,"_",$A14),COSTSE_G_VOLUMEN_TOTAL_TIPOB)</f>
        <v>0</v>
      </c>
      <c r="P14" s="343">
        <f t="shared" ref="P14:P49" si="8">N14+O14</f>
        <v>123600</v>
      </c>
      <c r="Q14" s="344">
        <f t="shared" ref="Q14:Q49" si="9">SUMIF(COSTPE_G_ALIMENTO_GRUPO,CONCATENATE($C14,"_",$A14),COSTPE_G_VALOR_TOTAL_TIPOB)</f>
        <v>133240800</v>
      </c>
      <c r="R14" s="344">
        <f t="shared" ref="R14:R49" si="10">SUMIF(COSTSE_G_ALIMENTO_GRUPO,CONCATENATE($C14,"_",$A14),COSTSE_G_VALOR_TOTAL_TIPOB)</f>
        <v>0</v>
      </c>
      <c r="S14" s="344">
        <f t="shared" ref="S14:S49" si="11">Q14+R14</f>
        <v>133240800</v>
      </c>
      <c r="T14" s="348">
        <f t="array" ref="T14">MAX((IF(MNU_CODIGO_ALIMENTO_ENTREGA=CONCATENATE($C14,"_","P_"),MNU_GRAMAJE_REQUERIDO_TIPOC,"")))</f>
        <v>60</v>
      </c>
      <c r="U14" s="257">
        <f t="shared" ref="U14:U49" si="12">SUMIF(COSTPE_G_ALIMENTO_GRUPO,CONCATENATE($C14,"_",$A14),COSTPE_G_VOLUMEN_TOTAL_TIPOC)</f>
        <v>126060</v>
      </c>
      <c r="V14" s="257">
        <f t="shared" ref="V14:V49" si="13">SUMIF(COSTSE_G_ALIMENTO_GRUPO,CONCATENATE($C14,"_",$A14),COSTSE_G_VOLUMEN_TOTAL_TIPOC)</f>
        <v>0</v>
      </c>
      <c r="W14" s="257">
        <f t="shared" ref="W14:W49" si="14">U14+V14</f>
        <v>126060</v>
      </c>
      <c r="X14" s="258">
        <f t="shared" ref="X14:X49" si="15">SUMIF(COSTPE_G_ALIMENTO_GRUPO,CONCATENATE($C14,"_",$A14),COSTPE_G_VALOR_TOTAL_TIPOC)</f>
        <v>203712960</v>
      </c>
      <c r="Y14" s="258">
        <f t="shared" ref="Y14:Y49" si="16">SUMIF(COSTSE_G_ALIMENTO_GRUPO,CONCATENATE($C14,"_",$A14),COSTSE_G_VALOR_TOTAL_TIPOC)</f>
        <v>0</v>
      </c>
      <c r="Z14" s="258">
        <f t="shared" ref="Z14:Z49" si="17">X14+Y14</f>
        <v>203712960</v>
      </c>
      <c r="AA14" s="256">
        <f t="array" ref="AA14">MAX((IF(MNU_CODIGO_ALIMENTO_ENTREGA=CONCATENATE($C14,"_","P_"),MNU_GRAMAJE_REQUERIDO_TIPOM,"")))</f>
        <v>40</v>
      </c>
      <c r="AB14" s="259">
        <f t="shared" ref="AB14:AB49" si="18">SUMIF(COSTPE_G_ALIMENTO_GRUPO,CONCATENATE($C14,"_",$A14),COSTPE_G_VOLUMEN_TOTAL_TIPOM)</f>
        <v>5760</v>
      </c>
      <c r="AC14" s="259">
        <v>0</v>
      </c>
      <c r="AD14" s="259">
        <f t="shared" ref="AD14:AD49" si="19">AB14+AC14</f>
        <v>5760</v>
      </c>
      <c r="AE14" s="260">
        <f t="shared" ref="AE14:AE49" si="20">SUMIF(COSTPE_G_ALIMENTO_GRUPO,CONCATENATE($C14,"_",$A14),COSTPE_G_VALOR_TOTAL_TIPOM)</f>
        <v>6209280</v>
      </c>
      <c r="AF14" s="260">
        <v>0</v>
      </c>
      <c r="AG14" s="260">
        <f t="shared" ref="AG14:AG49" si="21">AE14+AF14</f>
        <v>6209280</v>
      </c>
      <c r="AH14" s="348">
        <f t="array" ref="AH14">MAX((IF(MNU_CODIGO_ALIMENTO_ENTREGA=CONCATENATE($C14,"_","P_"),MNU_GRAMAJE_REQUERIDO_TIPOH,"")))</f>
        <v>60</v>
      </c>
      <c r="AI14" s="257">
        <f t="shared" ref="AI14:AI49" si="22">SUMIF(COSTPE_G_ALIMENTO_GRUPO,CONCATENATE($C14,"_",$A14),COSTPE_G_VOLUMEN_TOTAL_TIPOH)</f>
        <v>5925</v>
      </c>
      <c r="AJ14" s="257">
        <v>0</v>
      </c>
      <c r="AK14" s="257">
        <f t="shared" ref="AK14:AK49" si="23">AI14+AJ14</f>
        <v>5925</v>
      </c>
      <c r="AL14" s="258">
        <f t="shared" ref="AL14:AL49" si="24">SUMIF(COSTPE_G_ALIMENTO_GRUPO,CONCATENATE($C14,"_",$A14),COSTPE_G_VALOR_TOTAL_TIPOH)</f>
        <v>9574800</v>
      </c>
      <c r="AM14" s="258">
        <v>0</v>
      </c>
      <c r="AN14" s="258">
        <f t="shared" ref="AN14:AN49" si="25">AL14+AM14</f>
        <v>9574800</v>
      </c>
      <c r="AO14" s="451">
        <f t="shared" ref="AO14:AO49" si="26">AK14+AD14+W14+P14+I14</f>
        <v>350325</v>
      </c>
      <c r="AP14" s="450">
        <f t="shared" ref="AP14:AP49" si="27">AN14+AG14+Z14+S14+L14</f>
        <v>424633680</v>
      </c>
      <c r="AQ14" s="261" t="e">
        <f>#REF!+AH14+AA14+T14+M14</f>
        <v>#REF!</v>
      </c>
      <c r="AR14" s="261">
        <f t="shared" ref="AR14:AR46" si="28">AP14+AI14+AB14+U14+N14</f>
        <v>424895025</v>
      </c>
      <c r="AS14" s="261" t="e">
        <f t="shared" ref="AS14:AS46" si="29">AQ14+AJ14+AC14+V14+O14</f>
        <v>#REF!</v>
      </c>
      <c r="AT14" s="261">
        <f t="shared" ref="AT14:AT46" si="30">AR14+AK14+AD14+W14+P14</f>
        <v>425156370</v>
      </c>
      <c r="AU14" s="261" t="e">
        <f t="shared" ref="AU14:AU46" si="31">AS14+AL14+AE14+X14+Q14</f>
        <v>#REF!</v>
      </c>
      <c r="AV14" s="261">
        <f t="shared" ref="AV14:AV46" si="32">AT14+AM14+AF14+Y14+R14</f>
        <v>425156370</v>
      </c>
      <c r="AW14" s="261" t="e">
        <f t="shared" ref="AW14:AW46" si="33">AU14+AN14+AG14+Z14+S14</f>
        <v>#REF!</v>
      </c>
      <c r="AX14" s="261" t="e">
        <f>AV14+#REF!+AH14+AA14+T14</f>
        <v>#REF!</v>
      </c>
      <c r="AY14" s="261" t="e">
        <f t="shared" ref="AY14:AY46" si="34">AW14+AP14+AI14+AB14+U14</f>
        <v>#REF!</v>
      </c>
      <c r="AZ14" s="261" t="e">
        <f t="shared" ref="AZ14:AZ46" si="35">AX14+AQ14+AJ14+AC14+V14</f>
        <v>#REF!</v>
      </c>
      <c r="BA14" s="261" t="e">
        <f t="shared" ref="BA14:BA46" si="36">AY14+AR14+AK14+AD14+W14</f>
        <v>#REF!</v>
      </c>
      <c r="BB14" s="261" t="e">
        <f t="shared" ref="BB14:BB46" si="37">AZ14+AS14+AL14+AE14+X14</f>
        <v>#REF!</v>
      </c>
      <c r="BC14" s="261" t="e">
        <f t="shared" ref="BC14:BC46" si="38">BA14+AT14+AM14+AF14+Y14</f>
        <v>#REF!</v>
      </c>
      <c r="BD14" s="261" t="e">
        <f t="shared" ref="BD14:BD46" si="39">BB14+AU14+AN14+AG14+Z14</f>
        <v>#REF!</v>
      </c>
      <c r="BE14" s="261" t="e">
        <f>BC14+AV14+#REF!+AH14+AA14</f>
        <v>#REF!</v>
      </c>
      <c r="BF14" s="261" t="e">
        <f t="shared" ref="BF14:BF46" si="40">BD14+AW14+AP14+AI14+AB14</f>
        <v>#REF!</v>
      </c>
      <c r="BG14" s="261" t="e">
        <f t="shared" ref="BG14:BG46" si="41">BE14+AX14+AQ14+AJ14+AC14</f>
        <v>#REF!</v>
      </c>
    </row>
    <row r="15" spans="1:59" ht="15.75">
      <c r="A15" s="333">
        <v>1</v>
      </c>
      <c r="B15" s="333" t="s">
        <v>1607</v>
      </c>
      <c r="C15" s="256">
        <v>3</v>
      </c>
      <c r="D15" s="322" t="s">
        <v>12</v>
      </c>
      <c r="E15" s="256" t="s">
        <v>9</v>
      </c>
      <c r="F15" s="425">
        <f t="array" ref="F15">MAX((IF(MNU_CODIGO_ALIMENTO_ENTREGA=CONCATENATE($C15,"_","P_"),MNU_GRAMAJE_REQUERIDO_TIPOA,"")))</f>
        <v>50</v>
      </c>
      <c r="G15" s="257">
        <f t="shared" si="0"/>
        <v>100844</v>
      </c>
      <c r="H15" s="257">
        <f t="shared" si="1"/>
        <v>0</v>
      </c>
      <c r="I15" s="257">
        <f t="shared" si="2"/>
        <v>100844</v>
      </c>
      <c r="J15" s="258">
        <f t="shared" si="3"/>
        <v>50926220</v>
      </c>
      <c r="K15" s="258">
        <f t="shared" si="4"/>
        <v>0</v>
      </c>
      <c r="L15" s="258">
        <f t="shared" si="5"/>
        <v>50926220</v>
      </c>
      <c r="M15" s="426">
        <f t="array" ref="M15">MAX((IF(MNU_CODIGO_ALIMENTO_ENTREGA=CONCATENATE($C15,"_","P_"),MNU_GRAMAJE_REQUERIDO_TIPOB,"")))</f>
        <v>50</v>
      </c>
      <c r="N15" s="343">
        <f t="shared" si="6"/>
        <v>140080</v>
      </c>
      <c r="O15" s="343">
        <f t="shared" si="7"/>
        <v>0</v>
      </c>
      <c r="P15" s="343">
        <f t="shared" si="8"/>
        <v>140080</v>
      </c>
      <c r="Q15" s="344">
        <f t="shared" si="9"/>
        <v>70740400</v>
      </c>
      <c r="R15" s="344">
        <f t="shared" si="10"/>
        <v>0</v>
      </c>
      <c r="S15" s="344">
        <f t="shared" si="11"/>
        <v>70740400</v>
      </c>
      <c r="T15" s="348">
        <f t="array" ref="T15">MAX((IF(MNU_CODIGO_ALIMENTO_ENTREGA=CONCATENATE($C15,"_","P_"),MNU_GRAMAJE_REQUERIDO_TIPOC,"")))</f>
        <v>80</v>
      </c>
      <c r="U15" s="257">
        <f t="shared" si="12"/>
        <v>142868</v>
      </c>
      <c r="V15" s="257">
        <f t="shared" si="13"/>
        <v>18202</v>
      </c>
      <c r="W15" s="257">
        <f t="shared" si="14"/>
        <v>161070</v>
      </c>
      <c r="X15" s="258">
        <f t="shared" si="15"/>
        <v>109008284</v>
      </c>
      <c r="Y15" s="258">
        <f t="shared" si="16"/>
        <v>13888126</v>
      </c>
      <c r="Z15" s="258">
        <f t="shared" si="17"/>
        <v>122896410</v>
      </c>
      <c r="AA15" s="256">
        <f t="array" ref="AA15">MAX((IF(MNU_CODIGO_ALIMENTO_ENTREGA=CONCATENATE($C15,"_","P_"),MNU_GRAMAJE_REQUERIDO_TIPOM,"")))</f>
        <v>50</v>
      </c>
      <c r="AB15" s="259">
        <f t="shared" si="18"/>
        <v>6528</v>
      </c>
      <c r="AC15" s="259">
        <v>0</v>
      </c>
      <c r="AD15" s="259">
        <f t="shared" si="19"/>
        <v>6528</v>
      </c>
      <c r="AE15" s="260">
        <f t="shared" si="20"/>
        <v>3296640</v>
      </c>
      <c r="AF15" s="260">
        <v>0</v>
      </c>
      <c r="AG15" s="260">
        <f t="shared" si="21"/>
        <v>3296640</v>
      </c>
      <c r="AH15" s="348">
        <f t="array" ref="AH15">MAX((IF(MNU_CODIGO_ALIMENTO_ENTREGA=CONCATENATE($C15,"_","P_"),MNU_GRAMAJE_REQUERIDO_TIPOH,"")))</f>
        <v>80</v>
      </c>
      <c r="AI15" s="257">
        <f t="shared" si="22"/>
        <v>6715</v>
      </c>
      <c r="AJ15" s="257">
        <v>0</v>
      </c>
      <c r="AK15" s="257">
        <f t="shared" si="23"/>
        <v>6715</v>
      </c>
      <c r="AL15" s="258">
        <f t="shared" si="24"/>
        <v>5123545</v>
      </c>
      <c r="AM15" s="258">
        <v>0</v>
      </c>
      <c r="AN15" s="258">
        <f t="shared" si="25"/>
        <v>5123545</v>
      </c>
      <c r="AO15" s="451">
        <f t="shared" si="26"/>
        <v>415237</v>
      </c>
      <c r="AP15" s="450">
        <f t="shared" si="27"/>
        <v>252983215</v>
      </c>
      <c r="AQ15" s="261" t="e">
        <f>#REF!+AH15+AA15+T15+M15</f>
        <v>#REF!</v>
      </c>
      <c r="AR15" s="261">
        <f t="shared" si="28"/>
        <v>253279406</v>
      </c>
      <c r="AS15" s="261" t="e">
        <f t="shared" si="29"/>
        <v>#REF!</v>
      </c>
      <c r="AT15" s="261">
        <f t="shared" si="30"/>
        <v>253593799</v>
      </c>
      <c r="AU15" s="261" t="e">
        <f t="shared" si="31"/>
        <v>#REF!</v>
      </c>
      <c r="AV15" s="261">
        <f t="shared" si="32"/>
        <v>267481925</v>
      </c>
      <c r="AW15" s="261" t="e">
        <f t="shared" si="33"/>
        <v>#REF!</v>
      </c>
      <c r="AX15" s="261" t="e">
        <f>AV15+#REF!+AH15+AA15+T15</f>
        <v>#REF!</v>
      </c>
      <c r="AY15" s="261" t="e">
        <f t="shared" si="34"/>
        <v>#REF!</v>
      </c>
      <c r="AZ15" s="261" t="e">
        <f t="shared" si="35"/>
        <v>#REF!</v>
      </c>
      <c r="BA15" s="261" t="e">
        <f t="shared" si="36"/>
        <v>#REF!</v>
      </c>
      <c r="BB15" s="261" t="e">
        <f t="shared" si="37"/>
        <v>#REF!</v>
      </c>
      <c r="BC15" s="261" t="e">
        <f t="shared" si="38"/>
        <v>#REF!</v>
      </c>
      <c r="BD15" s="261" t="e">
        <f t="shared" si="39"/>
        <v>#REF!</v>
      </c>
      <c r="BE15" s="261" t="e">
        <f>BC15+AV15+#REF!+AH15+AA15</f>
        <v>#REF!</v>
      </c>
      <c r="BF15" s="261" t="e">
        <f t="shared" si="40"/>
        <v>#REF!</v>
      </c>
      <c r="BG15" s="261" t="e">
        <f t="shared" si="41"/>
        <v>#REF!</v>
      </c>
    </row>
    <row r="16" spans="1:59" ht="15.75">
      <c r="A16" s="333">
        <v>1</v>
      </c>
      <c r="B16" s="333" t="s">
        <v>1607</v>
      </c>
      <c r="C16" s="256">
        <v>15</v>
      </c>
      <c r="D16" s="322" t="s">
        <v>66</v>
      </c>
      <c r="E16" s="256" t="s">
        <v>9</v>
      </c>
      <c r="F16" s="425">
        <f t="array" ref="F16">MAX((IF(MNU_CODIGO_ALIMENTO_ENTREGA=CONCATENATE($C16,"_","P_"),MNU_GRAMAJE_REQUERIDO_TIPOA,"")))</f>
        <v>50</v>
      </c>
      <c r="G16" s="257">
        <f t="shared" si="0"/>
        <v>100844</v>
      </c>
      <c r="H16" s="257">
        <f t="shared" si="1"/>
        <v>0</v>
      </c>
      <c r="I16" s="257">
        <f t="shared" si="2"/>
        <v>100844</v>
      </c>
      <c r="J16" s="258">
        <f t="shared" si="3"/>
        <v>67868012</v>
      </c>
      <c r="K16" s="258">
        <f t="shared" si="4"/>
        <v>0</v>
      </c>
      <c r="L16" s="258">
        <f t="shared" si="5"/>
        <v>67868012</v>
      </c>
      <c r="M16" s="426">
        <f t="array" ref="M16">MAX((IF(MNU_CODIGO_ALIMENTO_ENTREGA=CONCATENATE($C16,"_","P_"),MNU_GRAMAJE_REQUERIDO_TIPOB,"")))</f>
        <v>50</v>
      </c>
      <c r="N16" s="343">
        <f t="shared" si="6"/>
        <v>140080</v>
      </c>
      <c r="O16" s="343">
        <f t="shared" si="7"/>
        <v>0</v>
      </c>
      <c r="P16" s="343">
        <f t="shared" si="8"/>
        <v>140080</v>
      </c>
      <c r="Q16" s="344">
        <f t="shared" si="9"/>
        <v>94273840</v>
      </c>
      <c r="R16" s="344">
        <f t="shared" si="10"/>
        <v>0</v>
      </c>
      <c r="S16" s="344">
        <f t="shared" si="11"/>
        <v>94273840</v>
      </c>
      <c r="T16" s="348">
        <f t="array" ref="T16">MAX((IF(MNU_CODIGO_ALIMENTO_ENTREGA=CONCATENATE($C16,"_","P_"),MNU_GRAMAJE_REQUERIDO_TIPOC,"")))</f>
        <v>80</v>
      </c>
      <c r="U16" s="257">
        <f t="shared" si="12"/>
        <v>142868</v>
      </c>
      <c r="V16" s="257">
        <f t="shared" si="13"/>
        <v>10538</v>
      </c>
      <c r="W16" s="257">
        <f t="shared" si="14"/>
        <v>153406</v>
      </c>
      <c r="X16" s="258">
        <f t="shared" si="15"/>
        <v>153725968</v>
      </c>
      <c r="Y16" s="258">
        <f t="shared" si="16"/>
        <v>11338888</v>
      </c>
      <c r="Z16" s="258">
        <f t="shared" si="17"/>
        <v>165064856</v>
      </c>
      <c r="AA16" s="256">
        <f t="array" ref="AA16">MAX((IF(MNU_CODIGO_ALIMENTO_ENTREGA=CONCATENATE($C16,"_","P_"),MNU_GRAMAJE_REQUERIDO_TIPOM,"")))</f>
        <v>50</v>
      </c>
      <c r="AB16" s="259">
        <f t="shared" si="18"/>
        <v>6528</v>
      </c>
      <c r="AC16" s="259">
        <v>0</v>
      </c>
      <c r="AD16" s="259">
        <f t="shared" si="19"/>
        <v>6528</v>
      </c>
      <c r="AE16" s="260">
        <f t="shared" si="20"/>
        <v>4393344</v>
      </c>
      <c r="AF16" s="260">
        <v>0</v>
      </c>
      <c r="AG16" s="260">
        <f t="shared" si="21"/>
        <v>4393344</v>
      </c>
      <c r="AH16" s="348">
        <f t="array" ref="AH16">MAX((IF(MNU_CODIGO_ALIMENTO_ENTREGA=CONCATENATE($C16,"_","P_"),MNU_GRAMAJE_REQUERIDO_TIPOH,"")))</f>
        <v>80</v>
      </c>
      <c r="AI16" s="257">
        <f t="shared" si="22"/>
        <v>6715</v>
      </c>
      <c r="AJ16" s="257">
        <v>0</v>
      </c>
      <c r="AK16" s="257">
        <f t="shared" si="23"/>
        <v>6715</v>
      </c>
      <c r="AL16" s="258">
        <f t="shared" si="24"/>
        <v>7225340</v>
      </c>
      <c r="AM16" s="258">
        <v>0</v>
      </c>
      <c r="AN16" s="258">
        <f t="shared" si="25"/>
        <v>7225340</v>
      </c>
      <c r="AO16" s="451">
        <f t="shared" si="26"/>
        <v>407573</v>
      </c>
      <c r="AP16" s="450">
        <f t="shared" si="27"/>
        <v>338825392</v>
      </c>
      <c r="AQ16" s="261" t="e">
        <f>#REF!+AH16+AA16+T16+M16</f>
        <v>#REF!</v>
      </c>
      <c r="AR16" s="261">
        <f t="shared" si="28"/>
        <v>339121583</v>
      </c>
      <c r="AS16" s="261" t="e">
        <f t="shared" si="29"/>
        <v>#REF!</v>
      </c>
      <c r="AT16" s="261">
        <f t="shared" si="30"/>
        <v>339428312</v>
      </c>
      <c r="AU16" s="261" t="e">
        <f t="shared" si="31"/>
        <v>#REF!</v>
      </c>
      <c r="AV16" s="261">
        <f t="shared" si="32"/>
        <v>350767200</v>
      </c>
      <c r="AW16" s="261" t="e">
        <f t="shared" si="33"/>
        <v>#REF!</v>
      </c>
      <c r="AX16" s="261" t="e">
        <f>AV16+#REF!+AH16+AA16+T16</f>
        <v>#REF!</v>
      </c>
      <c r="AY16" s="261" t="e">
        <f t="shared" si="34"/>
        <v>#REF!</v>
      </c>
      <c r="AZ16" s="261" t="e">
        <f t="shared" si="35"/>
        <v>#REF!</v>
      </c>
      <c r="BA16" s="261" t="e">
        <f t="shared" si="36"/>
        <v>#REF!</v>
      </c>
      <c r="BB16" s="261" t="e">
        <f t="shared" si="37"/>
        <v>#REF!</v>
      </c>
      <c r="BC16" s="261" t="e">
        <f t="shared" si="38"/>
        <v>#REF!</v>
      </c>
      <c r="BD16" s="261" t="e">
        <f t="shared" si="39"/>
        <v>#REF!</v>
      </c>
      <c r="BE16" s="261" t="e">
        <f>BC16+AV16+#REF!+AH16+AA16</f>
        <v>#REF!</v>
      </c>
      <c r="BF16" s="261" t="e">
        <f t="shared" si="40"/>
        <v>#REF!</v>
      </c>
      <c r="BG16" s="261" t="e">
        <f t="shared" si="41"/>
        <v>#REF!</v>
      </c>
    </row>
    <row r="17" spans="1:59" ht="15.75">
      <c r="A17" s="333">
        <v>1</v>
      </c>
      <c r="B17" s="333" t="s">
        <v>1607</v>
      </c>
      <c r="C17" s="256">
        <v>24</v>
      </c>
      <c r="D17" s="322" t="s">
        <v>61</v>
      </c>
      <c r="E17" s="256" t="s">
        <v>9</v>
      </c>
      <c r="F17" s="425">
        <f t="array" ref="F17">MAX((IF(MNU_CODIGO_ALIMENTO_ENTREGA=CONCATENATE($C17,"_","P_"),MNU_GRAMAJE_REQUERIDO_TIPOA,"")))</f>
        <v>20</v>
      </c>
      <c r="G17" s="257">
        <f t="shared" si="0"/>
        <v>100844</v>
      </c>
      <c r="H17" s="257">
        <f t="shared" si="1"/>
        <v>0</v>
      </c>
      <c r="I17" s="257">
        <f t="shared" si="2"/>
        <v>100844</v>
      </c>
      <c r="J17" s="258">
        <f t="shared" si="3"/>
        <v>12908032</v>
      </c>
      <c r="K17" s="258">
        <f t="shared" si="4"/>
        <v>0</v>
      </c>
      <c r="L17" s="258">
        <f t="shared" si="5"/>
        <v>12908032</v>
      </c>
      <c r="M17" s="426">
        <f t="array" ref="M17">MAX((IF(MNU_CODIGO_ALIMENTO_ENTREGA=CONCATENATE($C17,"_","P_"),MNU_GRAMAJE_REQUERIDO_TIPOB,"")))</f>
        <v>30</v>
      </c>
      <c r="N17" s="343">
        <f t="shared" si="6"/>
        <v>140080</v>
      </c>
      <c r="O17" s="343">
        <f t="shared" si="7"/>
        <v>0</v>
      </c>
      <c r="P17" s="343">
        <f t="shared" si="8"/>
        <v>140080</v>
      </c>
      <c r="Q17" s="344">
        <f t="shared" si="9"/>
        <v>28016000</v>
      </c>
      <c r="R17" s="344">
        <f t="shared" si="10"/>
        <v>0</v>
      </c>
      <c r="S17" s="344">
        <f t="shared" si="11"/>
        <v>28016000</v>
      </c>
      <c r="T17" s="348">
        <f t="array" ref="T17">MAX((IF(MNU_CODIGO_ALIMENTO_ENTREGA=CONCATENATE($C17,"_","P_"),MNU_GRAMAJE_REQUERIDO_TIPOC,"")))</f>
        <v>60</v>
      </c>
      <c r="U17" s="257">
        <f t="shared" si="12"/>
        <v>142868</v>
      </c>
      <c r="V17" s="257">
        <f t="shared" si="13"/>
        <v>10538</v>
      </c>
      <c r="W17" s="257">
        <f t="shared" si="14"/>
        <v>153406</v>
      </c>
      <c r="X17" s="258">
        <f t="shared" si="15"/>
        <v>55004180</v>
      </c>
      <c r="Y17" s="258">
        <f t="shared" si="16"/>
        <v>4057130</v>
      </c>
      <c r="Z17" s="258">
        <f t="shared" si="17"/>
        <v>59061310</v>
      </c>
      <c r="AA17" s="256">
        <f t="array" ref="AA17">MAX((IF(MNU_CODIGO_ALIMENTO_ENTREGA=CONCATENATE($C17,"_","P_"),MNU_GRAMAJE_REQUERIDO_TIPOM,"")))</f>
        <v>30</v>
      </c>
      <c r="AB17" s="259">
        <f t="shared" si="18"/>
        <v>6528</v>
      </c>
      <c r="AC17" s="259">
        <v>0</v>
      </c>
      <c r="AD17" s="259">
        <f t="shared" si="19"/>
        <v>6528</v>
      </c>
      <c r="AE17" s="260">
        <f t="shared" si="20"/>
        <v>1305600</v>
      </c>
      <c r="AF17" s="260">
        <v>0</v>
      </c>
      <c r="AG17" s="260">
        <f t="shared" si="21"/>
        <v>1305600</v>
      </c>
      <c r="AH17" s="348">
        <f t="array" ref="AH17">MAX((IF(MNU_CODIGO_ALIMENTO_ENTREGA=CONCATENATE($C17,"_","P_"),MNU_GRAMAJE_REQUERIDO_TIPOH,"")))</f>
        <v>60</v>
      </c>
      <c r="AI17" s="257">
        <f t="shared" si="22"/>
        <v>6715</v>
      </c>
      <c r="AJ17" s="257">
        <v>0</v>
      </c>
      <c r="AK17" s="257">
        <f t="shared" si="23"/>
        <v>6715</v>
      </c>
      <c r="AL17" s="258">
        <f t="shared" si="24"/>
        <v>2585275</v>
      </c>
      <c r="AM17" s="258">
        <v>0</v>
      </c>
      <c r="AN17" s="258">
        <f t="shared" si="25"/>
        <v>2585275</v>
      </c>
      <c r="AO17" s="451">
        <f t="shared" si="26"/>
        <v>407573</v>
      </c>
      <c r="AP17" s="450">
        <f t="shared" si="27"/>
        <v>103876217</v>
      </c>
      <c r="AQ17" s="261" t="e">
        <f>#REF!+AH17+AA17+T17+M17</f>
        <v>#REF!</v>
      </c>
      <c r="AR17" s="261">
        <f t="shared" si="28"/>
        <v>104172408</v>
      </c>
      <c r="AS17" s="261" t="e">
        <f t="shared" si="29"/>
        <v>#REF!</v>
      </c>
      <c r="AT17" s="261">
        <f t="shared" si="30"/>
        <v>104479137</v>
      </c>
      <c r="AU17" s="261" t="e">
        <f t="shared" si="31"/>
        <v>#REF!</v>
      </c>
      <c r="AV17" s="261">
        <f t="shared" si="32"/>
        <v>108536267</v>
      </c>
      <c r="AW17" s="261" t="e">
        <f t="shared" si="33"/>
        <v>#REF!</v>
      </c>
      <c r="AX17" s="261" t="e">
        <f>AV17+#REF!+AH17+AA17+T17</f>
        <v>#REF!</v>
      </c>
      <c r="AY17" s="261" t="e">
        <f t="shared" si="34"/>
        <v>#REF!</v>
      </c>
      <c r="AZ17" s="261" t="e">
        <f t="shared" si="35"/>
        <v>#REF!</v>
      </c>
      <c r="BA17" s="261" t="e">
        <f t="shared" si="36"/>
        <v>#REF!</v>
      </c>
      <c r="BB17" s="261" t="e">
        <f t="shared" si="37"/>
        <v>#REF!</v>
      </c>
      <c r="BC17" s="261" t="e">
        <f t="shared" si="38"/>
        <v>#REF!</v>
      </c>
      <c r="BD17" s="261" t="e">
        <f t="shared" si="39"/>
        <v>#REF!</v>
      </c>
      <c r="BE17" s="261" t="e">
        <f>BC17+AV17+#REF!+AH17+AA17</f>
        <v>#REF!</v>
      </c>
      <c r="BF17" s="261" t="e">
        <f t="shared" si="40"/>
        <v>#REF!</v>
      </c>
      <c r="BG17" s="261" t="e">
        <f t="shared" si="41"/>
        <v>#REF!</v>
      </c>
    </row>
    <row r="18" spans="1:59" ht="15.75">
      <c r="A18" s="333">
        <v>1</v>
      </c>
      <c r="B18" s="333" t="s">
        <v>1607</v>
      </c>
      <c r="C18" s="256">
        <v>25</v>
      </c>
      <c r="D18" s="322" t="s">
        <v>64</v>
      </c>
      <c r="E18" s="256" t="s">
        <v>9</v>
      </c>
      <c r="F18" s="425">
        <f t="array" ref="F18">MAX((IF(MNU_CODIGO_ALIMENTO_ENTREGA=CONCATENATE($C18,"_","P_"),MNU_GRAMAJE_REQUERIDO_TIPOA,"")))</f>
        <v>40</v>
      </c>
      <c r="G18" s="257">
        <f t="shared" si="0"/>
        <v>100844</v>
      </c>
      <c r="H18" s="257">
        <f t="shared" si="1"/>
        <v>0</v>
      </c>
      <c r="I18" s="257">
        <f t="shared" si="2"/>
        <v>100844</v>
      </c>
      <c r="J18" s="258">
        <f t="shared" si="3"/>
        <v>25816064</v>
      </c>
      <c r="K18" s="258">
        <f t="shared" si="4"/>
        <v>0</v>
      </c>
      <c r="L18" s="258">
        <f t="shared" si="5"/>
        <v>25816064</v>
      </c>
      <c r="M18" s="426">
        <f t="array" ref="M18">MAX((IF(MNU_CODIGO_ALIMENTO_ENTREGA=CONCATENATE($C18,"_","P_"),MNU_GRAMAJE_REQUERIDO_TIPOB,"")))</f>
        <v>40</v>
      </c>
      <c r="N18" s="343">
        <f t="shared" si="6"/>
        <v>140080</v>
      </c>
      <c r="O18" s="343">
        <f t="shared" si="7"/>
        <v>0</v>
      </c>
      <c r="P18" s="343">
        <f t="shared" si="8"/>
        <v>140080</v>
      </c>
      <c r="Q18" s="344">
        <f t="shared" si="9"/>
        <v>35860480</v>
      </c>
      <c r="R18" s="344">
        <f t="shared" si="10"/>
        <v>0</v>
      </c>
      <c r="S18" s="344">
        <f t="shared" si="11"/>
        <v>35860480</v>
      </c>
      <c r="T18" s="348">
        <f t="array" ref="T18">MAX((IF(MNU_CODIGO_ALIMENTO_ENTREGA=CONCATENATE($C18,"_","P_"),MNU_GRAMAJE_REQUERIDO_TIPOC,"")))</f>
        <v>60</v>
      </c>
      <c r="U18" s="257">
        <f t="shared" si="12"/>
        <v>142868</v>
      </c>
      <c r="V18" s="257">
        <f t="shared" si="13"/>
        <v>21076</v>
      </c>
      <c r="W18" s="257">
        <f t="shared" si="14"/>
        <v>163944</v>
      </c>
      <c r="X18" s="258">
        <f t="shared" si="15"/>
        <v>54861312</v>
      </c>
      <c r="Y18" s="258">
        <f t="shared" si="16"/>
        <v>8093184</v>
      </c>
      <c r="Z18" s="258">
        <f t="shared" si="17"/>
        <v>62954496</v>
      </c>
      <c r="AA18" s="256">
        <f t="array" ref="AA18">MAX((IF(MNU_CODIGO_ALIMENTO_ENTREGA=CONCATENATE($C18,"_","P_"),MNU_GRAMAJE_REQUERIDO_TIPOM,"")))</f>
        <v>40</v>
      </c>
      <c r="AB18" s="259">
        <f t="shared" si="18"/>
        <v>6528</v>
      </c>
      <c r="AC18" s="259">
        <v>0</v>
      </c>
      <c r="AD18" s="259">
        <f t="shared" si="19"/>
        <v>6528</v>
      </c>
      <c r="AE18" s="260">
        <f t="shared" si="20"/>
        <v>1671168</v>
      </c>
      <c r="AF18" s="260">
        <v>0</v>
      </c>
      <c r="AG18" s="260">
        <f t="shared" si="21"/>
        <v>1671168</v>
      </c>
      <c r="AH18" s="348">
        <f t="array" ref="AH18">MAX((IF(MNU_CODIGO_ALIMENTO_ENTREGA=CONCATENATE($C18,"_","P_"),MNU_GRAMAJE_REQUERIDO_TIPOH,"")))</f>
        <v>60</v>
      </c>
      <c r="AI18" s="257">
        <f t="shared" si="22"/>
        <v>6715</v>
      </c>
      <c r="AJ18" s="257">
        <v>0</v>
      </c>
      <c r="AK18" s="257">
        <f t="shared" si="23"/>
        <v>6715</v>
      </c>
      <c r="AL18" s="258">
        <f t="shared" si="24"/>
        <v>2578560</v>
      </c>
      <c r="AM18" s="258">
        <v>0</v>
      </c>
      <c r="AN18" s="258">
        <f t="shared" si="25"/>
        <v>2578560</v>
      </c>
      <c r="AO18" s="451">
        <f t="shared" si="26"/>
        <v>418111</v>
      </c>
      <c r="AP18" s="450">
        <f t="shared" si="27"/>
        <v>128880768</v>
      </c>
      <c r="AQ18" s="261" t="e">
        <f>#REF!+AH18+AA18+T18+M18</f>
        <v>#REF!</v>
      </c>
      <c r="AR18" s="261">
        <f t="shared" si="28"/>
        <v>129176959</v>
      </c>
      <c r="AS18" s="261" t="e">
        <f t="shared" si="29"/>
        <v>#REF!</v>
      </c>
      <c r="AT18" s="261">
        <f t="shared" si="30"/>
        <v>129494226</v>
      </c>
      <c r="AU18" s="261" t="e">
        <f t="shared" si="31"/>
        <v>#REF!</v>
      </c>
      <c r="AV18" s="261">
        <f t="shared" si="32"/>
        <v>137587410</v>
      </c>
      <c r="AW18" s="261" t="e">
        <f t="shared" si="33"/>
        <v>#REF!</v>
      </c>
      <c r="AX18" s="261" t="e">
        <f>AV18+#REF!+AH18+AA18+T18</f>
        <v>#REF!</v>
      </c>
      <c r="AY18" s="261" t="e">
        <f t="shared" si="34"/>
        <v>#REF!</v>
      </c>
      <c r="AZ18" s="261" t="e">
        <f t="shared" si="35"/>
        <v>#REF!</v>
      </c>
      <c r="BA18" s="261" t="e">
        <f t="shared" si="36"/>
        <v>#REF!</v>
      </c>
      <c r="BB18" s="261" t="e">
        <f t="shared" si="37"/>
        <v>#REF!</v>
      </c>
      <c r="BC18" s="261" t="e">
        <f t="shared" si="38"/>
        <v>#REF!</v>
      </c>
      <c r="BD18" s="261" t="e">
        <f t="shared" si="39"/>
        <v>#REF!</v>
      </c>
      <c r="BE18" s="261" t="e">
        <f>BC18+AV18+#REF!+AH18+AA18</f>
        <v>#REF!</v>
      </c>
      <c r="BF18" s="261" t="e">
        <f t="shared" si="40"/>
        <v>#REF!</v>
      </c>
      <c r="BG18" s="261" t="e">
        <f t="shared" si="41"/>
        <v>#REF!</v>
      </c>
    </row>
    <row r="19" spans="1:59" ht="15.75">
      <c r="A19" s="333">
        <v>1</v>
      </c>
      <c r="B19" s="333" t="s">
        <v>1607</v>
      </c>
      <c r="C19" s="256">
        <v>26</v>
      </c>
      <c r="D19" s="322" t="s">
        <v>69</v>
      </c>
      <c r="E19" s="256" t="s">
        <v>9</v>
      </c>
      <c r="F19" s="425">
        <f t="array" ref="F19">MAX((IF(MNU_CODIGO_ALIMENTO_ENTREGA=CONCATENATE($C19,"_","P_"),MNU_GRAMAJE_REQUERIDO_TIPOA,"")))</f>
        <v>30</v>
      </c>
      <c r="G19" s="257">
        <f t="shared" si="0"/>
        <v>35592</v>
      </c>
      <c r="H19" s="257">
        <f t="shared" si="1"/>
        <v>0</v>
      </c>
      <c r="I19" s="257">
        <f t="shared" si="2"/>
        <v>35592</v>
      </c>
      <c r="J19" s="258">
        <f t="shared" si="3"/>
        <v>6086232</v>
      </c>
      <c r="K19" s="258">
        <f t="shared" si="4"/>
        <v>0</v>
      </c>
      <c r="L19" s="258">
        <f t="shared" si="5"/>
        <v>6086232</v>
      </c>
      <c r="M19" s="426">
        <f t="array" ref="M19">MAX((IF(MNU_CODIGO_ALIMENTO_ENTREGA=CONCATENATE($C19,"_","P_"),MNU_GRAMAJE_REQUERIDO_TIPOB,"")))</f>
        <v>30</v>
      </c>
      <c r="N19" s="343">
        <f t="shared" si="6"/>
        <v>49440</v>
      </c>
      <c r="O19" s="343">
        <f t="shared" si="7"/>
        <v>0</v>
      </c>
      <c r="P19" s="343">
        <f t="shared" si="8"/>
        <v>49440</v>
      </c>
      <c r="Q19" s="344">
        <f t="shared" si="9"/>
        <v>8454240</v>
      </c>
      <c r="R19" s="344">
        <f t="shared" si="10"/>
        <v>0</v>
      </c>
      <c r="S19" s="344">
        <f t="shared" si="11"/>
        <v>8454240</v>
      </c>
      <c r="T19" s="348">
        <f t="array" ref="T19">MAX((IF(MNU_CODIGO_ALIMENTO_ENTREGA=CONCATENATE($C19,"_","P_"),MNU_GRAMAJE_REQUERIDO_TIPOC,"")))</f>
        <v>30</v>
      </c>
      <c r="U19" s="257">
        <f t="shared" si="12"/>
        <v>50424</v>
      </c>
      <c r="V19" s="257">
        <f t="shared" si="13"/>
        <v>0</v>
      </c>
      <c r="W19" s="257">
        <f t="shared" si="14"/>
        <v>50424</v>
      </c>
      <c r="X19" s="258">
        <f t="shared" si="15"/>
        <v>8622504</v>
      </c>
      <c r="Y19" s="258">
        <f t="shared" si="16"/>
        <v>0</v>
      </c>
      <c r="Z19" s="258">
        <f t="shared" si="17"/>
        <v>8622504</v>
      </c>
      <c r="AA19" s="256">
        <f t="array" ref="AA19">MAX((IF(MNU_CODIGO_ALIMENTO_ENTREGA=CONCATENATE($C19,"_","P_"),MNU_GRAMAJE_REQUERIDO_TIPOM,"")))</f>
        <v>30</v>
      </c>
      <c r="AB19" s="259">
        <f t="shared" si="18"/>
        <v>2304</v>
      </c>
      <c r="AC19" s="259">
        <v>0</v>
      </c>
      <c r="AD19" s="259">
        <f t="shared" si="19"/>
        <v>2304</v>
      </c>
      <c r="AE19" s="260">
        <f t="shared" si="20"/>
        <v>393984</v>
      </c>
      <c r="AF19" s="260">
        <v>0</v>
      </c>
      <c r="AG19" s="260">
        <f t="shared" si="21"/>
        <v>393984</v>
      </c>
      <c r="AH19" s="348">
        <f t="array" ref="AH19">MAX((IF(MNU_CODIGO_ALIMENTO_ENTREGA=CONCATENATE($C19,"_","P_"),MNU_GRAMAJE_REQUERIDO_TIPOH,"")))</f>
        <v>30</v>
      </c>
      <c r="AI19" s="257">
        <f t="shared" si="22"/>
        <v>2370</v>
      </c>
      <c r="AJ19" s="257">
        <v>0</v>
      </c>
      <c r="AK19" s="257">
        <f t="shared" si="23"/>
        <v>2370</v>
      </c>
      <c r="AL19" s="258">
        <f t="shared" si="24"/>
        <v>405270</v>
      </c>
      <c r="AM19" s="258">
        <v>0</v>
      </c>
      <c r="AN19" s="258">
        <f t="shared" si="25"/>
        <v>405270</v>
      </c>
      <c r="AO19" s="451">
        <f t="shared" si="26"/>
        <v>140130</v>
      </c>
      <c r="AP19" s="450">
        <f t="shared" si="27"/>
        <v>23962230</v>
      </c>
      <c r="AQ19" s="261" t="e">
        <f>#REF!+AH19+AA19+T19+M19</f>
        <v>#REF!</v>
      </c>
      <c r="AR19" s="261">
        <f t="shared" si="28"/>
        <v>24066768</v>
      </c>
      <c r="AS19" s="261" t="e">
        <f t="shared" si="29"/>
        <v>#REF!</v>
      </c>
      <c r="AT19" s="261">
        <f t="shared" si="30"/>
        <v>24171306</v>
      </c>
      <c r="AU19" s="261" t="e">
        <f t="shared" si="31"/>
        <v>#REF!</v>
      </c>
      <c r="AV19" s="261">
        <f t="shared" si="32"/>
        <v>24171306</v>
      </c>
      <c r="AW19" s="261" t="e">
        <f t="shared" si="33"/>
        <v>#REF!</v>
      </c>
      <c r="AX19" s="261" t="e">
        <f>AV19+#REF!+AH19+AA19+T19</f>
        <v>#REF!</v>
      </c>
      <c r="AY19" s="261" t="e">
        <f t="shared" si="34"/>
        <v>#REF!</v>
      </c>
      <c r="AZ19" s="261" t="e">
        <f t="shared" si="35"/>
        <v>#REF!</v>
      </c>
      <c r="BA19" s="261" t="e">
        <f t="shared" si="36"/>
        <v>#REF!</v>
      </c>
      <c r="BB19" s="261" t="e">
        <f t="shared" si="37"/>
        <v>#REF!</v>
      </c>
      <c r="BC19" s="261" t="e">
        <f t="shared" si="38"/>
        <v>#REF!</v>
      </c>
      <c r="BD19" s="261" t="e">
        <f t="shared" si="39"/>
        <v>#REF!</v>
      </c>
      <c r="BE19" s="261" t="e">
        <f>BC19+AV19+#REF!+AH19+AA19</f>
        <v>#REF!</v>
      </c>
      <c r="BF19" s="261" t="e">
        <f t="shared" si="40"/>
        <v>#REF!</v>
      </c>
      <c r="BG19" s="261" t="e">
        <f t="shared" si="41"/>
        <v>#REF!</v>
      </c>
    </row>
    <row r="20" spans="1:59" ht="27">
      <c r="A20" s="333">
        <v>1</v>
      </c>
      <c r="B20" s="333" t="s">
        <v>1607</v>
      </c>
      <c r="C20" s="256">
        <v>28</v>
      </c>
      <c r="D20" s="322" t="s">
        <v>67</v>
      </c>
      <c r="E20" s="256" t="s">
        <v>9</v>
      </c>
      <c r="F20" s="425">
        <f t="array" ref="F20">MAX((IF(MNU_CODIGO_ALIMENTO_ENTREGA=CONCATENATE($C20,"_","P_"),MNU_GRAMAJE_REQUERIDO_TIPOA,"")))</f>
        <v>30</v>
      </c>
      <c r="G20" s="257">
        <f t="shared" si="0"/>
        <v>35592</v>
      </c>
      <c r="H20" s="257">
        <f t="shared" si="1"/>
        <v>0</v>
      </c>
      <c r="I20" s="257">
        <f t="shared" si="2"/>
        <v>35592</v>
      </c>
      <c r="J20" s="258">
        <f t="shared" si="3"/>
        <v>8043792</v>
      </c>
      <c r="K20" s="258">
        <f t="shared" si="4"/>
        <v>0</v>
      </c>
      <c r="L20" s="258">
        <f t="shared" si="5"/>
        <v>8043792</v>
      </c>
      <c r="M20" s="426">
        <f t="array" ref="M20">MAX((IF(MNU_CODIGO_ALIMENTO_ENTREGA=CONCATENATE($C20,"_","P_"),MNU_GRAMAJE_REQUERIDO_TIPOB,"")))</f>
        <v>40</v>
      </c>
      <c r="N20" s="343">
        <f t="shared" si="6"/>
        <v>49440</v>
      </c>
      <c r="O20" s="343">
        <f t="shared" si="7"/>
        <v>0</v>
      </c>
      <c r="P20" s="343">
        <f t="shared" si="8"/>
        <v>49440</v>
      </c>
      <c r="Q20" s="344">
        <f t="shared" si="9"/>
        <v>14881440</v>
      </c>
      <c r="R20" s="344">
        <f t="shared" si="10"/>
        <v>0</v>
      </c>
      <c r="S20" s="344">
        <f t="shared" si="11"/>
        <v>14881440</v>
      </c>
      <c r="T20" s="348">
        <f t="array" ref="T20">MAX((IF(MNU_CODIGO_ALIMENTO_ENTREGA=CONCATENATE($C20,"_","P_"),MNU_GRAMAJE_REQUERIDO_TIPOC,"")))</f>
        <v>60</v>
      </c>
      <c r="U20" s="257">
        <f t="shared" si="12"/>
        <v>50424</v>
      </c>
      <c r="V20" s="257">
        <f t="shared" si="13"/>
        <v>18202</v>
      </c>
      <c r="W20" s="257">
        <f t="shared" si="14"/>
        <v>68626</v>
      </c>
      <c r="X20" s="258">
        <f t="shared" si="15"/>
        <v>22741224</v>
      </c>
      <c r="Y20" s="258">
        <f t="shared" si="16"/>
        <v>8209102</v>
      </c>
      <c r="Z20" s="258">
        <f t="shared" si="17"/>
        <v>30950326</v>
      </c>
      <c r="AA20" s="256">
        <f t="array" ref="AA20">MAX((IF(MNU_CODIGO_ALIMENTO_ENTREGA=CONCATENATE($C20,"_","P_"),MNU_GRAMAJE_REQUERIDO_TIPOM,"")))</f>
        <v>40</v>
      </c>
      <c r="AB20" s="259">
        <f t="shared" si="18"/>
        <v>2304</v>
      </c>
      <c r="AC20" s="259">
        <v>0</v>
      </c>
      <c r="AD20" s="259">
        <f t="shared" si="19"/>
        <v>2304</v>
      </c>
      <c r="AE20" s="260">
        <f t="shared" si="20"/>
        <v>693504</v>
      </c>
      <c r="AF20" s="260">
        <v>0</v>
      </c>
      <c r="AG20" s="260">
        <f t="shared" si="21"/>
        <v>693504</v>
      </c>
      <c r="AH20" s="348">
        <f t="array" ref="AH20">MAX((IF(MNU_CODIGO_ALIMENTO_ENTREGA=CONCATENATE($C20,"_","P_"),MNU_GRAMAJE_REQUERIDO_TIPOH,"")))</f>
        <v>60</v>
      </c>
      <c r="AI20" s="257">
        <f t="shared" si="22"/>
        <v>2370</v>
      </c>
      <c r="AJ20" s="257">
        <v>0</v>
      </c>
      <c r="AK20" s="257">
        <f t="shared" si="23"/>
        <v>2370</v>
      </c>
      <c r="AL20" s="258">
        <f t="shared" si="24"/>
        <v>1068870</v>
      </c>
      <c r="AM20" s="258">
        <v>0</v>
      </c>
      <c r="AN20" s="258">
        <f t="shared" si="25"/>
        <v>1068870</v>
      </c>
      <c r="AO20" s="451">
        <f t="shared" si="26"/>
        <v>158332</v>
      </c>
      <c r="AP20" s="450">
        <f t="shared" si="27"/>
        <v>55637932</v>
      </c>
      <c r="AQ20" s="261" t="e">
        <f>#REF!+AH20+AA20+T20+M20</f>
        <v>#REF!</v>
      </c>
      <c r="AR20" s="261">
        <f t="shared" si="28"/>
        <v>55742470</v>
      </c>
      <c r="AS20" s="261" t="e">
        <f t="shared" si="29"/>
        <v>#REF!</v>
      </c>
      <c r="AT20" s="261">
        <f t="shared" si="30"/>
        <v>55865210</v>
      </c>
      <c r="AU20" s="261" t="e">
        <f t="shared" si="31"/>
        <v>#REF!</v>
      </c>
      <c r="AV20" s="261">
        <f t="shared" si="32"/>
        <v>64074312</v>
      </c>
      <c r="AW20" s="261" t="e">
        <f t="shared" si="33"/>
        <v>#REF!</v>
      </c>
      <c r="AX20" s="261" t="e">
        <f>AV20+#REF!+AH20+AA20+T20</f>
        <v>#REF!</v>
      </c>
      <c r="AY20" s="261" t="e">
        <f t="shared" si="34"/>
        <v>#REF!</v>
      </c>
      <c r="AZ20" s="261" t="e">
        <f t="shared" si="35"/>
        <v>#REF!</v>
      </c>
      <c r="BA20" s="261" t="e">
        <f t="shared" si="36"/>
        <v>#REF!</v>
      </c>
      <c r="BB20" s="261" t="e">
        <f t="shared" si="37"/>
        <v>#REF!</v>
      </c>
      <c r="BC20" s="261" t="e">
        <f t="shared" si="38"/>
        <v>#REF!</v>
      </c>
      <c r="BD20" s="261" t="e">
        <f t="shared" si="39"/>
        <v>#REF!</v>
      </c>
      <c r="BE20" s="261" t="e">
        <f>BC20+AV20+#REF!+AH20+AA20</f>
        <v>#REF!</v>
      </c>
      <c r="BF20" s="261" t="e">
        <f t="shared" si="40"/>
        <v>#REF!</v>
      </c>
      <c r="BG20" s="261" t="e">
        <f t="shared" si="41"/>
        <v>#REF!</v>
      </c>
    </row>
    <row r="21" spans="1:59" ht="15.75">
      <c r="A21" s="333">
        <v>1</v>
      </c>
      <c r="B21" s="333" t="s">
        <v>1607</v>
      </c>
      <c r="C21" s="256">
        <v>30</v>
      </c>
      <c r="D21" s="322" t="s">
        <v>63</v>
      </c>
      <c r="E21" s="256" t="s">
        <v>9</v>
      </c>
      <c r="F21" s="425">
        <f t="array" ref="F21">MAX((IF(MNU_CODIGO_ALIMENTO_ENTREGA=CONCATENATE($C21,"_","P_"),MNU_GRAMAJE_REQUERIDO_TIPOA,"")))</f>
        <v>30</v>
      </c>
      <c r="G21" s="257">
        <f t="shared" si="0"/>
        <v>94912</v>
      </c>
      <c r="H21" s="257">
        <f t="shared" si="1"/>
        <v>0</v>
      </c>
      <c r="I21" s="257">
        <f t="shared" si="2"/>
        <v>94912</v>
      </c>
      <c r="J21" s="258">
        <f t="shared" si="3"/>
        <v>31510784</v>
      </c>
      <c r="K21" s="258">
        <f t="shared" si="4"/>
        <v>0</v>
      </c>
      <c r="L21" s="258">
        <f t="shared" si="5"/>
        <v>31510784</v>
      </c>
      <c r="M21" s="426">
        <f t="array" ref="M21">MAX((IF(MNU_CODIGO_ALIMENTO_ENTREGA=CONCATENATE($C21,"_","P_"),MNU_GRAMAJE_REQUERIDO_TIPOB,"")))</f>
        <v>30</v>
      </c>
      <c r="N21" s="343">
        <f t="shared" si="6"/>
        <v>131840</v>
      </c>
      <c r="O21" s="343">
        <f t="shared" si="7"/>
        <v>0</v>
      </c>
      <c r="P21" s="343">
        <f t="shared" si="8"/>
        <v>131840</v>
      </c>
      <c r="Q21" s="344">
        <f t="shared" si="9"/>
        <v>43770880</v>
      </c>
      <c r="R21" s="344">
        <f t="shared" si="10"/>
        <v>0</v>
      </c>
      <c r="S21" s="344">
        <f t="shared" si="11"/>
        <v>43770880</v>
      </c>
      <c r="T21" s="348">
        <f t="array" ref="T21">MAX((IF(MNU_CODIGO_ALIMENTO_ENTREGA=CONCATENATE($C21,"_","P_"),MNU_GRAMAJE_REQUERIDO_TIPOC,"")))</f>
        <v>30</v>
      </c>
      <c r="U21" s="257">
        <f t="shared" si="12"/>
        <v>134464</v>
      </c>
      <c r="V21" s="257">
        <f t="shared" si="13"/>
        <v>0</v>
      </c>
      <c r="W21" s="257">
        <f t="shared" si="14"/>
        <v>134464</v>
      </c>
      <c r="X21" s="258">
        <f t="shared" si="15"/>
        <v>44642048</v>
      </c>
      <c r="Y21" s="258">
        <f t="shared" si="16"/>
        <v>0</v>
      </c>
      <c r="Z21" s="258">
        <f t="shared" si="17"/>
        <v>44642048</v>
      </c>
      <c r="AA21" s="256">
        <f t="array" ref="AA21">MAX((IF(MNU_CODIGO_ALIMENTO_ENTREGA=CONCATENATE($C21,"_","P_"),MNU_GRAMAJE_REQUERIDO_TIPOM,"")))</f>
        <v>30</v>
      </c>
      <c r="AB21" s="259">
        <f t="shared" si="18"/>
        <v>6144</v>
      </c>
      <c r="AC21" s="259">
        <v>0</v>
      </c>
      <c r="AD21" s="259">
        <f t="shared" si="19"/>
        <v>6144</v>
      </c>
      <c r="AE21" s="260">
        <f t="shared" si="20"/>
        <v>2039808</v>
      </c>
      <c r="AF21" s="260">
        <v>0</v>
      </c>
      <c r="AG21" s="260">
        <f t="shared" si="21"/>
        <v>2039808</v>
      </c>
      <c r="AH21" s="348">
        <f t="array" ref="AH21">MAX((IF(MNU_CODIGO_ALIMENTO_ENTREGA=CONCATENATE($C21,"_","P_"),MNU_GRAMAJE_REQUERIDO_TIPOH,"")))</f>
        <v>30</v>
      </c>
      <c r="AI21" s="257">
        <f t="shared" si="22"/>
        <v>6320</v>
      </c>
      <c r="AJ21" s="257">
        <v>0</v>
      </c>
      <c r="AK21" s="257">
        <f t="shared" si="23"/>
        <v>6320</v>
      </c>
      <c r="AL21" s="258">
        <f t="shared" si="24"/>
        <v>2098240</v>
      </c>
      <c r="AM21" s="258">
        <v>0</v>
      </c>
      <c r="AN21" s="258">
        <f t="shared" si="25"/>
        <v>2098240</v>
      </c>
      <c r="AO21" s="451">
        <f t="shared" si="26"/>
        <v>373680</v>
      </c>
      <c r="AP21" s="450">
        <f t="shared" si="27"/>
        <v>124061760</v>
      </c>
      <c r="AQ21" s="261" t="e">
        <f>#REF!+AH21+AA21+T21+M21</f>
        <v>#REF!</v>
      </c>
      <c r="AR21" s="261">
        <f t="shared" si="28"/>
        <v>124340528</v>
      </c>
      <c r="AS21" s="261" t="e">
        <f t="shared" si="29"/>
        <v>#REF!</v>
      </c>
      <c r="AT21" s="261">
        <f t="shared" si="30"/>
        <v>124619296</v>
      </c>
      <c r="AU21" s="261" t="e">
        <f t="shared" si="31"/>
        <v>#REF!</v>
      </c>
      <c r="AV21" s="261">
        <f t="shared" si="32"/>
        <v>124619296</v>
      </c>
      <c r="AW21" s="261" t="e">
        <f t="shared" si="33"/>
        <v>#REF!</v>
      </c>
      <c r="AX21" s="261" t="e">
        <f>AV21+#REF!+AH21+AA21+T21</f>
        <v>#REF!</v>
      </c>
      <c r="AY21" s="261" t="e">
        <f t="shared" si="34"/>
        <v>#REF!</v>
      </c>
      <c r="AZ21" s="261" t="e">
        <f t="shared" si="35"/>
        <v>#REF!</v>
      </c>
      <c r="BA21" s="261" t="e">
        <f t="shared" si="36"/>
        <v>#REF!</v>
      </c>
      <c r="BB21" s="261" t="e">
        <f t="shared" si="37"/>
        <v>#REF!</v>
      </c>
      <c r="BC21" s="261" t="e">
        <f t="shared" si="38"/>
        <v>#REF!</v>
      </c>
      <c r="BD21" s="261" t="e">
        <f t="shared" si="39"/>
        <v>#REF!</v>
      </c>
      <c r="BE21" s="261" t="e">
        <f>BC21+AV21+#REF!+AH21+AA21</f>
        <v>#REF!</v>
      </c>
      <c r="BF21" s="261" t="e">
        <f t="shared" si="40"/>
        <v>#REF!</v>
      </c>
      <c r="BG21" s="261" t="e">
        <f t="shared" si="41"/>
        <v>#REF!</v>
      </c>
    </row>
    <row r="22" spans="1:59" ht="15.75">
      <c r="A22" s="333">
        <v>1</v>
      </c>
      <c r="B22" s="333" t="s">
        <v>1607</v>
      </c>
      <c r="C22" s="256">
        <v>45</v>
      </c>
      <c r="D22" s="322" t="s">
        <v>10</v>
      </c>
      <c r="E22" s="256" t="s">
        <v>9</v>
      </c>
      <c r="F22" s="425">
        <f t="array" ref="F22">MAX((IF(MNU_CODIGO_ALIMENTO_ENTREGA=CONCATENATE($C22,"_","P_"),MNU_GRAMAJE_REQUERIDO_TIPOA,"")))</f>
        <v>20</v>
      </c>
      <c r="G22" s="257">
        <f t="shared" si="0"/>
        <v>94912</v>
      </c>
      <c r="H22" s="257">
        <f t="shared" si="1"/>
        <v>0</v>
      </c>
      <c r="I22" s="257">
        <f t="shared" si="2"/>
        <v>94912</v>
      </c>
      <c r="J22" s="258">
        <f t="shared" si="3"/>
        <v>18887488</v>
      </c>
      <c r="K22" s="258">
        <f t="shared" si="4"/>
        <v>0</v>
      </c>
      <c r="L22" s="258">
        <f t="shared" si="5"/>
        <v>18887488</v>
      </c>
      <c r="M22" s="426">
        <f t="array" ref="M22">MAX((IF(MNU_CODIGO_ALIMENTO_ENTREGA=CONCATENATE($C22,"_","P_"),MNU_GRAMAJE_REQUERIDO_TIPOB,"")))</f>
        <v>30</v>
      </c>
      <c r="N22" s="343">
        <f t="shared" si="6"/>
        <v>131840</v>
      </c>
      <c r="O22" s="343">
        <f t="shared" si="7"/>
        <v>0</v>
      </c>
      <c r="P22" s="343">
        <f t="shared" si="8"/>
        <v>131840</v>
      </c>
      <c r="Q22" s="344">
        <f t="shared" si="9"/>
        <v>39288320</v>
      </c>
      <c r="R22" s="344">
        <f t="shared" si="10"/>
        <v>0</v>
      </c>
      <c r="S22" s="344">
        <f t="shared" si="11"/>
        <v>39288320</v>
      </c>
      <c r="T22" s="348">
        <f t="array" ref="T22">MAX((IF(MNU_CODIGO_ALIMENTO_ENTREGA=CONCATENATE($C22,"_","P_"),MNU_GRAMAJE_REQUERIDO_TIPOC,"")))</f>
        <v>60</v>
      </c>
      <c r="U22" s="257">
        <f t="shared" si="12"/>
        <v>134464</v>
      </c>
      <c r="V22" s="257">
        <f t="shared" si="13"/>
        <v>19160</v>
      </c>
      <c r="W22" s="257">
        <f t="shared" si="14"/>
        <v>153624</v>
      </c>
      <c r="X22" s="258">
        <f t="shared" si="15"/>
        <v>80275008</v>
      </c>
      <c r="Y22" s="258">
        <f t="shared" si="16"/>
        <v>11438520</v>
      </c>
      <c r="Z22" s="258">
        <f t="shared" si="17"/>
        <v>91713528</v>
      </c>
      <c r="AA22" s="256">
        <f t="array" ref="AA22">MAX((IF(MNU_CODIGO_ALIMENTO_ENTREGA=CONCATENATE($C22,"_","P_"),MNU_GRAMAJE_REQUERIDO_TIPOM,"")))</f>
        <v>30</v>
      </c>
      <c r="AB22" s="259">
        <f t="shared" si="18"/>
        <v>6144</v>
      </c>
      <c r="AC22" s="259">
        <v>0</v>
      </c>
      <c r="AD22" s="259">
        <f t="shared" si="19"/>
        <v>6144</v>
      </c>
      <c r="AE22" s="260">
        <f t="shared" si="20"/>
        <v>1830912</v>
      </c>
      <c r="AF22" s="260">
        <v>0</v>
      </c>
      <c r="AG22" s="260">
        <f t="shared" si="21"/>
        <v>1830912</v>
      </c>
      <c r="AH22" s="348">
        <f t="array" ref="AH22">MAX((IF(MNU_CODIGO_ALIMENTO_ENTREGA=CONCATENATE($C22,"_","P_"),MNU_GRAMAJE_REQUERIDO_TIPOH,"")))</f>
        <v>60</v>
      </c>
      <c r="AI22" s="257">
        <f t="shared" si="22"/>
        <v>6320</v>
      </c>
      <c r="AJ22" s="257">
        <v>0</v>
      </c>
      <c r="AK22" s="257">
        <f t="shared" si="23"/>
        <v>6320</v>
      </c>
      <c r="AL22" s="258">
        <f t="shared" si="24"/>
        <v>3773040</v>
      </c>
      <c r="AM22" s="258">
        <v>0</v>
      </c>
      <c r="AN22" s="258">
        <f t="shared" si="25"/>
        <v>3773040</v>
      </c>
      <c r="AO22" s="451">
        <f t="shared" si="26"/>
        <v>392840</v>
      </c>
      <c r="AP22" s="450">
        <f t="shared" si="27"/>
        <v>155493288</v>
      </c>
      <c r="AQ22" s="261" t="e">
        <f>#REF!+AH22+AA22+T22+M22</f>
        <v>#REF!</v>
      </c>
      <c r="AR22" s="261">
        <f t="shared" si="28"/>
        <v>155772056</v>
      </c>
      <c r="AS22" s="261" t="e">
        <f t="shared" si="29"/>
        <v>#REF!</v>
      </c>
      <c r="AT22" s="261">
        <f t="shared" si="30"/>
        <v>156069984</v>
      </c>
      <c r="AU22" s="261" t="e">
        <f t="shared" si="31"/>
        <v>#REF!</v>
      </c>
      <c r="AV22" s="261">
        <f t="shared" si="32"/>
        <v>167508504</v>
      </c>
      <c r="AW22" s="261" t="e">
        <f t="shared" si="33"/>
        <v>#REF!</v>
      </c>
      <c r="AX22" s="261" t="e">
        <f>AV22+#REF!+AH22+AA22+T22</f>
        <v>#REF!</v>
      </c>
      <c r="AY22" s="261" t="e">
        <f t="shared" si="34"/>
        <v>#REF!</v>
      </c>
      <c r="AZ22" s="261" t="e">
        <f t="shared" si="35"/>
        <v>#REF!</v>
      </c>
      <c r="BA22" s="261" t="e">
        <f t="shared" si="36"/>
        <v>#REF!</v>
      </c>
      <c r="BB22" s="261" t="e">
        <f t="shared" si="37"/>
        <v>#REF!</v>
      </c>
      <c r="BC22" s="261" t="e">
        <f t="shared" si="38"/>
        <v>#REF!</v>
      </c>
      <c r="BD22" s="261" t="e">
        <f t="shared" si="39"/>
        <v>#REF!</v>
      </c>
      <c r="BE22" s="261" t="e">
        <f>BC22+AV22+#REF!+AH22+AA22</f>
        <v>#REF!</v>
      </c>
      <c r="BF22" s="261" t="e">
        <f t="shared" si="40"/>
        <v>#REF!</v>
      </c>
      <c r="BG22" s="261" t="e">
        <f t="shared" si="41"/>
        <v>#REF!</v>
      </c>
    </row>
    <row r="23" spans="1:59" ht="15.75">
      <c r="A23" s="333">
        <v>1</v>
      </c>
      <c r="B23" s="333" t="s">
        <v>1607</v>
      </c>
      <c r="C23" s="256">
        <v>50</v>
      </c>
      <c r="D23" s="322" t="s">
        <v>65</v>
      </c>
      <c r="E23" s="256" t="s">
        <v>9</v>
      </c>
      <c r="F23" s="425">
        <f t="array" ref="F23">MAX((IF(MNU_CODIGO_ALIMENTO_ENTREGA=CONCATENATE($C23,"_","P_"),MNU_GRAMAJE_REQUERIDO_TIPOA,"")))</f>
        <v>30</v>
      </c>
      <c r="G23" s="257">
        <f t="shared" si="0"/>
        <v>100844</v>
      </c>
      <c r="H23" s="257">
        <f t="shared" si="1"/>
        <v>0</v>
      </c>
      <c r="I23" s="257">
        <f t="shared" si="2"/>
        <v>100844</v>
      </c>
      <c r="J23" s="258">
        <f t="shared" si="3"/>
        <v>32370924</v>
      </c>
      <c r="K23" s="258">
        <f t="shared" si="4"/>
        <v>0</v>
      </c>
      <c r="L23" s="258">
        <f t="shared" si="5"/>
        <v>32370924</v>
      </c>
      <c r="M23" s="426">
        <f t="array" ref="M23">MAX((IF(MNU_CODIGO_ALIMENTO_ENTREGA=CONCATENATE($C23,"_","P_"),MNU_GRAMAJE_REQUERIDO_TIPOB,"")))</f>
        <v>40</v>
      </c>
      <c r="N23" s="343">
        <f t="shared" si="6"/>
        <v>140080</v>
      </c>
      <c r="O23" s="343">
        <f t="shared" si="7"/>
        <v>0</v>
      </c>
      <c r="P23" s="343">
        <f t="shared" si="8"/>
        <v>140080</v>
      </c>
      <c r="Q23" s="344">
        <f t="shared" si="9"/>
        <v>59954240</v>
      </c>
      <c r="R23" s="344">
        <f t="shared" si="10"/>
        <v>0</v>
      </c>
      <c r="S23" s="344">
        <f t="shared" si="11"/>
        <v>59954240</v>
      </c>
      <c r="T23" s="348">
        <f t="array" ref="T23">MAX((IF(MNU_CODIGO_ALIMENTO_ENTREGA=CONCATENATE($C23,"_","P_"),MNU_GRAMAJE_REQUERIDO_TIPOC,"")))</f>
        <v>80</v>
      </c>
      <c r="U23" s="257">
        <f t="shared" si="12"/>
        <v>142868</v>
      </c>
      <c r="V23" s="257">
        <f t="shared" si="13"/>
        <v>0</v>
      </c>
      <c r="W23" s="257">
        <f t="shared" si="14"/>
        <v>142868</v>
      </c>
      <c r="X23" s="258">
        <f t="shared" si="15"/>
        <v>122152140</v>
      </c>
      <c r="Y23" s="258">
        <f t="shared" si="16"/>
        <v>0</v>
      </c>
      <c r="Z23" s="258">
        <f t="shared" si="17"/>
        <v>122152140</v>
      </c>
      <c r="AA23" s="256">
        <f t="array" ref="AA23">MAX((IF(MNU_CODIGO_ALIMENTO_ENTREGA=CONCATENATE($C23,"_","P_"),MNU_GRAMAJE_REQUERIDO_TIPOM,"")))</f>
        <v>40</v>
      </c>
      <c r="AB23" s="259">
        <f t="shared" si="18"/>
        <v>6528</v>
      </c>
      <c r="AC23" s="259">
        <v>0</v>
      </c>
      <c r="AD23" s="259">
        <f t="shared" si="19"/>
        <v>6528</v>
      </c>
      <c r="AE23" s="260">
        <f t="shared" si="20"/>
        <v>2793984</v>
      </c>
      <c r="AF23" s="260">
        <v>0</v>
      </c>
      <c r="AG23" s="260">
        <f t="shared" si="21"/>
        <v>2793984</v>
      </c>
      <c r="AH23" s="348">
        <f t="array" ref="AH23">MAX((IF(MNU_CODIGO_ALIMENTO_ENTREGA=CONCATENATE($C23,"_","P_"),MNU_GRAMAJE_REQUERIDO_TIPOH,"")))</f>
        <v>80</v>
      </c>
      <c r="AI23" s="257">
        <f t="shared" si="22"/>
        <v>6715</v>
      </c>
      <c r="AJ23" s="257">
        <v>0</v>
      </c>
      <c r="AK23" s="257">
        <f t="shared" si="23"/>
        <v>6715</v>
      </c>
      <c r="AL23" s="258">
        <f t="shared" si="24"/>
        <v>5741325</v>
      </c>
      <c r="AM23" s="258">
        <v>0</v>
      </c>
      <c r="AN23" s="258">
        <f t="shared" si="25"/>
        <v>5741325</v>
      </c>
      <c r="AO23" s="451">
        <f t="shared" si="26"/>
        <v>397035</v>
      </c>
      <c r="AP23" s="450">
        <f t="shared" si="27"/>
        <v>223012613</v>
      </c>
      <c r="AQ23" s="261" t="e">
        <f>#REF!+AH23+AA23+T23+M23</f>
        <v>#REF!</v>
      </c>
      <c r="AR23" s="261">
        <f t="shared" si="28"/>
        <v>223308804</v>
      </c>
      <c r="AS23" s="261" t="e">
        <f t="shared" si="29"/>
        <v>#REF!</v>
      </c>
      <c r="AT23" s="261">
        <f t="shared" si="30"/>
        <v>223604995</v>
      </c>
      <c r="AU23" s="261" t="e">
        <f t="shared" si="31"/>
        <v>#REF!</v>
      </c>
      <c r="AV23" s="261">
        <f t="shared" si="32"/>
        <v>223604995</v>
      </c>
      <c r="AW23" s="261" t="e">
        <f t="shared" si="33"/>
        <v>#REF!</v>
      </c>
      <c r="AX23" s="261" t="e">
        <f>AV23+#REF!+AH23+AA23+T23</f>
        <v>#REF!</v>
      </c>
      <c r="AY23" s="261" t="e">
        <f t="shared" si="34"/>
        <v>#REF!</v>
      </c>
      <c r="AZ23" s="261" t="e">
        <f t="shared" si="35"/>
        <v>#REF!</v>
      </c>
      <c r="BA23" s="261" t="e">
        <f t="shared" si="36"/>
        <v>#REF!</v>
      </c>
      <c r="BB23" s="261" t="e">
        <f t="shared" si="37"/>
        <v>#REF!</v>
      </c>
      <c r="BC23" s="261" t="e">
        <f t="shared" si="38"/>
        <v>#REF!</v>
      </c>
      <c r="BD23" s="261" t="e">
        <f t="shared" si="39"/>
        <v>#REF!</v>
      </c>
      <c r="BE23" s="261" t="e">
        <f>BC23+AV23+#REF!+AH23+AA23</f>
        <v>#REF!</v>
      </c>
      <c r="BF23" s="261" t="e">
        <f t="shared" si="40"/>
        <v>#REF!</v>
      </c>
      <c r="BG23" s="261" t="e">
        <f t="shared" si="41"/>
        <v>#REF!</v>
      </c>
    </row>
    <row r="24" spans="1:59" ht="15.75">
      <c r="A24" s="333">
        <v>1</v>
      </c>
      <c r="B24" s="333" t="s">
        <v>1607</v>
      </c>
      <c r="C24" s="256">
        <v>61</v>
      </c>
      <c r="D24" s="322" t="s">
        <v>13</v>
      </c>
      <c r="E24" s="256" t="s">
        <v>9</v>
      </c>
      <c r="F24" s="425">
        <f t="array" ref="F24">MAX((IF(MNU_CODIGO_ALIMENTO_ENTREGA=CONCATENATE($C24,"_","P_"),MNU_GRAMAJE_REQUERIDO_TIPOA,"")))</f>
        <v>20</v>
      </c>
      <c r="G24" s="257">
        <f t="shared" si="0"/>
        <v>94912</v>
      </c>
      <c r="H24" s="257">
        <f t="shared" si="1"/>
        <v>0</v>
      </c>
      <c r="I24" s="257">
        <f t="shared" si="2"/>
        <v>94912</v>
      </c>
      <c r="J24" s="258">
        <f t="shared" si="3"/>
        <v>22114496</v>
      </c>
      <c r="K24" s="258">
        <f t="shared" si="4"/>
        <v>0</v>
      </c>
      <c r="L24" s="258">
        <f t="shared" si="5"/>
        <v>22114496</v>
      </c>
      <c r="M24" s="426">
        <f t="array" ref="M24">MAX((IF(MNU_CODIGO_ALIMENTO_ENTREGA=CONCATENATE($C24,"_","P_"),MNU_GRAMAJE_REQUERIDO_TIPOB,"")))</f>
        <v>30</v>
      </c>
      <c r="N24" s="343">
        <f t="shared" si="6"/>
        <v>131840</v>
      </c>
      <c r="O24" s="343">
        <f t="shared" si="7"/>
        <v>0</v>
      </c>
      <c r="P24" s="343">
        <f t="shared" si="8"/>
        <v>131840</v>
      </c>
      <c r="Q24" s="344">
        <f t="shared" si="9"/>
        <v>46275840</v>
      </c>
      <c r="R24" s="344">
        <f t="shared" si="10"/>
        <v>0</v>
      </c>
      <c r="S24" s="344">
        <f t="shared" si="11"/>
        <v>46275840</v>
      </c>
      <c r="T24" s="348">
        <f t="array" ref="T24">MAX((IF(MNU_CODIGO_ALIMENTO_ENTREGA=CONCATENATE($C24,"_","P_"),MNU_GRAMAJE_REQUERIDO_TIPOC,"")))</f>
        <v>70</v>
      </c>
      <c r="U24" s="257">
        <f t="shared" si="12"/>
        <v>134464</v>
      </c>
      <c r="V24" s="257">
        <f t="shared" si="13"/>
        <v>19160</v>
      </c>
      <c r="W24" s="257">
        <f t="shared" si="14"/>
        <v>153624</v>
      </c>
      <c r="X24" s="258">
        <f t="shared" si="15"/>
        <v>109991552</v>
      </c>
      <c r="Y24" s="258">
        <f t="shared" si="16"/>
        <v>15672880</v>
      </c>
      <c r="Z24" s="258">
        <f t="shared" si="17"/>
        <v>125664432</v>
      </c>
      <c r="AA24" s="256">
        <f t="array" ref="AA24">MAX((IF(MNU_CODIGO_ALIMENTO_ENTREGA=CONCATENATE($C24,"_","P_"),MNU_GRAMAJE_REQUERIDO_TIPOM,"")))</f>
        <v>30</v>
      </c>
      <c r="AB24" s="259">
        <f t="shared" si="18"/>
        <v>6144</v>
      </c>
      <c r="AC24" s="259">
        <v>0</v>
      </c>
      <c r="AD24" s="259">
        <f t="shared" si="19"/>
        <v>6144</v>
      </c>
      <c r="AE24" s="260">
        <f t="shared" si="20"/>
        <v>2156544</v>
      </c>
      <c r="AF24" s="260">
        <v>0</v>
      </c>
      <c r="AG24" s="260">
        <f t="shared" si="21"/>
        <v>2156544</v>
      </c>
      <c r="AH24" s="348">
        <f t="array" ref="AH24">MAX((IF(MNU_CODIGO_ALIMENTO_ENTREGA=CONCATENATE($C24,"_","P_"),MNU_GRAMAJE_REQUERIDO_TIPOH,"")))</f>
        <v>70</v>
      </c>
      <c r="AI24" s="257">
        <f t="shared" si="22"/>
        <v>6320</v>
      </c>
      <c r="AJ24" s="257">
        <v>0</v>
      </c>
      <c r="AK24" s="257">
        <f t="shared" si="23"/>
        <v>6320</v>
      </c>
      <c r="AL24" s="258">
        <f t="shared" si="24"/>
        <v>5169760</v>
      </c>
      <c r="AM24" s="258">
        <v>0</v>
      </c>
      <c r="AN24" s="258">
        <f t="shared" si="25"/>
        <v>5169760</v>
      </c>
      <c r="AO24" s="451">
        <f t="shared" si="26"/>
        <v>392840</v>
      </c>
      <c r="AP24" s="450">
        <f t="shared" si="27"/>
        <v>201381072</v>
      </c>
      <c r="AQ24" s="261" t="e">
        <f>#REF!+AH24+AA24+T24+M24</f>
        <v>#REF!</v>
      </c>
      <c r="AR24" s="261">
        <f t="shared" si="28"/>
        <v>201659840</v>
      </c>
      <c r="AS24" s="261" t="e">
        <f t="shared" si="29"/>
        <v>#REF!</v>
      </c>
      <c r="AT24" s="261">
        <f t="shared" si="30"/>
        <v>201957768</v>
      </c>
      <c r="AU24" s="261" t="e">
        <f t="shared" si="31"/>
        <v>#REF!</v>
      </c>
      <c r="AV24" s="261">
        <f t="shared" si="32"/>
        <v>217630648</v>
      </c>
      <c r="AW24" s="261" t="e">
        <f t="shared" si="33"/>
        <v>#REF!</v>
      </c>
      <c r="AX24" s="261" t="e">
        <f>AV24+#REF!+AH24+AA24+T24</f>
        <v>#REF!</v>
      </c>
      <c r="AY24" s="261" t="e">
        <f t="shared" si="34"/>
        <v>#REF!</v>
      </c>
      <c r="AZ24" s="261" t="e">
        <f t="shared" si="35"/>
        <v>#REF!</v>
      </c>
      <c r="BA24" s="261" t="e">
        <f t="shared" si="36"/>
        <v>#REF!</v>
      </c>
      <c r="BB24" s="261" t="e">
        <f t="shared" si="37"/>
        <v>#REF!</v>
      </c>
      <c r="BC24" s="261" t="e">
        <f t="shared" si="38"/>
        <v>#REF!</v>
      </c>
      <c r="BD24" s="261" t="e">
        <f t="shared" si="39"/>
        <v>#REF!</v>
      </c>
      <c r="BE24" s="261" t="e">
        <f>BC24+AV24+#REF!+AH24+AA24</f>
        <v>#REF!</v>
      </c>
      <c r="BF24" s="261" t="e">
        <f t="shared" si="40"/>
        <v>#REF!</v>
      </c>
      <c r="BG24" s="261" t="e">
        <f t="shared" si="41"/>
        <v>#REF!</v>
      </c>
    </row>
    <row r="25" spans="1:59" ht="15.75">
      <c r="A25" s="333">
        <v>1</v>
      </c>
      <c r="B25" s="333" t="s">
        <v>1607</v>
      </c>
      <c r="C25" s="256">
        <v>62</v>
      </c>
      <c r="D25" s="322" t="s">
        <v>68</v>
      </c>
      <c r="E25" s="256" t="s">
        <v>9</v>
      </c>
      <c r="F25" s="425">
        <f t="array" ref="F25">MAX((IF(MNU_CODIGO_ALIMENTO_ENTREGA=CONCATENATE($C25,"_","P_"),MNU_GRAMAJE_REQUERIDO_TIPOA,"")))</f>
        <v>50</v>
      </c>
      <c r="G25" s="257">
        <f t="shared" si="0"/>
        <v>29660</v>
      </c>
      <c r="H25" s="257">
        <f t="shared" si="1"/>
        <v>0</v>
      </c>
      <c r="I25" s="257">
        <f t="shared" si="2"/>
        <v>29660</v>
      </c>
      <c r="J25" s="258">
        <f t="shared" si="3"/>
        <v>18537500</v>
      </c>
      <c r="K25" s="258">
        <f t="shared" si="4"/>
        <v>0</v>
      </c>
      <c r="L25" s="258">
        <f t="shared" si="5"/>
        <v>18537500</v>
      </c>
      <c r="M25" s="426">
        <f t="array" ref="M25">MAX((IF(MNU_CODIGO_ALIMENTO_ENTREGA=CONCATENATE($C25,"_","P_"),MNU_GRAMAJE_REQUERIDO_TIPOB,"")))</f>
        <v>50</v>
      </c>
      <c r="N25" s="343">
        <f t="shared" si="6"/>
        <v>41200</v>
      </c>
      <c r="O25" s="343">
        <f t="shared" si="7"/>
        <v>0</v>
      </c>
      <c r="P25" s="343">
        <f t="shared" si="8"/>
        <v>41200</v>
      </c>
      <c r="Q25" s="344">
        <f t="shared" si="9"/>
        <v>25750000</v>
      </c>
      <c r="R25" s="344">
        <f t="shared" si="10"/>
        <v>0</v>
      </c>
      <c r="S25" s="344">
        <f t="shared" si="11"/>
        <v>25750000</v>
      </c>
      <c r="T25" s="348">
        <f t="array" ref="T25">MAX((IF(MNU_CODIGO_ALIMENTO_ENTREGA=CONCATENATE($C25,"_","P_"),MNU_GRAMAJE_REQUERIDO_TIPOC,"")))</f>
        <v>50</v>
      </c>
      <c r="U25" s="257">
        <f t="shared" si="12"/>
        <v>42020</v>
      </c>
      <c r="V25" s="257">
        <f t="shared" si="13"/>
        <v>0</v>
      </c>
      <c r="W25" s="257">
        <f t="shared" si="14"/>
        <v>42020</v>
      </c>
      <c r="X25" s="258">
        <f t="shared" si="15"/>
        <v>26262500</v>
      </c>
      <c r="Y25" s="258">
        <f t="shared" si="16"/>
        <v>0</v>
      </c>
      <c r="Z25" s="258">
        <f t="shared" si="17"/>
        <v>26262500</v>
      </c>
      <c r="AA25" s="256">
        <f t="array" ref="AA25">MAX((IF(MNU_CODIGO_ALIMENTO_ENTREGA=CONCATENATE($C25,"_","P_"),MNU_GRAMAJE_REQUERIDO_TIPOM,"")))</f>
        <v>50</v>
      </c>
      <c r="AB25" s="259">
        <f t="shared" si="18"/>
        <v>1920</v>
      </c>
      <c r="AC25" s="259">
        <v>0</v>
      </c>
      <c r="AD25" s="259">
        <f t="shared" si="19"/>
        <v>1920</v>
      </c>
      <c r="AE25" s="260">
        <f t="shared" si="20"/>
        <v>1200000</v>
      </c>
      <c r="AF25" s="260">
        <v>0</v>
      </c>
      <c r="AG25" s="260">
        <f t="shared" si="21"/>
        <v>1200000</v>
      </c>
      <c r="AH25" s="348">
        <f t="array" ref="AH25">MAX((IF(MNU_CODIGO_ALIMENTO_ENTREGA=CONCATENATE($C25,"_","P_"),MNU_GRAMAJE_REQUERIDO_TIPOH,"")))</f>
        <v>50</v>
      </c>
      <c r="AI25" s="257">
        <f t="shared" si="22"/>
        <v>1975</v>
      </c>
      <c r="AJ25" s="257">
        <v>0</v>
      </c>
      <c r="AK25" s="257">
        <f t="shared" si="23"/>
        <v>1975</v>
      </c>
      <c r="AL25" s="258">
        <f t="shared" si="24"/>
        <v>1234375</v>
      </c>
      <c r="AM25" s="258">
        <v>0</v>
      </c>
      <c r="AN25" s="258">
        <f t="shared" si="25"/>
        <v>1234375</v>
      </c>
      <c r="AO25" s="451">
        <f t="shared" si="26"/>
        <v>116775</v>
      </c>
      <c r="AP25" s="450">
        <f t="shared" si="27"/>
        <v>72984375</v>
      </c>
      <c r="AQ25" s="261" t="e">
        <f>#REF!+AH25+AA25+T25+M25</f>
        <v>#REF!</v>
      </c>
      <c r="AR25" s="261">
        <f t="shared" si="28"/>
        <v>73071490</v>
      </c>
      <c r="AS25" s="261" t="e">
        <f t="shared" si="29"/>
        <v>#REF!</v>
      </c>
      <c r="AT25" s="261">
        <f t="shared" si="30"/>
        <v>73158605</v>
      </c>
      <c r="AU25" s="261" t="e">
        <f t="shared" si="31"/>
        <v>#REF!</v>
      </c>
      <c r="AV25" s="261">
        <f t="shared" si="32"/>
        <v>73158605</v>
      </c>
      <c r="AW25" s="261" t="e">
        <f t="shared" si="33"/>
        <v>#REF!</v>
      </c>
      <c r="AX25" s="261" t="e">
        <f>AV25+#REF!+AH25+AA25+T25</f>
        <v>#REF!</v>
      </c>
      <c r="AY25" s="261" t="e">
        <f t="shared" si="34"/>
        <v>#REF!</v>
      </c>
      <c r="AZ25" s="261" t="e">
        <f t="shared" si="35"/>
        <v>#REF!</v>
      </c>
      <c r="BA25" s="261" t="e">
        <f t="shared" si="36"/>
        <v>#REF!</v>
      </c>
      <c r="BB25" s="261" t="e">
        <f t="shared" si="37"/>
        <v>#REF!</v>
      </c>
      <c r="BC25" s="261" t="e">
        <f t="shared" si="38"/>
        <v>#REF!</v>
      </c>
      <c r="BD25" s="261" t="e">
        <f t="shared" si="39"/>
        <v>#REF!</v>
      </c>
      <c r="BE25" s="261" t="e">
        <f>BC25+AV25+#REF!+AH25+AA25</f>
        <v>#REF!</v>
      </c>
      <c r="BF25" s="261" t="e">
        <f t="shared" si="40"/>
        <v>#REF!</v>
      </c>
      <c r="BG25" s="261" t="e">
        <f t="shared" si="41"/>
        <v>#REF!</v>
      </c>
    </row>
    <row r="26" spans="1:59" ht="15.75">
      <c r="A26" s="333">
        <v>2</v>
      </c>
      <c r="B26" s="333" t="s">
        <v>1607</v>
      </c>
      <c r="C26" s="256">
        <v>1</v>
      </c>
      <c r="D26" s="322" t="s">
        <v>16</v>
      </c>
      <c r="E26" s="256" t="s">
        <v>9</v>
      </c>
      <c r="F26" s="425">
        <f t="array" ref="F26">MAX((IF(MNU_CODIGO_ALIMENTO_ENTREGA=CONCATENATE($C26,"_","P_"),MNU_GRAMAJE_REQUERIDO_TIPOA,"")))</f>
        <v>30</v>
      </c>
      <c r="G26" s="257">
        <f t="shared" si="0"/>
        <v>88200</v>
      </c>
      <c r="H26" s="257">
        <f t="shared" si="1"/>
        <v>0</v>
      </c>
      <c r="I26" s="257">
        <f t="shared" si="2"/>
        <v>88200</v>
      </c>
      <c r="J26" s="258">
        <f t="shared" si="3"/>
        <v>71265600</v>
      </c>
      <c r="K26" s="258">
        <f t="shared" si="4"/>
        <v>0</v>
      </c>
      <c r="L26" s="258">
        <f t="shared" si="5"/>
        <v>71265600</v>
      </c>
      <c r="M26" s="426">
        <f t="array" ref="M26">MAX((IF(MNU_CODIGO_ALIMENTO_ENTREGA=CONCATENATE($C26,"_","P_"),MNU_GRAMAJE_REQUERIDO_TIPOB,"")))</f>
        <v>40</v>
      </c>
      <c r="N26" s="343">
        <f t="shared" si="6"/>
        <v>119865</v>
      </c>
      <c r="O26" s="343">
        <f t="shared" si="7"/>
        <v>0</v>
      </c>
      <c r="P26" s="343">
        <f t="shared" si="8"/>
        <v>119865</v>
      </c>
      <c r="Q26" s="344">
        <f t="shared" si="9"/>
        <v>129214470</v>
      </c>
      <c r="R26" s="344">
        <f t="shared" si="10"/>
        <v>0</v>
      </c>
      <c r="S26" s="344">
        <f t="shared" si="11"/>
        <v>129214470</v>
      </c>
      <c r="T26" s="348">
        <f t="array" ref="T26">MAX((IF(MNU_CODIGO_ALIMENTO_ENTREGA=CONCATENATE($C26,"_","P_"),MNU_GRAMAJE_REQUERIDO_TIPOC,"")))</f>
        <v>60</v>
      </c>
      <c r="U26" s="257">
        <f t="shared" si="12"/>
        <v>121500</v>
      </c>
      <c r="V26" s="257">
        <f t="shared" si="13"/>
        <v>0</v>
      </c>
      <c r="W26" s="257">
        <f t="shared" si="14"/>
        <v>121500</v>
      </c>
      <c r="X26" s="258">
        <f t="shared" si="15"/>
        <v>196344000</v>
      </c>
      <c r="Y26" s="258">
        <f t="shared" si="16"/>
        <v>0</v>
      </c>
      <c r="Z26" s="258">
        <f t="shared" si="17"/>
        <v>196344000</v>
      </c>
      <c r="AA26" s="256">
        <f t="array" ref="AA26">MAX((IF(MNU_CODIGO_ALIMENTO_ENTREGA=CONCATENATE($C26,"_","P_"),MNU_GRAMAJE_REQUERIDO_TIPOM,"")))</f>
        <v>40</v>
      </c>
      <c r="AB26" s="259">
        <f t="shared" si="18"/>
        <v>5250</v>
      </c>
      <c r="AC26" s="259">
        <v>0</v>
      </c>
      <c r="AD26" s="259">
        <f t="shared" si="19"/>
        <v>5250</v>
      </c>
      <c r="AE26" s="260">
        <f t="shared" si="20"/>
        <v>5659500</v>
      </c>
      <c r="AF26" s="260">
        <v>0</v>
      </c>
      <c r="AG26" s="260">
        <f t="shared" si="21"/>
        <v>5659500</v>
      </c>
      <c r="AH26" s="348">
        <f t="array" ref="AH26">MAX((IF(MNU_CODIGO_ALIMENTO_ENTREGA=CONCATENATE($C26,"_","P_"),MNU_GRAMAJE_REQUERIDO_TIPOH,"")))</f>
        <v>60</v>
      </c>
      <c r="AI26" s="257">
        <f t="shared" si="22"/>
        <v>4365</v>
      </c>
      <c r="AJ26" s="257">
        <v>0</v>
      </c>
      <c r="AK26" s="257">
        <f t="shared" si="23"/>
        <v>4365</v>
      </c>
      <c r="AL26" s="258">
        <f t="shared" si="24"/>
        <v>7053840</v>
      </c>
      <c r="AM26" s="258">
        <v>0</v>
      </c>
      <c r="AN26" s="258">
        <f t="shared" si="25"/>
        <v>7053840</v>
      </c>
      <c r="AO26" s="451">
        <f t="shared" si="26"/>
        <v>339180</v>
      </c>
      <c r="AP26" s="450">
        <f t="shared" si="27"/>
        <v>409537410</v>
      </c>
      <c r="AQ26" s="261" t="e">
        <f>#REF!+AH26+AA26+T26+M26</f>
        <v>#REF!</v>
      </c>
      <c r="AR26" s="261">
        <f t="shared" si="28"/>
        <v>409788390</v>
      </c>
      <c r="AS26" s="261" t="e">
        <f t="shared" si="29"/>
        <v>#REF!</v>
      </c>
      <c r="AT26" s="261">
        <f t="shared" si="30"/>
        <v>410039370</v>
      </c>
      <c r="AU26" s="261" t="e">
        <f t="shared" si="31"/>
        <v>#REF!</v>
      </c>
      <c r="AV26" s="261">
        <f t="shared" si="32"/>
        <v>410039370</v>
      </c>
      <c r="AW26" s="261" t="e">
        <f t="shared" si="33"/>
        <v>#REF!</v>
      </c>
      <c r="AX26" s="261" t="e">
        <f>AV26+#REF!+AH26+AA26+T26</f>
        <v>#REF!</v>
      </c>
      <c r="AY26" s="261" t="e">
        <f t="shared" si="34"/>
        <v>#REF!</v>
      </c>
      <c r="AZ26" s="261" t="e">
        <f t="shared" si="35"/>
        <v>#REF!</v>
      </c>
      <c r="BA26" s="261" t="e">
        <f t="shared" si="36"/>
        <v>#REF!</v>
      </c>
      <c r="BB26" s="261" t="e">
        <f t="shared" si="37"/>
        <v>#REF!</v>
      </c>
      <c r="BC26" s="261" t="e">
        <f t="shared" si="38"/>
        <v>#REF!</v>
      </c>
      <c r="BD26" s="261" t="e">
        <f t="shared" si="39"/>
        <v>#REF!</v>
      </c>
      <c r="BE26" s="261" t="e">
        <f>BC26+AV26+#REF!+AH26+AA26</f>
        <v>#REF!</v>
      </c>
      <c r="BF26" s="261" t="e">
        <f t="shared" si="40"/>
        <v>#REF!</v>
      </c>
      <c r="BG26" s="261" t="e">
        <f t="shared" si="41"/>
        <v>#REF!</v>
      </c>
    </row>
    <row r="27" spans="1:59" ht="15.75">
      <c r="A27" s="333">
        <v>2</v>
      </c>
      <c r="B27" s="333" t="s">
        <v>1607</v>
      </c>
      <c r="C27" s="256">
        <v>3</v>
      </c>
      <c r="D27" s="322" t="s">
        <v>12</v>
      </c>
      <c r="E27" s="256" t="s">
        <v>9</v>
      </c>
      <c r="F27" s="425">
        <f t="array" ref="F27">MAX((IF(MNU_CODIGO_ALIMENTO_ENTREGA=CONCATENATE($C27,"_","P_"),MNU_GRAMAJE_REQUERIDO_TIPOA,"")))</f>
        <v>50</v>
      </c>
      <c r="G27" s="257">
        <f t="shared" si="0"/>
        <v>99960</v>
      </c>
      <c r="H27" s="257">
        <f t="shared" si="1"/>
        <v>14003</v>
      </c>
      <c r="I27" s="257">
        <f t="shared" si="2"/>
        <v>113963</v>
      </c>
      <c r="J27" s="258">
        <f t="shared" si="3"/>
        <v>50479800</v>
      </c>
      <c r="K27" s="258">
        <f t="shared" si="4"/>
        <v>7071515</v>
      </c>
      <c r="L27" s="258">
        <f t="shared" si="5"/>
        <v>57551315</v>
      </c>
      <c r="M27" s="426">
        <f t="array" ref="M27">MAX((IF(MNU_CODIGO_ALIMENTO_ENTREGA=CONCATENATE($C27,"_","P_"),MNU_GRAMAJE_REQUERIDO_TIPOB,"")))</f>
        <v>50</v>
      </c>
      <c r="N27" s="343">
        <f t="shared" si="6"/>
        <v>135847</v>
      </c>
      <c r="O27" s="343">
        <f t="shared" si="7"/>
        <v>13091</v>
      </c>
      <c r="P27" s="343">
        <f t="shared" si="8"/>
        <v>148938</v>
      </c>
      <c r="Q27" s="344">
        <f t="shared" si="9"/>
        <v>68602735</v>
      </c>
      <c r="R27" s="344">
        <f t="shared" si="10"/>
        <v>6610955</v>
      </c>
      <c r="S27" s="344">
        <f t="shared" si="11"/>
        <v>75213690</v>
      </c>
      <c r="T27" s="348">
        <f t="array" ref="T27">MAX((IF(MNU_CODIGO_ALIMENTO_ENTREGA=CONCATENATE($C27,"_","P_"),MNU_GRAMAJE_REQUERIDO_TIPOC,"")))</f>
        <v>80</v>
      </c>
      <c r="U27" s="257">
        <f t="shared" si="12"/>
        <v>137700</v>
      </c>
      <c r="V27" s="257">
        <f t="shared" si="13"/>
        <v>32034</v>
      </c>
      <c r="W27" s="257">
        <f t="shared" si="14"/>
        <v>169734</v>
      </c>
      <c r="X27" s="258">
        <f t="shared" si="15"/>
        <v>105065100</v>
      </c>
      <c r="Y27" s="258">
        <f t="shared" si="16"/>
        <v>24441942</v>
      </c>
      <c r="Z27" s="258">
        <f t="shared" si="17"/>
        <v>129507042</v>
      </c>
      <c r="AA27" s="256">
        <f t="array" ref="AA27">MAX((IF(MNU_CODIGO_ALIMENTO_ENTREGA=CONCATENATE($C27,"_","P_"),MNU_GRAMAJE_REQUERIDO_TIPOM,"")))</f>
        <v>50</v>
      </c>
      <c r="AB27" s="259">
        <f t="shared" si="18"/>
        <v>5950</v>
      </c>
      <c r="AC27" s="259">
        <v>0</v>
      </c>
      <c r="AD27" s="259">
        <f t="shared" si="19"/>
        <v>5950</v>
      </c>
      <c r="AE27" s="260">
        <f t="shared" si="20"/>
        <v>3004750</v>
      </c>
      <c r="AF27" s="260">
        <v>0</v>
      </c>
      <c r="AG27" s="260">
        <f t="shared" si="21"/>
        <v>3004750</v>
      </c>
      <c r="AH27" s="348">
        <f t="array" ref="AH27">MAX((IF(MNU_CODIGO_ALIMENTO_ENTREGA=CONCATENATE($C27,"_","P_"),MNU_GRAMAJE_REQUERIDO_TIPOH,"")))</f>
        <v>80</v>
      </c>
      <c r="AI27" s="257">
        <f t="shared" si="22"/>
        <v>4947</v>
      </c>
      <c r="AJ27" s="257">
        <v>0</v>
      </c>
      <c r="AK27" s="257">
        <f t="shared" si="23"/>
        <v>4947</v>
      </c>
      <c r="AL27" s="258">
        <f t="shared" si="24"/>
        <v>3774561</v>
      </c>
      <c r="AM27" s="258">
        <v>0</v>
      </c>
      <c r="AN27" s="258">
        <f t="shared" si="25"/>
        <v>3774561</v>
      </c>
      <c r="AO27" s="451">
        <f t="shared" si="26"/>
        <v>443532</v>
      </c>
      <c r="AP27" s="450">
        <f t="shared" si="27"/>
        <v>269051358</v>
      </c>
      <c r="AQ27" s="261" t="e">
        <f>#REF!+AH27+AA27+T27+M27</f>
        <v>#REF!</v>
      </c>
      <c r="AR27" s="261">
        <f t="shared" si="28"/>
        <v>269335802</v>
      </c>
      <c r="AS27" s="261" t="e">
        <f t="shared" si="29"/>
        <v>#REF!</v>
      </c>
      <c r="AT27" s="261">
        <f t="shared" si="30"/>
        <v>269665371</v>
      </c>
      <c r="AU27" s="261" t="e">
        <f t="shared" si="31"/>
        <v>#REF!</v>
      </c>
      <c r="AV27" s="261">
        <f t="shared" si="32"/>
        <v>300718268</v>
      </c>
      <c r="AW27" s="261" t="e">
        <f t="shared" si="33"/>
        <v>#REF!</v>
      </c>
      <c r="AX27" s="261" t="e">
        <f>AV27+#REF!+AH27+AA27+T27</f>
        <v>#REF!</v>
      </c>
      <c r="AY27" s="261" t="e">
        <f t="shared" si="34"/>
        <v>#REF!</v>
      </c>
      <c r="AZ27" s="261" t="e">
        <f t="shared" si="35"/>
        <v>#REF!</v>
      </c>
      <c r="BA27" s="261" t="e">
        <f t="shared" si="36"/>
        <v>#REF!</v>
      </c>
      <c r="BB27" s="261" t="e">
        <f t="shared" si="37"/>
        <v>#REF!</v>
      </c>
      <c r="BC27" s="261" t="e">
        <f t="shared" si="38"/>
        <v>#REF!</v>
      </c>
      <c r="BD27" s="261" t="e">
        <f t="shared" si="39"/>
        <v>#REF!</v>
      </c>
      <c r="BE27" s="261" t="e">
        <f>BC27+AV27+#REF!+AH27+AA27</f>
        <v>#REF!</v>
      </c>
      <c r="BF27" s="261" t="e">
        <f t="shared" si="40"/>
        <v>#REF!</v>
      </c>
      <c r="BG27" s="261" t="e">
        <f t="shared" si="41"/>
        <v>#REF!</v>
      </c>
    </row>
    <row r="28" spans="1:59" ht="15.75">
      <c r="A28" s="333">
        <v>2</v>
      </c>
      <c r="B28" s="333" t="s">
        <v>1607</v>
      </c>
      <c r="C28" s="256">
        <v>15</v>
      </c>
      <c r="D28" s="322" t="s">
        <v>66</v>
      </c>
      <c r="E28" s="256" t="s">
        <v>9</v>
      </c>
      <c r="F28" s="425">
        <f t="array" ref="F28">MAX((IF(MNU_CODIGO_ALIMENTO_ENTREGA=CONCATENATE($C28,"_","P_"),MNU_GRAMAJE_REQUERIDO_TIPOA,"")))</f>
        <v>50</v>
      </c>
      <c r="G28" s="257">
        <f t="shared" si="0"/>
        <v>99960</v>
      </c>
      <c r="H28" s="257">
        <f t="shared" si="1"/>
        <v>8107</v>
      </c>
      <c r="I28" s="257">
        <f t="shared" si="2"/>
        <v>108067</v>
      </c>
      <c r="J28" s="258">
        <f t="shared" si="3"/>
        <v>67273080</v>
      </c>
      <c r="K28" s="258">
        <f t="shared" si="4"/>
        <v>5456011</v>
      </c>
      <c r="L28" s="258">
        <f t="shared" si="5"/>
        <v>72729091</v>
      </c>
      <c r="M28" s="426">
        <f t="array" ref="M28">MAX((IF(MNU_CODIGO_ALIMENTO_ENTREGA=CONCATENATE($C28,"_","P_"),MNU_GRAMAJE_REQUERIDO_TIPOB,"")))</f>
        <v>50</v>
      </c>
      <c r="N28" s="343">
        <f t="shared" si="6"/>
        <v>135847</v>
      </c>
      <c r="O28" s="343">
        <f t="shared" si="7"/>
        <v>7579</v>
      </c>
      <c r="P28" s="343">
        <f t="shared" si="8"/>
        <v>143426</v>
      </c>
      <c r="Q28" s="344">
        <f t="shared" si="9"/>
        <v>91425031</v>
      </c>
      <c r="R28" s="344">
        <f t="shared" si="10"/>
        <v>5100667</v>
      </c>
      <c r="S28" s="344">
        <f t="shared" si="11"/>
        <v>96525698</v>
      </c>
      <c r="T28" s="348">
        <f t="array" ref="T28">MAX((IF(MNU_CODIGO_ALIMENTO_ENTREGA=CONCATENATE($C28,"_","P_"),MNU_GRAMAJE_REQUERIDO_TIPOC,"")))</f>
        <v>80</v>
      </c>
      <c r="U28" s="257">
        <f t="shared" si="12"/>
        <v>137700</v>
      </c>
      <c r="V28" s="257">
        <f t="shared" si="13"/>
        <v>18546</v>
      </c>
      <c r="W28" s="257">
        <f t="shared" si="14"/>
        <v>156246</v>
      </c>
      <c r="X28" s="258">
        <f t="shared" si="15"/>
        <v>148165200</v>
      </c>
      <c r="Y28" s="258">
        <f t="shared" si="16"/>
        <v>19955496</v>
      </c>
      <c r="Z28" s="258">
        <f t="shared" si="17"/>
        <v>168120696</v>
      </c>
      <c r="AA28" s="256">
        <f t="array" ref="AA28">MAX((IF(MNU_CODIGO_ALIMENTO_ENTREGA=CONCATENATE($C28,"_","P_"),MNU_GRAMAJE_REQUERIDO_TIPOM,"")))</f>
        <v>50</v>
      </c>
      <c r="AB28" s="259">
        <f t="shared" si="18"/>
        <v>5950</v>
      </c>
      <c r="AC28" s="259">
        <v>0</v>
      </c>
      <c r="AD28" s="259">
        <f t="shared" si="19"/>
        <v>5950</v>
      </c>
      <c r="AE28" s="260">
        <f t="shared" si="20"/>
        <v>4004350</v>
      </c>
      <c r="AF28" s="260">
        <v>0</v>
      </c>
      <c r="AG28" s="260">
        <f t="shared" si="21"/>
        <v>4004350</v>
      </c>
      <c r="AH28" s="348">
        <f t="array" ref="AH28">MAX((IF(MNU_CODIGO_ALIMENTO_ENTREGA=CONCATENATE($C28,"_","P_"),MNU_GRAMAJE_REQUERIDO_TIPOH,"")))</f>
        <v>80</v>
      </c>
      <c r="AI28" s="257">
        <f t="shared" si="22"/>
        <v>4947</v>
      </c>
      <c r="AJ28" s="257">
        <v>0</v>
      </c>
      <c r="AK28" s="257">
        <f t="shared" si="23"/>
        <v>4947</v>
      </c>
      <c r="AL28" s="258">
        <f t="shared" si="24"/>
        <v>5322972</v>
      </c>
      <c r="AM28" s="258">
        <v>0</v>
      </c>
      <c r="AN28" s="258">
        <f t="shared" si="25"/>
        <v>5322972</v>
      </c>
      <c r="AO28" s="451">
        <f t="shared" si="26"/>
        <v>418636</v>
      </c>
      <c r="AP28" s="450">
        <f t="shared" si="27"/>
        <v>346702807</v>
      </c>
      <c r="AQ28" s="261" t="e">
        <f>#REF!+AH28+AA28+T28+M28</f>
        <v>#REF!</v>
      </c>
      <c r="AR28" s="261">
        <f t="shared" si="28"/>
        <v>346987251</v>
      </c>
      <c r="AS28" s="261" t="e">
        <f t="shared" si="29"/>
        <v>#REF!</v>
      </c>
      <c r="AT28" s="261">
        <f t="shared" si="30"/>
        <v>347297820</v>
      </c>
      <c r="AU28" s="261" t="e">
        <f t="shared" si="31"/>
        <v>#REF!</v>
      </c>
      <c r="AV28" s="261">
        <f t="shared" si="32"/>
        <v>372353983</v>
      </c>
      <c r="AW28" s="261" t="e">
        <f t="shared" si="33"/>
        <v>#REF!</v>
      </c>
      <c r="AX28" s="261" t="e">
        <f>AV28+#REF!+AH28+AA28+T28</f>
        <v>#REF!</v>
      </c>
      <c r="AY28" s="261" t="e">
        <f t="shared" si="34"/>
        <v>#REF!</v>
      </c>
      <c r="AZ28" s="261" t="e">
        <f t="shared" si="35"/>
        <v>#REF!</v>
      </c>
      <c r="BA28" s="261" t="e">
        <f t="shared" si="36"/>
        <v>#REF!</v>
      </c>
      <c r="BB28" s="261" t="e">
        <f t="shared" si="37"/>
        <v>#REF!</v>
      </c>
      <c r="BC28" s="261" t="e">
        <f t="shared" si="38"/>
        <v>#REF!</v>
      </c>
      <c r="BD28" s="261" t="e">
        <f t="shared" si="39"/>
        <v>#REF!</v>
      </c>
      <c r="BE28" s="261" t="e">
        <f>BC28+AV28+#REF!+AH28+AA28</f>
        <v>#REF!</v>
      </c>
      <c r="BF28" s="261" t="e">
        <f t="shared" si="40"/>
        <v>#REF!</v>
      </c>
      <c r="BG28" s="261" t="e">
        <f t="shared" si="41"/>
        <v>#REF!</v>
      </c>
    </row>
    <row r="29" spans="1:59" ht="15.75">
      <c r="A29" s="333">
        <v>2</v>
      </c>
      <c r="B29" s="333" t="s">
        <v>1607</v>
      </c>
      <c r="C29" s="256">
        <v>24</v>
      </c>
      <c r="D29" s="322" t="s">
        <v>61</v>
      </c>
      <c r="E29" s="256" t="s">
        <v>9</v>
      </c>
      <c r="F29" s="425">
        <f t="array" ref="F29">MAX((IF(MNU_CODIGO_ALIMENTO_ENTREGA=CONCATENATE($C29,"_","P_"),MNU_GRAMAJE_REQUERIDO_TIPOA,"")))</f>
        <v>20</v>
      </c>
      <c r="G29" s="257">
        <f t="shared" si="0"/>
        <v>99960</v>
      </c>
      <c r="H29" s="257">
        <f t="shared" si="1"/>
        <v>8107</v>
      </c>
      <c r="I29" s="257">
        <f t="shared" si="2"/>
        <v>108067</v>
      </c>
      <c r="J29" s="258">
        <f t="shared" si="3"/>
        <v>12794880</v>
      </c>
      <c r="K29" s="258">
        <f t="shared" si="4"/>
        <v>1037696</v>
      </c>
      <c r="L29" s="258">
        <f t="shared" si="5"/>
        <v>13832576</v>
      </c>
      <c r="M29" s="426">
        <f t="array" ref="M29">MAX((IF(MNU_CODIGO_ALIMENTO_ENTREGA=CONCATENATE($C29,"_","P_"),MNU_GRAMAJE_REQUERIDO_TIPOB,"")))</f>
        <v>30</v>
      </c>
      <c r="N29" s="343">
        <f t="shared" si="6"/>
        <v>135847</v>
      </c>
      <c r="O29" s="343">
        <f t="shared" si="7"/>
        <v>7579</v>
      </c>
      <c r="P29" s="343">
        <f t="shared" si="8"/>
        <v>143426</v>
      </c>
      <c r="Q29" s="344">
        <f t="shared" si="9"/>
        <v>27169400</v>
      </c>
      <c r="R29" s="344">
        <f t="shared" si="10"/>
        <v>1515800</v>
      </c>
      <c r="S29" s="344">
        <f t="shared" si="11"/>
        <v>28685200</v>
      </c>
      <c r="T29" s="348">
        <f t="array" ref="T29">MAX((IF(MNU_CODIGO_ALIMENTO_ENTREGA=CONCATENATE($C29,"_","P_"),MNU_GRAMAJE_REQUERIDO_TIPOC,"")))</f>
        <v>60</v>
      </c>
      <c r="U29" s="257">
        <f t="shared" si="12"/>
        <v>137700</v>
      </c>
      <c r="V29" s="257">
        <f t="shared" si="13"/>
        <v>18546</v>
      </c>
      <c r="W29" s="257">
        <f t="shared" si="14"/>
        <v>156246</v>
      </c>
      <c r="X29" s="258">
        <f t="shared" si="15"/>
        <v>53014500</v>
      </c>
      <c r="Y29" s="258">
        <f t="shared" si="16"/>
        <v>7140210</v>
      </c>
      <c r="Z29" s="258">
        <f t="shared" si="17"/>
        <v>60154710</v>
      </c>
      <c r="AA29" s="256">
        <f t="array" ref="AA29">MAX((IF(MNU_CODIGO_ALIMENTO_ENTREGA=CONCATENATE($C29,"_","P_"),MNU_GRAMAJE_REQUERIDO_TIPOM,"")))</f>
        <v>30</v>
      </c>
      <c r="AB29" s="259">
        <f t="shared" si="18"/>
        <v>5950</v>
      </c>
      <c r="AC29" s="259">
        <v>0</v>
      </c>
      <c r="AD29" s="259">
        <f t="shared" si="19"/>
        <v>5950</v>
      </c>
      <c r="AE29" s="260">
        <f t="shared" si="20"/>
        <v>1190000</v>
      </c>
      <c r="AF29" s="260">
        <v>0</v>
      </c>
      <c r="AG29" s="260">
        <f t="shared" si="21"/>
        <v>1190000</v>
      </c>
      <c r="AH29" s="348">
        <f t="array" ref="AH29">MAX((IF(MNU_CODIGO_ALIMENTO_ENTREGA=CONCATENATE($C29,"_","P_"),MNU_GRAMAJE_REQUERIDO_TIPOH,"")))</f>
        <v>60</v>
      </c>
      <c r="AI29" s="257">
        <f t="shared" si="22"/>
        <v>4947</v>
      </c>
      <c r="AJ29" s="257">
        <v>0</v>
      </c>
      <c r="AK29" s="257">
        <f t="shared" si="23"/>
        <v>4947</v>
      </c>
      <c r="AL29" s="258">
        <f t="shared" si="24"/>
        <v>1904595</v>
      </c>
      <c r="AM29" s="258">
        <v>0</v>
      </c>
      <c r="AN29" s="258">
        <f t="shared" si="25"/>
        <v>1904595</v>
      </c>
      <c r="AO29" s="451">
        <f t="shared" si="26"/>
        <v>418636</v>
      </c>
      <c r="AP29" s="450">
        <f t="shared" si="27"/>
        <v>105767081</v>
      </c>
      <c r="AQ29" s="261" t="e">
        <f>#REF!+AH29+AA29+T29+M29</f>
        <v>#REF!</v>
      </c>
      <c r="AR29" s="261">
        <f t="shared" si="28"/>
        <v>106051525</v>
      </c>
      <c r="AS29" s="261" t="e">
        <f t="shared" si="29"/>
        <v>#REF!</v>
      </c>
      <c r="AT29" s="261">
        <f t="shared" si="30"/>
        <v>106362094</v>
      </c>
      <c r="AU29" s="261" t="e">
        <f t="shared" si="31"/>
        <v>#REF!</v>
      </c>
      <c r="AV29" s="261">
        <f t="shared" si="32"/>
        <v>115018104</v>
      </c>
      <c r="AW29" s="261" t="e">
        <f t="shared" si="33"/>
        <v>#REF!</v>
      </c>
      <c r="AX29" s="261" t="e">
        <f>AV29+#REF!+AH29+AA29+T29</f>
        <v>#REF!</v>
      </c>
      <c r="AY29" s="261" t="e">
        <f t="shared" si="34"/>
        <v>#REF!</v>
      </c>
      <c r="AZ29" s="261" t="e">
        <f t="shared" si="35"/>
        <v>#REF!</v>
      </c>
      <c r="BA29" s="261" t="e">
        <f t="shared" si="36"/>
        <v>#REF!</v>
      </c>
      <c r="BB29" s="261" t="e">
        <f t="shared" si="37"/>
        <v>#REF!</v>
      </c>
      <c r="BC29" s="261" t="e">
        <f t="shared" si="38"/>
        <v>#REF!</v>
      </c>
      <c r="BD29" s="261" t="e">
        <f t="shared" si="39"/>
        <v>#REF!</v>
      </c>
      <c r="BE29" s="261" t="e">
        <f>BC29+AV29+#REF!+AH29+AA29</f>
        <v>#REF!</v>
      </c>
      <c r="BF29" s="261" t="e">
        <f t="shared" si="40"/>
        <v>#REF!</v>
      </c>
      <c r="BG29" s="261" t="e">
        <f t="shared" si="41"/>
        <v>#REF!</v>
      </c>
    </row>
    <row r="30" spans="1:59" ht="15.75">
      <c r="A30" s="333">
        <v>2</v>
      </c>
      <c r="B30" s="333" t="s">
        <v>1607</v>
      </c>
      <c r="C30" s="256">
        <v>25</v>
      </c>
      <c r="D30" s="322" t="s">
        <v>64</v>
      </c>
      <c r="E30" s="256" t="s">
        <v>9</v>
      </c>
      <c r="F30" s="425">
        <f t="array" ref="F30">MAX((IF(MNU_CODIGO_ALIMENTO_ENTREGA=CONCATENATE($C30,"_","P_"),MNU_GRAMAJE_REQUERIDO_TIPOA,"")))</f>
        <v>40</v>
      </c>
      <c r="G30" s="257">
        <f t="shared" si="0"/>
        <v>99960</v>
      </c>
      <c r="H30" s="257">
        <f t="shared" si="1"/>
        <v>16214</v>
      </c>
      <c r="I30" s="257">
        <f t="shared" si="2"/>
        <v>116174</v>
      </c>
      <c r="J30" s="258">
        <f t="shared" si="3"/>
        <v>25589760</v>
      </c>
      <c r="K30" s="258">
        <f t="shared" si="4"/>
        <v>4150784</v>
      </c>
      <c r="L30" s="258">
        <f t="shared" si="5"/>
        <v>29740544</v>
      </c>
      <c r="M30" s="426">
        <f t="array" ref="M30">MAX((IF(MNU_CODIGO_ALIMENTO_ENTREGA=CONCATENATE($C30,"_","P_"),MNU_GRAMAJE_REQUERIDO_TIPOB,"")))</f>
        <v>40</v>
      </c>
      <c r="N30" s="343">
        <f t="shared" si="6"/>
        <v>135847</v>
      </c>
      <c r="O30" s="343">
        <f t="shared" si="7"/>
        <v>15158</v>
      </c>
      <c r="P30" s="343">
        <f t="shared" si="8"/>
        <v>151005</v>
      </c>
      <c r="Q30" s="344">
        <f t="shared" si="9"/>
        <v>34776832</v>
      </c>
      <c r="R30" s="344">
        <f t="shared" si="10"/>
        <v>3880448</v>
      </c>
      <c r="S30" s="344">
        <f t="shared" si="11"/>
        <v>38657280</v>
      </c>
      <c r="T30" s="348">
        <f t="array" ref="T30">MAX((IF(MNU_CODIGO_ALIMENTO_ENTREGA=CONCATENATE($C30,"_","P_"),MNU_GRAMAJE_REQUERIDO_TIPOC,"")))</f>
        <v>60</v>
      </c>
      <c r="U30" s="257">
        <f t="shared" si="12"/>
        <v>137700</v>
      </c>
      <c r="V30" s="257">
        <f t="shared" si="13"/>
        <v>37092</v>
      </c>
      <c r="W30" s="257">
        <f t="shared" si="14"/>
        <v>174792</v>
      </c>
      <c r="X30" s="258">
        <f t="shared" si="15"/>
        <v>52876800</v>
      </c>
      <c r="Y30" s="258">
        <f t="shared" si="16"/>
        <v>14243328</v>
      </c>
      <c r="Z30" s="258">
        <f t="shared" si="17"/>
        <v>67120128</v>
      </c>
      <c r="AA30" s="256">
        <f t="array" ref="AA30">MAX((IF(MNU_CODIGO_ALIMENTO_ENTREGA=CONCATENATE($C30,"_","P_"),MNU_GRAMAJE_REQUERIDO_TIPOM,"")))</f>
        <v>40</v>
      </c>
      <c r="AB30" s="259">
        <f t="shared" si="18"/>
        <v>5950</v>
      </c>
      <c r="AC30" s="259">
        <v>0</v>
      </c>
      <c r="AD30" s="259">
        <f t="shared" si="19"/>
        <v>5950</v>
      </c>
      <c r="AE30" s="260">
        <f t="shared" si="20"/>
        <v>1523200</v>
      </c>
      <c r="AF30" s="260">
        <v>0</v>
      </c>
      <c r="AG30" s="260">
        <f t="shared" si="21"/>
        <v>1523200</v>
      </c>
      <c r="AH30" s="348">
        <f t="array" ref="AH30">MAX((IF(MNU_CODIGO_ALIMENTO_ENTREGA=CONCATENATE($C30,"_","P_"),MNU_GRAMAJE_REQUERIDO_TIPOH,"")))</f>
        <v>60</v>
      </c>
      <c r="AI30" s="257">
        <f t="shared" si="22"/>
        <v>4947</v>
      </c>
      <c r="AJ30" s="257">
        <v>0</v>
      </c>
      <c r="AK30" s="257">
        <f t="shared" si="23"/>
        <v>4947</v>
      </c>
      <c r="AL30" s="258">
        <f t="shared" si="24"/>
        <v>1899648</v>
      </c>
      <c r="AM30" s="258">
        <v>0</v>
      </c>
      <c r="AN30" s="258">
        <f t="shared" si="25"/>
        <v>1899648</v>
      </c>
      <c r="AO30" s="451">
        <f t="shared" si="26"/>
        <v>452868</v>
      </c>
      <c r="AP30" s="450">
        <f t="shared" si="27"/>
        <v>138940800</v>
      </c>
      <c r="AQ30" s="261" t="e">
        <f>#REF!+AH30+AA30+T30+M30</f>
        <v>#REF!</v>
      </c>
      <c r="AR30" s="261">
        <f t="shared" si="28"/>
        <v>139225244</v>
      </c>
      <c r="AS30" s="261" t="e">
        <f t="shared" si="29"/>
        <v>#REF!</v>
      </c>
      <c r="AT30" s="261">
        <f t="shared" si="30"/>
        <v>139561938</v>
      </c>
      <c r="AU30" s="261" t="e">
        <f t="shared" si="31"/>
        <v>#REF!</v>
      </c>
      <c r="AV30" s="261">
        <f t="shared" si="32"/>
        <v>157685714</v>
      </c>
      <c r="AW30" s="261" t="e">
        <f t="shared" si="33"/>
        <v>#REF!</v>
      </c>
      <c r="AX30" s="261" t="e">
        <f>AV30+#REF!+AH30+AA30+T30</f>
        <v>#REF!</v>
      </c>
      <c r="AY30" s="261" t="e">
        <f t="shared" si="34"/>
        <v>#REF!</v>
      </c>
      <c r="AZ30" s="261" t="e">
        <f t="shared" si="35"/>
        <v>#REF!</v>
      </c>
      <c r="BA30" s="261" t="e">
        <f t="shared" si="36"/>
        <v>#REF!</v>
      </c>
      <c r="BB30" s="261" t="e">
        <f t="shared" si="37"/>
        <v>#REF!</v>
      </c>
      <c r="BC30" s="261" t="e">
        <f t="shared" si="38"/>
        <v>#REF!</v>
      </c>
      <c r="BD30" s="261" t="e">
        <f t="shared" si="39"/>
        <v>#REF!</v>
      </c>
      <c r="BE30" s="261" t="e">
        <f>BC30+AV30+#REF!+AH30+AA30</f>
        <v>#REF!</v>
      </c>
      <c r="BF30" s="261" t="e">
        <f t="shared" si="40"/>
        <v>#REF!</v>
      </c>
      <c r="BG30" s="261" t="e">
        <f t="shared" si="41"/>
        <v>#REF!</v>
      </c>
    </row>
    <row r="31" spans="1:59" ht="15.75">
      <c r="A31" s="333">
        <v>2</v>
      </c>
      <c r="B31" s="333" t="s">
        <v>1607</v>
      </c>
      <c r="C31" s="256">
        <v>26</v>
      </c>
      <c r="D31" s="322" t="s">
        <v>69</v>
      </c>
      <c r="E31" s="256" t="s">
        <v>9</v>
      </c>
      <c r="F31" s="425">
        <f t="array" ref="F31">MAX((IF(MNU_CODIGO_ALIMENTO_ENTREGA=CONCATENATE($C31,"_","P_"),MNU_GRAMAJE_REQUERIDO_TIPOA,"")))</f>
        <v>30</v>
      </c>
      <c r="G31" s="257">
        <f t="shared" si="0"/>
        <v>35280</v>
      </c>
      <c r="H31" s="257">
        <f t="shared" si="1"/>
        <v>0</v>
      </c>
      <c r="I31" s="257">
        <f t="shared" si="2"/>
        <v>35280</v>
      </c>
      <c r="J31" s="258">
        <f t="shared" si="3"/>
        <v>6032880</v>
      </c>
      <c r="K31" s="258">
        <f t="shared" si="4"/>
        <v>0</v>
      </c>
      <c r="L31" s="258">
        <f t="shared" si="5"/>
        <v>6032880</v>
      </c>
      <c r="M31" s="426">
        <f t="array" ref="M31">MAX((IF(MNU_CODIGO_ALIMENTO_ENTREGA=CONCATENATE($C31,"_","P_"),MNU_GRAMAJE_REQUERIDO_TIPOB,"")))</f>
        <v>30</v>
      </c>
      <c r="N31" s="343">
        <f t="shared" si="6"/>
        <v>47946</v>
      </c>
      <c r="O31" s="343">
        <f t="shared" si="7"/>
        <v>0</v>
      </c>
      <c r="P31" s="343">
        <f t="shared" si="8"/>
        <v>47946</v>
      </c>
      <c r="Q31" s="344">
        <f t="shared" si="9"/>
        <v>8198766</v>
      </c>
      <c r="R31" s="344">
        <f t="shared" si="10"/>
        <v>0</v>
      </c>
      <c r="S31" s="344">
        <f t="shared" si="11"/>
        <v>8198766</v>
      </c>
      <c r="T31" s="348">
        <f t="array" ref="T31">MAX((IF(MNU_CODIGO_ALIMENTO_ENTREGA=CONCATENATE($C31,"_","P_"),MNU_GRAMAJE_REQUERIDO_TIPOC,"")))</f>
        <v>30</v>
      </c>
      <c r="U31" s="257">
        <f t="shared" si="12"/>
        <v>48600</v>
      </c>
      <c r="V31" s="257">
        <f t="shared" si="13"/>
        <v>0</v>
      </c>
      <c r="W31" s="257">
        <f t="shared" si="14"/>
        <v>48600</v>
      </c>
      <c r="X31" s="258">
        <f t="shared" si="15"/>
        <v>8310600</v>
      </c>
      <c r="Y31" s="258">
        <f t="shared" si="16"/>
        <v>0</v>
      </c>
      <c r="Z31" s="258">
        <f t="shared" si="17"/>
        <v>8310600</v>
      </c>
      <c r="AA31" s="256">
        <f t="array" ref="AA31">MAX((IF(MNU_CODIGO_ALIMENTO_ENTREGA=CONCATENATE($C31,"_","P_"),MNU_GRAMAJE_REQUERIDO_TIPOM,"")))</f>
        <v>30</v>
      </c>
      <c r="AB31" s="259">
        <f t="shared" si="18"/>
        <v>2100</v>
      </c>
      <c r="AC31" s="259">
        <v>0</v>
      </c>
      <c r="AD31" s="259">
        <f t="shared" si="19"/>
        <v>2100</v>
      </c>
      <c r="AE31" s="260">
        <f t="shared" si="20"/>
        <v>359100</v>
      </c>
      <c r="AF31" s="260">
        <v>0</v>
      </c>
      <c r="AG31" s="260">
        <f t="shared" si="21"/>
        <v>359100</v>
      </c>
      <c r="AH31" s="348">
        <f t="array" ref="AH31">MAX((IF(MNU_CODIGO_ALIMENTO_ENTREGA=CONCATENATE($C31,"_","P_"),MNU_GRAMAJE_REQUERIDO_TIPOH,"")))</f>
        <v>30</v>
      </c>
      <c r="AI31" s="257">
        <f t="shared" si="22"/>
        <v>1746</v>
      </c>
      <c r="AJ31" s="257">
        <v>0</v>
      </c>
      <c r="AK31" s="257">
        <f t="shared" si="23"/>
        <v>1746</v>
      </c>
      <c r="AL31" s="258">
        <f t="shared" si="24"/>
        <v>298566</v>
      </c>
      <c r="AM31" s="258">
        <v>0</v>
      </c>
      <c r="AN31" s="258">
        <f t="shared" si="25"/>
        <v>298566</v>
      </c>
      <c r="AO31" s="451">
        <f t="shared" si="26"/>
        <v>135672</v>
      </c>
      <c r="AP31" s="450">
        <f t="shared" si="27"/>
        <v>23199912</v>
      </c>
      <c r="AQ31" s="261" t="e">
        <f>#REF!+AH31+AA31+T31+M31</f>
        <v>#REF!</v>
      </c>
      <c r="AR31" s="261">
        <f t="shared" si="28"/>
        <v>23300304</v>
      </c>
      <c r="AS31" s="261" t="e">
        <f t="shared" si="29"/>
        <v>#REF!</v>
      </c>
      <c r="AT31" s="261">
        <f t="shared" si="30"/>
        <v>23400696</v>
      </c>
      <c r="AU31" s="261" t="e">
        <f t="shared" si="31"/>
        <v>#REF!</v>
      </c>
      <c r="AV31" s="261">
        <f t="shared" si="32"/>
        <v>23400696</v>
      </c>
      <c r="AW31" s="261" t="e">
        <f t="shared" si="33"/>
        <v>#REF!</v>
      </c>
      <c r="AX31" s="261" t="e">
        <f>AV31+#REF!+AH31+AA31+T31</f>
        <v>#REF!</v>
      </c>
      <c r="AY31" s="261" t="e">
        <f t="shared" si="34"/>
        <v>#REF!</v>
      </c>
      <c r="AZ31" s="261" t="e">
        <f t="shared" si="35"/>
        <v>#REF!</v>
      </c>
      <c r="BA31" s="261" t="e">
        <f t="shared" si="36"/>
        <v>#REF!</v>
      </c>
      <c r="BB31" s="261" t="e">
        <f t="shared" si="37"/>
        <v>#REF!</v>
      </c>
      <c r="BC31" s="261" t="e">
        <f t="shared" si="38"/>
        <v>#REF!</v>
      </c>
      <c r="BD31" s="261" t="e">
        <f t="shared" si="39"/>
        <v>#REF!</v>
      </c>
      <c r="BE31" s="261" t="e">
        <f>BC31+AV31+#REF!+AH31+AA31</f>
        <v>#REF!</v>
      </c>
      <c r="BF31" s="261" t="e">
        <f t="shared" si="40"/>
        <v>#REF!</v>
      </c>
      <c r="BG31" s="261" t="e">
        <f t="shared" si="41"/>
        <v>#REF!</v>
      </c>
    </row>
    <row r="32" spans="1:59" ht="27">
      <c r="A32" s="333">
        <v>2</v>
      </c>
      <c r="B32" s="333" t="s">
        <v>1607</v>
      </c>
      <c r="C32" s="256">
        <v>28</v>
      </c>
      <c r="D32" s="322" t="s">
        <v>67</v>
      </c>
      <c r="E32" s="256" t="s">
        <v>9</v>
      </c>
      <c r="F32" s="425">
        <f t="array" ref="F32">MAX((IF(MNU_CODIGO_ALIMENTO_ENTREGA=CONCATENATE($C32,"_","P_"),MNU_GRAMAJE_REQUERIDO_TIPOA,"")))</f>
        <v>30</v>
      </c>
      <c r="G32" s="257">
        <f t="shared" si="0"/>
        <v>35280</v>
      </c>
      <c r="H32" s="257">
        <f t="shared" si="1"/>
        <v>14003</v>
      </c>
      <c r="I32" s="257">
        <f t="shared" si="2"/>
        <v>49283</v>
      </c>
      <c r="J32" s="258">
        <f t="shared" si="3"/>
        <v>7973280</v>
      </c>
      <c r="K32" s="258">
        <f t="shared" si="4"/>
        <v>3164678</v>
      </c>
      <c r="L32" s="258">
        <f t="shared" si="5"/>
        <v>11137958</v>
      </c>
      <c r="M32" s="426">
        <f t="array" ref="M32">MAX((IF(MNU_CODIGO_ALIMENTO_ENTREGA=CONCATENATE($C32,"_","P_"),MNU_GRAMAJE_REQUERIDO_TIPOB,"")))</f>
        <v>40</v>
      </c>
      <c r="N32" s="343">
        <f t="shared" si="6"/>
        <v>47946</v>
      </c>
      <c r="O32" s="343">
        <f t="shared" si="7"/>
        <v>13091</v>
      </c>
      <c r="P32" s="343">
        <f t="shared" si="8"/>
        <v>61037</v>
      </c>
      <c r="Q32" s="344">
        <f t="shared" si="9"/>
        <v>14431746</v>
      </c>
      <c r="R32" s="344">
        <f t="shared" si="10"/>
        <v>3940391</v>
      </c>
      <c r="S32" s="344">
        <f t="shared" si="11"/>
        <v>18372137</v>
      </c>
      <c r="T32" s="348">
        <f t="array" ref="T32">MAX((IF(MNU_CODIGO_ALIMENTO_ENTREGA=CONCATENATE($C32,"_","P_"),MNU_GRAMAJE_REQUERIDO_TIPOC,"")))</f>
        <v>60</v>
      </c>
      <c r="U32" s="257">
        <f t="shared" si="12"/>
        <v>48600</v>
      </c>
      <c r="V32" s="257">
        <f t="shared" si="13"/>
        <v>32034</v>
      </c>
      <c r="W32" s="257">
        <f t="shared" si="14"/>
        <v>80634</v>
      </c>
      <c r="X32" s="258">
        <f t="shared" si="15"/>
        <v>21918600</v>
      </c>
      <c r="Y32" s="258">
        <f t="shared" si="16"/>
        <v>14447334</v>
      </c>
      <c r="Z32" s="258">
        <f t="shared" si="17"/>
        <v>36365934</v>
      </c>
      <c r="AA32" s="256">
        <f t="array" ref="AA32">MAX((IF(MNU_CODIGO_ALIMENTO_ENTREGA=CONCATENATE($C32,"_","P_"),MNU_GRAMAJE_REQUERIDO_TIPOM,"")))</f>
        <v>40</v>
      </c>
      <c r="AB32" s="259">
        <f t="shared" si="18"/>
        <v>2100</v>
      </c>
      <c r="AC32" s="259">
        <v>0</v>
      </c>
      <c r="AD32" s="259">
        <f t="shared" si="19"/>
        <v>2100</v>
      </c>
      <c r="AE32" s="260">
        <f t="shared" si="20"/>
        <v>632100</v>
      </c>
      <c r="AF32" s="260">
        <v>0</v>
      </c>
      <c r="AG32" s="260">
        <f t="shared" si="21"/>
        <v>632100</v>
      </c>
      <c r="AH32" s="348">
        <f t="array" ref="AH32">MAX((IF(MNU_CODIGO_ALIMENTO_ENTREGA=CONCATENATE($C32,"_","P_"),MNU_GRAMAJE_REQUERIDO_TIPOH,"")))</f>
        <v>60</v>
      </c>
      <c r="AI32" s="257">
        <f t="shared" si="22"/>
        <v>1746</v>
      </c>
      <c r="AJ32" s="257">
        <v>0</v>
      </c>
      <c r="AK32" s="257">
        <f t="shared" si="23"/>
        <v>1746</v>
      </c>
      <c r="AL32" s="258">
        <f t="shared" si="24"/>
        <v>787446</v>
      </c>
      <c r="AM32" s="258">
        <v>0</v>
      </c>
      <c r="AN32" s="258">
        <f t="shared" si="25"/>
        <v>787446</v>
      </c>
      <c r="AO32" s="451">
        <f t="shared" si="26"/>
        <v>194800</v>
      </c>
      <c r="AP32" s="450">
        <f t="shared" si="27"/>
        <v>67295575</v>
      </c>
      <c r="AQ32" s="261" t="e">
        <f>#REF!+AH32+AA32+T32+M32</f>
        <v>#REF!</v>
      </c>
      <c r="AR32" s="261">
        <f t="shared" si="28"/>
        <v>67395967</v>
      </c>
      <c r="AS32" s="261" t="e">
        <f t="shared" si="29"/>
        <v>#REF!</v>
      </c>
      <c r="AT32" s="261">
        <f t="shared" si="30"/>
        <v>67541484</v>
      </c>
      <c r="AU32" s="261" t="e">
        <f t="shared" si="31"/>
        <v>#REF!</v>
      </c>
      <c r="AV32" s="261">
        <f t="shared" si="32"/>
        <v>85929209</v>
      </c>
      <c r="AW32" s="261" t="e">
        <f t="shared" si="33"/>
        <v>#REF!</v>
      </c>
      <c r="AX32" s="261" t="e">
        <f>AV32+#REF!+AH32+AA32+T32</f>
        <v>#REF!</v>
      </c>
      <c r="AY32" s="261" t="e">
        <f t="shared" si="34"/>
        <v>#REF!</v>
      </c>
      <c r="AZ32" s="261" t="e">
        <f t="shared" si="35"/>
        <v>#REF!</v>
      </c>
      <c r="BA32" s="261" t="e">
        <f t="shared" si="36"/>
        <v>#REF!</v>
      </c>
      <c r="BB32" s="261" t="e">
        <f t="shared" si="37"/>
        <v>#REF!</v>
      </c>
      <c r="BC32" s="261" t="e">
        <f t="shared" si="38"/>
        <v>#REF!</v>
      </c>
      <c r="BD32" s="261" t="e">
        <f t="shared" si="39"/>
        <v>#REF!</v>
      </c>
      <c r="BE32" s="261" t="e">
        <f>BC32+AV32+#REF!+AH32+AA32</f>
        <v>#REF!</v>
      </c>
      <c r="BF32" s="261" t="e">
        <f t="shared" si="40"/>
        <v>#REF!</v>
      </c>
      <c r="BG32" s="261" t="e">
        <f t="shared" si="41"/>
        <v>#REF!</v>
      </c>
    </row>
    <row r="33" spans="1:59" ht="15.75">
      <c r="A33" s="333">
        <v>2</v>
      </c>
      <c r="B33" s="333" t="s">
        <v>1607</v>
      </c>
      <c r="C33" s="256">
        <v>30</v>
      </c>
      <c r="D33" s="322" t="s">
        <v>63</v>
      </c>
      <c r="E33" s="256" t="s">
        <v>9</v>
      </c>
      <c r="F33" s="425">
        <f t="array" ref="F33">MAX((IF(MNU_CODIGO_ALIMENTO_ENTREGA=CONCATENATE($C33,"_","P_"),MNU_GRAMAJE_REQUERIDO_TIPOA,"")))</f>
        <v>30</v>
      </c>
      <c r="G33" s="257">
        <f t="shared" si="0"/>
        <v>94080</v>
      </c>
      <c r="H33" s="257">
        <f t="shared" si="1"/>
        <v>0</v>
      </c>
      <c r="I33" s="257">
        <f t="shared" si="2"/>
        <v>94080</v>
      </c>
      <c r="J33" s="258">
        <f t="shared" si="3"/>
        <v>31234560</v>
      </c>
      <c r="K33" s="258">
        <f t="shared" si="4"/>
        <v>0</v>
      </c>
      <c r="L33" s="258">
        <f t="shared" si="5"/>
        <v>31234560</v>
      </c>
      <c r="M33" s="426">
        <f t="array" ref="M33">MAX((IF(MNU_CODIGO_ALIMENTO_ENTREGA=CONCATENATE($C33,"_","P_"),MNU_GRAMAJE_REQUERIDO_TIPOB,"")))</f>
        <v>30</v>
      </c>
      <c r="N33" s="343">
        <f t="shared" si="6"/>
        <v>127856</v>
      </c>
      <c r="O33" s="343">
        <f t="shared" si="7"/>
        <v>0</v>
      </c>
      <c r="P33" s="343">
        <f t="shared" si="8"/>
        <v>127856</v>
      </c>
      <c r="Q33" s="344">
        <f t="shared" si="9"/>
        <v>42448192</v>
      </c>
      <c r="R33" s="344">
        <f t="shared" si="10"/>
        <v>0</v>
      </c>
      <c r="S33" s="344">
        <f t="shared" si="11"/>
        <v>42448192</v>
      </c>
      <c r="T33" s="348">
        <f t="array" ref="T33">MAX((IF(MNU_CODIGO_ALIMENTO_ENTREGA=CONCATENATE($C33,"_","P_"),MNU_GRAMAJE_REQUERIDO_TIPOC,"")))</f>
        <v>30</v>
      </c>
      <c r="U33" s="257">
        <f t="shared" si="12"/>
        <v>129600</v>
      </c>
      <c r="V33" s="257">
        <f t="shared" si="13"/>
        <v>0</v>
      </c>
      <c r="W33" s="257">
        <f t="shared" si="14"/>
        <v>129600</v>
      </c>
      <c r="X33" s="258">
        <f t="shared" si="15"/>
        <v>43027200</v>
      </c>
      <c r="Y33" s="258">
        <f t="shared" si="16"/>
        <v>0</v>
      </c>
      <c r="Z33" s="258">
        <f t="shared" si="17"/>
        <v>43027200</v>
      </c>
      <c r="AA33" s="256">
        <f t="array" ref="AA33">MAX((IF(MNU_CODIGO_ALIMENTO_ENTREGA=CONCATENATE($C33,"_","P_"),MNU_GRAMAJE_REQUERIDO_TIPOM,"")))</f>
        <v>30</v>
      </c>
      <c r="AB33" s="259">
        <f t="shared" si="18"/>
        <v>5600</v>
      </c>
      <c r="AC33" s="259">
        <v>0</v>
      </c>
      <c r="AD33" s="259">
        <f t="shared" si="19"/>
        <v>5600</v>
      </c>
      <c r="AE33" s="260">
        <f t="shared" si="20"/>
        <v>1859200</v>
      </c>
      <c r="AF33" s="260">
        <v>0</v>
      </c>
      <c r="AG33" s="260">
        <f t="shared" si="21"/>
        <v>1859200</v>
      </c>
      <c r="AH33" s="348">
        <f t="array" ref="AH33">MAX((IF(MNU_CODIGO_ALIMENTO_ENTREGA=CONCATENATE($C33,"_","P_"),MNU_GRAMAJE_REQUERIDO_TIPOH,"")))</f>
        <v>30</v>
      </c>
      <c r="AI33" s="257">
        <f t="shared" si="22"/>
        <v>4656</v>
      </c>
      <c r="AJ33" s="257">
        <v>0</v>
      </c>
      <c r="AK33" s="257">
        <f t="shared" si="23"/>
        <v>4656</v>
      </c>
      <c r="AL33" s="258">
        <f t="shared" si="24"/>
        <v>1545792</v>
      </c>
      <c r="AM33" s="258">
        <v>0</v>
      </c>
      <c r="AN33" s="258">
        <f t="shared" si="25"/>
        <v>1545792</v>
      </c>
      <c r="AO33" s="451">
        <f t="shared" si="26"/>
        <v>361792</v>
      </c>
      <c r="AP33" s="450">
        <f t="shared" si="27"/>
        <v>120114944</v>
      </c>
      <c r="AQ33" s="261" t="e">
        <f>#REF!+AH33+AA33+T33+M33</f>
        <v>#REF!</v>
      </c>
      <c r="AR33" s="261">
        <f t="shared" si="28"/>
        <v>120382656</v>
      </c>
      <c r="AS33" s="261" t="e">
        <f t="shared" si="29"/>
        <v>#REF!</v>
      </c>
      <c r="AT33" s="261">
        <f t="shared" si="30"/>
        <v>120650368</v>
      </c>
      <c r="AU33" s="261" t="e">
        <f t="shared" si="31"/>
        <v>#REF!</v>
      </c>
      <c r="AV33" s="261">
        <f t="shared" si="32"/>
        <v>120650368</v>
      </c>
      <c r="AW33" s="261" t="e">
        <f t="shared" si="33"/>
        <v>#REF!</v>
      </c>
      <c r="AX33" s="261" t="e">
        <f>AV33+#REF!+AH33+AA33+T33</f>
        <v>#REF!</v>
      </c>
      <c r="AY33" s="261" t="e">
        <f t="shared" si="34"/>
        <v>#REF!</v>
      </c>
      <c r="AZ33" s="261" t="e">
        <f t="shared" si="35"/>
        <v>#REF!</v>
      </c>
      <c r="BA33" s="261" t="e">
        <f t="shared" si="36"/>
        <v>#REF!</v>
      </c>
      <c r="BB33" s="261" t="e">
        <f t="shared" si="37"/>
        <v>#REF!</v>
      </c>
      <c r="BC33" s="261" t="e">
        <f t="shared" si="38"/>
        <v>#REF!</v>
      </c>
      <c r="BD33" s="261" t="e">
        <f t="shared" si="39"/>
        <v>#REF!</v>
      </c>
      <c r="BE33" s="261" t="e">
        <f>BC33+AV33+#REF!+AH33+AA33</f>
        <v>#REF!</v>
      </c>
      <c r="BF33" s="261" t="e">
        <f t="shared" si="40"/>
        <v>#REF!</v>
      </c>
      <c r="BG33" s="261" t="e">
        <f t="shared" si="41"/>
        <v>#REF!</v>
      </c>
    </row>
    <row r="34" spans="1:59" ht="15.75">
      <c r="A34" s="333">
        <v>2</v>
      </c>
      <c r="B34" s="333" t="s">
        <v>1607</v>
      </c>
      <c r="C34" s="256">
        <v>45</v>
      </c>
      <c r="D34" s="322" t="s">
        <v>10</v>
      </c>
      <c r="E34" s="256" t="s">
        <v>9</v>
      </c>
      <c r="F34" s="425">
        <f t="array" ref="F34">MAX((IF(MNU_CODIGO_ALIMENTO_ENTREGA=CONCATENATE($C34,"_","P_"),MNU_GRAMAJE_REQUERIDO_TIPOA,"")))</f>
        <v>20</v>
      </c>
      <c r="G34" s="257">
        <f t="shared" si="0"/>
        <v>94080</v>
      </c>
      <c r="H34" s="257">
        <f t="shared" si="1"/>
        <v>14740</v>
      </c>
      <c r="I34" s="257">
        <f t="shared" si="2"/>
        <v>108820</v>
      </c>
      <c r="J34" s="258">
        <f t="shared" si="3"/>
        <v>18721920</v>
      </c>
      <c r="K34" s="258">
        <f t="shared" si="4"/>
        <v>2933260</v>
      </c>
      <c r="L34" s="258">
        <f t="shared" si="5"/>
        <v>21655180</v>
      </c>
      <c r="M34" s="426">
        <f t="array" ref="M34">MAX((IF(MNU_CODIGO_ALIMENTO_ENTREGA=CONCATENATE($C34,"_","P_"),MNU_GRAMAJE_REQUERIDO_TIPOB,"")))</f>
        <v>30</v>
      </c>
      <c r="N34" s="343">
        <f t="shared" si="6"/>
        <v>127856</v>
      </c>
      <c r="O34" s="343">
        <f t="shared" si="7"/>
        <v>13780</v>
      </c>
      <c r="P34" s="343">
        <f t="shared" si="8"/>
        <v>141636</v>
      </c>
      <c r="Q34" s="344">
        <f t="shared" si="9"/>
        <v>38101088</v>
      </c>
      <c r="R34" s="344">
        <f t="shared" si="10"/>
        <v>4106440</v>
      </c>
      <c r="S34" s="344">
        <f t="shared" si="11"/>
        <v>42207528</v>
      </c>
      <c r="T34" s="348">
        <f t="array" ref="T34">MAX((IF(MNU_CODIGO_ALIMENTO_ENTREGA=CONCATENATE($C34,"_","P_"),MNU_GRAMAJE_REQUERIDO_TIPOC,"")))</f>
        <v>60</v>
      </c>
      <c r="U34" s="257">
        <f t="shared" si="12"/>
        <v>129600</v>
      </c>
      <c r="V34" s="257">
        <f t="shared" si="13"/>
        <v>33720</v>
      </c>
      <c r="W34" s="257">
        <f t="shared" si="14"/>
        <v>163320</v>
      </c>
      <c r="X34" s="258">
        <f t="shared" si="15"/>
        <v>77371200</v>
      </c>
      <c r="Y34" s="258">
        <f t="shared" si="16"/>
        <v>20130840</v>
      </c>
      <c r="Z34" s="258">
        <f t="shared" si="17"/>
        <v>97502040</v>
      </c>
      <c r="AA34" s="256">
        <f t="array" ref="AA34">MAX((IF(MNU_CODIGO_ALIMENTO_ENTREGA=CONCATENATE($C34,"_","P_"),MNU_GRAMAJE_REQUERIDO_TIPOM,"")))</f>
        <v>30</v>
      </c>
      <c r="AB34" s="259">
        <f t="shared" si="18"/>
        <v>5600</v>
      </c>
      <c r="AC34" s="259">
        <v>0</v>
      </c>
      <c r="AD34" s="259">
        <f t="shared" si="19"/>
        <v>5600</v>
      </c>
      <c r="AE34" s="260">
        <f t="shared" si="20"/>
        <v>1668800</v>
      </c>
      <c r="AF34" s="260">
        <v>0</v>
      </c>
      <c r="AG34" s="260">
        <f t="shared" si="21"/>
        <v>1668800</v>
      </c>
      <c r="AH34" s="348">
        <f t="array" ref="AH34">MAX((IF(MNU_CODIGO_ALIMENTO_ENTREGA=CONCATENATE($C34,"_","P_"),MNU_GRAMAJE_REQUERIDO_TIPOH,"")))</f>
        <v>60</v>
      </c>
      <c r="AI34" s="257">
        <f t="shared" si="22"/>
        <v>4656</v>
      </c>
      <c r="AJ34" s="257">
        <v>0</v>
      </c>
      <c r="AK34" s="257">
        <f t="shared" si="23"/>
        <v>4656</v>
      </c>
      <c r="AL34" s="258">
        <f t="shared" si="24"/>
        <v>2779632</v>
      </c>
      <c r="AM34" s="258">
        <v>0</v>
      </c>
      <c r="AN34" s="258">
        <f t="shared" si="25"/>
        <v>2779632</v>
      </c>
      <c r="AO34" s="451">
        <f t="shared" si="26"/>
        <v>424032</v>
      </c>
      <c r="AP34" s="450">
        <f t="shared" si="27"/>
        <v>165813180</v>
      </c>
      <c r="AQ34" s="261" t="e">
        <f>#REF!+AH34+AA34+T34+M34</f>
        <v>#REF!</v>
      </c>
      <c r="AR34" s="261">
        <f t="shared" si="28"/>
        <v>166080892</v>
      </c>
      <c r="AS34" s="261" t="e">
        <f t="shared" si="29"/>
        <v>#REF!</v>
      </c>
      <c r="AT34" s="261">
        <f t="shared" si="30"/>
        <v>166396104</v>
      </c>
      <c r="AU34" s="261" t="e">
        <f t="shared" si="31"/>
        <v>#REF!</v>
      </c>
      <c r="AV34" s="261">
        <f t="shared" si="32"/>
        <v>190633384</v>
      </c>
      <c r="AW34" s="261" t="e">
        <f t="shared" si="33"/>
        <v>#REF!</v>
      </c>
      <c r="AX34" s="261" t="e">
        <f>AV34+#REF!+AH34+AA34+T34</f>
        <v>#REF!</v>
      </c>
      <c r="AY34" s="261" t="e">
        <f t="shared" si="34"/>
        <v>#REF!</v>
      </c>
      <c r="AZ34" s="261" t="e">
        <f t="shared" si="35"/>
        <v>#REF!</v>
      </c>
      <c r="BA34" s="261" t="e">
        <f t="shared" si="36"/>
        <v>#REF!</v>
      </c>
      <c r="BB34" s="261" t="e">
        <f t="shared" si="37"/>
        <v>#REF!</v>
      </c>
      <c r="BC34" s="261" t="e">
        <f t="shared" si="38"/>
        <v>#REF!</v>
      </c>
      <c r="BD34" s="261" t="e">
        <f t="shared" si="39"/>
        <v>#REF!</v>
      </c>
      <c r="BE34" s="261" t="e">
        <f>BC34+AV34+#REF!+AH34+AA34</f>
        <v>#REF!</v>
      </c>
      <c r="BF34" s="261" t="e">
        <f t="shared" si="40"/>
        <v>#REF!</v>
      </c>
      <c r="BG34" s="261" t="e">
        <f t="shared" si="41"/>
        <v>#REF!</v>
      </c>
    </row>
    <row r="35" spans="1:59" ht="15.75">
      <c r="A35" s="333">
        <v>2</v>
      </c>
      <c r="B35" s="333" t="s">
        <v>1607</v>
      </c>
      <c r="C35" s="256">
        <v>50</v>
      </c>
      <c r="D35" s="322" t="s">
        <v>65</v>
      </c>
      <c r="E35" s="256" t="s">
        <v>9</v>
      </c>
      <c r="F35" s="425">
        <f t="array" ref="F35">MAX((IF(MNU_CODIGO_ALIMENTO_ENTREGA=CONCATENATE($C35,"_","P_"),MNU_GRAMAJE_REQUERIDO_TIPOA,"")))</f>
        <v>30</v>
      </c>
      <c r="G35" s="257">
        <f t="shared" si="0"/>
        <v>99960</v>
      </c>
      <c r="H35" s="257">
        <f t="shared" si="1"/>
        <v>0</v>
      </c>
      <c r="I35" s="257">
        <f t="shared" si="2"/>
        <v>99960</v>
      </c>
      <c r="J35" s="258">
        <f t="shared" si="3"/>
        <v>32087160</v>
      </c>
      <c r="K35" s="258">
        <f t="shared" si="4"/>
        <v>0</v>
      </c>
      <c r="L35" s="258">
        <f t="shared" si="5"/>
        <v>32087160</v>
      </c>
      <c r="M35" s="426">
        <f t="array" ref="M35">MAX((IF(MNU_CODIGO_ALIMENTO_ENTREGA=CONCATENATE($C35,"_","P_"),MNU_GRAMAJE_REQUERIDO_TIPOB,"")))</f>
        <v>40</v>
      </c>
      <c r="N35" s="343">
        <f t="shared" si="6"/>
        <v>135847</v>
      </c>
      <c r="O35" s="343">
        <f t="shared" si="7"/>
        <v>0</v>
      </c>
      <c r="P35" s="343">
        <f t="shared" si="8"/>
        <v>135847</v>
      </c>
      <c r="Q35" s="344">
        <f t="shared" si="9"/>
        <v>58142516</v>
      </c>
      <c r="R35" s="344">
        <f t="shared" si="10"/>
        <v>0</v>
      </c>
      <c r="S35" s="344">
        <f t="shared" si="11"/>
        <v>58142516</v>
      </c>
      <c r="T35" s="348">
        <f t="array" ref="T35">MAX((IF(MNU_CODIGO_ALIMENTO_ENTREGA=CONCATENATE($C35,"_","P_"),MNU_GRAMAJE_REQUERIDO_TIPOC,"")))</f>
        <v>80</v>
      </c>
      <c r="U35" s="257">
        <f t="shared" si="12"/>
        <v>137700</v>
      </c>
      <c r="V35" s="257">
        <f t="shared" si="13"/>
        <v>0</v>
      </c>
      <c r="W35" s="257">
        <f t="shared" si="14"/>
        <v>137700</v>
      </c>
      <c r="X35" s="258">
        <f t="shared" si="15"/>
        <v>117733500</v>
      </c>
      <c r="Y35" s="258">
        <f t="shared" si="16"/>
        <v>0</v>
      </c>
      <c r="Z35" s="258">
        <f t="shared" si="17"/>
        <v>117733500</v>
      </c>
      <c r="AA35" s="256">
        <f t="array" ref="AA35">MAX((IF(MNU_CODIGO_ALIMENTO_ENTREGA=CONCATENATE($C35,"_","P_"),MNU_GRAMAJE_REQUERIDO_TIPOM,"")))</f>
        <v>40</v>
      </c>
      <c r="AB35" s="259">
        <f t="shared" si="18"/>
        <v>5950</v>
      </c>
      <c r="AC35" s="259">
        <v>0</v>
      </c>
      <c r="AD35" s="259">
        <f t="shared" si="19"/>
        <v>5950</v>
      </c>
      <c r="AE35" s="260">
        <f t="shared" si="20"/>
        <v>2546600</v>
      </c>
      <c r="AF35" s="260">
        <v>0</v>
      </c>
      <c r="AG35" s="260">
        <f t="shared" si="21"/>
        <v>2546600</v>
      </c>
      <c r="AH35" s="348">
        <f t="array" ref="AH35">MAX((IF(MNU_CODIGO_ALIMENTO_ENTREGA=CONCATENATE($C35,"_","P_"),MNU_GRAMAJE_REQUERIDO_TIPOH,"")))</f>
        <v>80</v>
      </c>
      <c r="AI35" s="257">
        <f t="shared" si="22"/>
        <v>4947</v>
      </c>
      <c r="AJ35" s="257">
        <v>0</v>
      </c>
      <c r="AK35" s="257">
        <f t="shared" si="23"/>
        <v>4947</v>
      </c>
      <c r="AL35" s="258">
        <f t="shared" si="24"/>
        <v>4229685</v>
      </c>
      <c r="AM35" s="258">
        <v>0</v>
      </c>
      <c r="AN35" s="258">
        <f t="shared" si="25"/>
        <v>4229685</v>
      </c>
      <c r="AO35" s="451">
        <f t="shared" si="26"/>
        <v>384404</v>
      </c>
      <c r="AP35" s="450">
        <f t="shared" si="27"/>
        <v>214739461</v>
      </c>
      <c r="AQ35" s="261" t="e">
        <f>#REF!+AH35+AA35+T35+M35</f>
        <v>#REF!</v>
      </c>
      <c r="AR35" s="261">
        <f t="shared" si="28"/>
        <v>215023905</v>
      </c>
      <c r="AS35" s="261" t="e">
        <f t="shared" si="29"/>
        <v>#REF!</v>
      </c>
      <c r="AT35" s="261">
        <f t="shared" si="30"/>
        <v>215308349</v>
      </c>
      <c r="AU35" s="261" t="e">
        <f t="shared" si="31"/>
        <v>#REF!</v>
      </c>
      <c r="AV35" s="261">
        <f t="shared" si="32"/>
        <v>215308349</v>
      </c>
      <c r="AW35" s="261" t="e">
        <f t="shared" si="33"/>
        <v>#REF!</v>
      </c>
      <c r="AX35" s="261" t="e">
        <f>AV35+#REF!+AH35+AA35+T35</f>
        <v>#REF!</v>
      </c>
      <c r="AY35" s="261" t="e">
        <f t="shared" si="34"/>
        <v>#REF!</v>
      </c>
      <c r="AZ35" s="261" t="e">
        <f t="shared" si="35"/>
        <v>#REF!</v>
      </c>
      <c r="BA35" s="261" t="e">
        <f t="shared" si="36"/>
        <v>#REF!</v>
      </c>
      <c r="BB35" s="261" t="e">
        <f t="shared" si="37"/>
        <v>#REF!</v>
      </c>
      <c r="BC35" s="261" t="e">
        <f t="shared" si="38"/>
        <v>#REF!</v>
      </c>
      <c r="BD35" s="261" t="e">
        <f t="shared" si="39"/>
        <v>#REF!</v>
      </c>
      <c r="BE35" s="261" t="e">
        <f>BC35+AV35+#REF!+AH35+AA35</f>
        <v>#REF!</v>
      </c>
      <c r="BF35" s="261" t="e">
        <f t="shared" si="40"/>
        <v>#REF!</v>
      </c>
      <c r="BG35" s="261" t="e">
        <f t="shared" si="41"/>
        <v>#REF!</v>
      </c>
    </row>
    <row r="36" spans="1:59" ht="15.75">
      <c r="A36" s="333">
        <v>2</v>
      </c>
      <c r="B36" s="333" t="s">
        <v>1607</v>
      </c>
      <c r="C36" s="256">
        <v>61</v>
      </c>
      <c r="D36" s="322" t="s">
        <v>13</v>
      </c>
      <c r="E36" s="256" t="s">
        <v>9</v>
      </c>
      <c r="F36" s="425">
        <f t="array" ref="F36">MAX((IF(MNU_CODIGO_ALIMENTO_ENTREGA=CONCATENATE($C36,"_","P_"),MNU_GRAMAJE_REQUERIDO_TIPOA,"")))</f>
        <v>20</v>
      </c>
      <c r="G36" s="257">
        <f t="shared" si="0"/>
        <v>94080</v>
      </c>
      <c r="H36" s="257">
        <f t="shared" si="1"/>
        <v>14740</v>
      </c>
      <c r="I36" s="257">
        <f t="shared" si="2"/>
        <v>108820</v>
      </c>
      <c r="J36" s="258">
        <f t="shared" si="3"/>
        <v>21920640</v>
      </c>
      <c r="K36" s="258">
        <f t="shared" si="4"/>
        <v>3434420</v>
      </c>
      <c r="L36" s="258">
        <f t="shared" si="5"/>
        <v>25355060</v>
      </c>
      <c r="M36" s="426">
        <f t="array" ref="M36">MAX((IF(MNU_CODIGO_ALIMENTO_ENTREGA=CONCATENATE($C36,"_","P_"),MNU_GRAMAJE_REQUERIDO_TIPOB,"")))</f>
        <v>30</v>
      </c>
      <c r="N36" s="343">
        <f t="shared" si="6"/>
        <v>127856</v>
      </c>
      <c r="O36" s="343">
        <f t="shared" si="7"/>
        <v>13780</v>
      </c>
      <c r="P36" s="343">
        <f t="shared" si="8"/>
        <v>141636</v>
      </c>
      <c r="Q36" s="344">
        <f t="shared" si="9"/>
        <v>44877456</v>
      </c>
      <c r="R36" s="344">
        <f t="shared" si="10"/>
        <v>4836780</v>
      </c>
      <c r="S36" s="344">
        <f t="shared" si="11"/>
        <v>49714236</v>
      </c>
      <c r="T36" s="348">
        <f t="array" ref="T36">MAX((IF(MNU_CODIGO_ALIMENTO_ENTREGA=CONCATENATE($C36,"_","P_"),MNU_GRAMAJE_REQUERIDO_TIPOC,"")))</f>
        <v>70</v>
      </c>
      <c r="U36" s="257">
        <f t="shared" si="12"/>
        <v>129600</v>
      </c>
      <c r="V36" s="257">
        <f t="shared" si="13"/>
        <v>33720</v>
      </c>
      <c r="W36" s="257">
        <f t="shared" si="14"/>
        <v>163320</v>
      </c>
      <c r="X36" s="258">
        <f t="shared" si="15"/>
        <v>106012800</v>
      </c>
      <c r="Y36" s="258">
        <f t="shared" si="16"/>
        <v>27582960</v>
      </c>
      <c r="Z36" s="258">
        <f t="shared" si="17"/>
        <v>133595760</v>
      </c>
      <c r="AA36" s="256">
        <f t="array" ref="AA36">MAX((IF(MNU_CODIGO_ALIMENTO_ENTREGA=CONCATENATE($C36,"_","P_"),MNU_GRAMAJE_REQUERIDO_TIPOM,"")))</f>
        <v>30</v>
      </c>
      <c r="AB36" s="259">
        <f t="shared" si="18"/>
        <v>5600</v>
      </c>
      <c r="AC36" s="259">
        <v>0</v>
      </c>
      <c r="AD36" s="259">
        <f t="shared" si="19"/>
        <v>5600</v>
      </c>
      <c r="AE36" s="260">
        <f t="shared" si="20"/>
        <v>1965600</v>
      </c>
      <c r="AF36" s="260">
        <v>0</v>
      </c>
      <c r="AG36" s="260">
        <f t="shared" si="21"/>
        <v>1965600</v>
      </c>
      <c r="AH36" s="348">
        <f t="array" ref="AH36">MAX((IF(MNU_CODIGO_ALIMENTO_ENTREGA=CONCATENATE($C36,"_","P_"),MNU_GRAMAJE_REQUERIDO_TIPOH,"")))</f>
        <v>70</v>
      </c>
      <c r="AI36" s="257">
        <f t="shared" si="22"/>
        <v>4656</v>
      </c>
      <c r="AJ36" s="257">
        <v>0</v>
      </c>
      <c r="AK36" s="257">
        <f t="shared" si="23"/>
        <v>4656</v>
      </c>
      <c r="AL36" s="258">
        <f t="shared" si="24"/>
        <v>3808608</v>
      </c>
      <c r="AM36" s="258">
        <v>0</v>
      </c>
      <c r="AN36" s="258">
        <f t="shared" si="25"/>
        <v>3808608</v>
      </c>
      <c r="AO36" s="451">
        <f t="shared" si="26"/>
        <v>424032</v>
      </c>
      <c r="AP36" s="450">
        <f t="shared" si="27"/>
        <v>214439264</v>
      </c>
      <c r="AQ36" s="261" t="e">
        <f>#REF!+AH36+AA36+T36+M36</f>
        <v>#REF!</v>
      </c>
      <c r="AR36" s="261">
        <f t="shared" si="28"/>
        <v>214706976</v>
      </c>
      <c r="AS36" s="261" t="e">
        <f t="shared" si="29"/>
        <v>#REF!</v>
      </c>
      <c r="AT36" s="261">
        <f t="shared" si="30"/>
        <v>215022188</v>
      </c>
      <c r="AU36" s="261" t="e">
        <f t="shared" si="31"/>
        <v>#REF!</v>
      </c>
      <c r="AV36" s="261">
        <f t="shared" si="32"/>
        <v>247441928</v>
      </c>
      <c r="AW36" s="261" t="e">
        <f t="shared" si="33"/>
        <v>#REF!</v>
      </c>
      <c r="AX36" s="261" t="e">
        <f>AV36+#REF!+AH36+AA36+T36</f>
        <v>#REF!</v>
      </c>
      <c r="AY36" s="261" t="e">
        <f t="shared" si="34"/>
        <v>#REF!</v>
      </c>
      <c r="AZ36" s="261" t="e">
        <f t="shared" si="35"/>
        <v>#REF!</v>
      </c>
      <c r="BA36" s="261" t="e">
        <f t="shared" si="36"/>
        <v>#REF!</v>
      </c>
      <c r="BB36" s="261" t="e">
        <f t="shared" si="37"/>
        <v>#REF!</v>
      </c>
      <c r="BC36" s="261" t="e">
        <f t="shared" si="38"/>
        <v>#REF!</v>
      </c>
      <c r="BD36" s="261" t="e">
        <f t="shared" si="39"/>
        <v>#REF!</v>
      </c>
      <c r="BE36" s="261" t="e">
        <f>BC36+AV36+#REF!+AH36+AA36</f>
        <v>#REF!</v>
      </c>
      <c r="BF36" s="261" t="e">
        <f t="shared" si="40"/>
        <v>#REF!</v>
      </c>
      <c r="BG36" s="261" t="e">
        <f t="shared" si="41"/>
        <v>#REF!</v>
      </c>
    </row>
    <row r="37" spans="1:59" ht="15.75">
      <c r="A37" s="333">
        <v>2</v>
      </c>
      <c r="B37" s="333" t="s">
        <v>1607</v>
      </c>
      <c r="C37" s="256">
        <v>62</v>
      </c>
      <c r="D37" s="322" t="s">
        <v>68</v>
      </c>
      <c r="E37" s="256" t="s">
        <v>9</v>
      </c>
      <c r="F37" s="425">
        <f t="array" ref="F37">MAX((IF(MNU_CODIGO_ALIMENTO_ENTREGA=CONCATENATE($C37,"_","P_"),MNU_GRAMAJE_REQUERIDO_TIPOA,"")))</f>
        <v>50</v>
      </c>
      <c r="G37" s="257">
        <f t="shared" si="0"/>
        <v>29400</v>
      </c>
      <c r="H37" s="257">
        <f t="shared" si="1"/>
        <v>0</v>
      </c>
      <c r="I37" s="257">
        <f t="shared" si="2"/>
        <v>29400</v>
      </c>
      <c r="J37" s="258">
        <f t="shared" si="3"/>
        <v>18375000</v>
      </c>
      <c r="K37" s="258">
        <f t="shared" si="4"/>
        <v>0</v>
      </c>
      <c r="L37" s="258">
        <f t="shared" si="5"/>
        <v>18375000</v>
      </c>
      <c r="M37" s="426">
        <f t="array" ref="M37">MAX((IF(MNU_CODIGO_ALIMENTO_ENTREGA=CONCATENATE($C37,"_","P_"),MNU_GRAMAJE_REQUERIDO_TIPOB,"")))</f>
        <v>50</v>
      </c>
      <c r="N37" s="343">
        <f t="shared" si="6"/>
        <v>39955</v>
      </c>
      <c r="O37" s="343">
        <f t="shared" si="7"/>
        <v>0</v>
      </c>
      <c r="P37" s="343">
        <f t="shared" si="8"/>
        <v>39955</v>
      </c>
      <c r="Q37" s="344">
        <f t="shared" si="9"/>
        <v>24971875</v>
      </c>
      <c r="R37" s="344">
        <f t="shared" si="10"/>
        <v>0</v>
      </c>
      <c r="S37" s="344">
        <f t="shared" si="11"/>
        <v>24971875</v>
      </c>
      <c r="T37" s="348">
        <f t="array" ref="T37">MAX((IF(MNU_CODIGO_ALIMENTO_ENTREGA=CONCATENATE($C37,"_","P_"),MNU_GRAMAJE_REQUERIDO_TIPOC,"")))</f>
        <v>50</v>
      </c>
      <c r="U37" s="257">
        <f t="shared" si="12"/>
        <v>40500</v>
      </c>
      <c r="V37" s="257">
        <f t="shared" si="13"/>
        <v>0</v>
      </c>
      <c r="W37" s="257">
        <f t="shared" si="14"/>
        <v>40500</v>
      </c>
      <c r="X37" s="258">
        <f t="shared" si="15"/>
        <v>25312500</v>
      </c>
      <c r="Y37" s="258">
        <f t="shared" si="16"/>
        <v>0</v>
      </c>
      <c r="Z37" s="258">
        <f t="shared" si="17"/>
        <v>25312500</v>
      </c>
      <c r="AA37" s="256">
        <f t="array" ref="AA37">MAX((IF(MNU_CODIGO_ALIMENTO_ENTREGA=CONCATENATE($C37,"_","P_"),MNU_GRAMAJE_REQUERIDO_TIPOM,"")))</f>
        <v>50</v>
      </c>
      <c r="AB37" s="259">
        <f t="shared" si="18"/>
        <v>1750</v>
      </c>
      <c r="AC37" s="259">
        <v>0</v>
      </c>
      <c r="AD37" s="259">
        <f t="shared" si="19"/>
        <v>1750</v>
      </c>
      <c r="AE37" s="260">
        <f t="shared" si="20"/>
        <v>1093750</v>
      </c>
      <c r="AF37" s="260">
        <v>0</v>
      </c>
      <c r="AG37" s="260">
        <f t="shared" si="21"/>
        <v>1093750</v>
      </c>
      <c r="AH37" s="348">
        <f t="array" ref="AH37">MAX((IF(MNU_CODIGO_ALIMENTO_ENTREGA=CONCATENATE($C37,"_","P_"),MNU_GRAMAJE_REQUERIDO_TIPOH,"")))</f>
        <v>50</v>
      </c>
      <c r="AI37" s="257">
        <f t="shared" si="22"/>
        <v>1455</v>
      </c>
      <c r="AJ37" s="257">
        <v>0</v>
      </c>
      <c r="AK37" s="257">
        <f t="shared" si="23"/>
        <v>1455</v>
      </c>
      <c r="AL37" s="258">
        <f t="shared" si="24"/>
        <v>909375</v>
      </c>
      <c r="AM37" s="258">
        <v>0</v>
      </c>
      <c r="AN37" s="258">
        <f t="shared" si="25"/>
        <v>909375</v>
      </c>
      <c r="AO37" s="451">
        <f t="shared" si="26"/>
        <v>113060</v>
      </c>
      <c r="AP37" s="450">
        <f t="shared" si="27"/>
        <v>70662500</v>
      </c>
      <c r="AQ37" s="261" t="e">
        <f>#REF!+AH37+AA37+T37+M37</f>
        <v>#REF!</v>
      </c>
      <c r="AR37" s="261">
        <f t="shared" si="28"/>
        <v>70746160</v>
      </c>
      <c r="AS37" s="261" t="e">
        <f t="shared" si="29"/>
        <v>#REF!</v>
      </c>
      <c r="AT37" s="261">
        <f t="shared" si="30"/>
        <v>70829820</v>
      </c>
      <c r="AU37" s="261" t="e">
        <f t="shared" si="31"/>
        <v>#REF!</v>
      </c>
      <c r="AV37" s="261">
        <f t="shared" si="32"/>
        <v>70829820</v>
      </c>
      <c r="AW37" s="261" t="e">
        <f t="shared" si="33"/>
        <v>#REF!</v>
      </c>
      <c r="AX37" s="261" t="e">
        <f>AV37+#REF!+AH37+AA37+T37</f>
        <v>#REF!</v>
      </c>
      <c r="AY37" s="261" t="e">
        <f t="shared" si="34"/>
        <v>#REF!</v>
      </c>
      <c r="AZ37" s="261" t="e">
        <f t="shared" si="35"/>
        <v>#REF!</v>
      </c>
      <c r="BA37" s="261" t="e">
        <f t="shared" si="36"/>
        <v>#REF!</v>
      </c>
      <c r="BB37" s="261" t="e">
        <f t="shared" si="37"/>
        <v>#REF!</v>
      </c>
      <c r="BC37" s="261" t="e">
        <f t="shared" si="38"/>
        <v>#REF!</v>
      </c>
      <c r="BD37" s="261" t="e">
        <f t="shared" si="39"/>
        <v>#REF!</v>
      </c>
      <c r="BE37" s="261" t="e">
        <f>BC37+AV37+#REF!+AH37+AA37</f>
        <v>#REF!</v>
      </c>
      <c r="BF37" s="261" t="e">
        <f t="shared" si="40"/>
        <v>#REF!</v>
      </c>
      <c r="BG37" s="261" t="e">
        <f t="shared" si="41"/>
        <v>#REF!</v>
      </c>
    </row>
    <row r="38" spans="1:59" ht="15.75">
      <c r="A38" s="333">
        <v>3</v>
      </c>
      <c r="B38" s="333" t="s">
        <v>1607</v>
      </c>
      <c r="C38" s="256">
        <v>1</v>
      </c>
      <c r="D38" s="322" t="s">
        <v>16</v>
      </c>
      <c r="E38" s="256" t="s">
        <v>9</v>
      </c>
      <c r="F38" s="425">
        <f t="array" ref="F38">MAX((IF(MNU_CODIGO_ALIMENTO_ENTREGA=CONCATENATE($C38,"_","P_"),MNU_GRAMAJE_REQUERIDO_TIPOA,"")))</f>
        <v>30</v>
      </c>
      <c r="G38" s="257">
        <f t="shared" si="0"/>
        <v>91485</v>
      </c>
      <c r="H38" s="257">
        <f t="shared" si="1"/>
        <v>0</v>
      </c>
      <c r="I38" s="257">
        <f t="shared" si="2"/>
        <v>91485</v>
      </c>
      <c r="J38" s="258">
        <f t="shared" si="3"/>
        <v>73919880</v>
      </c>
      <c r="K38" s="258">
        <f t="shared" si="4"/>
        <v>0</v>
      </c>
      <c r="L38" s="258">
        <f t="shared" si="5"/>
        <v>73919880</v>
      </c>
      <c r="M38" s="426">
        <f t="array" ref="M38">MAX((IF(MNU_CODIGO_ALIMENTO_ENTREGA=CONCATENATE($C38,"_","P_"),MNU_GRAMAJE_REQUERIDO_TIPOB,"")))</f>
        <v>40</v>
      </c>
      <c r="N38" s="343">
        <f t="shared" si="6"/>
        <v>109425</v>
      </c>
      <c r="O38" s="343">
        <f t="shared" si="7"/>
        <v>0</v>
      </c>
      <c r="P38" s="343">
        <f t="shared" si="8"/>
        <v>109425</v>
      </c>
      <c r="Q38" s="344">
        <f t="shared" si="9"/>
        <v>117960150</v>
      </c>
      <c r="R38" s="344">
        <f t="shared" si="10"/>
        <v>0</v>
      </c>
      <c r="S38" s="344">
        <f t="shared" si="11"/>
        <v>117960150</v>
      </c>
      <c r="T38" s="348">
        <f t="array" ref="T38">MAX((IF(MNU_CODIGO_ALIMENTO_ENTREGA=CONCATENATE($C38,"_","P_"),MNU_GRAMAJE_REQUERIDO_TIPOC,"")))</f>
        <v>60</v>
      </c>
      <c r="U38" s="257">
        <f t="shared" si="12"/>
        <v>114150</v>
      </c>
      <c r="V38" s="257">
        <f t="shared" si="13"/>
        <v>0</v>
      </c>
      <c r="W38" s="257">
        <f t="shared" si="14"/>
        <v>114150</v>
      </c>
      <c r="X38" s="258">
        <f t="shared" si="15"/>
        <v>184466400</v>
      </c>
      <c r="Y38" s="258">
        <f t="shared" si="16"/>
        <v>0</v>
      </c>
      <c r="Z38" s="258">
        <f t="shared" si="17"/>
        <v>184466400</v>
      </c>
      <c r="AA38" s="256">
        <f t="array" ref="AA38">MAX((IF(MNU_CODIGO_ALIMENTO_ENTREGA=CONCATENATE($C38,"_","P_"),MNU_GRAMAJE_REQUERIDO_TIPOM,"")))</f>
        <v>40</v>
      </c>
      <c r="AB38" s="259">
        <f t="shared" si="18"/>
        <v>3645</v>
      </c>
      <c r="AC38" s="259">
        <v>0</v>
      </c>
      <c r="AD38" s="259">
        <f t="shared" si="19"/>
        <v>3645</v>
      </c>
      <c r="AE38" s="260">
        <f t="shared" si="20"/>
        <v>3929310</v>
      </c>
      <c r="AF38" s="260">
        <v>0</v>
      </c>
      <c r="AG38" s="260">
        <f t="shared" si="21"/>
        <v>3929310</v>
      </c>
      <c r="AH38" s="348">
        <f t="array" ref="AH38">MAX((IF(MNU_CODIGO_ALIMENTO_ENTREGA=CONCATENATE($C38,"_","P_"),MNU_GRAMAJE_REQUERIDO_TIPOH,"")))</f>
        <v>60</v>
      </c>
      <c r="AI38" s="257">
        <f t="shared" si="22"/>
        <v>3300</v>
      </c>
      <c r="AJ38" s="257">
        <v>0</v>
      </c>
      <c r="AK38" s="257">
        <f t="shared" si="23"/>
        <v>3300</v>
      </c>
      <c r="AL38" s="258">
        <f t="shared" si="24"/>
        <v>5332800</v>
      </c>
      <c r="AM38" s="258">
        <v>0</v>
      </c>
      <c r="AN38" s="258">
        <f t="shared" si="25"/>
        <v>5332800</v>
      </c>
      <c r="AO38" s="451">
        <f t="shared" si="26"/>
        <v>322005</v>
      </c>
      <c r="AP38" s="450">
        <f t="shared" si="27"/>
        <v>385608540</v>
      </c>
      <c r="AQ38" s="261" t="e">
        <f>#REF!+AH38+AA38+T38+M38</f>
        <v>#REF!</v>
      </c>
      <c r="AR38" s="261">
        <f t="shared" si="28"/>
        <v>385839060</v>
      </c>
      <c r="AS38" s="261" t="e">
        <f t="shared" si="29"/>
        <v>#REF!</v>
      </c>
      <c r="AT38" s="261">
        <f t="shared" si="30"/>
        <v>386069580</v>
      </c>
      <c r="AU38" s="261" t="e">
        <f t="shared" si="31"/>
        <v>#REF!</v>
      </c>
      <c r="AV38" s="261">
        <f t="shared" si="32"/>
        <v>386069580</v>
      </c>
      <c r="AW38" s="261" t="e">
        <f t="shared" si="33"/>
        <v>#REF!</v>
      </c>
      <c r="AX38" s="261" t="e">
        <f>AV38+#REF!+AH38+AA38+T38</f>
        <v>#REF!</v>
      </c>
      <c r="AY38" s="261" t="e">
        <f t="shared" si="34"/>
        <v>#REF!</v>
      </c>
      <c r="AZ38" s="261" t="e">
        <f t="shared" si="35"/>
        <v>#REF!</v>
      </c>
      <c r="BA38" s="261" t="e">
        <f t="shared" si="36"/>
        <v>#REF!</v>
      </c>
      <c r="BB38" s="261" t="e">
        <f t="shared" si="37"/>
        <v>#REF!</v>
      </c>
      <c r="BC38" s="261" t="e">
        <f t="shared" si="38"/>
        <v>#REF!</v>
      </c>
      <c r="BD38" s="261" t="e">
        <f t="shared" si="39"/>
        <v>#REF!</v>
      </c>
      <c r="BE38" s="261" t="e">
        <f>BC38+AV38+#REF!+AH38+AA38</f>
        <v>#REF!</v>
      </c>
      <c r="BF38" s="261" t="e">
        <f t="shared" si="40"/>
        <v>#REF!</v>
      </c>
      <c r="BG38" s="261" t="e">
        <f t="shared" si="41"/>
        <v>#REF!</v>
      </c>
    </row>
    <row r="39" spans="1:59" ht="15.75">
      <c r="A39" s="333">
        <v>3</v>
      </c>
      <c r="B39" s="333" t="s">
        <v>1607</v>
      </c>
      <c r="C39" s="256">
        <v>3</v>
      </c>
      <c r="D39" s="322" t="s">
        <v>12</v>
      </c>
      <c r="E39" s="256" t="s">
        <v>9</v>
      </c>
      <c r="F39" s="425">
        <f t="array" ref="F39">MAX((IF(MNU_CODIGO_ALIMENTO_ENTREGA=CONCATENATE($C39,"_","P_"),MNU_GRAMAJE_REQUERIDO_TIPOA,"")))</f>
        <v>50</v>
      </c>
      <c r="G39" s="257">
        <f t="shared" si="0"/>
        <v>103683</v>
      </c>
      <c r="H39" s="257">
        <f t="shared" si="1"/>
        <v>8208</v>
      </c>
      <c r="I39" s="257">
        <f t="shared" si="2"/>
        <v>111891</v>
      </c>
      <c r="J39" s="258">
        <f t="shared" si="3"/>
        <v>52359915</v>
      </c>
      <c r="K39" s="258">
        <f t="shared" si="4"/>
        <v>4145040</v>
      </c>
      <c r="L39" s="258">
        <f t="shared" si="5"/>
        <v>56504955</v>
      </c>
      <c r="M39" s="426">
        <f t="array" ref="M39">MAX((IF(MNU_CODIGO_ALIMENTO_ENTREGA=CONCATENATE($C39,"_","P_"),MNU_GRAMAJE_REQUERIDO_TIPOB,"")))</f>
        <v>50</v>
      </c>
      <c r="N39" s="343">
        <f t="shared" si="6"/>
        <v>124015</v>
      </c>
      <c r="O39" s="343">
        <f t="shared" si="7"/>
        <v>7714</v>
      </c>
      <c r="P39" s="343">
        <f t="shared" si="8"/>
        <v>131729</v>
      </c>
      <c r="Q39" s="344">
        <f t="shared" si="9"/>
        <v>62627575</v>
      </c>
      <c r="R39" s="344">
        <f t="shared" si="10"/>
        <v>3895570</v>
      </c>
      <c r="S39" s="344">
        <f t="shared" si="11"/>
        <v>66523145</v>
      </c>
      <c r="T39" s="348">
        <f t="array" ref="T39">MAX((IF(MNU_CODIGO_ALIMENTO_ENTREGA=CONCATENATE($C39,"_","P_"),MNU_GRAMAJE_REQUERIDO_TIPOC,"")))</f>
        <v>80</v>
      </c>
      <c r="U39" s="257">
        <f t="shared" si="12"/>
        <v>129370</v>
      </c>
      <c r="V39" s="257">
        <f t="shared" si="13"/>
        <v>19247</v>
      </c>
      <c r="W39" s="257">
        <f t="shared" si="14"/>
        <v>148617</v>
      </c>
      <c r="X39" s="258">
        <f t="shared" si="15"/>
        <v>98709310</v>
      </c>
      <c r="Y39" s="258">
        <f t="shared" si="16"/>
        <v>14685461</v>
      </c>
      <c r="Z39" s="258">
        <f t="shared" si="17"/>
        <v>113394771</v>
      </c>
      <c r="AA39" s="256">
        <f t="array" ref="AA39">MAX((IF(MNU_CODIGO_ALIMENTO_ENTREGA=CONCATENATE($C39,"_","P_"),MNU_GRAMAJE_REQUERIDO_TIPOM,"")))</f>
        <v>50</v>
      </c>
      <c r="AB39" s="259">
        <f t="shared" si="18"/>
        <v>4131</v>
      </c>
      <c r="AC39" s="259">
        <v>0</v>
      </c>
      <c r="AD39" s="259">
        <f t="shared" si="19"/>
        <v>4131</v>
      </c>
      <c r="AE39" s="260">
        <f t="shared" si="20"/>
        <v>2086155</v>
      </c>
      <c r="AF39" s="260">
        <v>0</v>
      </c>
      <c r="AG39" s="260">
        <f t="shared" si="21"/>
        <v>2086155</v>
      </c>
      <c r="AH39" s="348">
        <f t="array" ref="AH39">MAX((IF(MNU_CODIGO_ALIMENTO_ENTREGA=CONCATENATE($C39,"_","P_"),MNU_GRAMAJE_REQUERIDO_TIPOH,"")))</f>
        <v>80</v>
      </c>
      <c r="AI39" s="257">
        <f t="shared" si="22"/>
        <v>3740</v>
      </c>
      <c r="AJ39" s="257">
        <v>0</v>
      </c>
      <c r="AK39" s="257">
        <f t="shared" si="23"/>
        <v>3740</v>
      </c>
      <c r="AL39" s="258">
        <f t="shared" si="24"/>
        <v>2853620</v>
      </c>
      <c r="AM39" s="258">
        <v>0</v>
      </c>
      <c r="AN39" s="258">
        <f t="shared" si="25"/>
        <v>2853620</v>
      </c>
      <c r="AO39" s="451">
        <f t="shared" si="26"/>
        <v>400108</v>
      </c>
      <c r="AP39" s="450">
        <f t="shared" si="27"/>
        <v>241362646</v>
      </c>
      <c r="AQ39" s="261" t="e">
        <f>#REF!+AH39+AA39+T39+M39</f>
        <v>#REF!</v>
      </c>
      <c r="AR39" s="261">
        <f t="shared" si="28"/>
        <v>241623902</v>
      </c>
      <c r="AS39" s="261" t="e">
        <f t="shared" si="29"/>
        <v>#REF!</v>
      </c>
      <c r="AT39" s="261">
        <f t="shared" si="30"/>
        <v>241912119</v>
      </c>
      <c r="AU39" s="261" t="e">
        <f t="shared" si="31"/>
        <v>#REF!</v>
      </c>
      <c r="AV39" s="261">
        <f t="shared" si="32"/>
        <v>260493150</v>
      </c>
      <c r="AW39" s="261" t="e">
        <f t="shared" si="33"/>
        <v>#REF!</v>
      </c>
      <c r="AX39" s="261" t="e">
        <f>AV39+#REF!+AH39+AA39+T39</f>
        <v>#REF!</v>
      </c>
      <c r="AY39" s="261" t="e">
        <f t="shared" si="34"/>
        <v>#REF!</v>
      </c>
      <c r="AZ39" s="261" t="e">
        <f t="shared" si="35"/>
        <v>#REF!</v>
      </c>
      <c r="BA39" s="261" t="e">
        <f t="shared" si="36"/>
        <v>#REF!</v>
      </c>
      <c r="BB39" s="261" t="e">
        <f t="shared" si="37"/>
        <v>#REF!</v>
      </c>
      <c r="BC39" s="261" t="e">
        <f t="shared" si="38"/>
        <v>#REF!</v>
      </c>
      <c r="BD39" s="261" t="e">
        <f t="shared" si="39"/>
        <v>#REF!</v>
      </c>
      <c r="BE39" s="261" t="e">
        <f>BC39+AV39+#REF!+AH39+AA39</f>
        <v>#REF!</v>
      </c>
      <c r="BF39" s="261" t="e">
        <f t="shared" si="40"/>
        <v>#REF!</v>
      </c>
      <c r="BG39" s="261" t="e">
        <f t="shared" si="41"/>
        <v>#REF!</v>
      </c>
    </row>
    <row r="40" spans="1:59" ht="15.75">
      <c r="A40" s="333">
        <v>3</v>
      </c>
      <c r="B40" s="333" t="s">
        <v>1607</v>
      </c>
      <c r="C40" s="256">
        <v>15</v>
      </c>
      <c r="D40" s="322" t="s">
        <v>66</v>
      </c>
      <c r="E40" s="256" t="s">
        <v>9</v>
      </c>
      <c r="F40" s="425">
        <f t="array" ref="F40">MAX((IF(MNU_CODIGO_ALIMENTO_ENTREGA=CONCATENATE($C40,"_","P_"),MNU_GRAMAJE_REQUERIDO_TIPOA,"")))</f>
        <v>50</v>
      </c>
      <c r="G40" s="257">
        <f t="shared" si="0"/>
        <v>103683</v>
      </c>
      <c r="H40" s="257">
        <f t="shared" si="1"/>
        <v>4752</v>
      </c>
      <c r="I40" s="257">
        <f t="shared" si="2"/>
        <v>108435</v>
      </c>
      <c r="J40" s="258">
        <f t="shared" si="3"/>
        <v>69778659</v>
      </c>
      <c r="K40" s="258">
        <f t="shared" si="4"/>
        <v>3198096</v>
      </c>
      <c r="L40" s="258">
        <f t="shared" si="5"/>
        <v>72976755</v>
      </c>
      <c r="M40" s="426">
        <f t="array" ref="M40">MAX((IF(MNU_CODIGO_ALIMENTO_ENTREGA=CONCATENATE($C40,"_","P_"),MNU_GRAMAJE_REQUERIDO_TIPOB,"")))</f>
        <v>50</v>
      </c>
      <c r="N40" s="343">
        <f t="shared" si="6"/>
        <v>124015</v>
      </c>
      <c r="O40" s="343">
        <f t="shared" si="7"/>
        <v>4466</v>
      </c>
      <c r="P40" s="343">
        <f t="shared" si="8"/>
        <v>128481</v>
      </c>
      <c r="Q40" s="344">
        <f t="shared" si="9"/>
        <v>83462095</v>
      </c>
      <c r="R40" s="344">
        <f t="shared" si="10"/>
        <v>3005618</v>
      </c>
      <c r="S40" s="344">
        <f t="shared" si="11"/>
        <v>86467713</v>
      </c>
      <c r="T40" s="348">
        <f t="array" ref="T40">MAX((IF(MNU_CODIGO_ALIMENTO_ENTREGA=CONCATENATE($C40,"_","P_"),MNU_GRAMAJE_REQUERIDO_TIPOC,"")))</f>
        <v>80</v>
      </c>
      <c r="U40" s="257">
        <f t="shared" si="12"/>
        <v>129370</v>
      </c>
      <c r="V40" s="257">
        <f t="shared" si="13"/>
        <v>11143</v>
      </c>
      <c r="W40" s="257">
        <f t="shared" si="14"/>
        <v>140513</v>
      </c>
      <c r="X40" s="258">
        <f t="shared" si="15"/>
        <v>139202120</v>
      </c>
      <c r="Y40" s="258">
        <f t="shared" si="16"/>
        <v>11989868</v>
      </c>
      <c r="Z40" s="258">
        <f t="shared" si="17"/>
        <v>151191988</v>
      </c>
      <c r="AA40" s="256">
        <f t="array" ref="AA40">MAX((IF(MNU_CODIGO_ALIMENTO_ENTREGA=CONCATENATE($C40,"_","P_"),MNU_GRAMAJE_REQUERIDO_TIPOM,"")))</f>
        <v>50</v>
      </c>
      <c r="AB40" s="259">
        <f t="shared" si="18"/>
        <v>4131</v>
      </c>
      <c r="AC40" s="259">
        <v>0</v>
      </c>
      <c r="AD40" s="259">
        <f t="shared" si="19"/>
        <v>4131</v>
      </c>
      <c r="AE40" s="260">
        <f t="shared" si="20"/>
        <v>2780163</v>
      </c>
      <c r="AF40" s="260">
        <v>0</v>
      </c>
      <c r="AG40" s="260">
        <f t="shared" si="21"/>
        <v>2780163</v>
      </c>
      <c r="AH40" s="348">
        <f t="array" ref="AH40">MAX((IF(MNU_CODIGO_ALIMENTO_ENTREGA=CONCATENATE($C40,"_","P_"),MNU_GRAMAJE_REQUERIDO_TIPOH,"")))</f>
        <v>80</v>
      </c>
      <c r="AI40" s="257">
        <f t="shared" si="22"/>
        <v>3740</v>
      </c>
      <c r="AJ40" s="257">
        <v>0</v>
      </c>
      <c r="AK40" s="257">
        <f t="shared" si="23"/>
        <v>3740</v>
      </c>
      <c r="AL40" s="258">
        <f t="shared" si="24"/>
        <v>4024240</v>
      </c>
      <c r="AM40" s="258">
        <v>0</v>
      </c>
      <c r="AN40" s="258">
        <f t="shared" si="25"/>
        <v>4024240</v>
      </c>
      <c r="AO40" s="451">
        <f t="shared" si="26"/>
        <v>385300</v>
      </c>
      <c r="AP40" s="450">
        <f t="shared" si="27"/>
        <v>317440859</v>
      </c>
      <c r="AQ40" s="261" t="e">
        <f>#REF!+AH40+AA40+T40+M40</f>
        <v>#REF!</v>
      </c>
      <c r="AR40" s="261">
        <f t="shared" si="28"/>
        <v>317702115</v>
      </c>
      <c r="AS40" s="261" t="e">
        <f t="shared" si="29"/>
        <v>#REF!</v>
      </c>
      <c r="AT40" s="261">
        <f t="shared" si="30"/>
        <v>317978980</v>
      </c>
      <c r="AU40" s="261" t="e">
        <f t="shared" si="31"/>
        <v>#REF!</v>
      </c>
      <c r="AV40" s="261">
        <f t="shared" si="32"/>
        <v>332974466</v>
      </c>
      <c r="AW40" s="261" t="e">
        <f t="shared" si="33"/>
        <v>#REF!</v>
      </c>
      <c r="AX40" s="261" t="e">
        <f>AV40+#REF!+AH40+AA40+T40</f>
        <v>#REF!</v>
      </c>
      <c r="AY40" s="261" t="e">
        <f t="shared" si="34"/>
        <v>#REF!</v>
      </c>
      <c r="AZ40" s="261" t="e">
        <f t="shared" si="35"/>
        <v>#REF!</v>
      </c>
      <c r="BA40" s="261" t="e">
        <f t="shared" si="36"/>
        <v>#REF!</v>
      </c>
      <c r="BB40" s="261" t="e">
        <f t="shared" si="37"/>
        <v>#REF!</v>
      </c>
      <c r="BC40" s="261" t="e">
        <f t="shared" si="38"/>
        <v>#REF!</v>
      </c>
      <c r="BD40" s="261" t="e">
        <f t="shared" si="39"/>
        <v>#REF!</v>
      </c>
      <c r="BE40" s="261" t="e">
        <f>BC40+AV40+#REF!+AH40+AA40</f>
        <v>#REF!</v>
      </c>
      <c r="BF40" s="261" t="e">
        <f t="shared" si="40"/>
        <v>#REF!</v>
      </c>
      <c r="BG40" s="261" t="e">
        <f t="shared" si="41"/>
        <v>#REF!</v>
      </c>
    </row>
    <row r="41" spans="1:59" ht="15.75">
      <c r="A41" s="333">
        <v>3</v>
      </c>
      <c r="B41" s="333" t="s">
        <v>1607</v>
      </c>
      <c r="C41" s="256">
        <v>24</v>
      </c>
      <c r="D41" s="322" t="s">
        <v>61</v>
      </c>
      <c r="E41" s="256" t="s">
        <v>9</v>
      </c>
      <c r="F41" s="425">
        <f t="array" ref="F41">MAX((IF(MNU_CODIGO_ALIMENTO_ENTREGA=CONCATENATE($C41,"_","P_"),MNU_GRAMAJE_REQUERIDO_TIPOA,"")))</f>
        <v>20</v>
      </c>
      <c r="G41" s="257">
        <f t="shared" si="0"/>
        <v>103683</v>
      </c>
      <c r="H41" s="257">
        <f t="shared" si="1"/>
        <v>4752</v>
      </c>
      <c r="I41" s="257">
        <f t="shared" si="2"/>
        <v>108435</v>
      </c>
      <c r="J41" s="258">
        <f t="shared" si="3"/>
        <v>13271424</v>
      </c>
      <c r="K41" s="258">
        <f t="shared" si="4"/>
        <v>608256</v>
      </c>
      <c r="L41" s="258">
        <f t="shared" si="5"/>
        <v>13879680</v>
      </c>
      <c r="M41" s="426">
        <f t="array" ref="M41">MAX((IF(MNU_CODIGO_ALIMENTO_ENTREGA=CONCATENATE($C41,"_","P_"),MNU_GRAMAJE_REQUERIDO_TIPOB,"")))</f>
        <v>30</v>
      </c>
      <c r="N41" s="343">
        <f t="shared" si="6"/>
        <v>124015</v>
      </c>
      <c r="O41" s="343">
        <f t="shared" si="7"/>
        <v>4466</v>
      </c>
      <c r="P41" s="343">
        <f t="shared" si="8"/>
        <v>128481</v>
      </c>
      <c r="Q41" s="344">
        <f t="shared" si="9"/>
        <v>24803000</v>
      </c>
      <c r="R41" s="344">
        <f t="shared" si="10"/>
        <v>893200</v>
      </c>
      <c r="S41" s="344">
        <f t="shared" si="11"/>
        <v>25696200</v>
      </c>
      <c r="T41" s="348">
        <f t="array" ref="T41">MAX((IF(MNU_CODIGO_ALIMENTO_ENTREGA=CONCATENATE($C41,"_","P_"),MNU_GRAMAJE_REQUERIDO_TIPOC,"")))</f>
        <v>60</v>
      </c>
      <c r="U41" s="257">
        <f t="shared" si="12"/>
        <v>129370</v>
      </c>
      <c r="V41" s="257">
        <f t="shared" si="13"/>
        <v>11143</v>
      </c>
      <c r="W41" s="257">
        <f t="shared" si="14"/>
        <v>140513</v>
      </c>
      <c r="X41" s="258">
        <f t="shared" si="15"/>
        <v>49807450</v>
      </c>
      <c r="Y41" s="258">
        <f t="shared" si="16"/>
        <v>4290055</v>
      </c>
      <c r="Z41" s="258">
        <f t="shared" si="17"/>
        <v>54097505</v>
      </c>
      <c r="AA41" s="256">
        <f t="array" ref="AA41">MAX((IF(MNU_CODIGO_ALIMENTO_ENTREGA=CONCATENATE($C41,"_","P_"),MNU_GRAMAJE_REQUERIDO_TIPOM,"")))</f>
        <v>30</v>
      </c>
      <c r="AB41" s="259">
        <f t="shared" si="18"/>
        <v>4131</v>
      </c>
      <c r="AC41" s="259">
        <v>0</v>
      </c>
      <c r="AD41" s="259">
        <f t="shared" si="19"/>
        <v>4131</v>
      </c>
      <c r="AE41" s="260">
        <f t="shared" si="20"/>
        <v>826200</v>
      </c>
      <c r="AF41" s="260">
        <v>0</v>
      </c>
      <c r="AG41" s="260">
        <f t="shared" si="21"/>
        <v>826200</v>
      </c>
      <c r="AH41" s="348">
        <f t="array" ref="AH41">MAX((IF(MNU_CODIGO_ALIMENTO_ENTREGA=CONCATENATE($C41,"_","P_"),MNU_GRAMAJE_REQUERIDO_TIPOH,"")))</f>
        <v>60</v>
      </c>
      <c r="AI41" s="257">
        <f t="shared" si="22"/>
        <v>3740</v>
      </c>
      <c r="AJ41" s="257">
        <v>0</v>
      </c>
      <c r="AK41" s="257">
        <f t="shared" si="23"/>
        <v>3740</v>
      </c>
      <c r="AL41" s="258">
        <f t="shared" si="24"/>
        <v>1439900</v>
      </c>
      <c r="AM41" s="258">
        <v>0</v>
      </c>
      <c r="AN41" s="258">
        <f t="shared" si="25"/>
        <v>1439900</v>
      </c>
      <c r="AO41" s="451">
        <f t="shared" si="26"/>
        <v>385300</v>
      </c>
      <c r="AP41" s="450">
        <f t="shared" si="27"/>
        <v>95939485</v>
      </c>
      <c r="AQ41" s="261" t="e">
        <f>#REF!+AH41+AA41+T41+M41</f>
        <v>#REF!</v>
      </c>
      <c r="AR41" s="261">
        <f t="shared" si="28"/>
        <v>96200741</v>
      </c>
      <c r="AS41" s="261" t="e">
        <f t="shared" si="29"/>
        <v>#REF!</v>
      </c>
      <c r="AT41" s="261">
        <f t="shared" si="30"/>
        <v>96477606</v>
      </c>
      <c r="AU41" s="261" t="e">
        <f t="shared" si="31"/>
        <v>#REF!</v>
      </c>
      <c r="AV41" s="261">
        <f t="shared" si="32"/>
        <v>101660861</v>
      </c>
      <c r="AW41" s="261" t="e">
        <f t="shared" si="33"/>
        <v>#REF!</v>
      </c>
      <c r="AX41" s="261" t="e">
        <f>AV41+#REF!+AH41+AA41+T41</f>
        <v>#REF!</v>
      </c>
      <c r="AY41" s="261" t="e">
        <f t="shared" si="34"/>
        <v>#REF!</v>
      </c>
      <c r="AZ41" s="261" t="e">
        <f t="shared" si="35"/>
        <v>#REF!</v>
      </c>
      <c r="BA41" s="261" t="e">
        <f t="shared" si="36"/>
        <v>#REF!</v>
      </c>
      <c r="BB41" s="261" t="e">
        <f t="shared" si="37"/>
        <v>#REF!</v>
      </c>
      <c r="BC41" s="261" t="e">
        <f t="shared" si="38"/>
        <v>#REF!</v>
      </c>
      <c r="BD41" s="261" t="e">
        <f t="shared" si="39"/>
        <v>#REF!</v>
      </c>
      <c r="BE41" s="261" t="e">
        <f>BC41+AV41+#REF!+AH41+AA41</f>
        <v>#REF!</v>
      </c>
      <c r="BF41" s="261" t="e">
        <f t="shared" si="40"/>
        <v>#REF!</v>
      </c>
      <c r="BG41" s="261" t="e">
        <f t="shared" si="41"/>
        <v>#REF!</v>
      </c>
    </row>
    <row r="42" spans="1:59" ht="15.75">
      <c r="A42" s="333">
        <v>3</v>
      </c>
      <c r="B42" s="333" t="s">
        <v>1607</v>
      </c>
      <c r="C42" s="256">
        <v>25</v>
      </c>
      <c r="D42" s="322" t="s">
        <v>64</v>
      </c>
      <c r="E42" s="256" t="s">
        <v>9</v>
      </c>
      <c r="F42" s="425">
        <f t="array" ref="F42">MAX((IF(MNU_CODIGO_ALIMENTO_ENTREGA=CONCATENATE($C42,"_","P_"),MNU_GRAMAJE_REQUERIDO_TIPOA,"")))</f>
        <v>40</v>
      </c>
      <c r="G42" s="257">
        <f t="shared" si="0"/>
        <v>103683</v>
      </c>
      <c r="H42" s="257">
        <f t="shared" si="1"/>
        <v>9504</v>
      </c>
      <c r="I42" s="257">
        <f t="shared" si="2"/>
        <v>113187</v>
      </c>
      <c r="J42" s="258">
        <f t="shared" si="3"/>
        <v>26542848</v>
      </c>
      <c r="K42" s="258">
        <f t="shared" si="4"/>
        <v>2433024</v>
      </c>
      <c r="L42" s="258">
        <f t="shared" si="5"/>
        <v>28975872</v>
      </c>
      <c r="M42" s="426">
        <f t="array" ref="M42">MAX((IF(MNU_CODIGO_ALIMENTO_ENTREGA=CONCATENATE($C42,"_","P_"),MNU_GRAMAJE_REQUERIDO_TIPOB,"")))</f>
        <v>40</v>
      </c>
      <c r="N42" s="343">
        <f t="shared" si="6"/>
        <v>124015</v>
      </c>
      <c r="O42" s="343">
        <f t="shared" si="7"/>
        <v>8932</v>
      </c>
      <c r="P42" s="343">
        <f t="shared" si="8"/>
        <v>132947</v>
      </c>
      <c r="Q42" s="344">
        <f t="shared" si="9"/>
        <v>31747840</v>
      </c>
      <c r="R42" s="344">
        <f t="shared" si="10"/>
        <v>2286592</v>
      </c>
      <c r="S42" s="344">
        <f t="shared" si="11"/>
        <v>34034432</v>
      </c>
      <c r="T42" s="348">
        <f t="array" ref="T42">MAX((IF(MNU_CODIGO_ALIMENTO_ENTREGA=CONCATENATE($C42,"_","P_"),MNU_GRAMAJE_REQUERIDO_TIPOC,"")))</f>
        <v>60</v>
      </c>
      <c r="U42" s="257">
        <f t="shared" si="12"/>
        <v>129370</v>
      </c>
      <c r="V42" s="257">
        <f t="shared" si="13"/>
        <v>22286</v>
      </c>
      <c r="W42" s="257">
        <f t="shared" si="14"/>
        <v>151656</v>
      </c>
      <c r="X42" s="258">
        <f t="shared" si="15"/>
        <v>49678080</v>
      </c>
      <c r="Y42" s="258">
        <f t="shared" si="16"/>
        <v>8557824</v>
      </c>
      <c r="Z42" s="258">
        <f t="shared" si="17"/>
        <v>58235904</v>
      </c>
      <c r="AA42" s="256">
        <f t="array" ref="AA42">MAX((IF(MNU_CODIGO_ALIMENTO_ENTREGA=CONCATENATE($C42,"_","P_"),MNU_GRAMAJE_REQUERIDO_TIPOM,"")))</f>
        <v>40</v>
      </c>
      <c r="AB42" s="259">
        <f t="shared" si="18"/>
        <v>4131</v>
      </c>
      <c r="AC42" s="259">
        <v>0</v>
      </c>
      <c r="AD42" s="259">
        <f t="shared" si="19"/>
        <v>4131</v>
      </c>
      <c r="AE42" s="260">
        <f t="shared" si="20"/>
        <v>1057536</v>
      </c>
      <c r="AF42" s="260">
        <v>0</v>
      </c>
      <c r="AG42" s="260">
        <f t="shared" si="21"/>
        <v>1057536</v>
      </c>
      <c r="AH42" s="348">
        <f t="array" ref="AH42">MAX((IF(MNU_CODIGO_ALIMENTO_ENTREGA=CONCATENATE($C42,"_","P_"),MNU_GRAMAJE_REQUERIDO_TIPOH,"")))</f>
        <v>60</v>
      </c>
      <c r="AI42" s="257">
        <f t="shared" si="22"/>
        <v>3740</v>
      </c>
      <c r="AJ42" s="257">
        <v>0</v>
      </c>
      <c r="AK42" s="257">
        <f t="shared" si="23"/>
        <v>3740</v>
      </c>
      <c r="AL42" s="258">
        <f t="shared" si="24"/>
        <v>1436160</v>
      </c>
      <c r="AM42" s="258">
        <v>0</v>
      </c>
      <c r="AN42" s="258">
        <f t="shared" si="25"/>
        <v>1436160</v>
      </c>
      <c r="AO42" s="451">
        <f t="shared" si="26"/>
        <v>405661</v>
      </c>
      <c r="AP42" s="450">
        <f t="shared" si="27"/>
        <v>123739904</v>
      </c>
      <c r="AQ42" s="261" t="e">
        <f>#REF!+AH42+AA42+T42+M42</f>
        <v>#REF!</v>
      </c>
      <c r="AR42" s="261">
        <f t="shared" si="28"/>
        <v>124001160</v>
      </c>
      <c r="AS42" s="261" t="e">
        <f t="shared" si="29"/>
        <v>#REF!</v>
      </c>
      <c r="AT42" s="261">
        <f t="shared" si="30"/>
        <v>124293634</v>
      </c>
      <c r="AU42" s="261" t="e">
        <f t="shared" si="31"/>
        <v>#REF!</v>
      </c>
      <c r="AV42" s="261">
        <f t="shared" si="32"/>
        <v>135138050</v>
      </c>
      <c r="AW42" s="261" t="e">
        <f t="shared" si="33"/>
        <v>#REF!</v>
      </c>
      <c r="AX42" s="261" t="e">
        <f>AV42+#REF!+AH42+AA42+T42</f>
        <v>#REF!</v>
      </c>
      <c r="AY42" s="261" t="e">
        <f t="shared" si="34"/>
        <v>#REF!</v>
      </c>
      <c r="AZ42" s="261" t="e">
        <f t="shared" si="35"/>
        <v>#REF!</v>
      </c>
      <c r="BA42" s="261" t="e">
        <f t="shared" si="36"/>
        <v>#REF!</v>
      </c>
      <c r="BB42" s="261" t="e">
        <f t="shared" si="37"/>
        <v>#REF!</v>
      </c>
      <c r="BC42" s="261" t="e">
        <f t="shared" si="38"/>
        <v>#REF!</v>
      </c>
      <c r="BD42" s="261" t="e">
        <f t="shared" si="39"/>
        <v>#REF!</v>
      </c>
      <c r="BE42" s="261" t="e">
        <f>BC42+AV42+#REF!+AH42+AA42</f>
        <v>#REF!</v>
      </c>
      <c r="BF42" s="261" t="e">
        <f t="shared" si="40"/>
        <v>#REF!</v>
      </c>
      <c r="BG42" s="261" t="e">
        <f t="shared" si="41"/>
        <v>#REF!</v>
      </c>
    </row>
    <row r="43" spans="1:59" ht="15.75">
      <c r="A43" s="333">
        <v>3</v>
      </c>
      <c r="B43" s="333" t="s">
        <v>1607</v>
      </c>
      <c r="C43" s="256">
        <v>26</v>
      </c>
      <c r="D43" s="322" t="s">
        <v>69</v>
      </c>
      <c r="E43" s="256" t="s">
        <v>9</v>
      </c>
      <c r="F43" s="425">
        <f t="array" ref="F43">MAX((IF(MNU_CODIGO_ALIMENTO_ENTREGA=CONCATENATE($C43,"_","P_"),MNU_GRAMAJE_REQUERIDO_TIPOA,"")))</f>
        <v>30</v>
      </c>
      <c r="G43" s="257">
        <f t="shared" si="0"/>
        <v>36594</v>
      </c>
      <c r="H43" s="257">
        <f t="shared" si="1"/>
        <v>0</v>
      </c>
      <c r="I43" s="257">
        <f t="shared" si="2"/>
        <v>36594</v>
      </c>
      <c r="J43" s="258">
        <f t="shared" si="3"/>
        <v>6257574</v>
      </c>
      <c r="K43" s="258">
        <f t="shared" si="4"/>
        <v>0</v>
      </c>
      <c r="L43" s="258">
        <f t="shared" si="5"/>
        <v>6257574</v>
      </c>
      <c r="M43" s="426">
        <f t="array" ref="M43">MAX((IF(MNU_CODIGO_ALIMENTO_ENTREGA=CONCATENATE($C43,"_","P_"),MNU_GRAMAJE_REQUERIDO_TIPOB,"")))</f>
        <v>30</v>
      </c>
      <c r="N43" s="343">
        <f t="shared" si="6"/>
        <v>43770</v>
      </c>
      <c r="O43" s="343">
        <f t="shared" si="7"/>
        <v>0</v>
      </c>
      <c r="P43" s="343">
        <f t="shared" si="8"/>
        <v>43770</v>
      </c>
      <c r="Q43" s="344">
        <f t="shared" si="9"/>
        <v>7484670</v>
      </c>
      <c r="R43" s="344">
        <f t="shared" si="10"/>
        <v>0</v>
      </c>
      <c r="S43" s="344">
        <f t="shared" si="11"/>
        <v>7484670</v>
      </c>
      <c r="T43" s="348">
        <f t="array" ref="T43">MAX((IF(MNU_CODIGO_ALIMENTO_ENTREGA=CONCATENATE($C43,"_","P_"),MNU_GRAMAJE_REQUERIDO_TIPOC,"")))</f>
        <v>30</v>
      </c>
      <c r="U43" s="257">
        <f t="shared" si="12"/>
        <v>45660</v>
      </c>
      <c r="V43" s="257">
        <f t="shared" si="13"/>
        <v>0</v>
      </c>
      <c r="W43" s="257">
        <f t="shared" si="14"/>
        <v>45660</v>
      </c>
      <c r="X43" s="258">
        <f t="shared" si="15"/>
        <v>7807860</v>
      </c>
      <c r="Y43" s="258">
        <f t="shared" si="16"/>
        <v>0</v>
      </c>
      <c r="Z43" s="258">
        <f t="shared" si="17"/>
        <v>7807860</v>
      </c>
      <c r="AA43" s="256">
        <f t="array" ref="AA43">MAX((IF(MNU_CODIGO_ALIMENTO_ENTREGA=CONCATENATE($C43,"_","P_"),MNU_GRAMAJE_REQUERIDO_TIPOM,"")))</f>
        <v>30</v>
      </c>
      <c r="AB43" s="259">
        <f t="shared" si="18"/>
        <v>1458</v>
      </c>
      <c r="AC43" s="259">
        <v>0</v>
      </c>
      <c r="AD43" s="259">
        <f t="shared" si="19"/>
        <v>1458</v>
      </c>
      <c r="AE43" s="260">
        <f t="shared" si="20"/>
        <v>249318</v>
      </c>
      <c r="AF43" s="260">
        <v>0</v>
      </c>
      <c r="AG43" s="260">
        <f t="shared" si="21"/>
        <v>249318</v>
      </c>
      <c r="AH43" s="348">
        <f t="array" ref="AH43">MAX((IF(MNU_CODIGO_ALIMENTO_ENTREGA=CONCATENATE($C43,"_","P_"),MNU_GRAMAJE_REQUERIDO_TIPOH,"")))</f>
        <v>30</v>
      </c>
      <c r="AI43" s="257">
        <f t="shared" si="22"/>
        <v>1320</v>
      </c>
      <c r="AJ43" s="257">
        <v>0</v>
      </c>
      <c r="AK43" s="257">
        <f t="shared" si="23"/>
        <v>1320</v>
      </c>
      <c r="AL43" s="258">
        <f t="shared" si="24"/>
        <v>225720</v>
      </c>
      <c r="AM43" s="258">
        <v>0</v>
      </c>
      <c r="AN43" s="258">
        <f t="shared" si="25"/>
        <v>225720</v>
      </c>
      <c r="AO43" s="451">
        <f t="shared" si="26"/>
        <v>128802</v>
      </c>
      <c r="AP43" s="450">
        <f t="shared" si="27"/>
        <v>22025142</v>
      </c>
      <c r="AQ43" s="261" t="e">
        <f>#REF!+AH43+AA43+T43+M43</f>
        <v>#REF!</v>
      </c>
      <c r="AR43" s="261">
        <f t="shared" si="28"/>
        <v>22117350</v>
      </c>
      <c r="AS43" s="261" t="e">
        <f t="shared" si="29"/>
        <v>#REF!</v>
      </c>
      <c r="AT43" s="261">
        <f t="shared" si="30"/>
        <v>22209558</v>
      </c>
      <c r="AU43" s="261" t="e">
        <f t="shared" si="31"/>
        <v>#REF!</v>
      </c>
      <c r="AV43" s="261">
        <f t="shared" si="32"/>
        <v>22209558</v>
      </c>
      <c r="AW43" s="261" t="e">
        <f t="shared" si="33"/>
        <v>#REF!</v>
      </c>
      <c r="AX43" s="261" t="e">
        <f>AV43+#REF!+AH43+AA43+T43</f>
        <v>#REF!</v>
      </c>
      <c r="AY43" s="261" t="e">
        <f t="shared" si="34"/>
        <v>#REF!</v>
      </c>
      <c r="AZ43" s="261" t="e">
        <f t="shared" si="35"/>
        <v>#REF!</v>
      </c>
      <c r="BA43" s="261" t="e">
        <f t="shared" si="36"/>
        <v>#REF!</v>
      </c>
      <c r="BB43" s="261" t="e">
        <f t="shared" si="37"/>
        <v>#REF!</v>
      </c>
      <c r="BC43" s="261" t="e">
        <f t="shared" si="38"/>
        <v>#REF!</v>
      </c>
      <c r="BD43" s="261" t="e">
        <f t="shared" si="39"/>
        <v>#REF!</v>
      </c>
      <c r="BE43" s="261" t="e">
        <f>BC43+AV43+#REF!+AH43+AA43</f>
        <v>#REF!</v>
      </c>
      <c r="BF43" s="261" t="e">
        <f t="shared" si="40"/>
        <v>#REF!</v>
      </c>
      <c r="BG43" s="261" t="e">
        <f t="shared" si="41"/>
        <v>#REF!</v>
      </c>
    </row>
    <row r="44" spans="1:59" ht="27">
      <c r="A44" s="333">
        <v>3</v>
      </c>
      <c r="B44" s="333" t="s">
        <v>1607</v>
      </c>
      <c r="C44" s="256">
        <v>28</v>
      </c>
      <c r="D44" s="322" t="s">
        <v>67</v>
      </c>
      <c r="E44" s="256" t="s">
        <v>9</v>
      </c>
      <c r="F44" s="425">
        <f t="array" ref="F44">MAX((IF(MNU_CODIGO_ALIMENTO_ENTREGA=CONCATENATE($C44,"_","P_"),MNU_GRAMAJE_REQUERIDO_TIPOA,"")))</f>
        <v>30</v>
      </c>
      <c r="G44" s="257">
        <f t="shared" si="0"/>
        <v>36594</v>
      </c>
      <c r="H44" s="257">
        <f t="shared" si="1"/>
        <v>8208</v>
      </c>
      <c r="I44" s="257">
        <f t="shared" si="2"/>
        <v>44802</v>
      </c>
      <c r="J44" s="258">
        <f t="shared" si="3"/>
        <v>8270244</v>
      </c>
      <c r="K44" s="258">
        <f t="shared" si="4"/>
        <v>1855008</v>
      </c>
      <c r="L44" s="258">
        <f t="shared" si="5"/>
        <v>10125252</v>
      </c>
      <c r="M44" s="426">
        <f t="array" ref="M44">MAX((IF(MNU_CODIGO_ALIMENTO_ENTREGA=CONCATENATE($C44,"_","P_"),MNU_GRAMAJE_REQUERIDO_TIPOB,"")))</f>
        <v>40</v>
      </c>
      <c r="N44" s="343">
        <f t="shared" si="6"/>
        <v>43770</v>
      </c>
      <c r="O44" s="343">
        <f t="shared" si="7"/>
        <v>7714</v>
      </c>
      <c r="P44" s="343">
        <f t="shared" si="8"/>
        <v>51484</v>
      </c>
      <c r="Q44" s="344">
        <f t="shared" si="9"/>
        <v>13174770</v>
      </c>
      <c r="R44" s="344">
        <f t="shared" si="10"/>
        <v>2321914</v>
      </c>
      <c r="S44" s="344">
        <f t="shared" si="11"/>
        <v>15496684</v>
      </c>
      <c r="T44" s="348">
        <f t="array" ref="T44">MAX((IF(MNU_CODIGO_ALIMENTO_ENTREGA=CONCATENATE($C44,"_","P_"),MNU_GRAMAJE_REQUERIDO_TIPOC,"")))</f>
        <v>60</v>
      </c>
      <c r="U44" s="257">
        <f t="shared" si="12"/>
        <v>45660</v>
      </c>
      <c r="V44" s="257">
        <f t="shared" si="13"/>
        <v>19247</v>
      </c>
      <c r="W44" s="257">
        <f t="shared" si="14"/>
        <v>64907</v>
      </c>
      <c r="X44" s="258">
        <f t="shared" si="15"/>
        <v>20592660</v>
      </c>
      <c r="Y44" s="258">
        <f t="shared" si="16"/>
        <v>8680397</v>
      </c>
      <c r="Z44" s="258">
        <f t="shared" si="17"/>
        <v>29273057</v>
      </c>
      <c r="AA44" s="256">
        <f t="array" ref="AA44">MAX((IF(MNU_CODIGO_ALIMENTO_ENTREGA=CONCATENATE($C44,"_","P_"),MNU_GRAMAJE_REQUERIDO_TIPOM,"")))</f>
        <v>40</v>
      </c>
      <c r="AB44" s="259">
        <f t="shared" si="18"/>
        <v>1458</v>
      </c>
      <c r="AC44" s="259">
        <v>0</v>
      </c>
      <c r="AD44" s="259">
        <f t="shared" si="19"/>
        <v>1458</v>
      </c>
      <c r="AE44" s="260">
        <f t="shared" si="20"/>
        <v>438858</v>
      </c>
      <c r="AF44" s="260">
        <v>0</v>
      </c>
      <c r="AG44" s="260">
        <f t="shared" si="21"/>
        <v>438858</v>
      </c>
      <c r="AH44" s="348">
        <f t="array" ref="AH44">MAX((IF(MNU_CODIGO_ALIMENTO_ENTREGA=CONCATENATE($C44,"_","P_"),MNU_GRAMAJE_REQUERIDO_TIPOH,"")))</f>
        <v>60</v>
      </c>
      <c r="AI44" s="257">
        <f t="shared" si="22"/>
        <v>1320</v>
      </c>
      <c r="AJ44" s="257">
        <v>0</v>
      </c>
      <c r="AK44" s="257">
        <f t="shared" si="23"/>
        <v>1320</v>
      </c>
      <c r="AL44" s="258">
        <f t="shared" si="24"/>
        <v>595320</v>
      </c>
      <c r="AM44" s="258">
        <v>0</v>
      </c>
      <c r="AN44" s="258">
        <f t="shared" si="25"/>
        <v>595320</v>
      </c>
      <c r="AO44" s="451">
        <f t="shared" si="26"/>
        <v>163971</v>
      </c>
      <c r="AP44" s="450">
        <f t="shared" si="27"/>
        <v>55929171</v>
      </c>
      <c r="AQ44" s="261" t="e">
        <f>#REF!+AH44+AA44+T44+M44</f>
        <v>#REF!</v>
      </c>
      <c r="AR44" s="261">
        <f t="shared" si="28"/>
        <v>56021379</v>
      </c>
      <c r="AS44" s="261" t="e">
        <f t="shared" si="29"/>
        <v>#REF!</v>
      </c>
      <c r="AT44" s="261">
        <f t="shared" si="30"/>
        <v>56140548</v>
      </c>
      <c r="AU44" s="261" t="e">
        <f t="shared" si="31"/>
        <v>#REF!</v>
      </c>
      <c r="AV44" s="261">
        <f t="shared" si="32"/>
        <v>67142859</v>
      </c>
      <c r="AW44" s="261" t="e">
        <f t="shared" si="33"/>
        <v>#REF!</v>
      </c>
      <c r="AX44" s="261" t="e">
        <f>AV44+#REF!+AH44+AA44+T44</f>
        <v>#REF!</v>
      </c>
      <c r="AY44" s="261" t="e">
        <f t="shared" si="34"/>
        <v>#REF!</v>
      </c>
      <c r="AZ44" s="261" t="e">
        <f t="shared" si="35"/>
        <v>#REF!</v>
      </c>
      <c r="BA44" s="261" t="e">
        <f t="shared" si="36"/>
        <v>#REF!</v>
      </c>
      <c r="BB44" s="261" t="e">
        <f t="shared" si="37"/>
        <v>#REF!</v>
      </c>
      <c r="BC44" s="261" t="e">
        <f t="shared" si="38"/>
        <v>#REF!</v>
      </c>
      <c r="BD44" s="261" t="e">
        <f t="shared" si="39"/>
        <v>#REF!</v>
      </c>
      <c r="BE44" s="261" t="e">
        <f>BC44+AV44+#REF!+AH44+AA44</f>
        <v>#REF!</v>
      </c>
      <c r="BF44" s="261" t="e">
        <f t="shared" si="40"/>
        <v>#REF!</v>
      </c>
      <c r="BG44" s="261" t="e">
        <f t="shared" si="41"/>
        <v>#REF!</v>
      </c>
    </row>
    <row r="45" spans="1:59" ht="15.75">
      <c r="A45" s="333">
        <v>3</v>
      </c>
      <c r="B45" s="333" t="s">
        <v>1607</v>
      </c>
      <c r="C45" s="256">
        <v>30</v>
      </c>
      <c r="D45" s="322" t="s">
        <v>63</v>
      </c>
      <c r="E45" s="256" t="s">
        <v>9</v>
      </c>
      <c r="F45" s="425">
        <f t="array" ref="F45">MAX((IF(MNU_CODIGO_ALIMENTO_ENTREGA=CONCATENATE($C45,"_","P_"),MNU_GRAMAJE_REQUERIDO_TIPOA,"")))</f>
        <v>30</v>
      </c>
      <c r="G45" s="257">
        <f t="shared" si="0"/>
        <v>97584</v>
      </c>
      <c r="H45" s="257">
        <f t="shared" si="1"/>
        <v>0</v>
      </c>
      <c r="I45" s="257">
        <f t="shared" si="2"/>
        <v>97584</v>
      </c>
      <c r="J45" s="258">
        <f t="shared" si="3"/>
        <v>32397888</v>
      </c>
      <c r="K45" s="258">
        <f t="shared" si="4"/>
        <v>0</v>
      </c>
      <c r="L45" s="258">
        <f t="shared" si="5"/>
        <v>32397888</v>
      </c>
      <c r="M45" s="426">
        <f t="array" ref="M45">MAX((IF(MNU_CODIGO_ALIMENTO_ENTREGA=CONCATENATE($C45,"_","P_"),MNU_GRAMAJE_REQUERIDO_TIPOB,"")))</f>
        <v>30</v>
      </c>
      <c r="N45" s="343">
        <f t="shared" si="6"/>
        <v>116720</v>
      </c>
      <c r="O45" s="343">
        <f t="shared" si="7"/>
        <v>0</v>
      </c>
      <c r="P45" s="343">
        <f t="shared" si="8"/>
        <v>116720</v>
      </c>
      <c r="Q45" s="344">
        <f t="shared" si="9"/>
        <v>38751040</v>
      </c>
      <c r="R45" s="344">
        <f t="shared" si="10"/>
        <v>0</v>
      </c>
      <c r="S45" s="344">
        <f t="shared" si="11"/>
        <v>38751040</v>
      </c>
      <c r="T45" s="348">
        <f t="array" ref="T45">MAX((IF(MNU_CODIGO_ALIMENTO_ENTREGA=CONCATENATE($C45,"_","P_"),MNU_GRAMAJE_REQUERIDO_TIPOC,"")))</f>
        <v>30</v>
      </c>
      <c r="U45" s="257">
        <f t="shared" si="12"/>
        <v>121760</v>
      </c>
      <c r="V45" s="257">
        <f t="shared" si="13"/>
        <v>0</v>
      </c>
      <c r="W45" s="257">
        <f t="shared" si="14"/>
        <v>121760</v>
      </c>
      <c r="X45" s="258">
        <f t="shared" si="15"/>
        <v>40424320</v>
      </c>
      <c r="Y45" s="258">
        <f t="shared" si="16"/>
        <v>0</v>
      </c>
      <c r="Z45" s="258">
        <f t="shared" si="17"/>
        <v>40424320</v>
      </c>
      <c r="AA45" s="256">
        <f t="array" ref="AA45">MAX((IF(MNU_CODIGO_ALIMENTO_ENTREGA=CONCATENATE($C45,"_","P_"),MNU_GRAMAJE_REQUERIDO_TIPOM,"")))</f>
        <v>30</v>
      </c>
      <c r="AB45" s="259">
        <f t="shared" si="18"/>
        <v>3888</v>
      </c>
      <c r="AC45" s="259">
        <v>0</v>
      </c>
      <c r="AD45" s="259">
        <f t="shared" si="19"/>
        <v>3888</v>
      </c>
      <c r="AE45" s="260">
        <f t="shared" si="20"/>
        <v>1290816</v>
      </c>
      <c r="AF45" s="260">
        <v>0</v>
      </c>
      <c r="AG45" s="260">
        <f t="shared" si="21"/>
        <v>1290816</v>
      </c>
      <c r="AH45" s="348">
        <f t="array" ref="AH45">MAX((IF(MNU_CODIGO_ALIMENTO_ENTREGA=CONCATENATE($C45,"_","P_"),MNU_GRAMAJE_REQUERIDO_TIPOH,"")))</f>
        <v>30</v>
      </c>
      <c r="AI45" s="257">
        <f t="shared" si="22"/>
        <v>3520</v>
      </c>
      <c r="AJ45" s="257">
        <v>0</v>
      </c>
      <c r="AK45" s="257">
        <f t="shared" si="23"/>
        <v>3520</v>
      </c>
      <c r="AL45" s="258">
        <f t="shared" si="24"/>
        <v>1168640</v>
      </c>
      <c r="AM45" s="258">
        <v>0</v>
      </c>
      <c r="AN45" s="258">
        <f t="shared" si="25"/>
        <v>1168640</v>
      </c>
      <c r="AO45" s="451">
        <f t="shared" si="26"/>
        <v>343472</v>
      </c>
      <c r="AP45" s="450">
        <f t="shared" si="27"/>
        <v>114032704</v>
      </c>
      <c r="AQ45" s="261" t="e">
        <f>#REF!+AH45+AA45+T45+M45</f>
        <v>#REF!</v>
      </c>
      <c r="AR45" s="261">
        <f t="shared" si="28"/>
        <v>114278592</v>
      </c>
      <c r="AS45" s="261" t="e">
        <f t="shared" si="29"/>
        <v>#REF!</v>
      </c>
      <c r="AT45" s="261">
        <f t="shared" si="30"/>
        <v>114524480</v>
      </c>
      <c r="AU45" s="261" t="e">
        <f t="shared" si="31"/>
        <v>#REF!</v>
      </c>
      <c r="AV45" s="261">
        <f t="shared" si="32"/>
        <v>114524480</v>
      </c>
      <c r="AW45" s="261" t="e">
        <f t="shared" si="33"/>
        <v>#REF!</v>
      </c>
      <c r="AX45" s="261" t="e">
        <f>AV45+#REF!+AH45+AA45+T45</f>
        <v>#REF!</v>
      </c>
      <c r="AY45" s="261" t="e">
        <f t="shared" si="34"/>
        <v>#REF!</v>
      </c>
      <c r="AZ45" s="261" t="e">
        <f t="shared" si="35"/>
        <v>#REF!</v>
      </c>
      <c r="BA45" s="261" t="e">
        <f t="shared" si="36"/>
        <v>#REF!</v>
      </c>
      <c r="BB45" s="261" t="e">
        <f t="shared" si="37"/>
        <v>#REF!</v>
      </c>
      <c r="BC45" s="261" t="e">
        <f t="shared" si="38"/>
        <v>#REF!</v>
      </c>
      <c r="BD45" s="261" t="e">
        <f t="shared" si="39"/>
        <v>#REF!</v>
      </c>
      <c r="BE45" s="261" t="e">
        <f>BC45+AV45+#REF!+AH45+AA45</f>
        <v>#REF!</v>
      </c>
      <c r="BF45" s="261" t="e">
        <f t="shared" si="40"/>
        <v>#REF!</v>
      </c>
      <c r="BG45" s="261" t="e">
        <f t="shared" si="41"/>
        <v>#REF!</v>
      </c>
    </row>
    <row r="46" spans="1:59" ht="15.75">
      <c r="A46" s="333">
        <v>3</v>
      </c>
      <c r="B46" s="333" t="s">
        <v>1607</v>
      </c>
      <c r="C46" s="256">
        <v>45</v>
      </c>
      <c r="D46" s="322" t="s">
        <v>10</v>
      </c>
      <c r="E46" s="256" t="s">
        <v>9</v>
      </c>
      <c r="F46" s="425">
        <f t="array" ref="F46">MAX((IF(MNU_CODIGO_ALIMENTO_ENTREGA=CONCATENATE($C46,"_","P_"),MNU_GRAMAJE_REQUERIDO_TIPOA,"")))</f>
        <v>20</v>
      </c>
      <c r="G46" s="257">
        <f t="shared" si="0"/>
        <v>97584</v>
      </c>
      <c r="H46" s="257">
        <f t="shared" si="1"/>
        <v>8640</v>
      </c>
      <c r="I46" s="257">
        <f t="shared" si="2"/>
        <v>106224</v>
      </c>
      <c r="J46" s="258">
        <f t="shared" si="3"/>
        <v>19419216</v>
      </c>
      <c r="K46" s="258">
        <f t="shared" si="4"/>
        <v>1719360</v>
      </c>
      <c r="L46" s="258">
        <f t="shared" si="5"/>
        <v>21138576</v>
      </c>
      <c r="M46" s="426">
        <f t="array" ref="M46">MAX((IF(MNU_CODIGO_ALIMENTO_ENTREGA=CONCATENATE($C46,"_","P_"),MNU_GRAMAJE_REQUERIDO_TIPOB,"")))</f>
        <v>30</v>
      </c>
      <c r="N46" s="343">
        <f t="shared" si="6"/>
        <v>116720</v>
      </c>
      <c r="O46" s="343">
        <f t="shared" si="7"/>
        <v>8120</v>
      </c>
      <c r="P46" s="343">
        <f t="shared" si="8"/>
        <v>124840</v>
      </c>
      <c r="Q46" s="344">
        <f t="shared" si="9"/>
        <v>34782560</v>
      </c>
      <c r="R46" s="344">
        <f t="shared" si="10"/>
        <v>2419760</v>
      </c>
      <c r="S46" s="344">
        <f t="shared" si="11"/>
        <v>37202320</v>
      </c>
      <c r="T46" s="348">
        <f t="array" ref="T46">MAX((IF(MNU_CODIGO_ALIMENTO_ENTREGA=CONCATENATE($C46,"_","P_"),MNU_GRAMAJE_REQUERIDO_TIPOC,"")))</f>
        <v>60</v>
      </c>
      <c r="U46" s="257">
        <f t="shared" si="12"/>
        <v>121760</v>
      </c>
      <c r="V46" s="257">
        <f t="shared" si="13"/>
        <v>20260</v>
      </c>
      <c r="W46" s="257">
        <f t="shared" si="14"/>
        <v>142020</v>
      </c>
      <c r="X46" s="258">
        <f t="shared" si="15"/>
        <v>72690720</v>
      </c>
      <c r="Y46" s="258">
        <f t="shared" si="16"/>
        <v>12095220</v>
      </c>
      <c r="Z46" s="258">
        <f t="shared" si="17"/>
        <v>84785940</v>
      </c>
      <c r="AA46" s="256">
        <f t="array" ref="AA46">MAX((IF(MNU_CODIGO_ALIMENTO_ENTREGA=CONCATENATE($C46,"_","P_"),MNU_GRAMAJE_REQUERIDO_TIPOM,"")))</f>
        <v>30</v>
      </c>
      <c r="AB46" s="259">
        <f t="shared" si="18"/>
        <v>3888</v>
      </c>
      <c r="AC46" s="259">
        <v>0</v>
      </c>
      <c r="AD46" s="259">
        <f t="shared" si="19"/>
        <v>3888</v>
      </c>
      <c r="AE46" s="260">
        <f t="shared" si="20"/>
        <v>1158624</v>
      </c>
      <c r="AF46" s="260">
        <v>0</v>
      </c>
      <c r="AG46" s="260">
        <f t="shared" si="21"/>
        <v>1158624</v>
      </c>
      <c r="AH46" s="348">
        <f t="array" ref="AH46">MAX((IF(MNU_CODIGO_ALIMENTO_ENTREGA=CONCATENATE($C46,"_","P_"),MNU_GRAMAJE_REQUERIDO_TIPOH,"")))</f>
        <v>60</v>
      </c>
      <c r="AI46" s="257">
        <f t="shared" si="22"/>
        <v>3520</v>
      </c>
      <c r="AJ46" s="257">
        <v>0</v>
      </c>
      <c r="AK46" s="257">
        <f t="shared" si="23"/>
        <v>3520</v>
      </c>
      <c r="AL46" s="258">
        <f t="shared" si="24"/>
        <v>2101440</v>
      </c>
      <c r="AM46" s="258">
        <v>0</v>
      </c>
      <c r="AN46" s="258">
        <f t="shared" si="25"/>
        <v>2101440</v>
      </c>
      <c r="AO46" s="451">
        <f t="shared" si="26"/>
        <v>380492</v>
      </c>
      <c r="AP46" s="450">
        <f t="shared" si="27"/>
        <v>146386900</v>
      </c>
      <c r="AQ46" s="261" t="e">
        <f>#REF!+AH46+AA46+T46+M46</f>
        <v>#REF!</v>
      </c>
      <c r="AR46" s="261">
        <f t="shared" si="28"/>
        <v>146632788</v>
      </c>
      <c r="AS46" s="261" t="e">
        <f t="shared" si="29"/>
        <v>#REF!</v>
      </c>
      <c r="AT46" s="261">
        <f t="shared" si="30"/>
        <v>146907056</v>
      </c>
      <c r="AU46" s="261" t="e">
        <f t="shared" si="31"/>
        <v>#REF!</v>
      </c>
      <c r="AV46" s="261">
        <f t="shared" si="32"/>
        <v>161422036</v>
      </c>
      <c r="AW46" s="261" t="e">
        <f t="shared" si="33"/>
        <v>#REF!</v>
      </c>
      <c r="AX46" s="261" t="e">
        <f>AV46+#REF!+AH46+AA46+T46</f>
        <v>#REF!</v>
      </c>
      <c r="AY46" s="261" t="e">
        <f t="shared" si="34"/>
        <v>#REF!</v>
      </c>
      <c r="AZ46" s="261" t="e">
        <f t="shared" si="35"/>
        <v>#REF!</v>
      </c>
      <c r="BA46" s="261" t="e">
        <f t="shared" si="36"/>
        <v>#REF!</v>
      </c>
      <c r="BB46" s="261" t="e">
        <f t="shared" si="37"/>
        <v>#REF!</v>
      </c>
      <c r="BC46" s="261" t="e">
        <f t="shared" si="38"/>
        <v>#REF!</v>
      </c>
      <c r="BD46" s="261" t="e">
        <f t="shared" si="39"/>
        <v>#REF!</v>
      </c>
      <c r="BE46" s="261" t="e">
        <f>BC46+AV46+#REF!+AH46+AA46</f>
        <v>#REF!</v>
      </c>
      <c r="BF46" s="261" t="e">
        <f t="shared" si="40"/>
        <v>#REF!</v>
      </c>
      <c r="BG46" s="261" t="e">
        <f t="shared" si="41"/>
        <v>#REF!</v>
      </c>
    </row>
    <row r="47" spans="1:59" ht="15.75">
      <c r="A47" s="333">
        <v>3</v>
      </c>
      <c r="B47" s="333" t="s">
        <v>1607</v>
      </c>
      <c r="C47" s="256">
        <v>50</v>
      </c>
      <c r="D47" s="322" t="s">
        <v>65</v>
      </c>
      <c r="E47" s="256" t="s">
        <v>9</v>
      </c>
      <c r="F47" s="425">
        <f t="array" ref="F47">MAX((IF(MNU_CODIGO_ALIMENTO_ENTREGA=CONCATENATE($C47,"_","P_"),MNU_GRAMAJE_REQUERIDO_TIPOA,"")))</f>
        <v>30</v>
      </c>
      <c r="G47" s="257">
        <f t="shared" si="0"/>
        <v>103683</v>
      </c>
      <c r="H47" s="257">
        <f t="shared" si="1"/>
        <v>0</v>
      </c>
      <c r="I47" s="257">
        <f t="shared" si="2"/>
        <v>103683</v>
      </c>
      <c r="J47" s="258">
        <f t="shared" si="3"/>
        <v>33282243</v>
      </c>
      <c r="K47" s="258">
        <f t="shared" si="4"/>
        <v>0</v>
      </c>
      <c r="L47" s="258">
        <f t="shared" si="5"/>
        <v>33282243</v>
      </c>
      <c r="M47" s="426">
        <f t="array" ref="M47">MAX((IF(MNU_CODIGO_ALIMENTO_ENTREGA=CONCATENATE($C47,"_","P_"),MNU_GRAMAJE_REQUERIDO_TIPOB,"")))</f>
        <v>40</v>
      </c>
      <c r="N47" s="343">
        <f t="shared" si="6"/>
        <v>124015</v>
      </c>
      <c r="O47" s="343">
        <f t="shared" si="7"/>
        <v>0</v>
      </c>
      <c r="P47" s="343">
        <f t="shared" si="8"/>
        <v>124015</v>
      </c>
      <c r="Q47" s="344">
        <f t="shared" si="9"/>
        <v>53078420</v>
      </c>
      <c r="R47" s="344">
        <f t="shared" si="10"/>
        <v>0</v>
      </c>
      <c r="S47" s="344">
        <f t="shared" si="11"/>
        <v>53078420</v>
      </c>
      <c r="T47" s="348">
        <f t="array" ref="T47">MAX((IF(MNU_CODIGO_ALIMENTO_ENTREGA=CONCATENATE($C47,"_","P_"),MNU_GRAMAJE_REQUERIDO_TIPOC,"")))</f>
        <v>80</v>
      </c>
      <c r="U47" s="257">
        <f t="shared" si="12"/>
        <v>129370</v>
      </c>
      <c r="V47" s="257">
        <f t="shared" si="13"/>
        <v>0</v>
      </c>
      <c r="W47" s="257">
        <f t="shared" si="14"/>
        <v>129370</v>
      </c>
      <c r="X47" s="258">
        <f t="shared" si="15"/>
        <v>110611350</v>
      </c>
      <c r="Y47" s="258">
        <f t="shared" si="16"/>
        <v>0</v>
      </c>
      <c r="Z47" s="258">
        <f t="shared" si="17"/>
        <v>110611350</v>
      </c>
      <c r="AA47" s="256">
        <f t="array" ref="AA47">MAX((IF(MNU_CODIGO_ALIMENTO_ENTREGA=CONCATENATE($C47,"_","P_"),MNU_GRAMAJE_REQUERIDO_TIPOM,"")))</f>
        <v>40</v>
      </c>
      <c r="AB47" s="259">
        <f t="shared" si="18"/>
        <v>4131</v>
      </c>
      <c r="AC47" s="259">
        <v>0</v>
      </c>
      <c r="AD47" s="259">
        <f t="shared" si="19"/>
        <v>4131</v>
      </c>
      <c r="AE47" s="260">
        <f t="shared" si="20"/>
        <v>1768068</v>
      </c>
      <c r="AF47" s="260">
        <v>0</v>
      </c>
      <c r="AG47" s="260">
        <f t="shared" si="21"/>
        <v>1768068</v>
      </c>
      <c r="AH47" s="348">
        <f t="array" ref="AH47">MAX((IF(MNU_CODIGO_ALIMENTO_ENTREGA=CONCATENATE($C47,"_","P_"),MNU_GRAMAJE_REQUERIDO_TIPOH,"")))</f>
        <v>80</v>
      </c>
      <c r="AI47" s="257">
        <f t="shared" si="22"/>
        <v>3740</v>
      </c>
      <c r="AJ47" s="257">
        <v>0</v>
      </c>
      <c r="AK47" s="257">
        <f t="shared" si="23"/>
        <v>3740</v>
      </c>
      <c r="AL47" s="258">
        <f t="shared" si="24"/>
        <v>3197700</v>
      </c>
      <c r="AM47" s="258">
        <v>0</v>
      </c>
      <c r="AN47" s="258">
        <f t="shared" si="25"/>
        <v>3197700</v>
      </c>
      <c r="AO47" s="451">
        <f t="shared" si="26"/>
        <v>364939</v>
      </c>
      <c r="AP47" s="450">
        <f t="shared" si="27"/>
        <v>201937781</v>
      </c>
      <c r="AQ47" s="261" t="e">
        <f>#REF!+AH47+AA47+T47+M47</f>
        <v>#REF!</v>
      </c>
      <c r="AR47" s="261">
        <f t="shared" ref="AR47:AR110" si="42">AP47+AI47+AB47+U47+N47</f>
        <v>202199037</v>
      </c>
      <c r="AS47" s="261" t="e">
        <f t="shared" ref="AS47:AS110" si="43">AQ47+AJ47+AC47+V47+O47</f>
        <v>#REF!</v>
      </c>
      <c r="AT47" s="261">
        <f t="shared" ref="AT47:AT110" si="44">AR47+AK47+AD47+W47+P47</f>
        <v>202460293</v>
      </c>
      <c r="AU47" s="261" t="e">
        <f t="shared" ref="AU47:AU110" si="45">AS47+AL47+AE47+X47+Q47</f>
        <v>#REF!</v>
      </c>
      <c r="AV47" s="261">
        <f t="shared" ref="AV47:AV110" si="46">AT47+AM47+AF47+Y47+R47</f>
        <v>202460293</v>
      </c>
      <c r="AW47" s="261" t="e">
        <f t="shared" ref="AW47:AW110" si="47">AU47+AN47+AG47+Z47+S47</f>
        <v>#REF!</v>
      </c>
      <c r="AX47" s="261" t="e">
        <f>AV47+#REF!+AH47+AA47+T47</f>
        <v>#REF!</v>
      </c>
      <c r="AY47" s="261" t="e">
        <f t="shared" ref="AY47:AY110" si="48">AW47+AP47+AI47+AB47+U47</f>
        <v>#REF!</v>
      </c>
      <c r="AZ47" s="261" t="e">
        <f t="shared" ref="AZ47:AZ110" si="49">AX47+AQ47+AJ47+AC47+V47</f>
        <v>#REF!</v>
      </c>
      <c r="BA47" s="261" t="e">
        <f t="shared" ref="BA47:BA110" si="50">AY47+AR47+AK47+AD47+W47</f>
        <v>#REF!</v>
      </c>
      <c r="BB47" s="261" t="e">
        <f t="shared" ref="BB47:BB110" si="51">AZ47+AS47+AL47+AE47+X47</f>
        <v>#REF!</v>
      </c>
      <c r="BC47" s="261" t="e">
        <f t="shared" ref="BC47:BC110" si="52">BA47+AT47+AM47+AF47+Y47</f>
        <v>#REF!</v>
      </c>
      <c r="BD47" s="261" t="e">
        <f t="shared" ref="BD47:BD110" si="53">BB47+AU47+AN47+AG47+Z47</f>
        <v>#REF!</v>
      </c>
      <c r="BE47" s="261" t="e">
        <f>BC47+AV47+#REF!+AH47+AA47</f>
        <v>#REF!</v>
      </c>
      <c r="BF47" s="261" t="e">
        <f t="shared" ref="BF47:BF110" si="54">BD47+AW47+AP47+AI47+AB47</f>
        <v>#REF!</v>
      </c>
      <c r="BG47" s="261" t="e">
        <f t="shared" ref="BG47:BG110" si="55">BE47+AX47+AQ47+AJ47+AC47</f>
        <v>#REF!</v>
      </c>
    </row>
    <row r="48" spans="1:59" ht="15.75">
      <c r="A48" s="333">
        <v>3</v>
      </c>
      <c r="B48" s="333" t="s">
        <v>1607</v>
      </c>
      <c r="C48" s="256">
        <v>61</v>
      </c>
      <c r="D48" s="322" t="s">
        <v>13</v>
      </c>
      <c r="E48" s="256" t="s">
        <v>9</v>
      </c>
      <c r="F48" s="425">
        <f t="array" ref="F48">MAX((IF(MNU_CODIGO_ALIMENTO_ENTREGA=CONCATENATE($C48,"_","P_"),MNU_GRAMAJE_REQUERIDO_TIPOA,"")))</f>
        <v>20</v>
      </c>
      <c r="G48" s="257">
        <f t="shared" si="0"/>
        <v>97584</v>
      </c>
      <c r="H48" s="257">
        <f t="shared" si="1"/>
        <v>8640</v>
      </c>
      <c r="I48" s="257">
        <f t="shared" si="2"/>
        <v>106224</v>
      </c>
      <c r="J48" s="258">
        <f t="shared" si="3"/>
        <v>22737072</v>
      </c>
      <c r="K48" s="258">
        <f t="shared" si="4"/>
        <v>2013120</v>
      </c>
      <c r="L48" s="258">
        <f t="shared" si="5"/>
        <v>24750192</v>
      </c>
      <c r="M48" s="426">
        <f t="array" ref="M48">MAX((IF(MNU_CODIGO_ALIMENTO_ENTREGA=CONCATENATE($C48,"_","P_"),MNU_GRAMAJE_REQUERIDO_TIPOB,"")))</f>
        <v>30</v>
      </c>
      <c r="N48" s="343">
        <f t="shared" si="6"/>
        <v>116720</v>
      </c>
      <c r="O48" s="343">
        <f t="shared" si="7"/>
        <v>8120</v>
      </c>
      <c r="P48" s="343">
        <f t="shared" si="8"/>
        <v>124840</v>
      </c>
      <c r="Q48" s="344">
        <f t="shared" si="9"/>
        <v>40968720</v>
      </c>
      <c r="R48" s="344">
        <f t="shared" si="10"/>
        <v>2850120</v>
      </c>
      <c r="S48" s="344">
        <f t="shared" si="11"/>
        <v>43818840</v>
      </c>
      <c r="T48" s="348">
        <f t="array" ref="T48">MAX((IF(MNU_CODIGO_ALIMENTO_ENTREGA=CONCATENATE($C48,"_","P_"),MNU_GRAMAJE_REQUERIDO_TIPOC,"")))</f>
        <v>70</v>
      </c>
      <c r="U48" s="257">
        <f t="shared" si="12"/>
        <v>121760</v>
      </c>
      <c r="V48" s="257">
        <f t="shared" si="13"/>
        <v>20260</v>
      </c>
      <c r="W48" s="257">
        <f t="shared" si="14"/>
        <v>142020</v>
      </c>
      <c r="X48" s="258">
        <f t="shared" si="15"/>
        <v>99599680</v>
      </c>
      <c r="Y48" s="258">
        <f t="shared" si="16"/>
        <v>16572680</v>
      </c>
      <c r="Z48" s="258">
        <f t="shared" si="17"/>
        <v>116172360</v>
      </c>
      <c r="AA48" s="256">
        <f t="array" ref="AA48">MAX((IF(MNU_CODIGO_ALIMENTO_ENTREGA=CONCATENATE($C48,"_","P_"),MNU_GRAMAJE_REQUERIDO_TIPOM,"")))</f>
        <v>30</v>
      </c>
      <c r="AB48" s="259">
        <f t="shared" si="18"/>
        <v>3888</v>
      </c>
      <c r="AC48" s="259">
        <v>0</v>
      </c>
      <c r="AD48" s="259">
        <f t="shared" si="19"/>
        <v>3888</v>
      </c>
      <c r="AE48" s="260">
        <f t="shared" si="20"/>
        <v>1364688</v>
      </c>
      <c r="AF48" s="260">
        <v>0</v>
      </c>
      <c r="AG48" s="260">
        <f t="shared" si="21"/>
        <v>1364688</v>
      </c>
      <c r="AH48" s="348">
        <f t="array" ref="AH48">MAX((IF(MNU_CODIGO_ALIMENTO_ENTREGA=CONCATENATE($C48,"_","P_"),MNU_GRAMAJE_REQUERIDO_TIPOH,"")))</f>
        <v>70</v>
      </c>
      <c r="AI48" s="257">
        <f t="shared" si="22"/>
        <v>3520</v>
      </c>
      <c r="AJ48" s="257">
        <v>0</v>
      </c>
      <c r="AK48" s="257">
        <f t="shared" si="23"/>
        <v>3520</v>
      </c>
      <c r="AL48" s="258">
        <f t="shared" si="24"/>
        <v>2879360</v>
      </c>
      <c r="AM48" s="258">
        <v>0</v>
      </c>
      <c r="AN48" s="258">
        <f t="shared" si="25"/>
        <v>2879360</v>
      </c>
      <c r="AO48" s="451">
        <f t="shared" si="26"/>
        <v>380492</v>
      </c>
      <c r="AP48" s="450">
        <f t="shared" si="27"/>
        <v>188985440</v>
      </c>
      <c r="AQ48" s="261" t="e">
        <f>#REF!+AH48+AA48+T48+M48</f>
        <v>#REF!</v>
      </c>
      <c r="AR48" s="261">
        <f t="shared" si="42"/>
        <v>189231328</v>
      </c>
      <c r="AS48" s="261" t="e">
        <f t="shared" si="43"/>
        <v>#REF!</v>
      </c>
      <c r="AT48" s="261">
        <f t="shared" si="44"/>
        <v>189505596</v>
      </c>
      <c r="AU48" s="261" t="e">
        <f t="shared" si="45"/>
        <v>#REF!</v>
      </c>
      <c r="AV48" s="261">
        <f t="shared" si="46"/>
        <v>208928396</v>
      </c>
      <c r="AW48" s="261" t="e">
        <f t="shared" si="47"/>
        <v>#REF!</v>
      </c>
      <c r="AX48" s="261" t="e">
        <f>AV48+#REF!+AH48+AA48+T48</f>
        <v>#REF!</v>
      </c>
      <c r="AY48" s="261" t="e">
        <f t="shared" si="48"/>
        <v>#REF!</v>
      </c>
      <c r="AZ48" s="261" t="e">
        <f t="shared" si="49"/>
        <v>#REF!</v>
      </c>
      <c r="BA48" s="261" t="e">
        <f t="shared" si="50"/>
        <v>#REF!</v>
      </c>
      <c r="BB48" s="261" t="e">
        <f t="shared" si="51"/>
        <v>#REF!</v>
      </c>
      <c r="BC48" s="261" t="e">
        <f t="shared" si="52"/>
        <v>#REF!</v>
      </c>
      <c r="BD48" s="261" t="e">
        <f t="shared" si="53"/>
        <v>#REF!</v>
      </c>
      <c r="BE48" s="261" t="e">
        <f>BC48+AV48+#REF!+AH48+AA48</f>
        <v>#REF!</v>
      </c>
      <c r="BF48" s="261" t="e">
        <f t="shared" si="54"/>
        <v>#REF!</v>
      </c>
      <c r="BG48" s="261" t="e">
        <f t="shared" si="55"/>
        <v>#REF!</v>
      </c>
    </row>
    <row r="49" spans="1:59" ht="15.75">
      <c r="A49" s="333">
        <v>3</v>
      </c>
      <c r="B49" s="333" t="s">
        <v>1607</v>
      </c>
      <c r="C49" s="256">
        <v>62</v>
      </c>
      <c r="D49" s="322" t="s">
        <v>68</v>
      </c>
      <c r="E49" s="256" t="s">
        <v>9</v>
      </c>
      <c r="F49" s="425">
        <f t="array" ref="F49">MAX((IF(MNU_CODIGO_ALIMENTO_ENTREGA=CONCATENATE($C49,"_","P_"),MNU_GRAMAJE_REQUERIDO_TIPOA,"")))</f>
        <v>50</v>
      </c>
      <c r="G49" s="257">
        <f t="shared" si="0"/>
        <v>30495</v>
      </c>
      <c r="H49" s="257">
        <f t="shared" si="1"/>
        <v>0</v>
      </c>
      <c r="I49" s="257">
        <f t="shared" si="2"/>
        <v>30495</v>
      </c>
      <c r="J49" s="258">
        <f t="shared" si="3"/>
        <v>19059375</v>
      </c>
      <c r="K49" s="258">
        <f t="shared" si="4"/>
        <v>0</v>
      </c>
      <c r="L49" s="258">
        <f t="shared" si="5"/>
        <v>19059375</v>
      </c>
      <c r="M49" s="426">
        <f t="array" ref="M49">MAX((IF(MNU_CODIGO_ALIMENTO_ENTREGA=CONCATENATE($C49,"_","P_"),MNU_GRAMAJE_REQUERIDO_TIPOB,"")))</f>
        <v>50</v>
      </c>
      <c r="N49" s="343">
        <f t="shared" si="6"/>
        <v>36475</v>
      </c>
      <c r="O49" s="343">
        <f t="shared" si="7"/>
        <v>0</v>
      </c>
      <c r="P49" s="343">
        <f t="shared" si="8"/>
        <v>36475</v>
      </c>
      <c r="Q49" s="344">
        <f t="shared" si="9"/>
        <v>22796875</v>
      </c>
      <c r="R49" s="344">
        <f t="shared" si="10"/>
        <v>0</v>
      </c>
      <c r="S49" s="344">
        <f t="shared" si="11"/>
        <v>22796875</v>
      </c>
      <c r="T49" s="348">
        <f t="array" ref="T49">MAX((IF(MNU_CODIGO_ALIMENTO_ENTREGA=CONCATENATE($C49,"_","P_"),MNU_GRAMAJE_REQUERIDO_TIPOC,"")))</f>
        <v>50</v>
      </c>
      <c r="U49" s="257">
        <f t="shared" si="12"/>
        <v>38050</v>
      </c>
      <c r="V49" s="257">
        <f t="shared" si="13"/>
        <v>0</v>
      </c>
      <c r="W49" s="257">
        <f t="shared" si="14"/>
        <v>38050</v>
      </c>
      <c r="X49" s="258">
        <f t="shared" si="15"/>
        <v>23781250</v>
      </c>
      <c r="Y49" s="258">
        <f t="shared" si="16"/>
        <v>0</v>
      </c>
      <c r="Z49" s="258">
        <f t="shared" si="17"/>
        <v>23781250</v>
      </c>
      <c r="AA49" s="256">
        <f t="array" ref="AA49">MAX((IF(MNU_CODIGO_ALIMENTO_ENTREGA=CONCATENATE($C49,"_","P_"),MNU_GRAMAJE_REQUERIDO_TIPOM,"")))</f>
        <v>50</v>
      </c>
      <c r="AB49" s="259">
        <f t="shared" si="18"/>
        <v>1215</v>
      </c>
      <c r="AC49" s="259">
        <v>0</v>
      </c>
      <c r="AD49" s="259">
        <f t="shared" si="19"/>
        <v>1215</v>
      </c>
      <c r="AE49" s="260">
        <f t="shared" si="20"/>
        <v>759375</v>
      </c>
      <c r="AF49" s="260">
        <v>0</v>
      </c>
      <c r="AG49" s="260">
        <f t="shared" si="21"/>
        <v>759375</v>
      </c>
      <c r="AH49" s="348">
        <f t="array" ref="AH49">MAX((IF(MNU_CODIGO_ALIMENTO_ENTREGA=CONCATENATE($C49,"_","P_"),MNU_GRAMAJE_REQUERIDO_TIPOH,"")))</f>
        <v>50</v>
      </c>
      <c r="AI49" s="257">
        <f t="shared" si="22"/>
        <v>1100</v>
      </c>
      <c r="AJ49" s="257">
        <v>0</v>
      </c>
      <c r="AK49" s="257">
        <f t="shared" si="23"/>
        <v>1100</v>
      </c>
      <c r="AL49" s="258">
        <f t="shared" si="24"/>
        <v>687500</v>
      </c>
      <c r="AM49" s="258">
        <v>0</v>
      </c>
      <c r="AN49" s="258">
        <f t="shared" si="25"/>
        <v>687500</v>
      </c>
      <c r="AO49" s="451">
        <f t="shared" si="26"/>
        <v>107335</v>
      </c>
      <c r="AP49" s="450">
        <f t="shared" si="27"/>
        <v>67084375</v>
      </c>
      <c r="AQ49" s="261" t="e">
        <f>#REF!+AH49+AA49+T49+M49</f>
        <v>#REF!</v>
      </c>
      <c r="AR49" s="261">
        <f t="shared" si="42"/>
        <v>67161215</v>
      </c>
      <c r="AS49" s="261" t="e">
        <f t="shared" si="43"/>
        <v>#REF!</v>
      </c>
      <c r="AT49" s="261">
        <f t="shared" si="44"/>
        <v>67238055</v>
      </c>
      <c r="AU49" s="261" t="e">
        <f t="shared" si="45"/>
        <v>#REF!</v>
      </c>
      <c r="AV49" s="261">
        <f t="shared" si="46"/>
        <v>67238055</v>
      </c>
      <c r="AW49" s="261" t="e">
        <f t="shared" si="47"/>
        <v>#REF!</v>
      </c>
      <c r="AX49" s="261" t="e">
        <f>AV49+#REF!+AH49+AA49+T49</f>
        <v>#REF!</v>
      </c>
      <c r="AY49" s="261" t="e">
        <f t="shared" si="48"/>
        <v>#REF!</v>
      </c>
      <c r="AZ49" s="261" t="e">
        <f t="shared" si="49"/>
        <v>#REF!</v>
      </c>
      <c r="BA49" s="261" t="e">
        <f t="shared" si="50"/>
        <v>#REF!</v>
      </c>
      <c r="BB49" s="261" t="e">
        <f t="shared" si="51"/>
        <v>#REF!</v>
      </c>
      <c r="BC49" s="261" t="e">
        <f t="shared" si="52"/>
        <v>#REF!</v>
      </c>
      <c r="BD49" s="261" t="e">
        <f t="shared" si="53"/>
        <v>#REF!</v>
      </c>
      <c r="BE49" s="261" t="e">
        <f>BC49+AV49+#REF!+AH49+AA49</f>
        <v>#REF!</v>
      </c>
      <c r="BF49" s="261" t="e">
        <f t="shared" si="54"/>
        <v>#REF!</v>
      </c>
      <c r="BG49" s="261" t="e">
        <f t="shared" si="55"/>
        <v>#REF!</v>
      </c>
    </row>
    <row r="50" spans="1:59" ht="15.75">
      <c r="A50" s="333">
        <v>4</v>
      </c>
      <c r="B50" s="333" t="s">
        <v>1607</v>
      </c>
      <c r="C50" s="256">
        <v>1</v>
      </c>
      <c r="D50" s="322" t="s">
        <v>16</v>
      </c>
      <c r="E50" s="256" t="s">
        <v>9</v>
      </c>
      <c r="F50" s="425">
        <f t="array" ref="F50">MAX((IF(MNU_CODIGO_ALIMENTO_ENTREGA=CONCATENATE($C50,"_","P_"),MNU_GRAMAJE_REQUERIDO_TIPOA,"")))</f>
        <v>30</v>
      </c>
      <c r="G50" s="257">
        <f t="shared" ref="G50:G113" si="56">SUMIF(COSTPE_G_ALIMENTO_GRUPO,CONCATENATE($C50,"_",$A50),COSTPE_G_VOLUMEN_TOTAL_TIPOA)</f>
        <v>95115</v>
      </c>
      <c r="H50" s="257">
        <f t="shared" ref="H50:H113" si="57">SUMIF(COSTSE_G_ALIMENTO_GRUPO,CONCATENATE($C50,"_",$A50),COSTSE_G_VOLUMEN_TOTAL_TIPOA)</f>
        <v>0</v>
      </c>
      <c r="I50" s="257">
        <f t="shared" ref="I50:I113" si="58">G50+H50</f>
        <v>95115</v>
      </c>
      <c r="J50" s="258">
        <f t="shared" ref="J50:J113" si="59">SUMIF(COSTPE_G_ALIMENTO_GRUPO,CONCATENATE($C50,"_",$A50),COSTPE_G_VALOR_TOTAL_TIPOA)</f>
        <v>76852920</v>
      </c>
      <c r="K50" s="258">
        <f t="shared" ref="K50:K113" si="60">SUMIF(COSTSE_G_ALIMENTO_GRUPO,CONCATENATE($C50,"_",$A50),COSTSE_G_VALOR_TOTAL_TIPOA)</f>
        <v>0</v>
      </c>
      <c r="L50" s="258">
        <f t="shared" ref="L50:L113" si="61">J50+K50</f>
        <v>76852920</v>
      </c>
      <c r="M50" s="426">
        <f t="array" ref="M50">MAX((IF(MNU_CODIGO_ALIMENTO_ENTREGA=CONCATENATE($C50,"_","P_"),MNU_GRAMAJE_REQUERIDO_TIPOB,"")))</f>
        <v>40</v>
      </c>
      <c r="N50" s="343">
        <f t="shared" ref="N50:N113" si="62">SUMIF(COSTPE_G_ALIMENTO_GRUPO,CONCATENATE($C50,"_",$A50),COSTPE_G_VOLUMEN_TOTAL_TIPOB)</f>
        <v>124725</v>
      </c>
      <c r="O50" s="343">
        <f t="shared" ref="O50:O113" si="63">SUMIF(COSTSE_G_ALIMENTO_GRUPO,CONCATENATE($C50,"_",$A50),COSTSE_G_VOLUMEN_TOTAL_TIPOB)</f>
        <v>0</v>
      </c>
      <c r="P50" s="343">
        <f t="shared" ref="P50:P113" si="64">N50+O50</f>
        <v>124725</v>
      </c>
      <c r="Q50" s="344">
        <f t="shared" ref="Q50:Q113" si="65">SUMIF(COSTPE_G_ALIMENTO_GRUPO,CONCATENATE($C50,"_",$A50),COSTPE_G_VALOR_TOTAL_TIPOB)</f>
        <v>134453550</v>
      </c>
      <c r="R50" s="344">
        <f t="shared" ref="R50:R113" si="66">SUMIF(COSTSE_G_ALIMENTO_GRUPO,CONCATENATE($C50,"_",$A50),COSTSE_G_VALOR_TOTAL_TIPOB)</f>
        <v>0</v>
      </c>
      <c r="S50" s="344">
        <f t="shared" ref="S50:S113" si="67">Q50+R50</f>
        <v>134453550</v>
      </c>
      <c r="T50" s="348">
        <f t="array" ref="T50">MAX((IF(MNU_CODIGO_ALIMENTO_ENTREGA=CONCATENATE($C50,"_","P_"),MNU_GRAMAJE_REQUERIDO_TIPOC,"")))</f>
        <v>60</v>
      </c>
      <c r="U50" s="257">
        <f t="shared" ref="U50:U113" si="68">SUMIF(COSTPE_G_ALIMENTO_GRUPO,CONCATENATE($C50,"_",$A50),COSTPE_G_VOLUMEN_TOTAL_TIPOC)</f>
        <v>136380</v>
      </c>
      <c r="V50" s="257">
        <f t="shared" ref="V50:V113" si="69">SUMIF(COSTSE_G_ALIMENTO_GRUPO,CONCATENATE($C50,"_",$A50),COSTSE_G_VOLUMEN_TOTAL_TIPOC)</f>
        <v>0</v>
      </c>
      <c r="W50" s="257">
        <f t="shared" ref="W50:W113" si="70">U50+V50</f>
        <v>136380</v>
      </c>
      <c r="X50" s="258">
        <f t="shared" ref="X50:X113" si="71">SUMIF(COSTPE_G_ALIMENTO_GRUPO,CONCATENATE($C50,"_",$A50),COSTPE_G_VALOR_TOTAL_TIPOC)</f>
        <v>220390080</v>
      </c>
      <c r="Y50" s="258">
        <f t="shared" ref="Y50:Y113" si="72">SUMIF(COSTSE_G_ALIMENTO_GRUPO,CONCATENATE($C50,"_",$A50),COSTSE_G_VALOR_TOTAL_TIPOC)</f>
        <v>0</v>
      </c>
      <c r="Z50" s="258">
        <f t="shared" ref="Z50:Z113" si="73">X50+Y50</f>
        <v>220390080</v>
      </c>
      <c r="AA50" s="256">
        <f t="array" ref="AA50">MAX((IF(MNU_CODIGO_ALIMENTO_ENTREGA=CONCATENATE($C50,"_","P_"),MNU_GRAMAJE_REQUERIDO_TIPOM,"")))</f>
        <v>40</v>
      </c>
      <c r="AB50" s="259">
        <f t="shared" ref="AB50:AB113" si="74">SUMIF(COSTPE_G_ALIMENTO_GRUPO,CONCATENATE($C50,"_",$A50),COSTPE_G_VOLUMEN_TOTAL_TIPOM)</f>
        <v>2160</v>
      </c>
      <c r="AC50" s="259">
        <v>0</v>
      </c>
      <c r="AD50" s="259">
        <f t="shared" ref="AD50:AD113" si="75">AB50+AC50</f>
        <v>2160</v>
      </c>
      <c r="AE50" s="260">
        <f t="shared" ref="AE50:AE113" si="76">SUMIF(COSTPE_G_ALIMENTO_GRUPO,CONCATENATE($C50,"_",$A50),COSTPE_G_VALOR_TOTAL_TIPOM)</f>
        <v>2328480</v>
      </c>
      <c r="AF50" s="260">
        <v>0</v>
      </c>
      <c r="AG50" s="260">
        <f t="shared" ref="AG50:AG113" si="77">AE50+AF50</f>
        <v>2328480</v>
      </c>
      <c r="AH50" s="348">
        <f t="array" ref="AH50">MAX((IF(MNU_CODIGO_ALIMENTO_ENTREGA=CONCATENATE($C50,"_","P_"),MNU_GRAMAJE_REQUERIDO_TIPOH,"")))</f>
        <v>60</v>
      </c>
      <c r="AI50" s="257">
        <f t="shared" ref="AI50:AI113" si="78">SUMIF(COSTPE_G_ALIMENTO_GRUPO,CONCATENATE($C50,"_",$A50),COSTPE_G_VOLUMEN_TOTAL_TIPOH)</f>
        <v>2160</v>
      </c>
      <c r="AJ50" s="257">
        <v>0</v>
      </c>
      <c r="AK50" s="257">
        <f t="shared" ref="AK50:AK113" si="79">AI50+AJ50</f>
        <v>2160</v>
      </c>
      <c r="AL50" s="258">
        <f t="shared" ref="AL50:AL113" si="80">SUMIF(COSTPE_G_ALIMENTO_GRUPO,CONCATENATE($C50,"_",$A50),COSTPE_G_VALOR_TOTAL_TIPOH)</f>
        <v>3490560</v>
      </c>
      <c r="AM50" s="258">
        <v>0</v>
      </c>
      <c r="AN50" s="258">
        <f t="shared" ref="AN50:AN113" si="81">AL50+AM50</f>
        <v>3490560</v>
      </c>
      <c r="AO50" s="451">
        <f t="shared" ref="AO50:AO113" si="82">AK50+AD50+W50+P50+I50</f>
        <v>360540</v>
      </c>
      <c r="AP50" s="450">
        <f t="shared" ref="AP50:AP113" si="83">AN50+AG50+Z50+S50+L50</f>
        <v>437515590</v>
      </c>
      <c r="AQ50" s="261" t="e">
        <f>#REF!+AH50+AA50+T50+M50</f>
        <v>#REF!</v>
      </c>
      <c r="AR50" s="261">
        <f t="shared" si="42"/>
        <v>437781015</v>
      </c>
      <c r="AS50" s="261" t="e">
        <f t="shared" si="43"/>
        <v>#REF!</v>
      </c>
      <c r="AT50" s="261">
        <f t="shared" si="44"/>
        <v>438046440</v>
      </c>
      <c r="AU50" s="261" t="e">
        <f t="shared" si="45"/>
        <v>#REF!</v>
      </c>
      <c r="AV50" s="261">
        <f t="shared" si="46"/>
        <v>438046440</v>
      </c>
      <c r="AW50" s="261" t="e">
        <f t="shared" si="47"/>
        <v>#REF!</v>
      </c>
      <c r="AX50" s="261" t="e">
        <f>AV50+#REF!+AH50+AA50+T50</f>
        <v>#REF!</v>
      </c>
      <c r="AY50" s="261" t="e">
        <f t="shared" si="48"/>
        <v>#REF!</v>
      </c>
      <c r="AZ50" s="261" t="e">
        <f t="shared" si="49"/>
        <v>#REF!</v>
      </c>
      <c r="BA50" s="261" t="e">
        <f t="shared" si="50"/>
        <v>#REF!</v>
      </c>
      <c r="BB50" s="261" t="e">
        <f t="shared" si="51"/>
        <v>#REF!</v>
      </c>
      <c r="BC50" s="261" t="e">
        <f t="shared" si="52"/>
        <v>#REF!</v>
      </c>
      <c r="BD50" s="261" t="e">
        <f t="shared" si="53"/>
        <v>#REF!</v>
      </c>
      <c r="BE50" s="261" t="e">
        <f>BC50+AV50+#REF!+AH50+AA50</f>
        <v>#REF!</v>
      </c>
      <c r="BF50" s="261" t="e">
        <f t="shared" si="54"/>
        <v>#REF!</v>
      </c>
      <c r="BG50" s="261" t="e">
        <f t="shared" si="55"/>
        <v>#REF!</v>
      </c>
    </row>
    <row r="51" spans="1:59" ht="15.75">
      <c r="A51" s="333">
        <v>4</v>
      </c>
      <c r="B51" s="333" t="s">
        <v>1607</v>
      </c>
      <c r="C51" s="256">
        <v>3</v>
      </c>
      <c r="D51" s="322" t="s">
        <v>12</v>
      </c>
      <c r="E51" s="256" t="s">
        <v>9</v>
      </c>
      <c r="F51" s="425">
        <f t="array" ref="F51">MAX((IF(MNU_CODIGO_ALIMENTO_ENTREGA=CONCATENATE($C51,"_","P_"),MNU_GRAMAJE_REQUERIDO_TIPOA,"")))</f>
        <v>50</v>
      </c>
      <c r="G51" s="257">
        <f t="shared" si="56"/>
        <v>107797</v>
      </c>
      <c r="H51" s="257">
        <f t="shared" si="57"/>
        <v>8588</v>
      </c>
      <c r="I51" s="257">
        <f t="shared" si="58"/>
        <v>116385</v>
      </c>
      <c r="J51" s="258">
        <f t="shared" si="59"/>
        <v>54437485</v>
      </c>
      <c r="K51" s="258">
        <f t="shared" si="60"/>
        <v>4336940</v>
      </c>
      <c r="L51" s="258">
        <f t="shared" si="61"/>
        <v>58774425</v>
      </c>
      <c r="M51" s="426">
        <f t="array" ref="M51">MAX((IF(MNU_CODIGO_ALIMENTO_ENTREGA=CONCATENATE($C51,"_","P_"),MNU_GRAMAJE_REQUERIDO_TIPOB,"")))</f>
        <v>50</v>
      </c>
      <c r="N51" s="343">
        <f t="shared" si="62"/>
        <v>141355</v>
      </c>
      <c r="O51" s="343">
        <f t="shared" si="63"/>
        <v>8474</v>
      </c>
      <c r="P51" s="343">
        <f t="shared" si="64"/>
        <v>149829</v>
      </c>
      <c r="Q51" s="344">
        <f t="shared" si="65"/>
        <v>71384275</v>
      </c>
      <c r="R51" s="344">
        <f t="shared" si="66"/>
        <v>4279370</v>
      </c>
      <c r="S51" s="344">
        <f t="shared" si="67"/>
        <v>75663645</v>
      </c>
      <c r="T51" s="348">
        <f t="array" ref="T51">MAX((IF(MNU_CODIGO_ALIMENTO_ENTREGA=CONCATENATE($C51,"_","P_"),MNU_GRAMAJE_REQUERIDO_TIPOC,"")))</f>
        <v>80</v>
      </c>
      <c r="U51" s="257">
        <f t="shared" si="68"/>
        <v>154564</v>
      </c>
      <c r="V51" s="257">
        <f t="shared" si="69"/>
        <v>28975</v>
      </c>
      <c r="W51" s="257">
        <f t="shared" si="70"/>
        <v>183539</v>
      </c>
      <c r="X51" s="258">
        <f t="shared" si="71"/>
        <v>117932332</v>
      </c>
      <c r="Y51" s="258">
        <f t="shared" si="72"/>
        <v>22107925</v>
      </c>
      <c r="Z51" s="258">
        <f t="shared" si="73"/>
        <v>140040257</v>
      </c>
      <c r="AA51" s="256">
        <f t="array" ref="AA51">MAX((IF(MNU_CODIGO_ALIMENTO_ENTREGA=CONCATENATE($C51,"_","P_"),MNU_GRAMAJE_REQUERIDO_TIPOM,"")))</f>
        <v>50</v>
      </c>
      <c r="AB51" s="259">
        <f t="shared" si="74"/>
        <v>2448</v>
      </c>
      <c r="AC51" s="259">
        <v>0</v>
      </c>
      <c r="AD51" s="259">
        <f t="shared" si="75"/>
        <v>2448</v>
      </c>
      <c r="AE51" s="260">
        <f t="shared" si="76"/>
        <v>1236240</v>
      </c>
      <c r="AF51" s="260">
        <v>0</v>
      </c>
      <c r="AG51" s="260">
        <f t="shared" si="77"/>
        <v>1236240</v>
      </c>
      <c r="AH51" s="348">
        <f t="array" ref="AH51">MAX((IF(MNU_CODIGO_ALIMENTO_ENTREGA=CONCATENATE($C51,"_","P_"),MNU_GRAMAJE_REQUERIDO_TIPOH,"")))</f>
        <v>80</v>
      </c>
      <c r="AI51" s="257">
        <f t="shared" si="78"/>
        <v>2448</v>
      </c>
      <c r="AJ51" s="257">
        <v>0</v>
      </c>
      <c r="AK51" s="257">
        <f t="shared" si="79"/>
        <v>2448</v>
      </c>
      <c r="AL51" s="258">
        <f t="shared" si="80"/>
        <v>1867824</v>
      </c>
      <c r="AM51" s="258">
        <v>0</v>
      </c>
      <c r="AN51" s="258">
        <f t="shared" si="81"/>
        <v>1867824</v>
      </c>
      <c r="AO51" s="451">
        <f t="shared" si="82"/>
        <v>454649</v>
      </c>
      <c r="AP51" s="450">
        <f t="shared" si="83"/>
        <v>277582391</v>
      </c>
      <c r="AQ51" s="261" t="e">
        <f>#REF!+AH51+AA51+T51+M51</f>
        <v>#REF!</v>
      </c>
      <c r="AR51" s="261">
        <f t="shared" si="42"/>
        <v>277883206</v>
      </c>
      <c r="AS51" s="261" t="e">
        <f t="shared" si="43"/>
        <v>#REF!</v>
      </c>
      <c r="AT51" s="261">
        <f t="shared" si="44"/>
        <v>278221470</v>
      </c>
      <c r="AU51" s="261" t="e">
        <f t="shared" si="45"/>
        <v>#REF!</v>
      </c>
      <c r="AV51" s="261">
        <f t="shared" si="46"/>
        <v>304608765</v>
      </c>
      <c r="AW51" s="261" t="e">
        <f t="shared" si="47"/>
        <v>#REF!</v>
      </c>
      <c r="AX51" s="261" t="e">
        <f>AV51+#REF!+AH51+AA51+T51</f>
        <v>#REF!</v>
      </c>
      <c r="AY51" s="261" t="e">
        <f t="shared" si="48"/>
        <v>#REF!</v>
      </c>
      <c r="AZ51" s="261" t="e">
        <f t="shared" si="49"/>
        <v>#REF!</v>
      </c>
      <c r="BA51" s="261" t="e">
        <f t="shared" si="50"/>
        <v>#REF!</v>
      </c>
      <c r="BB51" s="261" t="e">
        <f t="shared" si="51"/>
        <v>#REF!</v>
      </c>
      <c r="BC51" s="261" t="e">
        <f t="shared" si="52"/>
        <v>#REF!</v>
      </c>
      <c r="BD51" s="261" t="e">
        <f t="shared" si="53"/>
        <v>#REF!</v>
      </c>
      <c r="BE51" s="261" t="e">
        <f>BC51+AV51+#REF!+AH51+AA51</f>
        <v>#REF!</v>
      </c>
      <c r="BF51" s="261" t="e">
        <f t="shared" si="54"/>
        <v>#REF!</v>
      </c>
      <c r="BG51" s="261" t="e">
        <f t="shared" si="55"/>
        <v>#REF!</v>
      </c>
    </row>
    <row r="52" spans="1:59" ht="15.75">
      <c r="A52" s="333">
        <v>4</v>
      </c>
      <c r="B52" s="333" t="s">
        <v>1607</v>
      </c>
      <c r="C52" s="256">
        <v>15</v>
      </c>
      <c r="D52" s="322" t="s">
        <v>66</v>
      </c>
      <c r="E52" s="256" t="s">
        <v>9</v>
      </c>
      <c r="F52" s="425">
        <f t="array" ref="F52">MAX((IF(MNU_CODIGO_ALIMENTO_ENTREGA=CONCATENATE($C52,"_","P_"),MNU_GRAMAJE_REQUERIDO_TIPOA,"")))</f>
        <v>50</v>
      </c>
      <c r="G52" s="257">
        <f t="shared" si="56"/>
        <v>107797</v>
      </c>
      <c r="H52" s="257">
        <f t="shared" si="57"/>
        <v>4972</v>
      </c>
      <c r="I52" s="257">
        <f t="shared" si="58"/>
        <v>112769</v>
      </c>
      <c r="J52" s="258">
        <f t="shared" si="59"/>
        <v>72547381</v>
      </c>
      <c r="K52" s="258">
        <f t="shared" si="60"/>
        <v>3346156</v>
      </c>
      <c r="L52" s="258">
        <f t="shared" si="61"/>
        <v>75893537</v>
      </c>
      <c r="M52" s="426">
        <f t="array" ref="M52">MAX((IF(MNU_CODIGO_ALIMENTO_ENTREGA=CONCATENATE($C52,"_","P_"),MNU_GRAMAJE_REQUERIDO_TIPOB,"")))</f>
        <v>50</v>
      </c>
      <c r="N52" s="343">
        <f t="shared" si="62"/>
        <v>141355</v>
      </c>
      <c r="O52" s="343">
        <f t="shared" si="63"/>
        <v>4906</v>
      </c>
      <c r="P52" s="343">
        <f t="shared" si="64"/>
        <v>146261</v>
      </c>
      <c r="Q52" s="344">
        <f t="shared" si="65"/>
        <v>95131915</v>
      </c>
      <c r="R52" s="344">
        <f t="shared" si="66"/>
        <v>3301738</v>
      </c>
      <c r="S52" s="344">
        <f t="shared" si="67"/>
        <v>98433653</v>
      </c>
      <c r="T52" s="348">
        <f t="array" ref="T52">MAX((IF(MNU_CODIGO_ALIMENTO_ENTREGA=CONCATENATE($C52,"_","P_"),MNU_GRAMAJE_REQUERIDO_TIPOC,"")))</f>
        <v>80</v>
      </c>
      <c r="U52" s="257">
        <f t="shared" si="68"/>
        <v>154564</v>
      </c>
      <c r="V52" s="257">
        <f t="shared" si="69"/>
        <v>16775</v>
      </c>
      <c r="W52" s="257">
        <f t="shared" si="70"/>
        <v>171339</v>
      </c>
      <c r="X52" s="258">
        <f t="shared" si="71"/>
        <v>166310864</v>
      </c>
      <c r="Y52" s="258">
        <f t="shared" si="72"/>
        <v>18049900</v>
      </c>
      <c r="Z52" s="258">
        <f t="shared" si="73"/>
        <v>184360764</v>
      </c>
      <c r="AA52" s="256">
        <f t="array" ref="AA52">MAX((IF(MNU_CODIGO_ALIMENTO_ENTREGA=CONCATENATE($C52,"_","P_"),MNU_GRAMAJE_REQUERIDO_TIPOM,"")))</f>
        <v>50</v>
      </c>
      <c r="AB52" s="259">
        <f t="shared" si="74"/>
        <v>2448</v>
      </c>
      <c r="AC52" s="259">
        <v>0</v>
      </c>
      <c r="AD52" s="259">
        <f t="shared" si="75"/>
        <v>2448</v>
      </c>
      <c r="AE52" s="260">
        <f t="shared" si="76"/>
        <v>1647504</v>
      </c>
      <c r="AF52" s="260">
        <v>0</v>
      </c>
      <c r="AG52" s="260">
        <f t="shared" si="77"/>
        <v>1647504</v>
      </c>
      <c r="AH52" s="348">
        <f t="array" ref="AH52">MAX((IF(MNU_CODIGO_ALIMENTO_ENTREGA=CONCATENATE($C52,"_","P_"),MNU_GRAMAJE_REQUERIDO_TIPOH,"")))</f>
        <v>80</v>
      </c>
      <c r="AI52" s="257">
        <f t="shared" si="78"/>
        <v>2448</v>
      </c>
      <c r="AJ52" s="257">
        <v>0</v>
      </c>
      <c r="AK52" s="257">
        <f t="shared" si="79"/>
        <v>2448</v>
      </c>
      <c r="AL52" s="258">
        <f t="shared" si="80"/>
        <v>2634048</v>
      </c>
      <c r="AM52" s="258">
        <v>0</v>
      </c>
      <c r="AN52" s="258">
        <f t="shared" si="81"/>
        <v>2634048</v>
      </c>
      <c r="AO52" s="451">
        <f t="shared" si="82"/>
        <v>435265</v>
      </c>
      <c r="AP52" s="450">
        <f t="shared" si="83"/>
        <v>362969506</v>
      </c>
      <c r="AQ52" s="261" t="e">
        <f>#REF!+AH52+AA52+T52+M52</f>
        <v>#REF!</v>
      </c>
      <c r="AR52" s="261">
        <f t="shared" si="42"/>
        <v>363270321</v>
      </c>
      <c r="AS52" s="261" t="e">
        <f t="shared" si="43"/>
        <v>#REF!</v>
      </c>
      <c r="AT52" s="261">
        <f t="shared" si="44"/>
        <v>363592817</v>
      </c>
      <c r="AU52" s="261" t="e">
        <f t="shared" si="45"/>
        <v>#REF!</v>
      </c>
      <c r="AV52" s="261">
        <f t="shared" si="46"/>
        <v>384944455</v>
      </c>
      <c r="AW52" s="261" t="e">
        <f t="shared" si="47"/>
        <v>#REF!</v>
      </c>
      <c r="AX52" s="261" t="e">
        <f>AV52+#REF!+AH52+AA52+T52</f>
        <v>#REF!</v>
      </c>
      <c r="AY52" s="261" t="e">
        <f t="shared" si="48"/>
        <v>#REF!</v>
      </c>
      <c r="AZ52" s="261" t="e">
        <f t="shared" si="49"/>
        <v>#REF!</v>
      </c>
      <c r="BA52" s="261" t="e">
        <f t="shared" si="50"/>
        <v>#REF!</v>
      </c>
      <c r="BB52" s="261" t="e">
        <f t="shared" si="51"/>
        <v>#REF!</v>
      </c>
      <c r="BC52" s="261" t="e">
        <f t="shared" si="52"/>
        <v>#REF!</v>
      </c>
      <c r="BD52" s="261" t="e">
        <f t="shared" si="53"/>
        <v>#REF!</v>
      </c>
      <c r="BE52" s="261" t="e">
        <f>BC52+AV52+#REF!+AH52+AA52</f>
        <v>#REF!</v>
      </c>
      <c r="BF52" s="261" t="e">
        <f t="shared" si="54"/>
        <v>#REF!</v>
      </c>
      <c r="BG52" s="261" t="e">
        <f t="shared" si="55"/>
        <v>#REF!</v>
      </c>
    </row>
    <row r="53" spans="1:59" ht="15.75">
      <c r="A53" s="333">
        <v>4</v>
      </c>
      <c r="B53" s="333" t="s">
        <v>1607</v>
      </c>
      <c r="C53" s="256">
        <v>24</v>
      </c>
      <c r="D53" s="322" t="s">
        <v>61</v>
      </c>
      <c r="E53" s="256" t="s">
        <v>9</v>
      </c>
      <c r="F53" s="425">
        <f t="array" ref="F53">MAX((IF(MNU_CODIGO_ALIMENTO_ENTREGA=CONCATENATE($C53,"_","P_"),MNU_GRAMAJE_REQUERIDO_TIPOA,"")))</f>
        <v>20</v>
      </c>
      <c r="G53" s="257">
        <f t="shared" si="56"/>
        <v>107797</v>
      </c>
      <c r="H53" s="257">
        <f t="shared" si="57"/>
        <v>4972</v>
      </c>
      <c r="I53" s="257">
        <f t="shared" si="58"/>
        <v>112769</v>
      </c>
      <c r="J53" s="258">
        <f t="shared" si="59"/>
        <v>13798016</v>
      </c>
      <c r="K53" s="258">
        <f t="shared" si="60"/>
        <v>636416</v>
      </c>
      <c r="L53" s="258">
        <f t="shared" si="61"/>
        <v>14434432</v>
      </c>
      <c r="M53" s="426">
        <f t="array" ref="M53">MAX((IF(MNU_CODIGO_ALIMENTO_ENTREGA=CONCATENATE($C53,"_","P_"),MNU_GRAMAJE_REQUERIDO_TIPOB,"")))</f>
        <v>30</v>
      </c>
      <c r="N53" s="343">
        <f t="shared" si="62"/>
        <v>141355</v>
      </c>
      <c r="O53" s="343">
        <f t="shared" si="63"/>
        <v>4906</v>
      </c>
      <c r="P53" s="343">
        <f t="shared" si="64"/>
        <v>146261</v>
      </c>
      <c r="Q53" s="344">
        <f t="shared" si="65"/>
        <v>28271000</v>
      </c>
      <c r="R53" s="344">
        <f t="shared" si="66"/>
        <v>981200</v>
      </c>
      <c r="S53" s="344">
        <f t="shared" si="67"/>
        <v>29252200</v>
      </c>
      <c r="T53" s="348">
        <f t="array" ref="T53">MAX((IF(MNU_CODIGO_ALIMENTO_ENTREGA=CONCATENATE($C53,"_","P_"),MNU_GRAMAJE_REQUERIDO_TIPOC,"")))</f>
        <v>60</v>
      </c>
      <c r="U53" s="257">
        <f t="shared" si="68"/>
        <v>154564</v>
      </c>
      <c r="V53" s="257">
        <f t="shared" si="69"/>
        <v>16775</v>
      </c>
      <c r="W53" s="257">
        <f t="shared" si="70"/>
        <v>171339</v>
      </c>
      <c r="X53" s="258">
        <f t="shared" si="71"/>
        <v>59507140</v>
      </c>
      <c r="Y53" s="258">
        <f t="shared" si="72"/>
        <v>6458375</v>
      </c>
      <c r="Z53" s="258">
        <f t="shared" si="73"/>
        <v>65965515</v>
      </c>
      <c r="AA53" s="256">
        <f t="array" ref="AA53">MAX((IF(MNU_CODIGO_ALIMENTO_ENTREGA=CONCATENATE($C53,"_","P_"),MNU_GRAMAJE_REQUERIDO_TIPOM,"")))</f>
        <v>30</v>
      </c>
      <c r="AB53" s="259">
        <f t="shared" si="74"/>
        <v>2448</v>
      </c>
      <c r="AC53" s="259">
        <v>0</v>
      </c>
      <c r="AD53" s="259">
        <f t="shared" si="75"/>
        <v>2448</v>
      </c>
      <c r="AE53" s="260">
        <f t="shared" si="76"/>
        <v>489600</v>
      </c>
      <c r="AF53" s="260">
        <v>0</v>
      </c>
      <c r="AG53" s="260">
        <f t="shared" si="77"/>
        <v>489600</v>
      </c>
      <c r="AH53" s="348">
        <f t="array" ref="AH53">MAX((IF(MNU_CODIGO_ALIMENTO_ENTREGA=CONCATENATE($C53,"_","P_"),MNU_GRAMAJE_REQUERIDO_TIPOH,"")))</f>
        <v>60</v>
      </c>
      <c r="AI53" s="257">
        <f t="shared" si="78"/>
        <v>2448</v>
      </c>
      <c r="AJ53" s="257">
        <v>0</v>
      </c>
      <c r="AK53" s="257">
        <f t="shared" si="79"/>
        <v>2448</v>
      </c>
      <c r="AL53" s="258">
        <f t="shared" si="80"/>
        <v>942480</v>
      </c>
      <c r="AM53" s="258">
        <v>0</v>
      </c>
      <c r="AN53" s="258">
        <f t="shared" si="81"/>
        <v>942480</v>
      </c>
      <c r="AO53" s="451">
        <f t="shared" si="82"/>
        <v>435265</v>
      </c>
      <c r="AP53" s="450">
        <f t="shared" si="83"/>
        <v>111084227</v>
      </c>
      <c r="AQ53" s="261" t="e">
        <f>#REF!+AH53+AA53+T53+M53</f>
        <v>#REF!</v>
      </c>
      <c r="AR53" s="261">
        <f t="shared" si="42"/>
        <v>111385042</v>
      </c>
      <c r="AS53" s="261" t="e">
        <f t="shared" si="43"/>
        <v>#REF!</v>
      </c>
      <c r="AT53" s="261">
        <f t="shared" si="44"/>
        <v>111707538</v>
      </c>
      <c r="AU53" s="261" t="e">
        <f t="shared" si="45"/>
        <v>#REF!</v>
      </c>
      <c r="AV53" s="261">
        <f t="shared" si="46"/>
        <v>119147113</v>
      </c>
      <c r="AW53" s="261" t="e">
        <f t="shared" si="47"/>
        <v>#REF!</v>
      </c>
      <c r="AX53" s="261" t="e">
        <f>AV53+#REF!+AH53+AA53+T53</f>
        <v>#REF!</v>
      </c>
      <c r="AY53" s="261" t="e">
        <f t="shared" si="48"/>
        <v>#REF!</v>
      </c>
      <c r="AZ53" s="261" t="e">
        <f t="shared" si="49"/>
        <v>#REF!</v>
      </c>
      <c r="BA53" s="261" t="e">
        <f t="shared" si="50"/>
        <v>#REF!</v>
      </c>
      <c r="BB53" s="261" t="e">
        <f t="shared" si="51"/>
        <v>#REF!</v>
      </c>
      <c r="BC53" s="261" t="e">
        <f t="shared" si="52"/>
        <v>#REF!</v>
      </c>
      <c r="BD53" s="261" t="e">
        <f t="shared" si="53"/>
        <v>#REF!</v>
      </c>
      <c r="BE53" s="261" t="e">
        <f>BC53+AV53+#REF!+AH53+AA53</f>
        <v>#REF!</v>
      </c>
      <c r="BF53" s="261" t="e">
        <f t="shared" si="54"/>
        <v>#REF!</v>
      </c>
      <c r="BG53" s="261" t="e">
        <f t="shared" si="55"/>
        <v>#REF!</v>
      </c>
    </row>
    <row r="54" spans="1:59" ht="15.75">
      <c r="A54" s="333">
        <v>4</v>
      </c>
      <c r="B54" s="333" t="s">
        <v>1607</v>
      </c>
      <c r="C54" s="256">
        <v>25</v>
      </c>
      <c r="D54" s="322" t="s">
        <v>64</v>
      </c>
      <c r="E54" s="256" t="s">
        <v>9</v>
      </c>
      <c r="F54" s="425">
        <f t="array" ref="F54">MAX((IF(MNU_CODIGO_ALIMENTO_ENTREGA=CONCATENATE($C54,"_","P_"),MNU_GRAMAJE_REQUERIDO_TIPOA,"")))</f>
        <v>40</v>
      </c>
      <c r="G54" s="257">
        <f t="shared" si="56"/>
        <v>107797</v>
      </c>
      <c r="H54" s="257">
        <f t="shared" si="57"/>
        <v>9944</v>
      </c>
      <c r="I54" s="257">
        <f t="shared" si="58"/>
        <v>117741</v>
      </c>
      <c r="J54" s="258">
        <f t="shared" si="59"/>
        <v>27596032</v>
      </c>
      <c r="K54" s="258">
        <f t="shared" si="60"/>
        <v>2545664</v>
      </c>
      <c r="L54" s="258">
        <f t="shared" si="61"/>
        <v>30141696</v>
      </c>
      <c r="M54" s="426">
        <f t="array" ref="M54">MAX((IF(MNU_CODIGO_ALIMENTO_ENTREGA=CONCATENATE($C54,"_","P_"),MNU_GRAMAJE_REQUERIDO_TIPOB,"")))</f>
        <v>40</v>
      </c>
      <c r="N54" s="343">
        <f t="shared" si="62"/>
        <v>141355</v>
      </c>
      <c r="O54" s="343">
        <f t="shared" si="63"/>
        <v>9812</v>
      </c>
      <c r="P54" s="343">
        <f t="shared" si="64"/>
        <v>151167</v>
      </c>
      <c r="Q54" s="344">
        <f t="shared" si="65"/>
        <v>36186880</v>
      </c>
      <c r="R54" s="344">
        <f t="shared" si="66"/>
        <v>2511872</v>
      </c>
      <c r="S54" s="344">
        <f t="shared" si="67"/>
        <v>38698752</v>
      </c>
      <c r="T54" s="348">
        <f t="array" ref="T54">MAX((IF(MNU_CODIGO_ALIMENTO_ENTREGA=CONCATENATE($C54,"_","P_"),MNU_GRAMAJE_REQUERIDO_TIPOC,"")))</f>
        <v>60</v>
      </c>
      <c r="U54" s="257">
        <f t="shared" si="68"/>
        <v>154564</v>
      </c>
      <c r="V54" s="257">
        <f t="shared" si="69"/>
        <v>33550</v>
      </c>
      <c r="W54" s="257">
        <f t="shared" si="70"/>
        <v>188114</v>
      </c>
      <c r="X54" s="258">
        <f t="shared" si="71"/>
        <v>59352576</v>
      </c>
      <c r="Y54" s="258">
        <f t="shared" si="72"/>
        <v>12883200</v>
      </c>
      <c r="Z54" s="258">
        <f t="shared" si="73"/>
        <v>72235776</v>
      </c>
      <c r="AA54" s="256">
        <f t="array" ref="AA54">MAX((IF(MNU_CODIGO_ALIMENTO_ENTREGA=CONCATENATE($C54,"_","P_"),MNU_GRAMAJE_REQUERIDO_TIPOM,"")))</f>
        <v>40</v>
      </c>
      <c r="AB54" s="259">
        <f t="shared" si="74"/>
        <v>2448</v>
      </c>
      <c r="AC54" s="259">
        <v>0</v>
      </c>
      <c r="AD54" s="259">
        <f t="shared" si="75"/>
        <v>2448</v>
      </c>
      <c r="AE54" s="260">
        <f t="shared" si="76"/>
        <v>626688</v>
      </c>
      <c r="AF54" s="260">
        <v>0</v>
      </c>
      <c r="AG54" s="260">
        <f t="shared" si="77"/>
        <v>626688</v>
      </c>
      <c r="AH54" s="348">
        <f t="array" ref="AH54">MAX((IF(MNU_CODIGO_ALIMENTO_ENTREGA=CONCATENATE($C54,"_","P_"),MNU_GRAMAJE_REQUERIDO_TIPOH,"")))</f>
        <v>60</v>
      </c>
      <c r="AI54" s="257">
        <f t="shared" si="78"/>
        <v>2448</v>
      </c>
      <c r="AJ54" s="257">
        <v>0</v>
      </c>
      <c r="AK54" s="257">
        <f t="shared" si="79"/>
        <v>2448</v>
      </c>
      <c r="AL54" s="258">
        <f t="shared" si="80"/>
        <v>940032</v>
      </c>
      <c r="AM54" s="258">
        <v>0</v>
      </c>
      <c r="AN54" s="258">
        <f t="shared" si="81"/>
        <v>940032</v>
      </c>
      <c r="AO54" s="451">
        <f t="shared" si="82"/>
        <v>461918</v>
      </c>
      <c r="AP54" s="450">
        <f t="shared" si="83"/>
        <v>142642944</v>
      </c>
      <c r="AQ54" s="261" t="e">
        <f>#REF!+AH54+AA54+T54+M54</f>
        <v>#REF!</v>
      </c>
      <c r="AR54" s="261">
        <f t="shared" si="42"/>
        <v>142943759</v>
      </c>
      <c r="AS54" s="261" t="e">
        <f t="shared" si="43"/>
        <v>#REF!</v>
      </c>
      <c r="AT54" s="261">
        <f t="shared" si="44"/>
        <v>143287936</v>
      </c>
      <c r="AU54" s="261" t="e">
        <f t="shared" si="45"/>
        <v>#REF!</v>
      </c>
      <c r="AV54" s="261">
        <f t="shared" si="46"/>
        <v>158683008</v>
      </c>
      <c r="AW54" s="261" t="e">
        <f t="shared" si="47"/>
        <v>#REF!</v>
      </c>
      <c r="AX54" s="261" t="e">
        <f>AV54+#REF!+AH54+AA54+T54</f>
        <v>#REF!</v>
      </c>
      <c r="AY54" s="261" t="e">
        <f t="shared" si="48"/>
        <v>#REF!</v>
      </c>
      <c r="AZ54" s="261" t="e">
        <f t="shared" si="49"/>
        <v>#REF!</v>
      </c>
      <c r="BA54" s="261" t="e">
        <f t="shared" si="50"/>
        <v>#REF!</v>
      </c>
      <c r="BB54" s="261" t="e">
        <f t="shared" si="51"/>
        <v>#REF!</v>
      </c>
      <c r="BC54" s="261" t="e">
        <f t="shared" si="52"/>
        <v>#REF!</v>
      </c>
      <c r="BD54" s="261" t="e">
        <f t="shared" si="53"/>
        <v>#REF!</v>
      </c>
      <c r="BE54" s="261" t="e">
        <f>BC54+AV54+#REF!+AH54+AA54</f>
        <v>#REF!</v>
      </c>
      <c r="BF54" s="261" t="e">
        <f t="shared" si="54"/>
        <v>#REF!</v>
      </c>
      <c r="BG54" s="261" t="e">
        <f t="shared" si="55"/>
        <v>#REF!</v>
      </c>
    </row>
    <row r="55" spans="1:59" ht="15.75">
      <c r="A55" s="333">
        <v>4</v>
      </c>
      <c r="B55" s="333" t="s">
        <v>1607</v>
      </c>
      <c r="C55" s="256">
        <v>26</v>
      </c>
      <c r="D55" s="322" t="s">
        <v>69</v>
      </c>
      <c r="E55" s="256" t="s">
        <v>9</v>
      </c>
      <c r="F55" s="425">
        <f t="array" ref="F55">MAX((IF(MNU_CODIGO_ALIMENTO_ENTREGA=CONCATENATE($C55,"_","P_"),MNU_GRAMAJE_REQUERIDO_TIPOA,"")))</f>
        <v>30</v>
      </c>
      <c r="G55" s="257">
        <f t="shared" si="56"/>
        <v>38046</v>
      </c>
      <c r="H55" s="257">
        <f t="shared" si="57"/>
        <v>0</v>
      </c>
      <c r="I55" s="257">
        <f t="shared" si="58"/>
        <v>38046</v>
      </c>
      <c r="J55" s="258">
        <f t="shared" si="59"/>
        <v>6505866</v>
      </c>
      <c r="K55" s="258">
        <f t="shared" si="60"/>
        <v>0</v>
      </c>
      <c r="L55" s="258">
        <f t="shared" si="61"/>
        <v>6505866</v>
      </c>
      <c r="M55" s="426">
        <f t="array" ref="M55">MAX((IF(MNU_CODIGO_ALIMENTO_ENTREGA=CONCATENATE($C55,"_","P_"),MNU_GRAMAJE_REQUERIDO_TIPOB,"")))</f>
        <v>30</v>
      </c>
      <c r="N55" s="343">
        <f t="shared" si="62"/>
        <v>49890</v>
      </c>
      <c r="O55" s="343">
        <f t="shared" si="63"/>
        <v>0</v>
      </c>
      <c r="P55" s="343">
        <f t="shared" si="64"/>
        <v>49890</v>
      </c>
      <c r="Q55" s="344">
        <f t="shared" si="65"/>
        <v>8531190</v>
      </c>
      <c r="R55" s="344">
        <f t="shared" si="66"/>
        <v>0</v>
      </c>
      <c r="S55" s="344">
        <f t="shared" si="67"/>
        <v>8531190</v>
      </c>
      <c r="T55" s="348">
        <f t="array" ref="T55">MAX((IF(MNU_CODIGO_ALIMENTO_ENTREGA=CONCATENATE($C55,"_","P_"),MNU_GRAMAJE_REQUERIDO_TIPOC,"")))</f>
        <v>30</v>
      </c>
      <c r="U55" s="257">
        <f t="shared" si="68"/>
        <v>54552</v>
      </c>
      <c r="V55" s="257">
        <f t="shared" si="69"/>
        <v>0</v>
      </c>
      <c r="W55" s="257">
        <f t="shared" si="70"/>
        <v>54552</v>
      </c>
      <c r="X55" s="258">
        <f t="shared" si="71"/>
        <v>9328392</v>
      </c>
      <c r="Y55" s="258">
        <f t="shared" si="72"/>
        <v>0</v>
      </c>
      <c r="Z55" s="258">
        <f t="shared" si="73"/>
        <v>9328392</v>
      </c>
      <c r="AA55" s="256">
        <f t="array" ref="AA55">MAX((IF(MNU_CODIGO_ALIMENTO_ENTREGA=CONCATENATE($C55,"_","P_"),MNU_GRAMAJE_REQUERIDO_TIPOM,"")))</f>
        <v>30</v>
      </c>
      <c r="AB55" s="259">
        <f t="shared" si="74"/>
        <v>864</v>
      </c>
      <c r="AC55" s="259">
        <v>0</v>
      </c>
      <c r="AD55" s="259">
        <f t="shared" si="75"/>
        <v>864</v>
      </c>
      <c r="AE55" s="260">
        <f t="shared" si="76"/>
        <v>147744</v>
      </c>
      <c r="AF55" s="260">
        <v>0</v>
      </c>
      <c r="AG55" s="260">
        <f t="shared" si="77"/>
        <v>147744</v>
      </c>
      <c r="AH55" s="348">
        <f t="array" ref="AH55">MAX((IF(MNU_CODIGO_ALIMENTO_ENTREGA=CONCATENATE($C55,"_","P_"),MNU_GRAMAJE_REQUERIDO_TIPOH,"")))</f>
        <v>30</v>
      </c>
      <c r="AI55" s="257">
        <f t="shared" si="78"/>
        <v>864</v>
      </c>
      <c r="AJ55" s="257">
        <v>0</v>
      </c>
      <c r="AK55" s="257">
        <f t="shared" si="79"/>
        <v>864</v>
      </c>
      <c r="AL55" s="258">
        <f t="shared" si="80"/>
        <v>147744</v>
      </c>
      <c r="AM55" s="258">
        <v>0</v>
      </c>
      <c r="AN55" s="258">
        <f t="shared" si="81"/>
        <v>147744</v>
      </c>
      <c r="AO55" s="451">
        <f t="shared" si="82"/>
        <v>144216</v>
      </c>
      <c r="AP55" s="450">
        <f t="shared" si="83"/>
        <v>24660936</v>
      </c>
      <c r="AQ55" s="261" t="e">
        <f>#REF!+AH55+AA55+T55+M55</f>
        <v>#REF!</v>
      </c>
      <c r="AR55" s="261">
        <f t="shared" si="42"/>
        <v>24767106</v>
      </c>
      <c r="AS55" s="261" t="e">
        <f t="shared" si="43"/>
        <v>#REF!</v>
      </c>
      <c r="AT55" s="261">
        <f t="shared" si="44"/>
        <v>24873276</v>
      </c>
      <c r="AU55" s="261" t="e">
        <f t="shared" si="45"/>
        <v>#REF!</v>
      </c>
      <c r="AV55" s="261">
        <f t="shared" si="46"/>
        <v>24873276</v>
      </c>
      <c r="AW55" s="261" t="e">
        <f t="shared" si="47"/>
        <v>#REF!</v>
      </c>
      <c r="AX55" s="261" t="e">
        <f>AV55+#REF!+AH55+AA55+T55</f>
        <v>#REF!</v>
      </c>
      <c r="AY55" s="261" t="e">
        <f t="shared" si="48"/>
        <v>#REF!</v>
      </c>
      <c r="AZ55" s="261" t="e">
        <f t="shared" si="49"/>
        <v>#REF!</v>
      </c>
      <c r="BA55" s="261" t="e">
        <f t="shared" si="50"/>
        <v>#REF!</v>
      </c>
      <c r="BB55" s="261" t="e">
        <f t="shared" si="51"/>
        <v>#REF!</v>
      </c>
      <c r="BC55" s="261" t="e">
        <f t="shared" si="52"/>
        <v>#REF!</v>
      </c>
      <c r="BD55" s="261" t="e">
        <f t="shared" si="53"/>
        <v>#REF!</v>
      </c>
      <c r="BE55" s="261" t="e">
        <f>BC55+AV55+#REF!+AH55+AA55</f>
        <v>#REF!</v>
      </c>
      <c r="BF55" s="261" t="e">
        <f t="shared" si="54"/>
        <v>#REF!</v>
      </c>
      <c r="BG55" s="261" t="e">
        <f t="shared" si="55"/>
        <v>#REF!</v>
      </c>
    </row>
    <row r="56" spans="1:59" ht="27">
      <c r="A56" s="333">
        <v>4</v>
      </c>
      <c r="B56" s="333" t="s">
        <v>1607</v>
      </c>
      <c r="C56" s="256">
        <v>28</v>
      </c>
      <c r="D56" s="322" t="s">
        <v>67</v>
      </c>
      <c r="E56" s="256" t="s">
        <v>9</v>
      </c>
      <c r="F56" s="425">
        <f t="array" ref="F56">MAX((IF(MNU_CODIGO_ALIMENTO_ENTREGA=CONCATENATE($C56,"_","P_"),MNU_GRAMAJE_REQUERIDO_TIPOA,"")))</f>
        <v>30</v>
      </c>
      <c r="G56" s="257">
        <f t="shared" si="56"/>
        <v>38046</v>
      </c>
      <c r="H56" s="257">
        <f t="shared" si="57"/>
        <v>8588</v>
      </c>
      <c r="I56" s="257">
        <f t="shared" si="58"/>
        <v>46634</v>
      </c>
      <c r="J56" s="258">
        <f t="shared" si="59"/>
        <v>8598396</v>
      </c>
      <c r="K56" s="258">
        <f t="shared" si="60"/>
        <v>1940888</v>
      </c>
      <c r="L56" s="258">
        <f t="shared" si="61"/>
        <v>10539284</v>
      </c>
      <c r="M56" s="426">
        <f t="array" ref="M56">MAX((IF(MNU_CODIGO_ALIMENTO_ENTREGA=CONCATENATE($C56,"_","P_"),MNU_GRAMAJE_REQUERIDO_TIPOB,"")))</f>
        <v>40</v>
      </c>
      <c r="N56" s="343">
        <f t="shared" si="62"/>
        <v>49890</v>
      </c>
      <c r="O56" s="343">
        <f t="shared" si="63"/>
        <v>8474</v>
      </c>
      <c r="P56" s="343">
        <f t="shared" si="64"/>
        <v>58364</v>
      </c>
      <c r="Q56" s="344">
        <f t="shared" si="65"/>
        <v>15016890</v>
      </c>
      <c r="R56" s="344">
        <f t="shared" si="66"/>
        <v>2550674</v>
      </c>
      <c r="S56" s="344">
        <f t="shared" si="67"/>
        <v>17567564</v>
      </c>
      <c r="T56" s="348">
        <f t="array" ref="T56">MAX((IF(MNU_CODIGO_ALIMENTO_ENTREGA=CONCATENATE($C56,"_","P_"),MNU_GRAMAJE_REQUERIDO_TIPOC,"")))</f>
        <v>60</v>
      </c>
      <c r="U56" s="257">
        <f t="shared" si="68"/>
        <v>54552</v>
      </c>
      <c r="V56" s="257">
        <f t="shared" si="69"/>
        <v>28975</v>
      </c>
      <c r="W56" s="257">
        <f t="shared" si="70"/>
        <v>83527</v>
      </c>
      <c r="X56" s="258">
        <f t="shared" si="71"/>
        <v>24602952</v>
      </c>
      <c r="Y56" s="258">
        <f t="shared" si="72"/>
        <v>13067725</v>
      </c>
      <c r="Z56" s="258">
        <f t="shared" si="73"/>
        <v>37670677</v>
      </c>
      <c r="AA56" s="256">
        <f t="array" ref="AA56">MAX((IF(MNU_CODIGO_ALIMENTO_ENTREGA=CONCATENATE($C56,"_","P_"),MNU_GRAMAJE_REQUERIDO_TIPOM,"")))</f>
        <v>40</v>
      </c>
      <c r="AB56" s="259">
        <f t="shared" si="74"/>
        <v>864</v>
      </c>
      <c r="AC56" s="259">
        <v>0</v>
      </c>
      <c r="AD56" s="259">
        <f t="shared" si="75"/>
        <v>864</v>
      </c>
      <c r="AE56" s="260">
        <f t="shared" si="76"/>
        <v>260064</v>
      </c>
      <c r="AF56" s="260">
        <v>0</v>
      </c>
      <c r="AG56" s="260">
        <f t="shared" si="77"/>
        <v>260064</v>
      </c>
      <c r="AH56" s="348">
        <f t="array" ref="AH56">MAX((IF(MNU_CODIGO_ALIMENTO_ENTREGA=CONCATENATE($C56,"_","P_"),MNU_GRAMAJE_REQUERIDO_TIPOH,"")))</f>
        <v>60</v>
      </c>
      <c r="AI56" s="257">
        <f t="shared" si="78"/>
        <v>864</v>
      </c>
      <c r="AJ56" s="257">
        <v>0</v>
      </c>
      <c r="AK56" s="257">
        <f t="shared" si="79"/>
        <v>864</v>
      </c>
      <c r="AL56" s="258">
        <f t="shared" si="80"/>
        <v>389664</v>
      </c>
      <c r="AM56" s="258">
        <v>0</v>
      </c>
      <c r="AN56" s="258">
        <f t="shared" si="81"/>
        <v>389664</v>
      </c>
      <c r="AO56" s="451">
        <f t="shared" si="82"/>
        <v>190253</v>
      </c>
      <c r="AP56" s="450">
        <f t="shared" si="83"/>
        <v>66427253</v>
      </c>
      <c r="AQ56" s="261" t="e">
        <f>#REF!+AH56+AA56+T56+M56</f>
        <v>#REF!</v>
      </c>
      <c r="AR56" s="261">
        <f t="shared" si="42"/>
        <v>66533423</v>
      </c>
      <c r="AS56" s="261" t="e">
        <f t="shared" si="43"/>
        <v>#REF!</v>
      </c>
      <c r="AT56" s="261">
        <f t="shared" si="44"/>
        <v>66677042</v>
      </c>
      <c r="AU56" s="261" t="e">
        <f t="shared" si="45"/>
        <v>#REF!</v>
      </c>
      <c r="AV56" s="261">
        <f t="shared" si="46"/>
        <v>82295441</v>
      </c>
      <c r="AW56" s="261" t="e">
        <f t="shared" si="47"/>
        <v>#REF!</v>
      </c>
      <c r="AX56" s="261" t="e">
        <f>AV56+#REF!+AH56+AA56+T56</f>
        <v>#REF!</v>
      </c>
      <c r="AY56" s="261" t="e">
        <f t="shared" si="48"/>
        <v>#REF!</v>
      </c>
      <c r="AZ56" s="261" t="e">
        <f t="shared" si="49"/>
        <v>#REF!</v>
      </c>
      <c r="BA56" s="261" t="e">
        <f t="shared" si="50"/>
        <v>#REF!</v>
      </c>
      <c r="BB56" s="261" t="e">
        <f t="shared" si="51"/>
        <v>#REF!</v>
      </c>
      <c r="BC56" s="261" t="e">
        <f t="shared" si="52"/>
        <v>#REF!</v>
      </c>
      <c r="BD56" s="261" t="e">
        <f t="shared" si="53"/>
        <v>#REF!</v>
      </c>
      <c r="BE56" s="261" t="e">
        <f>BC56+AV56+#REF!+AH56+AA56</f>
        <v>#REF!</v>
      </c>
      <c r="BF56" s="261" t="e">
        <f t="shared" si="54"/>
        <v>#REF!</v>
      </c>
      <c r="BG56" s="261" t="e">
        <f t="shared" si="55"/>
        <v>#REF!</v>
      </c>
    </row>
    <row r="57" spans="1:59" ht="15.75">
      <c r="A57" s="333">
        <v>4</v>
      </c>
      <c r="B57" s="333" t="s">
        <v>1607</v>
      </c>
      <c r="C57" s="256">
        <v>30</v>
      </c>
      <c r="D57" s="322" t="s">
        <v>63</v>
      </c>
      <c r="E57" s="256" t="s">
        <v>9</v>
      </c>
      <c r="F57" s="425">
        <f t="array" ref="F57">MAX((IF(MNU_CODIGO_ALIMENTO_ENTREGA=CONCATENATE($C57,"_","P_"),MNU_GRAMAJE_REQUERIDO_TIPOA,"")))</f>
        <v>30</v>
      </c>
      <c r="G57" s="257">
        <f t="shared" si="56"/>
        <v>101456</v>
      </c>
      <c r="H57" s="257">
        <f t="shared" si="57"/>
        <v>0</v>
      </c>
      <c r="I57" s="257">
        <f t="shared" si="58"/>
        <v>101456</v>
      </c>
      <c r="J57" s="258">
        <f t="shared" si="59"/>
        <v>33683392</v>
      </c>
      <c r="K57" s="258">
        <f t="shared" si="60"/>
        <v>0</v>
      </c>
      <c r="L57" s="258">
        <f t="shared" si="61"/>
        <v>33683392</v>
      </c>
      <c r="M57" s="426">
        <f t="array" ref="M57">MAX((IF(MNU_CODIGO_ALIMENTO_ENTREGA=CONCATENATE($C57,"_","P_"),MNU_GRAMAJE_REQUERIDO_TIPOB,"")))</f>
        <v>30</v>
      </c>
      <c r="N57" s="343">
        <f t="shared" si="62"/>
        <v>133040</v>
      </c>
      <c r="O57" s="343">
        <f t="shared" si="63"/>
        <v>0</v>
      </c>
      <c r="P57" s="343">
        <f t="shared" si="64"/>
        <v>133040</v>
      </c>
      <c r="Q57" s="344">
        <f t="shared" si="65"/>
        <v>44169280</v>
      </c>
      <c r="R57" s="344">
        <f t="shared" si="66"/>
        <v>0</v>
      </c>
      <c r="S57" s="344">
        <f t="shared" si="67"/>
        <v>44169280</v>
      </c>
      <c r="T57" s="348">
        <f t="array" ref="T57">MAX((IF(MNU_CODIGO_ALIMENTO_ENTREGA=CONCATENATE($C57,"_","P_"),MNU_GRAMAJE_REQUERIDO_TIPOC,"")))</f>
        <v>30</v>
      </c>
      <c r="U57" s="257">
        <f t="shared" si="68"/>
        <v>145472</v>
      </c>
      <c r="V57" s="257">
        <f t="shared" si="69"/>
        <v>0</v>
      </c>
      <c r="W57" s="257">
        <f t="shared" si="70"/>
        <v>145472</v>
      </c>
      <c r="X57" s="258">
        <f t="shared" si="71"/>
        <v>48296704</v>
      </c>
      <c r="Y57" s="258">
        <f t="shared" si="72"/>
        <v>0</v>
      </c>
      <c r="Z57" s="258">
        <f t="shared" si="73"/>
        <v>48296704</v>
      </c>
      <c r="AA57" s="256">
        <f t="array" ref="AA57">MAX((IF(MNU_CODIGO_ALIMENTO_ENTREGA=CONCATENATE($C57,"_","P_"),MNU_GRAMAJE_REQUERIDO_TIPOM,"")))</f>
        <v>30</v>
      </c>
      <c r="AB57" s="259">
        <f t="shared" si="74"/>
        <v>2304</v>
      </c>
      <c r="AC57" s="259">
        <v>0</v>
      </c>
      <c r="AD57" s="259">
        <f t="shared" si="75"/>
        <v>2304</v>
      </c>
      <c r="AE57" s="260">
        <f t="shared" si="76"/>
        <v>764928</v>
      </c>
      <c r="AF57" s="260">
        <v>0</v>
      </c>
      <c r="AG57" s="260">
        <f t="shared" si="77"/>
        <v>764928</v>
      </c>
      <c r="AH57" s="348">
        <f t="array" ref="AH57">MAX((IF(MNU_CODIGO_ALIMENTO_ENTREGA=CONCATENATE($C57,"_","P_"),MNU_GRAMAJE_REQUERIDO_TIPOH,"")))</f>
        <v>30</v>
      </c>
      <c r="AI57" s="257">
        <f t="shared" si="78"/>
        <v>2304</v>
      </c>
      <c r="AJ57" s="257">
        <v>0</v>
      </c>
      <c r="AK57" s="257">
        <f t="shared" si="79"/>
        <v>2304</v>
      </c>
      <c r="AL57" s="258">
        <f t="shared" si="80"/>
        <v>764928</v>
      </c>
      <c r="AM57" s="258">
        <v>0</v>
      </c>
      <c r="AN57" s="258">
        <f t="shared" si="81"/>
        <v>764928</v>
      </c>
      <c r="AO57" s="451">
        <f t="shared" si="82"/>
        <v>384576</v>
      </c>
      <c r="AP57" s="450">
        <f t="shared" si="83"/>
        <v>127679232</v>
      </c>
      <c r="AQ57" s="261" t="e">
        <f>#REF!+AH57+AA57+T57+M57</f>
        <v>#REF!</v>
      </c>
      <c r="AR57" s="261">
        <f t="shared" si="42"/>
        <v>127962352</v>
      </c>
      <c r="AS57" s="261" t="e">
        <f t="shared" si="43"/>
        <v>#REF!</v>
      </c>
      <c r="AT57" s="261">
        <f t="shared" si="44"/>
        <v>128245472</v>
      </c>
      <c r="AU57" s="261" t="e">
        <f t="shared" si="45"/>
        <v>#REF!</v>
      </c>
      <c r="AV57" s="261">
        <f t="shared" si="46"/>
        <v>128245472</v>
      </c>
      <c r="AW57" s="261" t="e">
        <f t="shared" si="47"/>
        <v>#REF!</v>
      </c>
      <c r="AX57" s="261" t="e">
        <f>AV57+#REF!+AH57+AA57+T57</f>
        <v>#REF!</v>
      </c>
      <c r="AY57" s="261" t="e">
        <f t="shared" si="48"/>
        <v>#REF!</v>
      </c>
      <c r="AZ57" s="261" t="e">
        <f t="shared" si="49"/>
        <v>#REF!</v>
      </c>
      <c r="BA57" s="261" t="e">
        <f t="shared" si="50"/>
        <v>#REF!</v>
      </c>
      <c r="BB57" s="261" t="e">
        <f t="shared" si="51"/>
        <v>#REF!</v>
      </c>
      <c r="BC57" s="261" t="e">
        <f t="shared" si="52"/>
        <v>#REF!</v>
      </c>
      <c r="BD57" s="261" t="e">
        <f t="shared" si="53"/>
        <v>#REF!</v>
      </c>
      <c r="BE57" s="261" t="e">
        <f>BC57+AV57+#REF!+AH57+AA57</f>
        <v>#REF!</v>
      </c>
      <c r="BF57" s="261" t="e">
        <f t="shared" si="54"/>
        <v>#REF!</v>
      </c>
      <c r="BG57" s="261" t="e">
        <f t="shared" si="55"/>
        <v>#REF!</v>
      </c>
    </row>
    <row r="58" spans="1:59" ht="15.75">
      <c r="A58" s="333">
        <v>4</v>
      </c>
      <c r="B58" s="333" t="s">
        <v>1607</v>
      </c>
      <c r="C58" s="256">
        <v>45</v>
      </c>
      <c r="D58" s="322" t="s">
        <v>10</v>
      </c>
      <c r="E58" s="256" t="s">
        <v>9</v>
      </c>
      <c r="F58" s="425">
        <f t="array" ref="F58">MAX((IF(MNU_CODIGO_ALIMENTO_ENTREGA=CONCATENATE($C58,"_","P_"),MNU_GRAMAJE_REQUERIDO_TIPOA,"")))</f>
        <v>20</v>
      </c>
      <c r="G58" s="257">
        <f t="shared" si="56"/>
        <v>101456</v>
      </c>
      <c r="H58" s="257">
        <f t="shared" si="57"/>
        <v>9040</v>
      </c>
      <c r="I58" s="257">
        <f t="shared" si="58"/>
        <v>110496</v>
      </c>
      <c r="J58" s="258">
        <f t="shared" si="59"/>
        <v>20189744</v>
      </c>
      <c r="K58" s="258">
        <f t="shared" si="60"/>
        <v>1798960</v>
      </c>
      <c r="L58" s="258">
        <f t="shared" si="61"/>
        <v>21988704</v>
      </c>
      <c r="M58" s="426">
        <f t="array" ref="M58">MAX((IF(MNU_CODIGO_ALIMENTO_ENTREGA=CONCATENATE($C58,"_","P_"),MNU_GRAMAJE_REQUERIDO_TIPOB,"")))</f>
        <v>30</v>
      </c>
      <c r="N58" s="343">
        <f t="shared" si="62"/>
        <v>133040</v>
      </c>
      <c r="O58" s="343">
        <f t="shared" si="63"/>
        <v>8920</v>
      </c>
      <c r="P58" s="343">
        <f t="shared" si="64"/>
        <v>141960</v>
      </c>
      <c r="Q58" s="344">
        <f t="shared" si="65"/>
        <v>39645920</v>
      </c>
      <c r="R58" s="344">
        <f t="shared" si="66"/>
        <v>2658160</v>
      </c>
      <c r="S58" s="344">
        <f t="shared" si="67"/>
        <v>42304080</v>
      </c>
      <c r="T58" s="348">
        <f t="array" ref="T58">MAX((IF(MNU_CODIGO_ALIMENTO_ENTREGA=CONCATENATE($C58,"_","P_"),MNU_GRAMAJE_REQUERIDO_TIPOC,"")))</f>
        <v>60</v>
      </c>
      <c r="U58" s="257">
        <f t="shared" si="68"/>
        <v>145472</v>
      </c>
      <c r="V58" s="257">
        <f t="shared" si="69"/>
        <v>30500</v>
      </c>
      <c r="W58" s="257">
        <f t="shared" si="70"/>
        <v>175972</v>
      </c>
      <c r="X58" s="258">
        <f t="shared" si="71"/>
        <v>86846784</v>
      </c>
      <c r="Y58" s="258">
        <f t="shared" si="72"/>
        <v>18208500</v>
      </c>
      <c r="Z58" s="258">
        <f t="shared" si="73"/>
        <v>105055284</v>
      </c>
      <c r="AA58" s="256">
        <f t="array" ref="AA58">MAX((IF(MNU_CODIGO_ALIMENTO_ENTREGA=CONCATENATE($C58,"_","P_"),MNU_GRAMAJE_REQUERIDO_TIPOM,"")))</f>
        <v>30</v>
      </c>
      <c r="AB58" s="259">
        <f t="shared" si="74"/>
        <v>2304</v>
      </c>
      <c r="AC58" s="259">
        <v>0</v>
      </c>
      <c r="AD58" s="259">
        <f t="shared" si="75"/>
        <v>2304</v>
      </c>
      <c r="AE58" s="260">
        <f t="shared" si="76"/>
        <v>686592</v>
      </c>
      <c r="AF58" s="260">
        <v>0</v>
      </c>
      <c r="AG58" s="260">
        <f t="shared" si="77"/>
        <v>686592</v>
      </c>
      <c r="AH58" s="348">
        <f t="array" ref="AH58">MAX((IF(MNU_CODIGO_ALIMENTO_ENTREGA=CONCATENATE($C58,"_","P_"),MNU_GRAMAJE_REQUERIDO_TIPOH,"")))</f>
        <v>60</v>
      </c>
      <c r="AI58" s="257">
        <f t="shared" si="78"/>
        <v>2304</v>
      </c>
      <c r="AJ58" s="257">
        <v>0</v>
      </c>
      <c r="AK58" s="257">
        <f t="shared" si="79"/>
        <v>2304</v>
      </c>
      <c r="AL58" s="258">
        <f t="shared" si="80"/>
        <v>1375488</v>
      </c>
      <c r="AM58" s="258">
        <v>0</v>
      </c>
      <c r="AN58" s="258">
        <f t="shared" si="81"/>
        <v>1375488</v>
      </c>
      <c r="AO58" s="451">
        <f t="shared" si="82"/>
        <v>433036</v>
      </c>
      <c r="AP58" s="450">
        <f t="shared" si="83"/>
        <v>171410148</v>
      </c>
      <c r="AQ58" s="261" t="e">
        <f>#REF!+AH58+AA58+T58+M58</f>
        <v>#REF!</v>
      </c>
      <c r="AR58" s="261">
        <f t="shared" si="42"/>
        <v>171693268</v>
      </c>
      <c r="AS58" s="261" t="e">
        <f t="shared" si="43"/>
        <v>#REF!</v>
      </c>
      <c r="AT58" s="261">
        <f t="shared" si="44"/>
        <v>172015808</v>
      </c>
      <c r="AU58" s="261" t="e">
        <f t="shared" si="45"/>
        <v>#REF!</v>
      </c>
      <c r="AV58" s="261">
        <f t="shared" si="46"/>
        <v>192882468</v>
      </c>
      <c r="AW58" s="261" t="e">
        <f t="shared" si="47"/>
        <v>#REF!</v>
      </c>
      <c r="AX58" s="261" t="e">
        <f>AV58+#REF!+AH58+AA58+T58</f>
        <v>#REF!</v>
      </c>
      <c r="AY58" s="261" t="e">
        <f t="shared" si="48"/>
        <v>#REF!</v>
      </c>
      <c r="AZ58" s="261" t="e">
        <f t="shared" si="49"/>
        <v>#REF!</v>
      </c>
      <c r="BA58" s="261" t="e">
        <f t="shared" si="50"/>
        <v>#REF!</v>
      </c>
      <c r="BB58" s="261" t="e">
        <f t="shared" si="51"/>
        <v>#REF!</v>
      </c>
      <c r="BC58" s="261" t="e">
        <f t="shared" si="52"/>
        <v>#REF!</v>
      </c>
      <c r="BD58" s="261" t="e">
        <f t="shared" si="53"/>
        <v>#REF!</v>
      </c>
      <c r="BE58" s="261" t="e">
        <f>BC58+AV58+#REF!+AH58+AA58</f>
        <v>#REF!</v>
      </c>
      <c r="BF58" s="261" t="e">
        <f t="shared" si="54"/>
        <v>#REF!</v>
      </c>
      <c r="BG58" s="261" t="e">
        <f t="shared" si="55"/>
        <v>#REF!</v>
      </c>
    </row>
    <row r="59" spans="1:59" ht="15.75">
      <c r="A59" s="333">
        <v>4</v>
      </c>
      <c r="B59" s="333" t="s">
        <v>1607</v>
      </c>
      <c r="C59" s="256">
        <v>50</v>
      </c>
      <c r="D59" s="322" t="s">
        <v>65</v>
      </c>
      <c r="E59" s="256" t="s">
        <v>9</v>
      </c>
      <c r="F59" s="425">
        <f t="array" ref="F59">MAX((IF(MNU_CODIGO_ALIMENTO_ENTREGA=CONCATENATE($C59,"_","P_"),MNU_GRAMAJE_REQUERIDO_TIPOA,"")))</f>
        <v>30</v>
      </c>
      <c r="G59" s="257">
        <f t="shared" si="56"/>
        <v>107797</v>
      </c>
      <c r="H59" s="257">
        <f t="shared" si="57"/>
        <v>0</v>
      </c>
      <c r="I59" s="257">
        <f t="shared" si="58"/>
        <v>107797</v>
      </c>
      <c r="J59" s="258">
        <f t="shared" si="59"/>
        <v>34602837</v>
      </c>
      <c r="K59" s="258">
        <f t="shared" si="60"/>
        <v>0</v>
      </c>
      <c r="L59" s="258">
        <f t="shared" si="61"/>
        <v>34602837</v>
      </c>
      <c r="M59" s="426">
        <f t="array" ref="M59">MAX((IF(MNU_CODIGO_ALIMENTO_ENTREGA=CONCATENATE($C59,"_","P_"),MNU_GRAMAJE_REQUERIDO_TIPOB,"")))</f>
        <v>40</v>
      </c>
      <c r="N59" s="343">
        <f t="shared" si="62"/>
        <v>141355</v>
      </c>
      <c r="O59" s="343">
        <f t="shared" si="63"/>
        <v>0</v>
      </c>
      <c r="P59" s="343">
        <f t="shared" si="64"/>
        <v>141355</v>
      </c>
      <c r="Q59" s="344">
        <f t="shared" si="65"/>
        <v>60499940</v>
      </c>
      <c r="R59" s="344">
        <f t="shared" si="66"/>
        <v>0</v>
      </c>
      <c r="S59" s="344">
        <f t="shared" si="67"/>
        <v>60499940</v>
      </c>
      <c r="T59" s="348">
        <f t="array" ref="T59">MAX((IF(MNU_CODIGO_ALIMENTO_ENTREGA=CONCATENATE($C59,"_","P_"),MNU_GRAMAJE_REQUERIDO_TIPOC,"")))</f>
        <v>80</v>
      </c>
      <c r="U59" s="257">
        <f t="shared" si="68"/>
        <v>154564</v>
      </c>
      <c r="V59" s="257">
        <f t="shared" si="69"/>
        <v>0</v>
      </c>
      <c r="W59" s="257">
        <f t="shared" si="70"/>
        <v>154564</v>
      </c>
      <c r="X59" s="258">
        <f t="shared" si="71"/>
        <v>132152220</v>
      </c>
      <c r="Y59" s="258">
        <f t="shared" si="72"/>
        <v>0</v>
      </c>
      <c r="Z59" s="258">
        <f t="shared" si="73"/>
        <v>132152220</v>
      </c>
      <c r="AA59" s="256">
        <f t="array" ref="AA59">MAX((IF(MNU_CODIGO_ALIMENTO_ENTREGA=CONCATENATE($C59,"_","P_"),MNU_GRAMAJE_REQUERIDO_TIPOM,"")))</f>
        <v>40</v>
      </c>
      <c r="AB59" s="259">
        <f t="shared" si="74"/>
        <v>2448</v>
      </c>
      <c r="AC59" s="259">
        <v>0</v>
      </c>
      <c r="AD59" s="259">
        <f t="shared" si="75"/>
        <v>2448</v>
      </c>
      <c r="AE59" s="260">
        <f t="shared" si="76"/>
        <v>1047744</v>
      </c>
      <c r="AF59" s="260">
        <v>0</v>
      </c>
      <c r="AG59" s="260">
        <f t="shared" si="77"/>
        <v>1047744</v>
      </c>
      <c r="AH59" s="348">
        <f t="array" ref="AH59">MAX((IF(MNU_CODIGO_ALIMENTO_ENTREGA=CONCATENATE($C59,"_","P_"),MNU_GRAMAJE_REQUERIDO_TIPOH,"")))</f>
        <v>80</v>
      </c>
      <c r="AI59" s="257">
        <f t="shared" si="78"/>
        <v>2448</v>
      </c>
      <c r="AJ59" s="257">
        <v>0</v>
      </c>
      <c r="AK59" s="257">
        <f t="shared" si="79"/>
        <v>2448</v>
      </c>
      <c r="AL59" s="258">
        <f t="shared" si="80"/>
        <v>2093040</v>
      </c>
      <c r="AM59" s="258">
        <v>0</v>
      </c>
      <c r="AN59" s="258">
        <f t="shared" si="81"/>
        <v>2093040</v>
      </c>
      <c r="AO59" s="451">
        <f t="shared" si="82"/>
        <v>408612</v>
      </c>
      <c r="AP59" s="450">
        <f t="shared" si="83"/>
        <v>230395781</v>
      </c>
      <c r="AQ59" s="261" t="e">
        <f>#REF!+AH59+AA59+T59+M59</f>
        <v>#REF!</v>
      </c>
      <c r="AR59" s="261">
        <f t="shared" si="42"/>
        <v>230696596</v>
      </c>
      <c r="AS59" s="261" t="e">
        <f t="shared" si="43"/>
        <v>#REF!</v>
      </c>
      <c r="AT59" s="261">
        <f t="shared" si="44"/>
        <v>230997411</v>
      </c>
      <c r="AU59" s="261" t="e">
        <f t="shared" si="45"/>
        <v>#REF!</v>
      </c>
      <c r="AV59" s="261">
        <f t="shared" si="46"/>
        <v>230997411</v>
      </c>
      <c r="AW59" s="261" t="e">
        <f t="shared" si="47"/>
        <v>#REF!</v>
      </c>
      <c r="AX59" s="261" t="e">
        <f>AV59+#REF!+AH59+AA59+T59</f>
        <v>#REF!</v>
      </c>
      <c r="AY59" s="261" t="e">
        <f t="shared" si="48"/>
        <v>#REF!</v>
      </c>
      <c r="AZ59" s="261" t="e">
        <f t="shared" si="49"/>
        <v>#REF!</v>
      </c>
      <c r="BA59" s="261" t="e">
        <f t="shared" si="50"/>
        <v>#REF!</v>
      </c>
      <c r="BB59" s="261" t="e">
        <f t="shared" si="51"/>
        <v>#REF!</v>
      </c>
      <c r="BC59" s="261" t="e">
        <f t="shared" si="52"/>
        <v>#REF!</v>
      </c>
      <c r="BD59" s="261" t="e">
        <f t="shared" si="53"/>
        <v>#REF!</v>
      </c>
      <c r="BE59" s="261" t="e">
        <f>BC59+AV59+#REF!+AH59+AA59</f>
        <v>#REF!</v>
      </c>
      <c r="BF59" s="261" t="e">
        <f t="shared" si="54"/>
        <v>#REF!</v>
      </c>
      <c r="BG59" s="261" t="e">
        <f t="shared" si="55"/>
        <v>#REF!</v>
      </c>
    </row>
    <row r="60" spans="1:59" ht="15.75">
      <c r="A60" s="333">
        <v>4</v>
      </c>
      <c r="B60" s="333" t="s">
        <v>1607</v>
      </c>
      <c r="C60" s="256">
        <v>61</v>
      </c>
      <c r="D60" s="322" t="s">
        <v>13</v>
      </c>
      <c r="E60" s="256" t="s">
        <v>9</v>
      </c>
      <c r="F60" s="425">
        <f t="array" ref="F60">MAX((IF(MNU_CODIGO_ALIMENTO_ENTREGA=CONCATENATE($C60,"_","P_"),MNU_GRAMAJE_REQUERIDO_TIPOA,"")))</f>
        <v>20</v>
      </c>
      <c r="G60" s="257">
        <f t="shared" si="56"/>
        <v>101456</v>
      </c>
      <c r="H60" s="257">
        <f t="shared" si="57"/>
        <v>9040</v>
      </c>
      <c r="I60" s="257">
        <f t="shared" si="58"/>
        <v>110496</v>
      </c>
      <c r="J60" s="258">
        <f t="shared" si="59"/>
        <v>23639248</v>
      </c>
      <c r="K60" s="258">
        <f t="shared" si="60"/>
        <v>2106320</v>
      </c>
      <c r="L60" s="258">
        <f t="shared" si="61"/>
        <v>25745568</v>
      </c>
      <c r="M60" s="426">
        <f t="array" ref="M60">MAX((IF(MNU_CODIGO_ALIMENTO_ENTREGA=CONCATENATE($C60,"_","P_"),MNU_GRAMAJE_REQUERIDO_TIPOB,"")))</f>
        <v>30</v>
      </c>
      <c r="N60" s="343">
        <f t="shared" si="62"/>
        <v>133040</v>
      </c>
      <c r="O60" s="343">
        <f t="shared" si="63"/>
        <v>8920</v>
      </c>
      <c r="P60" s="343">
        <f t="shared" si="64"/>
        <v>141960</v>
      </c>
      <c r="Q60" s="344">
        <f t="shared" si="65"/>
        <v>46697040</v>
      </c>
      <c r="R60" s="344">
        <f t="shared" si="66"/>
        <v>3130920</v>
      </c>
      <c r="S60" s="344">
        <f t="shared" si="67"/>
        <v>49827960</v>
      </c>
      <c r="T60" s="348">
        <f t="array" ref="T60">MAX((IF(MNU_CODIGO_ALIMENTO_ENTREGA=CONCATENATE($C60,"_","P_"),MNU_GRAMAJE_REQUERIDO_TIPOC,"")))</f>
        <v>70</v>
      </c>
      <c r="U60" s="257">
        <f t="shared" si="68"/>
        <v>145472</v>
      </c>
      <c r="V60" s="257">
        <f t="shared" si="69"/>
        <v>30500</v>
      </c>
      <c r="W60" s="257">
        <f t="shared" si="70"/>
        <v>175972</v>
      </c>
      <c r="X60" s="258">
        <f t="shared" si="71"/>
        <v>118996096</v>
      </c>
      <c r="Y60" s="258">
        <f t="shared" si="72"/>
        <v>24949000</v>
      </c>
      <c r="Z60" s="258">
        <f t="shared" si="73"/>
        <v>143945096</v>
      </c>
      <c r="AA60" s="256">
        <f t="array" ref="AA60">MAX((IF(MNU_CODIGO_ALIMENTO_ENTREGA=CONCATENATE($C60,"_","P_"),MNU_GRAMAJE_REQUERIDO_TIPOM,"")))</f>
        <v>30</v>
      </c>
      <c r="AB60" s="259">
        <f t="shared" si="74"/>
        <v>2304</v>
      </c>
      <c r="AC60" s="259">
        <v>0</v>
      </c>
      <c r="AD60" s="259">
        <f t="shared" si="75"/>
        <v>2304</v>
      </c>
      <c r="AE60" s="260">
        <f t="shared" si="76"/>
        <v>808704</v>
      </c>
      <c r="AF60" s="260">
        <v>0</v>
      </c>
      <c r="AG60" s="260">
        <f t="shared" si="77"/>
        <v>808704</v>
      </c>
      <c r="AH60" s="348">
        <f t="array" ref="AH60">MAX((IF(MNU_CODIGO_ALIMENTO_ENTREGA=CONCATENATE($C60,"_","P_"),MNU_GRAMAJE_REQUERIDO_TIPOH,"")))</f>
        <v>70</v>
      </c>
      <c r="AI60" s="257">
        <f t="shared" si="78"/>
        <v>2304</v>
      </c>
      <c r="AJ60" s="257">
        <v>0</v>
      </c>
      <c r="AK60" s="257">
        <f t="shared" si="79"/>
        <v>2304</v>
      </c>
      <c r="AL60" s="258">
        <f t="shared" si="80"/>
        <v>1884672</v>
      </c>
      <c r="AM60" s="258">
        <v>0</v>
      </c>
      <c r="AN60" s="258">
        <f t="shared" si="81"/>
        <v>1884672</v>
      </c>
      <c r="AO60" s="451">
        <f t="shared" si="82"/>
        <v>433036</v>
      </c>
      <c r="AP60" s="450">
        <f t="shared" si="83"/>
        <v>222212000</v>
      </c>
      <c r="AQ60" s="261" t="e">
        <f>#REF!+AH60+AA60+T60+M60</f>
        <v>#REF!</v>
      </c>
      <c r="AR60" s="261">
        <f t="shared" si="42"/>
        <v>222495120</v>
      </c>
      <c r="AS60" s="261" t="e">
        <f t="shared" si="43"/>
        <v>#REF!</v>
      </c>
      <c r="AT60" s="261">
        <f t="shared" si="44"/>
        <v>222817660</v>
      </c>
      <c r="AU60" s="261" t="e">
        <f t="shared" si="45"/>
        <v>#REF!</v>
      </c>
      <c r="AV60" s="261">
        <f t="shared" si="46"/>
        <v>250897580</v>
      </c>
      <c r="AW60" s="261" t="e">
        <f t="shared" si="47"/>
        <v>#REF!</v>
      </c>
      <c r="AX60" s="261" t="e">
        <f>AV60+#REF!+AH60+AA60+T60</f>
        <v>#REF!</v>
      </c>
      <c r="AY60" s="261" t="e">
        <f t="shared" si="48"/>
        <v>#REF!</v>
      </c>
      <c r="AZ60" s="261" t="e">
        <f t="shared" si="49"/>
        <v>#REF!</v>
      </c>
      <c r="BA60" s="261" t="e">
        <f t="shared" si="50"/>
        <v>#REF!</v>
      </c>
      <c r="BB60" s="261" t="e">
        <f t="shared" si="51"/>
        <v>#REF!</v>
      </c>
      <c r="BC60" s="261" t="e">
        <f t="shared" si="52"/>
        <v>#REF!</v>
      </c>
      <c r="BD60" s="261" t="e">
        <f t="shared" si="53"/>
        <v>#REF!</v>
      </c>
      <c r="BE60" s="261" t="e">
        <f>BC60+AV60+#REF!+AH60+AA60</f>
        <v>#REF!</v>
      </c>
      <c r="BF60" s="261" t="e">
        <f t="shared" si="54"/>
        <v>#REF!</v>
      </c>
      <c r="BG60" s="261" t="e">
        <f t="shared" si="55"/>
        <v>#REF!</v>
      </c>
    </row>
    <row r="61" spans="1:59" ht="15.75">
      <c r="A61" s="333">
        <v>4</v>
      </c>
      <c r="B61" s="333" t="s">
        <v>1607</v>
      </c>
      <c r="C61" s="256">
        <v>62</v>
      </c>
      <c r="D61" s="322" t="s">
        <v>68</v>
      </c>
      <c r="E61" s="256" t="s">
        <v>9</v>
      </c>
      <c r="F61" s="425">
        <f t="array" ref="F61">MAX((IF(MNU_CODIGO_ALIMENTO_ENTREGA=CONCATENATE($C61,"_","P_"),MNU_GRAMAJE_REQUERIDO_TIPOA,"")))</f>
        <v>50</v>
      </c>
      <c r="G61" s="257">
        <f t="shared" si="56"/>
        <v>31705</v>
      </c>
      <c r="H61" s="257">
        <f t="shared" si="57"/>
        <v>0</v>
      </c>
      <c r="I61" s="257">
        <f t="shared" si="58"/>
        <v>31705</v>
      </c>
      <c r="J61" s="258">
        <f t="shared" si="59"/>
        <v>19815625</v>
      </c>
      <c r="K61" s="258">
        <f t="shared" si="60"/>
        <v>0</v>
      </c>
      <c r="L61" s="258">
        <f t="shared" si="61"/>
        <v>19815625</v>
      </c>
      <c r="M61" s="426">
        <f t="array" ref="M61">MAX((IF(MNU_CODIGO_ALIMENTO_ENTREGA=CONCATENATE($C61,"_","P_"),MNU_GRAMAJE_REQUERIDO_TIPOB,"")))</f>
        <v>50</v>
      </c>
      <c r="N61" s="343">
        <f t="shared" si="62"/>
        <v>41575</v>
      </c>
      <c r="O61" s="343">
        <f t="shared" si="63"/>
        <v>0</v>
      </c>
      <c r="P61" s="343">
        <f t="shared" si="64"/>
        <v>41575</v>
      </c>
      <c r="Q61" s="344">
        <f t="shared" si="65"/>
        <v>25984375</v>
      </c>
      <c r="R61" s="344">
        <f t="shared" si="66"/>
        <v>0</v>
      </c>
      <c r="S61" s="344">
        <f t="shared" si="67"/>
        <v>25984375</v>
      </c>
      <c r="T61" s="348">
        <f t="array" ref="T61">MAX((IF(MNU_CODIGO_ALIMENTO_ENTREGA=CONCATENATE($C61,"_","P_"),MNU_GRAMAJE_REQUERIDO_TIPOC,"")))</f>
        <v>50</v>
      </c>
      <c r="U61" s="257">
        <f t="shared" si="68"/>
        <v>45460</v>
      </c>
      <c r="V61" s="257">
        <f t="shared" si="69"/>
        <v>0</v>
      </c>
      <c r="W61" s="257">
        <f t="shared" si="70"/>
        <v>45460</v>
      </c>
      <c r="X61" s="258">
        <f t="shared" si="71"/>
        <v>28412500</v>
      </c>
      <c r="Y61" s="258">
        <f t="shared" si="72"/>
        <v>0</v>
      </c>
      <c r="Z61" s="258">
        <f t="shared" si="73"/>
        <v>28412500</v>
      </c>
      <c r="AA61" s="256">
        <f t="array" ref="AA61">MAX((IF(MNU_CODIGO_ALIMENTO_ENTREGA=CONCATENATE($C61,"_","P_"),MNU_GRAMAJE_REQUERIDO_TIPOM,"")))</f>
        <v>50</v>
      </c>
      <c r="AB61" s="259">
        <f t="shared" si="74"/>
        <v>720</v>
      </c>
      <c r="AC61" s="259">
        <v>0</v>
      </c>
      <c r="AD61" s="259">
        <f t="shared" si="75"/>
        <v>720</v>
      </c>
      <c r="AE61" s="260">
        <f t="shared" si="76"/>
        <v>450000</v>
      </c>
      <c r="AF61" s="260">
        <v>0</v>
      </c>
      <c r="AG61" s="260">
        <f t="shared" si="77"/>
        <v>450000</v>
      </c>
      <c r="AH61" s="348">
        <f t="array" ref="AH61">MAX((IF(MNU_CODIGO_ALIMENTO_ENTREGA=CONCATENATE($C61,"_","P_"),MNU_GRAMAJE_REQUERIDO_TIPOH,"")))</f>
        <v>50</v>
      </c>
      <c r="AI61" s="257">
        <f t="shared" si="78"/>
        <v>720</v>
      </c>
      <c r="AJ61" s="257">
        <v>0</v>
      </c>
      <c r="AK61" s="257">
        <f t="shared" si="79"/>
        <v>720</v>
      </c>
      <c r="AL61" s="258">
        <f t="shared" si="80"/>
        <v>450000</v>
      </c>
      <c r="AM61" s="258">
        <v>0</v>
      </c>
      <c r="AN61" s="258">
        <f t="shared" si="81"/>
        <v>450000</v>
      </c>
      <c r="AO61" s="451">
        <f t="shared" si="82"/>
        <v>120180</v>
      </c>
      <c r="AP61" s="450">
        <f t="shared" si="83"/>
        <v>75112500</v>
      </c>
      <c r="AQ61" s="261" t="e">
        <f>#REF!+AH61+AA61+T61+M61</f>
        <v>#REF!</v>
      </c>
      <c r="AR61" s="261">
        <f t="shared" si="42"/>
        <v>75200975</v>
      </c>
      <c r="AS61" s="261" t="e">
        <f t="shared" si="43"/>
        <v>#REF!</v>
      </c>
      <c r="AT61" s="261">
        <f t="shared" si="44"/>
        <v>75289450</v>
      </c>
      <c r="AU61" s="261" t="e">
        <f t="shared" si="45"/>
        <v>#REF!</v>
      </c>
      <c r="AV61" s="261">
        <f t="shared" si="46"/>
        <v>75289450</v>
      </c>
      <c r="AW61" s="261" t="e">
        <f t="shared" si="47"/>
        <v>#REF!</v>
      </c>
      <c r="AX61" s="261" t="e">
        <f>AV61+#REF!+AH61+AA61+T61</f>
        <v>#REF!</v>
      </c>
      <c r="AY61" s="261" t="e">
        <f t="shared" si="48"/>
        <v>#REF!</v>
      </c>
      <c r="AZ61" s="261" t="e">
        <f t="shared" si="49"/>
        <v>#REF!</v>
      </c>
      <c r="BA61" s="261" t="e">
        <f t="shared" si="50"/>
        <v>#REF!</v>
      </c>
      <c r="BB61" s="261" t="e">
        <f t="shared" si="51"/>
        <v>#REF!</v>
      </c>
      <c r="BC61" s="261" t="e">
        <f t="shared" si="52"/>
        <v>#REF!</v>
      </c>
      <c r="BD61" s="261" t="e">
        <f t="shared" si="53"/>
        <v>#REF!</v>
      </c>
      <c r="BE61" s="261" t="e">
        <f>BC61+AV61+#REF!+AH61+AA61</f>
        <v>#REF!</v>
      </c>
      <c r="BF61" s="261" t="e">
        <f t="shared" si="54"/>
        <v>#REF!</v>
      </c>
      <c r="BG61" s="261" t="e">
        <f t="shared" si="55"/>
        <v>#REF!</v>
      </c>
    </row>
    <row r="62" spans="1:59" ht="15.75">
      <c r="A62" s="333">
        <v>5</v>
      </c>
      <c r="B62" s="333" t="s">
        <v>1607</v>
      </c>
      <c r="C62" s="256">
        <v>1</v>
      </c>
      <c r="D62" s="322" t="s">
        <v>16</v>
      </c>
      <c r="E62" s="256" t="s">
        <v>9</v>
      </c>
      <c r="F62" s="425">
        <f t="array" ref="F62">MAX((IF(MNU_CODIGO_ALIMENTO_ENTREGA=CONCATENATE($C62,"_","P_"),MNU_GRAMAJE_REQUERIDO_TIPOA,"")))</f>
        <v>30</v>
      </c>
      <c r="G62" s="257">
        <f t="shared" si="56"/>
        <v>77760</v>
      </c>
      <c r="H62" s="257">
        <f t="shared" si="57"/>
        <v>0</v>
      </c>
      <c r="I62" s="257">
        <f t="shared" si="58"/>
        <v>77760</v>
      </c>
      <c r="J62" s="258">
        <f t="shared" si="59"/>
        <v>62830080</v>
      </c>
      <c r="K62" s="258">
        <f t="shared" si="60"/>
        <v>0</v>
      </c>
      <c r="L62" s="258">
        <f t="shared" si="61"/>
        <v>62830080</v>
      </c>
      <c r="M62" s="426">
        <f t="array" ref="M62">MAX((IF(MNU_CODIGO_ALIMENTO_ENTREGA=CONCATENATE($C62,"_","P_"),MNU_GRAMAJE_REQUERIDO_TIPOB,"")))</f>
        <v>40</v>
      </c>
      <c r="N62" s="343">
        <f t="shared" si="62"/>
        <v>102450</v>
      </c>
      <c r="O62" s="343">
        <f t="shared" si="63"/>
        <v>0</v>
      </c>
      <c r="P62" s="343">
        <f t="shared" si="64"/>
        <v>102450</v>
      </c>
      <c r="Q62" s="344">
        <f t="shared" si="65"/>
        <v>110441100</v>
      </c>
      <c r="R62" s="344">
        <f t="shared" si="66"/>
        <v>0</v>
      </c>
      <c r="S62" s="344">
        <f t="shared" si="67"/>
        <v>110441100</v>
      </c>
      <c r="T62" s="348">
        <f t="array" ref="T62">MAX((IF(MNU_CODIGO_ALIMENTO_ENTREGA=CONCATENATE($C62,"_","P_"),MNU_GRAMAJE_REQUERIDO_TIPOC,"")))</f>
        <v>60</v>
      </c>
      <c r="U62" s="257">
        <f t="shared" si="68"/>
        <v>119865</v>
      </c>
      <c r="V62" s="257">
        <f t="shared" si="69"/>
        <v>0</v>
      </c>
      <c r="W62" s="257">
        <f t="shared" si="70"/>
        <v>119865</v>
      </c>
      <c r="X62" s="258">
        <f t="shared" si="71"/>
        <v>193701840</v>
      </c>
      <c r="Y62" s="258">
        <f t="shared" si="72"/>
        <v>0</v>
      </c>
      <c r="Z62" s="258">
        <f t="shared" si="73"/>
        <v>193701840</v>
      </c>
      <c r="AA62" s="256">
        <f t="array" ref="AA62">MAX((IF(MNU_CODIGO_ALIMENTO_ENTREGA=CONCATENATE($C62,"_","P_"),MNU_GRAMAJE_REQUERIDO_TIPOM,"")))</f>
        <v>40</v>
      </c>
      <c r="AB62" s="259">
        <f t="shared" si="74"/>
        <v>2655</v>
      </c>
      <c r="AC62" s="259">
        <v>0</v>
      </c>
      <c r="AD62" s="259">
        <f t="shared" si="75"/>
        <v>2655</v>
      </c>
      <c r="AE62" s="260">
        <f t="shared" si="76"/>
        <v>2862090</v>
      </c>
      <c r="AF62" s="260">
        <v>0</v>
      </c>
      <c r="AG62" s="260">
        <f t="shared" si="77"/>
        <v>2862090</v>
      </c>
      <c r="AH62" s="348">
        <f t="array" ref="AH62">MAX((IF(MNU_CODIGO_ALIMENTO_ENTREGA=CONCATENATE($C62,"_","P_"),MNU_GRAMAJE_REQUERIDO_TIPOH,"")))</f>
        <v>60</v>
      </c>
      <c r="AI62" s="257">
        <f t="shared" si="78"/>
        <v>2280</v>
      </c>
      <c r="AJ62" s="257">
        <v>0</v>
      </c>
      <c r="AK62" s="257">
        <f t="shared" si="79"/>
        <v>2280</v>
      </c>
      <c r="AL62" s="258">
        <f t="shared" si="80"/>
        <v>3684480</v>
      </c>
      <c r="AM62" s="258">
        <v>0</v>
      </c>
      <c r="AN62" s="258">
        <f t="shared" si="81"/>
        <v>3684480</v>
      </c>
      <c r="AO62" s="451">
        <f t="shared" si="82"/>
        <v>305010</v>
      </c>
      <c r="AP62" s="450">
        <f t="shared" si="83"/>
        <v>373519590</v>
      </c>
      <c r="AQ62" s="261" t="e">
        <f>#REF!+AH62+AA62+T62+M62</f>
        <v>#REF!</v>
      </c>
      <c r="AR62" s="261">
        <f t="shared" si="42"/>
        <v>373746840</v>
      </c>
      <c r="AS62" s="261" t="e">
        <f t="shared" si="43"/>
        <v>#REF!</v>
      </c>
      <c r="AT62" s="261">
        <f t="shared" si="44"/>
        <v>373974090</v>
      </c>
      <c r="AU62" s="261" t="e">
        <f t="shared" si="45"/>
        <v>#REF!</v>
      </c>
      <c r="AV62" s="261">
        <f t="shared" si="46"/>
        <v>373974090</v>
      </c>
      <c r="AW62" s="261" t="e">
        <f t="shared" si="47"/>
        <v>#REF!</v>
      </c>
      <c r="AX62" s="261" t="e">
        <f>AV62+#REF!+AH62+AA62+T62</f>
        <v>#REF!</v>
      </c>
      <c r="AY62" s="261" t="e">
        <f t="shared" si="48"/>
        <v>#REF!</v>
      </c>
      <c r="AZ62" s="261" t="e">
        <f t="shared" si="49"/>
        <v>#REF!</v>
      </c>
      <c r="BA62" s="261" t="e">
        <f t="shared" si="50"/>
        <v>#REF!</v>
      </c>
      <c r="BB62" s="261" t="e">
        <f t="shared" si="51"/>
        <v>#REF!</v>
      </c>
      <c r="BC62" s="261" t="e">
        <f t="shared" si="52"/>
        <v>#REF!</v>
      </c>
      <c r="BD62" s="261" t="e">
        <f t="shared" si="53"/>
        <v>#REF!</v>
      </c>
      <c r="BE62" s="261" t="e">
        <f>BC62+AV62+#REF!+AH62+AA62</f>
        <v>#REF!</v>
      </c>
      <c r="BF62" s="261" t="e">
        <f t="shared" si="54"/>
        <v>#REF!</v>
      </c>
      <c r="BG62" s="261" t="e">
        <f t="shared" si="55"/>
        <v>#REF!</v>
      </c>
    </row>
    <row r="63" spans="1:59" ht="15.75">
      <c r="A63" s="333">
        <v>5</v>
      </c>
      <c r="B63" s="333" t="s">
        <v>1607</v>
      </c>
      <c r="C63" s="256">
        <v>3</v>
      </c>
      <c r="D63" s="322" t="s">
        <v>12</v>
      </c>
      <c r="E63" s="256" t="s">
        <v>9</v>
      </c>
      <c r="F63" s="425">
        <f t="array" ref="F63">MAX((IF(MNU_CODIGO_ALIMENTO_ENTREGA=CONCATENATE($C63,"_","P_"),MNU_GRAMAJE_REQUERIDO_TIPOA,"")))</f>
        <v>50</v>
      </c>
      <c r="G63" s="257">
        <f t="shared" si="56"/>
        <v>88128</v>
      </c>
      <c r="H63" s="257">
        <f t="shared" si="57"/>
        <v>13490</v>
      </c>
      <c r="I63" s="257">
        <f t="shared" si="58"/>
        <v>101618</v>
      </c>
      <c r="J63" s="258">
        <f t="shared" si="59"/>
        <v>44504640</v>
      </c>
      <c r="K63" s="258">
        <f t="shared" si="60"/>
        <v>6812450</v>
      </c>
      <c r="L63" s="258">
        <f t="shared" si="61"/>
        <v>51317090</v>
      </c>
      <c r="M63" s="426">
        <f t="array" ref="M63">MAX((IF(MNU_CODIGO_ALIMENTO_ENTREGA=CONCATENATE($C63,"_","P_"),MNU_GRAMAJE_REQUERIDO_TIPOB,"")))</f>
        <v>50</v>
      </c>
      <c r="N63" s="343">
        <f t="shared" si="62"/>
        <v>116110</v>
      </c>
      <c r="O63" s="343">
        <f t="shared" si="63"/>
        <v>24624</v>
      </c>
      <c r="P63" s="343">
        <f t="shared" si="64"/>
        <v>140734</v>
      </c>
      <c r="Q63" s="344">
        <f t="shared" si="65"/>
        <v>58635550</v>
      </c>
      <c r="R63" s="344">
        <f t="shared" si="66"/>
        <v>12435120</v>
      </c>
      <c r="S63" s="344">
        <f t="shared" si="67"/>
        <v>71070670</v>
      </c>
      <c r="T63" s="348">
        <f t="array" ref="T63">MAX((IF(MNU_CODIGO_ALIMENTO_ENTREGA=CONCATENATE($C63,"_","P_"),MNU_GRAMAJE_REQUERIDO_TIPOC,"")))</f>
        <v>80</v>
      </c>
      <c r="U63" s="257">
        <f t="shared" si="68"/>
        <v>135847</v>
      </c>
      <c r="V63" s="257">
        <f t="shared" si="69"/>
        <v>32433</v>
      </c>
      <c r="W63" s="257">
        <f t="shared" si="70"/>
        <v>168280</v>
      </c>
      <c r="X63" s="258">
        <f t="shared" si="71"/>
        <v>103651261</v>
      </c>
      <c r="Y63" s="258">
        <f t="shared" si="72"/>
        <v>24746379</v>
      </c>
      <c r="Z63" s="258">
        <f t="shared" si="73"/>
        <v>128397640</v>
      </c>
      <c r="AA63" s="256">
        <f t="array" ref="AA63">MAX((IF(MNU_CODIGO_ALIMENTO_ENTREGA=CONCATENATE($C63,"_","P_"),MNU_GRAMAJE_REQUERIDO_TIPOM,"")))</f>
        <v>50</v>
      </c>
      <c r="AB63" s="259">
        <f t="shared" si="74"/>
        <v>3009</v>
      </c>
      <c r="AC63" s="259">
        <v>0</v>
      </c>
      <c r="AD63" s="259">
        <f t="shared" si="75"/>
        <v>3009</v>
      </c>
      <c r="AE63" s="260">
        <f t="shared" si="76"/>
        <v>1519545</v>
      </c>
      <c r="AF63" s="260">
        <v>0</v>
      </c>
      <c r="AG63" s="260">
        <f t="shared" si="77"/>
        <v>1519545</v>
      </c>
      <c r="AH63" s="348">
        <f t="array" ref="AH63">MAX((IF(MNU_CODIGO_ALIMENTO_ENTREGA=CONCATENATE($C63,"_","P_"),MNU_GRAMAJE_REQUERIDO_TIPOH,"")))</f>
        <v>80</v>
      </c>
      <c r="AI63" s="257">
        <f t="shared" si="78"/>
        <v>2584</v>
      </c>
      <c r="AJ63" s="257">
        <v>0</v>
      </c>
      <c r="AK63" s="257">
        <f t="shared" si="79"/>
        <v>2584</v>
      </c>
      <c r="AL63" s="258">
        <f t="shared" si="80"/>
        <v>1971592</v>
      </c>
      <c r="AM63" s="258">
        <v>0</v>
      </c>
      <c r="AN63" s="258">
        <f t="shared" si="81"/>
        <v>1971592</v>
      </c>
      <c r="AO63" s="451">
        <f t="shared" si="82"/>
        <v>416225</v>
      </c>
      <c r="AP63" s="450">
        <f t="shared" si="83"/>
        <v>254276537</v>
      </c>
      <c r="AQ63" s="261" t="e">
        <f>#REF!+AH63+AA63+T63+M63</f>
        <v>#REF!</v>
      </c>
      <c r="AR63" s="261">
        <f t="shared" si="42"/>
        <v>254534087</v>
      </c>
      <c r="AS63" s="261" t="e">
        <f t="shared" si="43"/>
        <v>#REF!</v>
      </c>
      <c r="AT63" s="261">
        <f t="shared" si="44"/>
        <v>254848694</v>
      </c>
      <c r="AU63" s="261" t="e">
        <f t="shared" si="45"/>
        <v>#REF!</v>
      </c>
      <c r="AV63" s="261">
        <f t="shared" si="46"/>
        <v>292030193</v>
      </c>
      <c r="AW63" s="261" t="e">
        <f t="shared" si="47"/>
        <v>#REF!</v>
      </c>
      <c r="AX63" s="261" t="e">
        <f>AV63+#REF!+AH63+AA63+T63</f>
        <v>#REF!</v>
      </c>
      <c r="AY63" s="261" t="e">
        <f t="shared" si="48"/>
        <v>#REF!</v>
      </c>
      <c r="AZ63" s="261" t="e">
        <f t="shared" si="49"/>
        <v>#REF!</v>
      </c>
      <c r="BA63" s="261" t="e">
        <f t="shared" si="50"/>
        <v>#REF!</v>
      </c>
      <c r="BB63" s="261" t="e">
        <f t="shared" si="51"/>
        <v>#REF!</v>
      </c>
      <c r="BC63" s="261" t="e">
        <f t="shared" si="52"/>
        <v>#REF!</v>
      </c>
      <c r="BD63" s="261" t="e">
        <f t="shared" si="53"/>
        <v>#REF!</v>
      </c>
      <c r="BE63" s="261" t="e">
        <f>BC63+AV63+#REF!+AH63+AA63</f>
        <v>#REF!</v>
      </c>
      <c r="BF63" s="261" t="e">
        <f t="shared" si="54"/>
        <v>#REF!</v>
      </c>
      <c r="BG63" s="261" t="e">
        <f t="shared" si="55"/>
        <v>#REF!</v>
      </c>
    </row>
    <row r="64" spans="1:59" ht="15.75">
      <c r="A64" s="333">
        <v>5</v>
      </c>
      <c r="B64" s="333" t="s">
        <v>1607</v>
      </c>
      <c r="C64" s="256">
        <v>15</v>
      </c>
      <c r="D64" s="322" t="s">
        <v>66</v>
      </c>
      <c r="E64" s="256" t="s">
        <v>9</v>
      </c>
      <c r="F64" s="425">
        <f t="array" ref="F64">MAX((IF(MNU_CODIGO_ALIMENTO_ENTREGA=CONCATENATE($C64,"_","P_"),MNU_GRAMAJE_REQUERIDO_TIPOA,"")))</f>
        <v>50</v>
      </c>
      <c r="G64" s="257">
        <f t="shared" si="56"/>
        <v>88128</v>
      </c>
      <c r="H64" s="257">
        <f t="shared" si="57"/>
        <v>7810</v>
      </c>
      <c r="I64" s="257">
        <f t="shared" si="58"/>
        <v>95938</v>
      </c>
      <c r="J64" s="258">
        <f t="shared" si="59"/>
        <v>59310144</v>
      </c>
      <c r="K64" s="258">
        <f t="shared" si="60"/>
        <v>5256130</v>
      </c>
      <c r="L64" s="258">
        <f t="shared" si="61"/>
        <v>64566274</v>
      </c>
      <c r="M64" s="426">
        <f t="array" ref="M64">MAX((IF(MNU_CODIGO_ALIMENTO_ENTREGA=CONCATENATE($C64,"_","P_"),MNU_GRAMAJE_REQUERIDO_TIPOB,"")))</f>
        <v>50</v>
      </c>
      <c r="N64" s="343">
        <f t="shared" si="62"/>
        <v>116110</v>
      </c>
      <c r="O64" s="343">
        <f t="shared" si="63"/>
        <v>14256</v>
      </c>
      <c r="P64" s="343">
        <f t="shared" si="64"/>
        <v>130366</v>
      </c>
      <c r="Q64" s="344">
        <f t="shared" si="65"/>
        <v>78142030</v>
      </c>
      <c r="R64" s="344">
        <f t="shared" si="66"/>
        <v>9594288</v>
      </c>
      <c r="S64" s="344">
        <f t="shared" si="67"/>
        <v>87736318</v>
      </c>
      <c r="T64" s="348">
        <f t="array" ref="T64">MAX((IF(MNU_CODIGO_ALIMENTO_ENTREGA=CONCATENATE($C64,"_","P_"),MNU_GRAMAJE_REQUERIDO_TIPOC,"")))</f>
        <v>80</v>
      </c>
      <c r="U64" s="257">
        <f t="shared" si="68"/>
        <v>135847</v>
      </c>
      <c r="V64" s="257">
        <f t="shared" si="69"/>
        <v>18777</v>
      </c>
      <c r="W64" s="257">
        <f t="shared" si="70"/>
        <v>154624</v>
      </c>
      <c r="X64" s="258">
        <f t="shared" si="71"/>
        <v>146171372</v>
      </c>
      <c r="Y64" s="258">
        <f t="shared" si="72"/>
        <v>20204052</v>
      </c>
      <c r="Z64" s="258">
        <f t="shared" si="73"/>
        <v>166375424</v>
      </c>
      <c r="AA64" s="256">
        <f t="array" ref="AA64">MAX((IF(MNU_CODIGO_ALIMENTO_ENTREGA=CONCATENATE($C64,"_","P_"),MNU_GRAMAJE_REQUERIDO_TIPOM,"")))</f>
        <v>50</v>
      </c>
      <c r="AB64" s="259">
        <f t="shared" si="74"/>
        <v>3009</v>
      </c>
      <c r="AC64" s="259">
        <v>0</v>
      </c>
      <c r="AD64" s="259">
        <f t="shared" si="75"/>
        <v>3009</v>
      </c>
      <c r="AE64" s="260">
        <f t="shared" si="76"/>
        <v>2025057</v>
      </c>
      <c r="AF64" s="260">
        <v>0</v>
      </c>
      <c r="AG64" s="260">
        <f t="shared" si="77"/>
        <v>2025057</v>
      </c>
      <c r="AH64" s="348">
        <f t="array" ref="AH64">MAX((IF(MNU_CODIGO_ALIMENTO_ENTREGA=CONCATENATE($C64,"_","P_"),MNU_GRAMAJE_REQUERIDO_TIPOH,"")))</f>
        <v>80</v>
      </c>
      <c r="AI64" s="257">
        <f t="shared" si="78"/>
        <v>2584</v>
      </c>
      <c r="AJ64" s="257">
        <v>0</v>
      </c>
      <c r="AK64" s="257">
        <f t="shared" si="79"/>
        <v>2584</v>
      </c>
      <c r="AL64" s="258">
        <f t="shared" si="80"/>
        <v>2780384</v>
      </c>
      <c r="AM64" s="258">
        <v>0</v>
      </c>
      <c r="AN64" s="258">
        <f t="shared" si="81"/>
        <v>2780384</v>
      </c>
      <c r="AO64" s="451">
        <f t="shared" si="82"/>
        <v>386521</v>
      </c>
      <c r="AP64" s="450">
        <f t="shared" si="83"/>
        <v>323483457</v>
      </c>
      <c r="AQ64" s="261" t="e">
        <f>#REF!+AH64+AA64+T64+M64</f>
        <v>#REF!</v>
      </c>
      <c r="AR64" s="261">
        <f t="shared" si="42"/>
        <v>323741007</v>
      </c>
      <c r="AS64" s="261" t="e">
        <f t="shared" si="43"/>
        <v>#REF!</v>
      </c>
      <c r="AT64" s="261">
        <f t="shared" si="44"/>
        <v>324031590</v>
      </c>
      <c r="AU64" s="261" t="e">
        <f t="shared" si="45"/>
        <v>#REF!</v>
      </c>
      <c r="AV64" s="261">
        <f t="shared" si="46"/>
        <v>353829930</v>
      </c>
      <c r="AW64" s="261" t="e">
        <f t="shared" si="47"/>
        <v>#REF!</v>
      </c>
      <c r="AX64" s="261" t="e">
        <f>AV64+#REF!+AH64+AA64+T64</f>
        <v>#REF!</v>
      </c>
      <c r="AY64" s="261" t="e">
        <f t="shared" si="48"/>
        <v>#REF!</v>
      </c>
      <c r="AZ64" s="261" t="e">
        <f t="shared" si="49"/>
        <v>#REF!</v>
      </c>
      <c r="BA64" s="261" t="e">
        <f t="shared" si="50"/>
        <v>#REF!</v>
      </c>
      <c r="BB64" s="261" t="e">
        <f t="shared" si="51"/>
        <v>#REF!</v>
      </c>
      <c r="BC64" s="261" t="e">
        <f t="shared" si="52"/>
        <v>#REF!</v>
      </c>
      <c r="BD64" s="261" t="e">
        <f t="shared" si="53"/>
        <v>#REF!</v>
      </c>
      <c r="BE64" s="261" t="e">
        <f>BC64+AV64+#REF!+AH64+AA64</f>
        <v>#REF!</v>
      </c>
      <c r="BF64" s="261" t="e">
        <f t="shared" si="54"/>
        <v>#REF!</v>
      </c>
      <c r="BG64" s="261" t="e">
        <f t="shared" si="55"/>
        <v>#REF!</v>
      </c>
    </row>
    <row r="65" spans="1:59" ht="15.75">
      <c r="A65" s="333">
        <v>5</v>
      </c>
      <c r="B65" s="333" t="s">
        <v>1607</v>
      </c>
      <c r="C65" s="256">
        <v>24</v>
      </c>
      <c r="D65" s="322" t="s">
        <v>61</v>
      </c>
      <c r="E65" s="256" t="s">
        <v>9</v>
      </c>
      <c r="F65" s="425">
        <f t="array" ref="F65">MAX((IF(MNU_CODIGO_ALIMENTO_ENTREGA=CONCATENATE($C65,"_","P_"),MNU_GRAMAJE_REQUERIDO_TIPOA,"")))</f>
        <v>20</v>
      </c>
      <c r="G65" s="257">
        <f t="shared" si="56"/>
        <v>88128</v>
      </c>
      <c r="H65" s="257">
        <f t="shared" si="57"/>
        <v>7810</v>
      </c>
      <c r="I65" s="257">
        <f t="shared" si="58"/>
        <v>95938</v>
      </c>
      <c r="J65" s="258">
        <f t="shared" si="59"/>
        <v>11280384</v>
      </c>
      <c r="K65" s="258">
        <f t="shared" si="60"/>
        <v>999680</v>
      </c>
      <c r="L65" s="258">
        <f t="shared" si="61"/>
        <v>12280064</v>
      </c>
      <c r="M65" s="426">
        <f t="array" ref="M65">MAX((IF(MNU_CODIGO_ALIMENTO_ENTREGA=CONCATENATE($C65,"_","P_"),MNU_GRAMAJE_REQUERIDO_TIPOB,"")))</f>
        <v>30</v>
      </c>
      <c r="N65" s="343">
        <f t="shared" si="62"/>
        <v>116110</v>
      </c>
      <c r="O65" s="343">
        <f t="shared" si="63"/>
        <v>14256</v>
      </c>
      <c r="P65" s="343">
        <f t="shared" si="64"/>
        <v>130366</v>
      </c>
      <c r="Q65" s="344">
        <f t="shared" si="65"/>
        <v>23222000</v>
      </c>
      <c r="R65" s="344">
        <f t="shared" si="66"/>
        <v>2851200</v>
      </c>
      <c r="S65" s="344">
        <f t="shared" si="67"/>
        <v>26073200</v>
      </c>
      <c r="T65" s="348">
        <f t="array" ref="T65">MAX((IF(MNU_CODIGO_ALIMENTO_ENTREGA=CONCATENATE($C65,"_","P_"),MNU_GRAMAJE_REQUERIDO_TIPOC,"")))</f>
        <v>60</v>
      </c>
      <c r="U65" s="257">
        <f t="shared" si="68"/>
        <v>135847</v>
      </c>
      <c r="V65" s="257">
        <f t="shared" si="69"/>
        <v>18777</v>
      </c>
      <c r="W65" s="257">
        <f t="shared" si="70"/>
        <v>154624</v>
      </c>
      <c r="X65" s="258">
        <f t="shared" si="71"/>
        <v>52301095</v>
      </c>
      <c r="Y65" s="258">
        <f t="shared" si="72"/>
        <v>7229145</v>
      </c>
      <c r="Z65" s="258">
        <f t="shared" si="73"/>
        <v>59530240</v>
      </c>
      <c r="AA65" s="256">
        <f t="array" ref="AA65">MAX((IF(MNU_CODIGO_ALIMENTO_ENTREGA=CONCATENATE($C65,"_","P_"),MNU_GRAMAJE_REQUERIDO_TIPOM,"")))</f>
        <v>30</v>
      </c>
      <c r="AB65" s="259">
        <f t="shared" si="74"/>
        <v>3009</v>
      </c>
      <c r="AC65" s="259">
        <v>0</v>
      </c>
      <c r="AD65" s="259">
        <f t="shared" si="75"/>
        <v>3009</v>
      </c>
      <c r="AE65" s="260">
        <f t="shared" si="76"/>
        <v>601800</v>
      </c>
      <c r="AF65" s="260">
        <v>0</v>
      </c>
      <c r="AG65" s="260">
        <f t="shared" si="77"/>
        <v>601800</v>
      </c>
      <c r="AH65" s="348">
        <f t="array" ref="AH65">MAX((IF(MNU_CODIGO_ALIMENTO_ENTREGA=CONCATENATE($C65,"_","P_"),MNU_GRAMAJE_REQUERIDO_TIPOH,"")))</f>
        <v>60</v>
      </c>
      <c r="AI65" s="257">
        <f t="shared" si="78"/>
        <v>2584</v>
      </c>
      <c r="AJ65" s="257">
        <v>0</v>
      </c>
      <c r="AK65" s="257">
        <f t="shared" si="79"/>
        <v>2584</v>
      </c>
      <c r="AL65" s="258">
        <f t="shared" si="80"/>
        <v>994840</v>
      </c>
      <c r="AM65" s="258">
        <v>0</v>
      </c>
      <c r="AN65" s="258">
        <f t="shared" si="81"/>
        <v>994840</v>
      </c>
      <c r="AO65" s="451">
        <f t="shared" si="82"/>
        <v>386521</v>
      </c>
      <c r="AP65" s="450">
        <f t="shared" si="83"/>
        <v>99480144</v>
      </c>
      <c r="AQ65" s="261" t="e">
        <f>#REF!+AH65+AA65+T65+M65</f>
        <v>#REF!</v>
      </c>
      <c r="AR65" s="261">
        <f t="shared" si="42"/>
        <v>99737694</v>
      </c>
      <c r="AS65" s="261" t="e">
        <f t="shared" si="43"/>
        <v>#REF!</v>
      </c>
      <c r="AT65" s="261">
        <f t="shared" si="44"/>
        <v>100028277</v>
      </c>
      <c r="AU65" s="261" t="e">
        <f t="shared" si="45"/>
        <v>#REF!</v>
      </c>
      <c r="AV65" s="261">
        <f t="shared" si="46"/>
        <v>110108622</v>
      </c>
      <c r="AW65" s="261" t="e">
        <f t="shared" si="47"/>
        <v>#REF!</v>
      </c>
      <c r="AX65" s="261" t="e">
        <f>AV65+#REF!+AH65+AA65+T65</f>
        <v>#REF!</v>
      </c>
      <c r="AY65" s="261" t="e">
        <f t="shared" si="48"/>
        <v>#REF!</v>
      </c>
      <c r="AZ65" s="261" t="e">
        <f t="shared" si="49"/>
        <v>#REF!</v>
      </c>
      <c r="BA65" s="261" t="e">
        <f t="shared" si="50"/>
        <v>#REF!</v>
      </c>
      <c r="BB65" s="261" t="e">
        <f t="shared" si="51"/>
        <v>#REF!</v>
      </c>
      <c r="BC65" s="261" t="e">
        <f t="shared" si="52"/>
        <v>#REF!</v>
      </c>
      <c r="BD65" s="261" t="e">
        <f t="shared" si="53"/>
        <v>#REF!</v>
      </c>
      <c r="BE65" s="261" t="e">
        <f>BC65+AV65+#REF!+AH65+AA65</f>
        <v>#REF!</v>
      </c>
      <c r="BF65" s="261" t="e">
        <f t="shared" si="54"/>
        <v>#REF!</v>
      </c>
      <c r="BG65" s="261" t="e">
        <f t="shared" si="55"/>
        <v>#REF!</v>
      </c>
    </row>
    <row r="66" spans="1:59" ht="15.75">
      <c r="A66" s="333">
        <v>5</v>
      </c>
      <c r="B66" s="333" t="s">
        <v>1607</v>
      </c>
      <c r="C66" s="256">
        <v>25</v>
      </c>
      <c r="D66" s="322" t="s">
        <v>64</v>
      </c>
      <c r="E66" s="256" t="s">
        <v>9</v>
      </c>
      <c r="F66" s="425">
        <f t="array" ref="F66">MAX((IF(MNU_CODIGO_ALIMENTO_ENTREGA=CONCATENATE($C66,"_","P_"),MNU_GRAMAJE_REQUERIDO_TIPOA,"")))</f>
        <v>40</v>
      </c>
      <c r="G66" s="257">
        <f t="shared" si="56"/>
        <v>88128</v>
      </c>
      <c r="H66" s="257">
        <f t="shared" si="57"/>
        <v>15620</v>
      </c>
      <c r="I66" s="257">
        <f t="shared" si="58"/>
        <v>103748</v>
      </c>
      <c r="J66" s="258">
        <f t="shared" si="59"/>
        <v>22560768</v>
      </c>
      <c r="K66" s="258">
        <f t="shared" si="60"/>
        <v>3998720</v>
      </c>
      <c r="L66" s="258">
        <f t="shared" si="61"/>
        <v>26559488</v>
      </c>
      <c r="M66" s="426">
        <f t="array" ref="M66">MAX((IF(MNU_CODIGO_ALIMENTO_ENTREGA=CONCATENATE($C66,"_","P_"),MNU_GRAMAJE_REQUERIDO_TIPOB,"")))</f>
        <v>40</v>
      </c>
      <c r="N66" s="343">
        <f t="shared" si="62"/>
        <v>116110</v>
      </c>
      <c r="O66" s="343">
        <f t="shared" si="63"/>
        <v>28512</v>
      </c>
      <c r="P66" s="343">
        <f t="shared" si="64"/>
        <v>144622</v>
      </c>
      <c r="Q66" s="344">
        <f t="shared" si="65"/>
        <v>29724160</v>
      </c>
      <c r="R66" s="344">
        <f t="shared" si="66"/>
        <v>7299072</v>
      </c>
      <c r="S66" s="344">
        <f t="shared" si="67"/>
        <v>37023232</v>
      </c>
      <c r="T66" s="348">
        <f t="array" ref="T66">MAX((IF(MNU_CODIGO_ALIMENTO_ENTREGA=CONCATENATE($C66,"_","P_"),MNU_GRAMAJE_REQUERIDO_TIPOC,"")))</f>
        <v>60</v>
      </c>
      <c r="U66" s="257">
        <f t="shared" si="68"/>
        <v>135847</v>
      </c>
      <c r="V66" s="257">
        <f t="shared" si="69"/>
        <v>37554</v>
      </c>
      <c r="W66" s="257">
        <f t="shared" si="70"/>
        <v>173401</v>
      </c>
      <c r="X66" s="258">
        <f t="shared" si="71"/>
        <v>52165248</v>
      </c>
      <c r="Y66" s="258">
        <f t="shared" si="72"/>
        <v>14420736</v>
      </c>
      <c r="Z66" s="258">
        <f t="shared" si="73"/>
        <v>66585984</v>
      </c>
      <c r="AA66" s="256">
        <f t="array" ref="AA66">MAX((IF(MNU_CODIGO_ALIMENTO_ENTREGA=CONCATENATE($C66,"_","P_"),MNU_GRAMAJE_REQUERIDO_TIPOM,"")))</f>
        <v>40</v>
      </c>
      <c r="AB66" s="259">
        <f t="shared" si="74"/>
        <v>3009</v>
      </c>
      <c r="AC66" s="259">
        <v>0</v>
      </c>
      <c r="AD66" s="259">
        <f t="shared" si="75"/>
        <v>3009</v>
      </c>
      <c r="AE66" s="260">
        <f t="shared" si="76"/>
        <v>770304</v>
      </c>
      <c r="AF66" s="260">
        <v>0</v>
      </c>
      <c r="AG66" s="260">
        <f t="shared" si="77"/>
        <v>770304</v>
      </c>
      <c r="AH66" s="348">
        <f t="array" ref="AH66">MAX((IF(MNU_CODIGO_ALIMENTO_ENTREGA=CONCATENATE($C66,"_","P_"),MNU_GRAMAJE_REQUERIDO_TIPOH,"")))</f>
        <v>60</v>
      </c>
      <c r="AI66" s="257">
        <f t="shared" si="78"/>
        <v>2584</v>
      </c>
      <c r="AJ66" s="257">
        <v>0</v>
      </c>
      <c r="AK66" s="257">
        <f t="shared" si="79"/>
        <v>2584</v>
      </c>
      <c r="AL66" s="258">
        <f t="shared" si="80"/>
        <v>992256</v>
      </c>
      <c r="AM66" s="258">
        <v>0</v>
      </c>
      <c r="AN66" s="258">
        <f t="shared" si="81"/>
        <v>992256</v>
      </c>
      <c r="AO66" s="451">
        <f t="shared" si="82"/>
        <v>427364</v>
      </c>
      <c r="AP66" s="450">
        <f t="shared" si="83"/>
        <v>131931264</v>
      </c>
      <c r="AQ66" s="261" t="e">
        <f>#REF!+AH66+AA66+T66+M66</f>
        <v>#REF!</v>
      </c>
      <c r="AR66" s="261">
        <f t="shared" si="42"/>
        <v>132188814</v>
      </c>
      <c r="AS66" s="261" t="e">
        <f t="shared" si="43"/>
        <v>#REF!</v>
      </c>
      <c r="AT66" s="261">
        <f t="shared" si="44"/>
        <v>132512430</v>
      </c>
      <c r="AU66" s="261" t="e">
        <f t="shared" si="45"/>
        <v>#REF!</v>
      </c>
      <c r="AV66" s="261">
        <f t="shared" si="46"/>
        <v>154232238</v>
      </c>
      <c r="AW66" s="261" t="e">
        <f t="shared" si="47"/>
        <v>#REF!</v>
      </c>
      <c r="AX66" s="261" t="e">
        <f>AV66+#REF!+AH66+AA66+T66</f>
        <v>#REF!</v>
      </c>
      <c r="AY66" s="261" t="e">
        <f t="shared" si="48"/>
        <v>#REF!</v>
      </c>
      <c r="AZ66" s="261" t="e">
        <f t="shared" si="49"/>
        <v>#REF!</v>
      </c>
      <c r="BA66" s="261" t="e">
        <f t="shared" si="50"/>
        <v>#REF!</v>
      </c>
      <c r="BB66" s="261" t="e">
        <f t="shared" si="51"/>
        <v>#REF!</v>
      </c>
      <c r="BC66" s="261" t="e">
        <f t="shared" si="52"/>
        <v>#REF!</v>
      </c>
      <c r="BD66" s="261" t="e">
        <f t="shared" si="53"/>
        <v>#REF!</v>
      </c>
      <c r="BE66" s="261" t="e">
        <f>BC66+AV66+#REF!+AH66+AA66</f>
        <v>#REF!</v>
      </c>
      <c r="BF66" s="261" t="e">
        <f t="shared" si="54"/>
        <v>#REF!</v>
      </c>
      <c r="BG66" s="261" t="e">
        <f t="shared" si="55"/>
        <v>#REF!</v>
      </c>
    </row>
    <row r="67" spans="1:59" ht="15.75">
      <c r="A67" s="333">
        <v>5</v>
      </c>
      <c r="B67" s="333" t="s">
        <v>1607</v>
      </c>
      <c r="C67" s="256">
        <v>26</v>
      </c>
      <c r="D67" s="322" t="s">
        <v>69</v>
      </c>
      <c r="E67" s="256" t="s">
        <v>9</v>
      </c>
      <c r="F67" s="425">
        <f t="array" ref="F67">MAX((IF(MNU_CODIGO_ALIMENTO_ENTREGA=CONCATENATE($C67,"_","P_"),MNU_GRAMAJE_REQUERIDO_TIPOA,"")))</f>
        <v>30</v>
      </c>
      <c r="G67" s="257">
        <f t="shared" si="56"/>
        <v>31104</v>
      </c>
      <c r="H67" s="257">
        <f t="shared" si="57"/>
        <v>0</v>
      </c>
      <c r="I67" s="257">
        <f t="shared" si="58"/>
        <v>31104</v>
      </c>
      <c r="J67" s="258">
        <f t="shared" si="59"/>
        <v>5318784</v>
      </c>
      <c r="K67" s="258">
        <f t="shared" si="60"/>
        <v>0</v>
      </c>
      <c r="L67" s="258">
        <f t="shared" si="61"/>
        <v>5318784</v>
      </c>
      <c r="M67" s="426">
        <f t="array" ref="M67">MAX((IF(MNU_CODIGO_ALIMENTO_ENTREGA=CONCATENATE($C67,"_","P_"),MNU_GRAMAJE_REQUERIDO_TIPOB,"")))</f>
        <v>30</v>
      </c>
      <c r="N67" s="343">
        <f t="shared" si="62"/>
        <v>40980</v>
      </c>
      <c r="O67" s="343">
        <f t="shared" si="63"/>
        <v>0</v>
      </c>
      <c r="P67" s="343">
        <f t="shared" si="64"/>
        <v>40980</v>
      </c>
      <c r="Q67" s="344">
        <f t="shared" si="65"/>
        <v>7007580</v>
      </c>
      <c r="R67" s="344">
        <f t="shared" si="66"/>
        <v>0</v>
      </c>
      <c r="S67" s="344">
        <f t="shared" si="67"/>
        <v>7007580</v>
      </c>
      <c r="T67" s="348">
        <f t="array" ref="T67">MAX((IF(MNU_CODIGO_ALIMENTO_ENTREGA=CONCATENATE($C67,"_","P_"),MNU_GRAMAJE_REQUERIDO_TIPOC,"")))</f>
        <v>30</v>
      </c>
      <c r="U67" s="257">
        <f t="shared" si="68"/>
        <v>47946</v>
      </c>
      <c r="V67" s="257">
        <f t="shared" si="69"/>
        <v>0</v>
      </c>
      <c r="W67" s="257">
        <f t="shared" si="70"/>
        <v>47946</v>
      </c>
      <c r="X67" s="258">
        <f t="shared" si="71"/>
        <v>8198766</v>
      </c>
      <c r="Y67" s="258">
        <f t="shared" si="72"/>
        <v>0</v>
      </c>
      <c r="Z67" s="258">
        <f t="shared" si="73"/>
        <v>8198766</v>
      </c>
      <c r="AA67" s="256">
        <f t="array" ref="AA67">MAX((IF(MNU_CODIGO_ALIMENTO_ENTREGA=CONCATENATE($C67,"_","P_"),MNU_GRAMAJE_REQUERIDO_TIPOM,"")))</f>
        <v>30</v>
      </c>
      <c r="AB67" s="259">
        <f t="shared" si="74"/>
        <v>1062</v>
      </c>
      <c r="AC67" s="259">
        <v>0</v>
      </c>
      <c r="AD67" s="259">
        <f t="shared" si="75"/>
        <v>1062</v>
      </c>
      <c r="AE67" s="260">
        <f t="shared" si="76"/>
        <v>181602</v>
      </c>
      <c r="AF67" s="260">
        <v>0</v>
      </c>
      <c r="AG67" s="260">
        <f t="shared" si="77"/>
        <v>181602</v>
      </c>
      <c r="AH67" s="348">
        <f t="array" ref="AH67">MAX((IF(MNU_CODIGO_ALIMENTO_ENTREGA=CONCATENATE($C67,"_","P_"),MNU_GRAMAJE_REQUERIDO_TIPOH,"")))</f>
        <v>30</v>
      </c>
      <c r="AI67" s="257">
        <f t="shared" si="78"/>
        <v>912</v>
      </c>
      <c r="AJ67" s="257">
        <v>0</v>
      </c>
      <c r="AK67" s="257">
        <f t="shared" si="79"/>
        <v>912</v>
      </c>
      <c r="AL67" s="258">
        <f t="shared" si="80"/>
        <v>155952</v>
      </c>
      <c r="AM67" s="258">
        <v>0</v>
      </c>
      <c r="AN67" s="258">
        <f t="shared" si="81"/>
        <v>155952</v>
      </c>
      <c r="AO67" s="451">
        <f t="shared" si="82"/>
        <v>122004</v>
      </c>
      <c r="AP67" s="450">
        <f t="shared" si="83"/>
        <v>20862684</v>
      </c>
      <c r="AQ67" s="261" t="e">
        <f>#REF!+AH67+AA67+T67+M67</f>
        <v>#REF!</v>
      </c>
      <c r="AR67" s="261">
        <f t="shared" si="42"/>
        <v>20953584</v>
      </c>
      <c r="AS67" s="261" t="e">
        <f t="shared" si="43"/>
        <v>#REF!</v>
      </c>
      <c r="AT67" s="261">
        <f t="shared" si="44"/>
        <v>21044484</v>
      </c>
      <c r="AU67" s="261" t="e">
        <f t="shared" si="45"/>
        <v>#REF!</v>
      </c>
      <c r="AV67" s="261">
        <f t="shared" si="46"/>
        <v>21044484</v>
      </c>
      <c r="AW67" s="261" t="e">
        <f t="shared" si="47"/>
        <v>#REF!</v>
      </c>
      <c r="AX67" s="261" t="e">
        <f>AV67+#REF!+AH67+AA67+T67</f>
        <v>#REF!</v>
      </c>
      <c r="AY67" s="261" t="e">
        <f t="shared" si="48"/>
        <v>#REF!</v>
      </c>
      <c r="AZ67" s="261" t="e">
        <f t="shared" si="49"/>
        <v>#REF!</v>
      </c>
      <c r="BA67" s="261" t="e">
        <f t="shared" si="50"/>
        <v>#REF!</v>
      </c>
      <c r="BB67" s="261" t="e">
        <f t="shared" si="51"/>
        <v>#REF!</v>
      </c>
      <c r="BC67" s="261" t="e">
        <f t="shared" si="52"/>
        <v>#REF!</v>
      </c>
      <c r="BD67" s="261" t="e">
        <f t="shared" si="53"/>
        <v>#REF!</v>
      </c>
      <c r="BE67" s="261" t="e">
        <f>BC67+AV67+#REF!+AH67+AA67</f>
        <v>#REF!</v>
      </c>
      <c r="BF67" s="261" t="e">
        <f t="shared" si="54"/>
        <v>#REF!</v>
      </c>
      <c r="BG67" s="261" t="e">
        <f t="shared" si="55"/>
        <v>#REF!</v>
      </c>
    </row>
    <row r="68" spans="1:59" ht="27">
      <c r="A68" s="333">
        <v>5</v>
      </c>
      <c r="B68" s="333" t="s">
        <v>1607</v>
      </c>
      <c r="C68" s="256">
        <v>28</v>
      </c>
      <c r="D68" s="322" t="s">
        <v>67</v>
      </c>
      <c r="E68" s="256" t="s">
        <v>9</v>
      </c>
      <c r="F68" s="425">
        <f t="array" ref="F68">MAX((IF(MNU_CODIGO_ALIMENTO_ENTREGA=CONCATENATE($C68,"_","P_"),MNU_GRAMAJE_REQUERIDO_TIPOA,"")))</f>
        <v>30</v>
      </c>
      <c r="G68" s="257">
        <f t="shared" si="56"/>
        <v>31104</v>
      </c>
      <c r="H68" s="257">
        <f t="shared" si="57"/>
        <v>13490</v>
      </c>
      <c r="I68" s="257">
        <f t="shared" si="58"/>
        <v>44594</v>
      </c>
      <c r="J68" s="258">
        <f t="shared" si="59"/>
        <v>7029504</v>
      </c>
      <c r="K68" s="258">
        <f t="shared" si="60"/>
        <v>3048740</v>
      </c>
      <c r="L68" s="258">
        <f t="shared" si="61"/>
        <v>10078244</v>
      </c>
      <c r="M68" s="426">
        <f t="array" ref="M68">MAX((IF(MNU_CODIGO_ALIMENTO_ENTREGA=CONCATENATE($C68,"_","P_"),MNU_GRAMAJE_REQUERIDO_TIPOB,"")))</f>
        <v>40</v>
      </c>
      <c r="N68" s="343">
        <f t="shared" si="62"/>
        <v>40980</v>
      </c>
      <c r="O68" s="343">
        <f t="shared" si="63"/>
        <v>24624</v>
      </c>
      <c r="P68" s="343">
        <f t="shared" si="64"/>
        <v>65604</v>
      </c>
      <c r="Q68" s="344">
        <f t="shared" si="65"/>
        <v>12334980</v>
      </c>
      <c r="R68" s="344">
        <f t="shared" si="66"/>
        <v>7411824</v>
      </c>
      <c r="S68" s="344">
        <f t="shared" si="67"/>
        <v>19746804</v>
      </c>
      <c r="T68" s="348">
        <f t="array" ref="T68">MAX((IF(MNU_CODIGO_ALIMENTO_ENTREGA=CONCATENATE($C68,"_","P_"),MNU_GRAMAJE_REQUERIDO_TIPOC,"")))</f>
        <v>60</v>
      </c>
      <c r="U68" s="257">
        <f t="shared" si="68"/>
        <v>47946</v>
      </c>
      <c r="V68" s="257">
        <f t="shared" si="69"/>
        <v>32433</v>
      </c>
      <c r="W68" s="257">
        <f t="shared" si="70"/>
        <v>80379</v>
      </c>
      <c r="X68" s="258">
        <f t="shared" si="71"/>
        <v>21623646</v>
      </c>
      <c r="Y68" s="258">
        <f t="shared" si="72"/>
        <v>14627283</v>
      </c>
      <c r="Z68" s="258">
        <f t="shared" si="73"/>
        <v>36250929</v>
      </c>
      <c r="AA68" s="256">
        <f t="array" ref="AA68">MAX((IF(MNU_CODIGO_ALIMENTO_ENTREGA=CONCATENATE($C68,"_","P_"),MNU_GRAMAJE_REQUERIDO_TIPOM,"")))</f>
        <v>40</v>
      </c>
      <c r="AB68" s="259">
        <f t="shared" si="74"/>
        <v>1062</v>
      </c>
      <c r="AC68" s="259">
        <v>0</v>
      </c>
      <c r="AD68" s="259">
        <f t="shared" si="75"/>
        <v>1062</v>
      </c>
      <c r="AE68" s="260">
        <f t="shared" si="76"/>
        <v>319662</v>
      </c>
      <c r="AF68" s="260">
        <v>0</v>
      </c>
      <c r="AG68" s="260">
        <f t="shared" si="77"/>
        <v>319662</v>
      </c>
      <c r="AH68" s="348">
        <f t="array" ref="AH68">MAX((IF(MNU_CODIGO_ALIMENTO_ENTREGA=CONCATENATE($C68,"_","P_"),MNU_GRAMAJE_REQUERIDO_TIPOH,"")))</f>
        <v>60</v>
      </c>
      <c r="AI68" s="257">
        <f t="shared" si="78"/>
        <v>912</v>
      </c>
      <c r="AJ68" s="257">
        <v>0</v>
      </c>
      <c r="AK68" s="257">
        <f t="shared" si="79"/>
        <v>912</v>
      </c>
      <c r="AL68" s="258">
        <f t="shared" si="80"/>
        <v>411312</v>
      </c>
      <c r="AM68" s="258">
        <v>0</v>
      </c>
      <c r="AN68" s="258">
        <f t="shared" si="81"/>
        <v>411312</v>
      </c>
      <c r="AO68" s="451">
        <f t="shared" si="82"/>
        <v>192551</v>
      </c>
      <c r="AP68" s="450">
        <f t="shared" si="83"/>
        <v>66806951</v>
      </c>
      <c r="AQ68" s="261" t="e">
        <f>#REF!+AH68+AA68+T68+M68</f>
        <v>#REF!</v>
      </c>
      <c r="AR68" s="261">
        <f t="shared" si="42"/>
        <v>66897851</v>
      </c>
      <c r="AS68" s="261" t="e">
        <f t="shared" si="43"/>
        <v>#REF!</v>
      </c>
      <c r="AT68" s="261">
        <f t="shared" si="44"/>
        <v>67045808</v>
      </c>
      <c r="AU68" s="261" t="e">
        <f t="shared" si="45"/>
        <v>#REF!</v>
      </c>
      <c r="AV68" s="261">
        <f t="shared" si="46"/>
        <v>89084915</v>
      </c>
      <c r="AW68" s="261" t="e">
        <f t="shared" si="47"/>
        <v>#REF!</v>
      </c>
      <c r="AX68" s="261" t="e">
        <f>AV68+#REF!+AH68+AA68+T68</f>
        <v>#REF!</v>
      </c>
      <c r="AY68" s="261" t="e">
        <f t="shared" si="48"/>
        <v>#REF!</v>
      </c>
      <c r="AZ68" s="261" t="e">
        <f t="shared" si="49"/>
        <v>#REF!</v>
      </c>
      <c r="BA68" s="261" t="e">
        <f t="shared" si="50"/>
        <v>#REF!</v>
      </c>
      <c r="BB68" s="261" t="e">
        <f t="shared" si="51"/>
        <v>#REF!</v>
      </c>
      <c r="BC68" s="261" t="e">
        <f t="shared" si="52"/>
        <v>#REF!</v>
      </c>
      <c r="BD68" s="261" t="e">
        <f t="shared" si="53"/>
        <v>#REF!</v>
      </c>
      <c r="BE68" s="261" t="e">
        <f>BC68+AV68+#REF!+AH68+AA68</f>
        <v>#REF!</v>
      </c>
      <c r="BF68" s="261" t="e">
        <f t="shared" si="54"/>
        <v>#REF!</v>
      </c>
      <c r="BG68" s="261" t="e">
        <f t="shared" si="55"/>
        <v>#REF!</v>
      </c>
    </row>
    <row r="69" spans="1:59" ht="15.75">
      <c r="A69" s="333">
        <v>5</v>
      </c>
      <c r="B69" s="333" t="s">
        <v>1607</v>
      </c>
      <c r="C69" s="256">
        <v>30</v>
      </c>
      <c r="D69" s="322" t="s">
        <v>63</v>
      </c>
      <c r="E69" s="256" t="s">
        <v>9</v>
      </c>
      <c r="F69" s="425">
        <f t="array" ref="F69">MAX((IF(MNU_CODIGO_ALIMENTO_ENTREGA=CONCATENATE($C69,"_","P_"),MNU_GRAMAJE_REQUERIDO_TIPOA,"")))</f>
        <v>30</v>
      </c>
      <c r="G69" s="257">
        <f t="shared" si="56"/>
        <v>82944</v>
      </c>
      <c r="H69" s="257">
        <f t="shared" si="57"/>
        <v>0</v>
      </c>
      <c r="I69" s="257">
        <f t="shared" si="58"/>
        <v>82944</v>
      </c>
      <c r="J69" s="258">
        <f t="shared" si="59"/>
        <v>27537408</v>
      </c>
      <c r="K69" s="258">
        <f t="shared" si="60"/>
        <v>0</v>
      </c>
      <c r="L69" s="258">
        <f t="shared" si="61"/>
        <v>27537408</v>
      </c>
      <c r="M69" s="426">
        <f t="array" ref="M69">MAX((IF(MNU_CODIGO_ALIMENTO_ENTREGA=CONCATENATE($C69,"_","P_"),MNU_GRAMAJE_REQUERIDO_TIPOB,"")))</f>
        <v>30</v>
      </c>
      <c r="N69" s="343">
        <f t="shared" si="62"/>
        <v>109280</v>
      </c>
      <c r="O69" s="343">
        <f t="shared" si="63"/>
        <v>0</v>
      </c>
      <c r="P69" s="343">
        <f t="shared" si="64"/>
        <v>109280</v>
      </c>
      <c r="Q69" s="344">
        <f t="shared" si="65"/>
        <v>36280960</v>
      </c>
      <c r="R69" s="344">
        <f t="shared" si="66"/>
        <v>0</v>
      </c>
      <c r="S69" s="344">
        <f t="shared" si="67"/>
        <v>36280960</v>
      </c>
      <c r="T69" s="348">
        <f t="array" ref="T69">MAX((IF(MNU_CODIGO_ALIMENTO_ENTREGA=CONCATENATE($C69,"_","P_"),MNU_GRAMAJE_REQUERIDO_TIPOC,"")))</f>
        <v>30</v>
      </c>
      <c r="U69" s="257">
        <f t="shared" si="68"/>
        <v>127856</v>
      </c>
      <c r="V69" s="257">
        <f t="shared" si="69"/>
        <v>0</v>
      </c>
      <c r="W69" s="257">
        <f t="shared" si="70"/>
        <v>127856</v>
      </c>
      <c r="X69" s="258">
        <f t="shared" si="71"/>
        <v>42448192</v>
      </c>
      <c r="Y69" s="258">
        <f t="shared" si="72"/>
        <v>0</v>
      </c>
      <c r="Z69" s="258">
        <f t="shared" si="73"/>
        <v>42448192</v>
      </c>
      <c r="AA69" s="256">
        <f t="array" ref="AA69">MAX((IF(MNU_CODIGO_ALIMENTO_ENTREGA=CONCATENATE($C69,"_","P_"),MNU_GRAMAJE_REQUERIDO_TIPOM,"")))</f>
        <v>30</v>
      </c>
      <c r="AB69" s="259">
        <f t="shared" si="74"/>
        <v>2832</v>
      </c>
      <c r="AC69" s="259">
        <v>0</v>
      </c>
      <c r="AD69" s="259">
        <f t="shared" si="75"/>
        <v>2832</v>
      </c>
      <c r="AE69" s="260">
        <f t="shared" si="76"/>
        <v>940224</v>
      </c>
      <c r="AF69" s="260">
        <v>0</v>
      </c>
      <c r="AG69" s="260">
        <f t="shared" si="77"/>
        <v>940224</v>
      </c>
      <c r="AH69" s="348">
        <f t="array" ref="AH69">MAX((IF(MNU_CODIGO_ALIMENTO_ENTREGA=CONCATENATE($C69,"_","P_"),MNU_GRAMAJE_REQUERIDO_TIPOH,"")))</f>
        <v>30</v>
      </c>
      <c r="AI69" s="257">
        <f t="shared" si="78"/>
        <v>2432</v>
      </c>
      <c r="AJ69" s="257">
        <v>0</v>
      </c>
      <c r="AK69" s="257">
        <f t="shared" si="79"/>
        <v>2432</v>
      </c>
      <c r="AL69" s="258">
        <f t="shared" si="80"/>
        <v>807424</v>
      </c>
      <c r="AM69" s="258">
        <v>0</v>
      </c>
      <c r="AN69" s="258">
        <f t="shared" si="81"/>
        <v>807424</v>
      </c>
      <c r="AO69" s="451">
        <f t="shared" si="82"/>
        <v>325344</v>
      </c>
      <c r="AP69" s="450">
        <f t="shared" si="83"/>
        <v>108014208</v>
      </c>
      <c r="AQ69" s="261" t="e">
        <f>#REF!+AH69+AA69+T69+M69</f>
        <v>#REF!</v>
      </c>
      <c r="AR69" s="261">
        <f t="shared" si="42"/>
        <v>108256608</v>
      </c>
      <c r="AS69" s="261" t="e">
        <f t="shared" si="43"/>
        <v>#REF!</v>
      </c>
      <c r="AT69" s="261">
        <f t="shared" si="44"/>
        <v>108499008</v>
      </c>
      <c r="AU69" s="261" t="e">
        <f t="shared" si="45"/>
        <v>#REF!</v>
      </c>
      <c r="AV69" s="261">
        <f t="shared" si="46"/>
        <v>108499008</v>
      </c>
      <c r="AW69" s="261" t="e">
        <f t="shared" si="47"/>
        <v>#REF!</v>
      </c>
      <c r="AX69" s="261" t="e">
        <f>AV69+#REF!+AH69+AA69+T69</f>
        <v>#REF!</v>
      </c>
      <c r="AY69" s="261" t="e">
        <f t="shared" si="48"/>
        <v>#REF!</v>
      </c>
      <c r="AZ69" s="261" t="e">
        <f t="shared" si="49"/>
        <v>#REF!</v>
      </c>
      <c r="BA69" s="261" t="e">
        <f t="shared" si="50"/>
        <v>#REF!</v>
      </c>
      <c r="BB69" s="261" t="e">
        <f t="shared" si="51"/>
        <v>#REF!</v>
      </c>
      <c r="BC69" s="261" t="e">
        <f t="shared" si="52"/>
        <v>#REF!</v>
      </c>
      <c r="BD69" s="261" t="e">
        <f t="shared" si="53"/>
        <v>#REF!</v>
      </c>
      <c r="BE69" s="261" t="e">
        <f>BC69+AV69+#REF!+AH69+AA69</f>
        <v>#REF!</v>
      </c>
      <c r="BF69" s="261" t="e">
        <f t="shared" si="54"/>
        <v>#REF!</v>
      </c>
      <c r="BG69" s="261" t="e">
        <f t="shared" si="55"/>
        <v>#REF!</v>
      </c>
    </row>
    <row r="70" spans="1:59" ht="15.75">
      <c r="A70" s="333">
        <v>5</v>
      </c>
      <c r="B70" s="333" t="s">
        <v>1607</v>
      </c>
      <c r="C70" s="256">
        <v>45</v>
      </c>
      <c r="D70" s="322" t="s">
        <v>10</v>
      </c>
      <c r="E70" s="256" t="s">
        <v>9</v>
      </c>
      <c r="F70" s="425">
        <f t="array" ref="F70">MAX((IF(MNU_CODIGO_ALIMENTO_ENTREGA=CONCATENATE($C70,"_","P_"),MNU_GRAMAJE_REQUERIDO_TIPOA,"")))</f>
        <v>20</v>
      </c>
      <c r="G70" s="257">
        <f t="shared" si="56"/>
        <v>82944</v>
      </c>
      <c r="H70" s="257">
        <f t="shared" si="57"/>
        <v>14200</v>
      </c>
      <c r="I70" s="257">
        <f t="shared" si="58"/>
        <v>97144</v>
      </c>
      <c r="J70" s="258">
        <f t="shared" si="59"/>
        <v>16505856</v>
      </c>
      <c r="K70" s="258">
        <f t="shared" si="60"/>
        <v>2825800</v>
      </c>
      <c r="L70" s="258">
        <f t="shared" si="61"/>
        <v>19331656</v>
      </c>
      <c r="M70" s="426">
        <f t="array" ref="M70">MAX((IF(MNU_CODIGO_ALIMENTO_ENTREGA=CONCATENATE($C70,"_","P_"),MNU_GRAMAJE_REQUERIDO_TIPOB,"")))</f>
        <v>30</v>
      </c>
      <c r="N70" s="343">
        <f t="shared" si="62"/>
        <v>109280</v>
      </c>
      <c r="O70" s="343">
        <f t="shared" si="63"/>
        <v>25920</v>
      </c>
      <c r="P70" s="343">
        <f t="shared" si="64"/>
        <v>135200</v>
      </c>
      <c r="Q70" s="344">
        <f t="shared" si="65"/>
        <v>32565440</v>
      </c>
      <c r="R70" s="344">
        <f t="shared" si="66"/>
        <v>7724160</v>
      </c>
      <c r="S70" s="344">
        <f t="shared" si="67"/>
        <v>40289600</v>
      </c>
      <c r="T70" s="348">
        <f t="array" ref="T70">MAX((IF(MNU_CODIGO_ALIMENTO_ENTREGA=CONCATENATE($C70,"_","P_"),MNU_GRAMAJE_REQUERIDO_TIPOC,"")))</f>
        <v>60</v>
      </c>
      <c r="U70" s="257">
        <f t="shared" si="68"/>
        <v>127856</v>
      </c>
      <c r="V70" s="257">
        <f t="shared" si="69"/>
        <v>34140</v>
      </c>
      <c r="W70" s="257">
        <f t="shared" si="70"/>
        <v>161996</v>
      </c>
      <c r="X70" s="258">
        <f t="shared" si="71"/>
        <v>76330032</v>
      </c>
      <c r="Y70" s="258">
        <f t="shared" si="72"/>
        <v>20381580</v>
      </c>
      <c r="Z70" s="258">
        <f t="shared" si="73"/>
        <v>96711612</v>
      </c>
      <c r="AA70" s="256">
        <f t="array" ref="AA70">MAX((IF(MNU_CODIGO_ALIMENTO_ENTREGA=CONCATENATE($C70,"_","P_"),MNU_GRAMAJE_REQUERIDO_TIPOM,"")))</f>
        <v>30</v>
      </c>
      <c r="AB70" s="259">
        <f t="shared" si="74"/>
        <v>2832</v>
      </c>
      <c r="AC70" s="259">
        <v>0</v>
      </c>
      <c r="AD70" s="259">
        <f t="shared" si="75"/>
        <v>2832</v>
      </c>
      <c r="AE70" s="260">
        <f t="shared" si="76"/>
        <v>843936</v>
      </c>
      <c r="AF70" s="260">
        <v>0</v>
      </c>
      <c r="AG70" s="260">
        <f t="shared" si="77"/>
        <v>843936</v>
      </c>
      <c r="AH70" s="348">
        <f t="array" ref="AH70">MAX((IF(MNU_CODIGO_ALIMENTO_ENTREGA=CONCATENATE($C70,"_","P_"),MNU_GRAMAJE_REQUERIDO_TIPOH,"")))</f>
        <v>60</v>
      </c>
      <c r="AI70" s="257">
        <f t="shared" si="78"/>
        <v>2432</v>
      </c>
      <c r="AJ70" s="257">
        <v>0</v>
      </c>
      <c r="AK70" s="257">
        <f t="shared" si="79"/>
        <v>2432</v>
      </c>
      <c r="AL70" s="258">
        <f t="shared" si="80"/>
        <v>1451904</v>
      </c>
      <c r="AM70" s="258">
        <v>0</v>
      </c>
      <c r="AN70" s="258">
        <f t="shared" si="81"/>
        <v>1451904</v>
      </c>
      <c r="AO70" s="451">
        <f t="shared" si="82"/>
        <v>399604</v>
      </c>
      <c r="AP70" s="450">
        <f t="shared" si="83"/>
        <v>158628708</v>
      </c>
      <c r="AQ70" s="261" t="e">
        <f>#REF!+AH70+AA70+T70+M70</f>
        <v>#REF!</v>
      </c>
      <c r="AR70" s="261">
        <f t="shared" si="42"/>
        <v>158871108</v>
      </c>
      <c r="AS70" s="261" t="e">
        <f t="shared" si="43"/>
        <v>#REF!</v>
      </c>
      <c r="AT70" s="261">
        <f t="shared" si="44"/>
        <v>159173568</v>
      </c>
      <c r="AU70" s="261" t="e">
        <f t="shared" si="45"/>
        <v>#REF!</v>
      </c>
      <c r="AV70" s="261">
        <f t="shared" si="46"/>
        <v>187279308</v>
      </c>
      <c r="AW70" s="261" t="e">
        <f t="shared" si="47"/>
        <v>#REF!</v>
      </c>
      <c r="AX70" s="261" t="e">
        <f>AV70+#REF!+AH70+AA70+T70</f>
        <v>#REF!</v>
      </c>
      <c r="AY70" s="261" t="e">
        <f t="shared" si="48"/>
        <v>#REF!</v>
      </c>
      <c r="AZ70" s="261" t="e">
        <f t="shared" si="49"/>
        <v>#REF!</v>
      </c>
      <c r="BA70" s="261" t="e">
        <f t="shared" si="50"/>
        <v>#REF!</v>
      </c>
      <c r="BB70" s="261" t="e">
        <f t="shared" si="51"/>
        <v>#REF!</v>
      </c>
      <c r="BC70" s="261" t="e">
        <f t="shared" si="52"/>
        <v>#REF!</v>
      </c>
      <c r="BD70" s="261" t="e">
        <f t="shared" si="53"/>
        <v>#REF!</v>
      </c>
      <c r="BE70" s="261" t="e">
        <f>BC70+AV70+#REF!+AH70+AA70</f>
        <v>#REF!</v>
      </c>
      <c r="BF70" s="261" t="e">
        <f t="shared" si="54"/>
        <v>#REF!</v>
      </c>
      <c r="BG70" s="261" t="e">
        <f t="shared" si="55"/>
        <v>#REF!</v>
      </c>
    </row>
    <row r="71" spans="1:59" ht="15.75">
      <c r="A71" s="333">
        <v>5</v>
      </c>
      <c r="B71" s="333" t="s">
        <v>1607</v>
      </c>
      <c r="C71" s="256">
        <v>50</v>
      </c>
      <c r="D71" s="322" t="s">
        <v>65</v>
      </c>
      <c r="E71" s="256" t="s">
        <v>9</v>
      </c>
      <c r="F71" s="425">
        <f t="array" ref="F71">MAX((IF(MNU_CODIGO_ALIMENTO_ENTREGA=CONCATENATE($C71,"_","P_"),MNU_GRAMAJE_REQUERIDO_TIPOA,"")))</f>
        <v>30</v>
      </c>
      <c r="G71" s="257">
        <f t="shared" si="56"/>
        <v>88128</v>
      </c>
      <c r="H71" s="257">
        <f t="shared" si="57"/>
        <v>0</v>
      </c>
      <c r="I71" s="257">
        <f t="shared" si="58"/>
        <v>88128</v>
      </c>
      <c r="J71" s="258">
        <f t="shared" si="59"/>
        <v>28289088</v>
      </c>
      <c r="K71" s="258">
        <f t="shared" si="60"/>
        <v>0</v>
      </c>
      <c r="L71" s="258">
        <f t="shared" si="61"/>
        <v>28289088</v>
      </c>
      <c r="M71" s="426">
        <f t="array" ref="M71">MAX((IF(MNU_CODIGO_ALIMENTO_ENTREGA=CONCATENATE($C71,"_","P_"),MNU_GRAMAJE_REQUERIDO_TIPOB,"")))</f>
        <v>40</v>
      </c>
      <c r="N71" s="343">
        <f t="shared" si="62"/>
        <v>116110</v>
      </c>
      <c r="O71" s="343">
        <f t="shared" si="63"/>
        <v>0</v>
      </c>
      <c r="P71" s="343">
        <f t="shared" si="64"/>
        <v>116110</v>
      </c>
      <c r="Q71" s="344">
        <f t="shared" si="65"/>
        <v>49695080</v>
      </c>
      <c r="R71" s="344">
        <f t="shared" si="66"/>
        <v>0</v>
      </c>
      <c r="S71" s="344">
        <f t="shared" si="67"/>
        <v>49695080</v>
      </c>
      <c r="T71" s="348">
        <f t="array" ref="T71">MAX((IF(MNU_CODIGO_ALIMENTO_ENTREGA=CONCATENATE($C71,"_","P_"),MNU_GRAMAJE_REQUERIDO_TIPOC,"")))</f>
        <v>80</v>
      </c>
      <c r="U71" s="257">
        <f t="shared" si="68"/>
        <v>135847</v>
      </c>
      <c r="V71" s="257">
        <f t="shared" si="69"/>
        <v>0</v>
      </c>
      <c r="W71" s="257">
        <f t="shared" si="70"/>
        <v>135847</v>
      </c>
      <c r="X71" s="258">
        <f t="shared" si="71"/>
        <v>116149185</v>
      </c>
      <c r="Y71" s="258">
        <f t="shared" si="72"/>
        <v>0</v>
      </c>
      <c r="Z71" s="258">
        <f t="shared" si="73"/>
        <v>116149185</v>
      </c>
      <c r="AA71" s="256">
        <f t="array" ref="AA71">MAX((IF(MNU_CODIGO_ALIMENTO_ENTREGA=CONCATENATE($C71,"_","P_"),MNU_GRAMAJE_REQUERIDO_TIPOM,"")))</f>
        <v>40</v>
      </c>
      <c r="AB71" s="259">
        <f t="shared" si="74"/>
        <v>3009</v>
      </c>
      <c r="AC71" s="259">
        <v>0</v>
      </c>
      <c r="AD71" s="259">
        <f t="shared" si="75"/>
        <v>3009</v>
      </c>
      <c r="AE71" s="260">
        <f t="shared" si="76"/>
        <v>1287852</v>
      </c>
      <c r="AF71" s="260">
        <v>0</v>
      </c>
      <c r="AG71" s="260">
        <f t="shared" si="77"/>
        <v>1287852</v>
      </c>
      <c r="AH71" s="348">
        <f t="array" ref="AH71">MAX((IF(MNU_CODIGO_ALIMENTO_ENTREGA=CONCATENATE($C71,"_","P_"),MNU_GRAMAJE_REQUERIDO_TIPOH,"")))</f>
        <v>80</v>
      </c>
      <c r="AI71" s="257">
        <f t="shared" si="78"/>
        <v>2584</v>
      </c>
      <c r="AJ71" s="257">
        <v>0</v>
      </c>
      <c r="AK71" s="257">
        <f t="shared" si="79"/>
        <v>2584</v>
      </c>
      <c r="AL71" s="258">
        <f t="shared" si="80"/>
        <v>2209320</v>
      </c>
      <c r="AM71" s="258">
        <v>0</v>
      </c>
      <c r="AN71" s="258">
        <f t="shared" si="81"/>
        <v>2209320</v>
      </c>
      <c r="AO71" s="451">
        <f t="shared" si="82"/>
        <v>345678</v>
      </c>
      <c r="AP71" s="450">
        <f t="shared" si="83"/>
        <v>197630525</v>
      </c>
      <c r="AQ71" s="261" t="e">
        <f>#REF!+AH71+AA71+T71+M71</f>
        <v>#REF!</v>
      </c>
      <c r="AR71" s="261">
        <f t="shared" si="42"/>
        <v>197888075</v>
      </c>
      <c r="AS71" s="261" t="e">
        <f t="shared" si="43"/>
        <v>#REF!</v>
      </c>
      <c r="AT71" s="261">
        <f t="shared" si="44"/>
        <v>198145625</v>
      </c>
      <c r="AU71" s="261" t="e">
        <f t="shared" si="45"/>
        <v>#REF!</v>
      </c>
      <c r="AV71" s="261">
        <f t="shared" si="46"/>
        <v>198145625</v>
      </c>
      <c r="AW71" s="261" t="e">
        <f t="shared" si="47"/>
        <v>#REF!</v>
      </c>
      <c r="AX71" s="261" t="e">
        <f>AV71+#REF!+AH71+AA71+T71</f>
        <v>#REF!</v>
      </c>
      <c r="AY71" s="261" t="e">
        <f t="shared" si="48"/>
        <v>#REF!</v>
      </c>
      <c r="AZ71" s="261" t="e">
        <f t="shared" si="49"/>
        <v>#REF!</v>
      </c>
      <c r="BA71" s="261" t="e">
        <f t="shared" si="50"/>
        <v>#REF!</v>
      </c>
      <c r="BB71" s="261" t="e">
        <f t="shared" si="51"/>
        <v>#REF!</v>
      </c>
      <c r="BC71" s="261" t="e">
        <f t="shared" si="52"/>
        <v>#REF!</v>
      </c>
      <c r="BD71" s="261" t="e">
        <f t="shared" si="53"/>
        <v>#REF!</v>
      </c>
      <c r="BE71" s="261" t="e">
        <f>BC71+AV71+#REF!+AH71+AA71</f>
        <v>#REF!</v>
      </c>
      <c r="BF71" s="261" t="e">
        <f t="shared" si="54"/>
        <v>#REF!</v>
      </c>
      <c r="BG71" s="261" t="e">
        <f t="shared" si="55"/>
        <v>#REF!</v>
      </c>
    </row>
    <row r="72" spans="1:59" ht="15.75">
      <c r="A72" s="333">
        <v>5</v>
      </c>
      <c r="B72" s="333" t="s">
        <v>1607</v>
      </c>
      <c r="C72" s="256">
        <v>61</v>
      </c>
      <c r="D72" s="322" t="s">
        <v>13</v>
      </c>
      <c r="E72" s="256" t="s">
        <v>9</v>
      </c>
      <c r="F72" s="425">
        <f t="array" ref="F72">MAX((IF(MNU_CODIGO_ALIMENTO_ENTREGA=CONCATENATE($C72,"_","P_"),MNU_GRAMAJE_REQUERIDO_TIPOA,"")))</f>
        <v>20</v>
      </c>
      <c r="G72" s="257">
        <f t="shared" si="56"/>
        <v>82944</v>
      </c>
      <c r="H72" s="257">
        <f t="shared" si="57"/>
        <v>14200</v>
      </c>
      <c r="I72" s="257">
        <f t="shared" si="58"/>
        <v>97144</v>
      </c>
      <c r="J72" s="258">
        <f t="shared" si="59"/>
        <v>19325952</v>
      </c>
      <c r="K72" s="258">
        <f t="shared" si="60"/>
        <v>3308600</v>
      </c>
      <c r="L72" s="258">
        <f t="shared" si="61"/>
        <v>22634552</v>
      </c>
      <c r="M72" s="426">
        <f t="array" ref="M72">MAX((IF(MNU_CODIGO_ALIMENTO_ENTREGA=CONCATENATE($C72,"_","P_"),MNU_GRAMAJE_REQUERIDO_TIPOB,"")))</f>
        <v>30</v>
      </c>
      <c r="N72" s="343">
        <f t="shared" si="62"/>
        <v>109280</v>
      </c>
      <c r="O72" s="343">
        <f t="shared" si="63"/>
        <v>25920</v>
      </c>
      <c r="P72" s="343">
        <f t="shared" si="64"/>
        <v>135200</v>
      </c>
      <c r="Q72" s="344">
        <f t="shared" si="65"/>
        <v>38357280</v>
      </c>
      <c r="R72" s="344">
        <f t="shared" si="66"/>
        <v>9097920</v>
      </c>
      <c r="S72" s="344">
        <f t="shared" si="67"/>
        <v>47455200</v>
      </c>
      <c r="T72" s="348">
        <f t="array" ref="T72">MAX((IF(MNU_CODIGO_ALIMENTO_ENTREGA=CONCATENATE($C72,"_","P_"),MNU_GRAMAJE_REQUERIDO_TIPOC,"")))</f>
        <v>70</v>
      </c>
      <c r="U72" s="257">
        <f t="shared" si="68"/>
        <v>127856</v>
      </c>
      <c r="V72" s="257">
        <f t="shared" si="69"/>
        <v>34140</v>
      </c>
      <c r="W72" s="257">
        <f t="shared" si="70"/>
        <v>161996</v>
      </c>
      <c r="X72" s="258">
        <f t="shared" si="71"/>
        <v>104586208</v>
      </c>
      <c r="Y72" s="258">
        <f t="shared" si="72"/>
        <v>27926520</v>
      </c>
      <c r="Z72" s="258">
        <f t="shared" si="73"/>
        <v>132512728</v>
      </c>
      <c r="AA72" s="256">
        <f t="array" ref="AA72">MAX((IF(MNU_CODIGO_ALIMENTO_ENTREGA=CONCATENATE($C72,"_","P_"),MNU_GRAMAJE_REQUERIDO_TIPOM,"")))</f>
        <v>30</v>
      </c>
      <c r="AB72" s="259">
        <f t="shared" si="74"/>
        <v>2832</v>
      </c>
      <c r="AC72" s="259">
        <v>0</v>
      </c>
      <c r="AD72" s="259">
        <f t="shared" si="75"/>
        <v>2832</v>
      </c>
      <c r="AE72" s="260">
        <f t="shared" si="76"/>
        <v>994032</v>
      </c>
      <c r="AF72" s="260">
        <v>0</v>
      </c>
      <c r="AG72" s="260">
        <f t="shared" si="77"/>
        <v>994032</v>
      </c>
      <c r="AH72" s="348">
        <f t="array" ref="AH72">MAX((IF(MNU_CODIGO_ALIMENTO_ENTREGA=CONCATENATE($C72,"_","P_"),MNU_GRAMAJE_REQUERIDO_TIPOH,"")))</f>
        <v>70</v>
      </c>
      <c r="AI72" s="257">
        <f t="shared" si="78"/>
        <v>2432</v>
      </c>
      <c r="AJ72" s="257">
        <v>0</v>
      </c>
      <c r="AK72" s="257">
        <f t="shared" si="79"/>
        <v>2432</v>
      </c>
      <c r="AL72" s="258">
        <f t="shared" si="80"/>
        <v>1989376</v>
      </c>
      <c r="AM72" s="258">
        <v>0</v>
      </c>
      <c r="AN72" s="258">
        <f t="shared" si="81"/>
        <v>1989376</v>
      </c>
      <c r="AO72" s="451">
        <f t="shared" si="82"/>
        <v>399604</v>
      </c>
      <c r="AP72" s="450">
        <f t="shared" si="83"/>
        <v>205585888</v>
      </c>
      <c r="AQ72" s="261" t="e">
        <f>#REF!+AH72+AA72+T72+M72</f>
        <v>#REF!</v>
      </c>
      <c r="AR72" s="261">
        <f t="shared" si="42"/>
        <v>205828288</v>
      </c>
      <c r="AS72" s="261" t="e">
        <f t="shared" si="43"/>
        <v>#REF!</v>
      </c>
      <c r="AT72" s="261">
        <f t="shared" si="44"/>
        <v>206130748</v>
      </c>
      <c r="AU72" s="261" t="e">
        <f t="shared" si="45"/>
        <v>#REF!</v>
      </c>
      <c r="AV72" s="261">
        <f t="shared" si="46"/>
        <v>243155188</v>
      </c>
      <c r="AW72" s="261" t="e">
        <f t="shared" si="47"/>
        <v>#REF!</v>
      </c>
      <c r="AX72" s="261" t="e">
        <f>AV72+#REF!+AH72+AA72+T72</f>
        <v>#REF!</v>
      </c>
      <c r="AY72" s="261" t="e">
        <f t="shared" si="48"/>
        <v>#REF!</v>
      </c>
      <c r="AZ72" s="261" t="e">
        <f t="shared" si="49"/>
        <v>#REF!</v>
      </c>
      <c r="BA72" s="261" t="e">
        <f t="shared" si="50"/>
        <v>#REF!</v>
      </c>
      <c r="BB72" s="261" t="e">
        <f t="shared" si="51"/>
        <v>#REF!</v>
      </c>
      <c r="BC72" s="261" t="e">
        <f t="shared" si="52"/>
        <v>#REF!</v>
      </c>
      <c r="BD72" s="261" t="e">
        <f t="shared" si="53"/>
        <v>#REF!</v>
      </c>
      <c r="BE72" s="261" t="e">
        <f>BC72+AV72+#REF!+AH72+AA72</f>
        <v>#REF!</v>
      </c>
      <c r="BF72" s="261" t="e">
        <f t="shared" si="54"/>
        <v>#REF!</v>
      </c>
      <c r="BG72" s="261" t="e">
        <f t="shared" si="55"/>
        <v>#REF!</v>
      </c>
    </row>
    <row r="73" spans="1:59" ht="15.75">
      <c r="A73" s="333">
        <v>5</v>
      </c>
      <c r="B73" s="333" t="s">
        <v>1607</v>
      </c>
      <c r="C73" s="256">
        <v>62</v>
      </c>
      <c r="D73" s="322" t="s">
        <v>68</v>
      </c>
      <c r="E73" s="256" t="s">
        <v>9</v>
      </c>
      <c r="F73" s="425">
        <f t="array" ref="F73">MAX((IF(MNU_CODIGO_ALIMENTO_ENTREGA=CONCATENATE($C73,"_","P_"),MNU_GRAMAJE_REQUERIDO_TIPOA,"")))</f>
        <v>50</v>
      </c>
      <c r="G73" s="257">
        <f t="shared" si="56"/>
        <v>25920</v>
      </c>
      <c r="H73" s="257">
        <f t="shared" si="57"/>
        <v>0</v>
      </c>
      <c r="I73" s="257">
        <f t="shared" si="58"/>
        <v>25920</v>
      </c>
      <c r="J73" s="258">
        <f t="shared" si="59"/>
        <v>16200000</v>
      </c>
      <c r="K73" s="258">
        <f t="shared" si="60"/>
        <v>0</v>
      </c>
      <c r="L73" s="258">
        <f t="shared" si="61"/>
        <v>16200000</v>
      </c>
      <c r="M73" s="426">
        <f t="array" ref="M73">MAX((IF(MNU_CODIGO_ALIMENTO_ENTREGA=CONCATENATE($C73,"_","P_"),MNU_GRAMAJE_REQUERIDO_TIPOB,"")))</f>
        <v>50</v>
      </c>
      <c r="N73" s="343">
        <f t="shared" si="62"/>
        <v>34150</v>
      </c>
      <c r="O73" s="343">
        <f t="shared" si="63"/>
        <v>0</v>
      </c>
      <c r="P73" s="343">
        <f t="shared" si="64"/>
        <v>34150</v>
      </c>
      <c r="Q73" s="344">
        <f t="shared" si="65"/>
        <v>21343750</v>
      </c>
      <c r="R73" s="344">
        <f t="shared" si="66"/>
        <v>0</v>
      </c>
      <c r="S73" s="344">
        <f t="shared" si="67"/>
        <v>21343750</v>
      </c>
      <c r="T73" s="348">
        <f t="array" ref="T73">MAX((IF(MNU_CODIGO_ALIMENTO_ENTREGA=CONCATENATE($C73,"_","P_"),MNU_GRAMAJE_REQUERIDO_TIPOC,"")))</f>
        <v>50</v>
      </c>
      <c r="U73" s="257">
        <f t="shared" si="68"/>
        <v>39955</v>
      </c>
      <c r="V73" s="257">
        <f t="shared" si="69"/>
        <v>0</v>
      </c>
      <c r="W73" s="257">
        <f t="shared" si="70"/>
        <v>39955</v>
      </c>
      <c r="X73" s="258">
        <f t="shared" si="71"/>
        <v>24971875</v>
      </c>
      <c r="Y73" s="258">
        <f t="shared" si="72"/>
        <v>0</v>
      </c>
      <c r="Z73" s="258">
        <f t="shared" si="73"/>
        <v>24971875</v>
      </c>
      <c r="AA73" s="256">
        <f t="array" ref="AA73">MAX((IF(MNU_CODIGO_ALIMENTO_ENTREGA=CONCATENATE($C73,"_","P_"),MNU_GRAMAJE_REQUERIDO_TIPOM,"")))</f>
        <v>50</v>
      </c>
      <c r="AB73" s="259">
        <f t="shared" si="74"/>
        <v>885</v>
      </c>
      <c r="AC73" s="259">
        <v>0</v>
      </c>
      <c r="AD73" s="259">
        <f t="shared" si="75"/>
        <v>885</v>
      </c>
      <c r="AE73" s="260">
        <f t="shared" si="76"/>
        <v>553125</v>
      </c>
      <c r="AF73" s="260">
        <v>0</v>
      </c>
      <c r="AG73" s="260">
        <f t="shared" si="77"/>
        <v>553125</v>
      </c>
      <c r="AH73" s="348">
        <f t="array" ref="AH73">MAX((IF(MNU_CODIGO_ALIMENTO_ENTREGA=CONCATENATE($C73,"_","P_"),MNU_GRAMAJE_REQUERIDO_TIPOH,"")))</f>
        <v>50</v>
      </c>
      <c r="AI73" s="257">
        <f t="shared" si="78"/>
        <v>760</v>
      </c>
      <c r="AJ73" s="257">
        <v>0</v>
      </c>
      <c r="AK73" s="257">
        <f t="shared" si="79"/>
        <v>760</v>
      </c>
      <c r="AL73" s="258">
        <f t="shared" si="80"/>
        <v>475000</v>
      </c>
      <c r="AM73" s="258">
        <v>0</v>
      </c>
      <c r="AN73" s="258">
        <f t="shared" si="81"/>
        <v>475000</v>
      </c>
      <c r="AO73" s="451">
        <f t="shared" si="82"/>
        <v>101670</v>
      </c>
      <c r="AP73" s="450">
        <f t="shared" si="83"/>
        <v>63543750</v>
      </c>
      <c r="AQ73" s="261" t="e">
        <f>#REF!+AH73+AA73+T73+M73</f>
        <v>#REF!</v>
      </c>
      <c r="AR73" s="261">
        <f t="shared" si="42"/>
        <v>63619500</v>
      </c>
      <c r="AS73" s="261" t="e">
        <f t="shared" si="43"/>
        <v>#REF!</v>
      </c>
      <c r="AT73" s="261">
        <f t="shared" si="44"/>
        <v>63695250</v>
      </c>
      <c r="AU73" s="261" t="e">
        <f t="shared" si="45"/>
        <v>#REF!</v>
      </c>
      <c r="AV73" s="261">
        <f t="shared" si="46"/>
        <v>63695250</v>
      </c>
      <c r="AW73" s="261" t="e">
        <f t="shared" si="47"/>
        <v>#REF!</v>
      </c>
      <c r="AX73" s="261" t="e">
        <f>AV73+#REF!+AH73+AA73+T73</f>
        <v>#REF!</v>
      </c>
      <c r="AY73" s="261" t="e">
        <f t="shared" si="48"/>
        <v>#REF!</v>
      </c>
      <c r="AZ73" s="261" t="e">
        <f t="shared" si="49"/>
        <v>#REF!</v>
      </c>
      <c r="BA73" s="261" t="e">
        <f t="shared" si="50"/>
        <v>#REF!</v>
      </c>
      <c r="BB73" s="261" t="e">
        <f t="shared" si="51"/>
        <v>#REF!</v>
      </c>
      <c r="BC73" s="261" t="e">
        <f t="shared" si="52"/>
        <v>#REF!</v>
      </c>
      <c r="BD73" s="261" t="e">
        <f t="shared" si="53"/>
        <v>#REF!</v>
      </c>
      <c r="BE73" s="261" t="e">
        <f>BC73+AV73+#REF!+AH73+AA73</f>
        <v>#REF!</v>
      </c>
      <c r="BF73" s="261" t="e">
        <f t="shared" si="54"/>
        <v>#REF!</v>
      </c>
      <c r="BG73" s="261" t="e">
        <f t="shared" si="55"/>
        <v>#REF!</v>
      </c>
    </row>
    <row r="74" spans="1:59" ht="15.75">
      <c r="A74" s="333">
        <v>6</v>
      </c>
      <c r="B74" s="333" t="s">
        <v>1607</v>
      </c>
      <c r="C74" s="256">
        <v>1</v>
      </c>
      <c r="D74" s="322" t="s">
        <v>16</v>
      </c>
      <c r="E74" s="256" t="s">
        <v>9</v>
      </c>
      <c r="F74" s="425">
        <f t="array" ref="F74">MAX((IF(MNU_CODIGO_ALIMENTO_ENTREGA=CONCATENATE($C74,"_","P_"),MNU_GRAMAJE_REQUERIDO_TIPOA,"")))</f>
        <v>30</v>
      </c>
      <c r="G74" s="257">
        <f t="shared" si="56"/>
        <v>39375</v>
      </c>
      <c r="H74" s="257">
        <f t="shared" si="57"/>
        <v>0</v>
      </c>
      <c r="I74" s="257">
        <f t="shared" si="58"/>
        <v>39375</v>
      </c>
      <c r="J74" s="258">
        <f t="shared" si="59"/>
        <v>31815000</v>
      </c>
      <c r="K74" s="258">
        <f t="shared" si="60"/>
        <v>0</v>
      </c>
      <c r="L74" s="258">
        <f t="shared" si="61"/>
        <v>31815000</v>
      </c>
      <c r="M74" s="426">
        <f t="array" ref="M74">MAX((IF(MNU_CODIGO_ALIMENTO_ENTREGA=CONCATENATE($C74,"_","P_"),MNU_GRAMAJE_REQUERIDO_TIPOB,"")))</f>
        <v>40</v>
      </c>
      <c r="N74" s="343">
        <f t="shared" si="62"/>
        <v>72390</v>
      </c>
      <c r="O74" s="343">
        <f t="shared" si="63"/>
        <v>0</v>
      </c>
      <c r="P74" s="343">
        <f t="shared" si="64"/>
        <v>72390</v>
      </c>
      <c r="Q74" s="344">
        <f t="shared" si="65"/>
        <v>78036420</v>
      </c>
      <c r="R74" s="344">
        <f t="shared" si="66"/>
        <v>0</v>
      </c>
      <c r="S74" s="344">
        <f t="shared" si="67"/>
        <v>78036420</v>
      </c>
      <c r="T74" s="348">
        <f t="array" ref="T74">MAX((IF(MNU_CODIGO_ALIMENTO_ENTREGA=CONCATENATE($C74,"_","P_"),MNU_GRAMAJE_REQUERIDO_TIPOC,"")))</f>
        <v>60</v>
      </c>
      <c r="U74" s="257">
        <f t="shared" si="68"/>
        <v>103440</v>
      </c>
      <c r="V74" s="257">
        <f t="shared" si="69"/>
        <v>0</v>
      </c>
      <c r="W74" s="257">
        <f t="shared" si="70"/>
        <v>103440</v>
      </c>
      <c r="X74" s="258">
        <f t="shared" si="71"/>
        <v>167159040</v>
      </c>
      <c r="Y74" s="258">
        <f t="shared" si="72"/>
        <v>0</v>
      </c>
      <c r="Z74" s="258">
        <f t="shared" si="73"/>
        <v>167159040</v>
      </c>
      <c r="AA74" s="256">
        <f t="array" ref="AA74">MAX((IF(MNU_CODIGO_ALIMENTO_ENTREGA=CONCATENATE($C74,"_","P_"),MNU_GRAMAJE_REQUERIDO_TIPOM,"")))</f>
        <v>40</v>
      </c>
      <c r="AB74" s="259">
        <f t="shared" si="74"/>
        <v>0</v>
      </c>
      <c r="AC74" s="259">
        <v>0</v>
      </c>
      <c r="AD74" s="259">
        <f t="shared" si="75"/>
        <v>0</v>
      </c>
      <c r="AE74" s="260">
        <f t="shared" si="76"/>
        <v>0</v>
      </c>
      <c r="AF74" s="260">
        <v>0</v>
      </c>
      <c r="AG74" s="260">
        <f t="shared" si="77"/>
        <v>0</v>
      </c>
      <c r="AH74" s="348">
        <f t="array" ref="AH74">MAX((IF(MNU_CODIGO_ALIMENTO_ENTREGA=CONCATENATE($C74,"_","P_"),MNU_GRAMAJE_REQUERIDO_TIPOH,"")))</f>
        <v>60</v>
      </c>
      <c r="AI74" s="257">
        <f t="shared" si="78"/>
        <v>0</v>
      </c>
      <c r="AJ74" s="257">
        <v>0</v>
      </c>
      <c r="AK74" s="257">
        <f t="shared" si="79"/>
        <v>0</v>
      </c>
      <c r="AL74" s="258">
        <f t="shared" si="80"/>
        <v>0</v>
      </c>
      <c r="AM74" s="258">
        <v>0</v>
      </c>
      <c r="AN74" s="258">
        <f t="shared" si="81"/>
        <v>0</v>
      </c>
      <c r="AO74" s="451">
        <f t="shared" si="82"/>
        <v>215205</v>
      </c>
      <c r="AP74" s="450">
        <f t="shared" si="83"/>
        <v>277010460</v>
      </c>
      <c r="AQ74" s="261" t="e">
        <f>#REF!+AH74+AA74+T74+M74</f>
        <v>#REF!</v>
      </c>
      <c r="AR74" s="261">
        <f t="shared" si="42"/>
        <v>277186290</v>
      </c>
      <c r="AS74" s="261" t="e">
        <f t="shared" si="43"/>
        <v>#REF!</v>
      </c>
      <c r="AT74" s="261">
        <f t="shared" si="44"/>
        <v>277362120</v>
      </c>
      <c r="AU74" s="261" t="e">
        <f t="shared" si="45"/>
        <v>#REF!</v>
      </c>
      <c r="AV74" s="261">
        <f t="shared" si="46"/>
        <v>277362120</v>
      </c>
      <c r="AW74" s="261" t="e">
        <f t="shared" si="47"/>
        <v>#REF!</v>
      </c>
      <c r="AX74" s="261" t="e">
        <f>AV74+#REF!+AH74+AA74+T74</f>
        <v>#REF!</v>
      </c>
      <c r="AY74" s="261" t="e">
        <f t="shared" si="48"/>
        <v>#REF!</v>
      </c>
      <c r="AZ74" s="261" t="e">
        <f t="shared" si="49"/>
        <v>#REF!</v>
      </c>
      <c r="BA74" s="261" t="e">
        <f t="shared" si="50"/>
        <v>#REF!</v>
      </c>
      <c r="BB74" s="261" t="e">
        <f t="shared" si="51"/>
        <v>#REF!</v>
      </c>
      <c r="BC74" s="261" t="e">
        <f t="shared" si="52"/>
        <v>#REF!</v>
      </c>
      <c r="BD74" s="261" t="e">
        <f t="shared" si="53"/>
        <v>#REF!</v>
      </c>
      <c r="BE74" s="261" t="e">
        <f>BC74+AV74+#REF!+AH74+AA74</f>
        <v>#REF!</v>
      </c>
      <c r="BF74" s="261" t="e">
        <f t="shared" si="54"/>
        <v>#REF!</v>
      </c>
      <c r="BG74" s="261" t="e">
        <f t="shared" si="55"/>
        <v>#REF!</v>
      </c>
    </row>
    <row r="75" spans="1:59" ht="15.75">
      <c r="A75" s="333">
        <v>6</v>
      </c>
      <c r="B75" s="333" t="s">
        <v>1607</v>
      </c>
      <c r="C75" s="256">
        <v>3</v>
      </c>
      <c r="D75" s="322" t="s">
        <v>12</v>
      </c>
      <c r="E75" s="256" t="s">
        <v>9</v>
      </c>
      <c r="F75" s="425">
        <f t="array" ref="F75">MAX((IF(MNU_CODIGO_ALIMENTO_ENTREGA=CONCATENATE($C75,"_","P_"),MNU_GRAMAJE_REQUERIDO_TIPOA,"")))</f>
        <v>50</v>
      </c>
      <c r="G75" s="257">
        <f t="shared" si="56"/>
        <v>44625</v>
      </c>
      <c r="H75" s="257">
        <f t="shared" si="57"/>
        <v>20292</v>
      </c>
      <c r="I75" s="257">
        <f t="shared" si="58"/>
        <v>64917</v>
      </c>
      <c r="J75" s="258">
        <f t="shared" si="59"/>
        <v>22535625</v>
      </c>
      <c r="K75" s="258">
        <f t="shared" si="60"/>
        <v>10247460</v>
      </c>
      <c r="L75" s="258">
        <f t="shared" si="61"/>
        <v>32783085</v>
      </c>
      <c r="M75" s="426">
        <f t="array" ref="M75">MAX((IF(MNU_CODIGO_ALIMENTO_ENTREGA=CONCATENATE($C75,"_","P_"),MNU_GRAMAJE_REQUERIDO_TIPOB,"")))</f>
        <v>50</v>
      </c>
      <c r="N75" s="343">
        <f t="shared" si="62"/>
        <v>82042</v>
      </c>
      <c r="O75" s="343">
        <f t="shared" si="63"/>
        <v>30647</v>
      </c>
      <c r="P75" s="343">
        <f t="shared" si="64"/>
        <v>112689</v>
      </c>
      <c r="Q75" s="344">
        <f t="shared" si="65"/>
        <v>41431210</v>
      </c>
      <c r="R75" s="344">
        <f t="shared" si="66"/>
        <v>15476735</v>
      </c>
      <c r="S75" s="344">
        <f t="shared" si="67"/>
        <v>56907945</v>
      </c>
      <c r="T75" s="348">
        <f t="array" ref="T75">MAX((IF(MNU_CODIGO_ALIMENTO_ENTREGA=CONCATENATE($C75,"_","P_"),MNU_GRAMAJE_REQUERIDO_TIPOC,"")))</f>
        <v>80</v>
      </c>
      <c r="U75" s="257">
        <f t="shared" si="68"/>
        <v>117232</v>
      </c>
      <c r="V75" s="257">
        <f t="shared" si="69"/>
        <v>38285</v>
      </c>
      <c r="W75" s="257">
        <f t="shared" si="70"/>
        <v>155517</v>
      </c>
      <c r="X75" s="258">
        <f t="shared" si="71"/>
        <v>89448016</v>
      </c>
      <c r="Y75" s="258">
        <f t="shared" si="72"/>
        <v>29211455</v>
      </c>
      <c r="Z75" s="258">
        <f t="shared" si="73"/>
        <v>118659471</v>
      </c>
      <c r="AA75" s="256">
        <f t="array" ref="AA75">MAX((IF(MNU_CODIGO_ALIMENTO_ENTREGA=CONCATENATE($C75,"_","P_"),MNU_GRAMAJE_REQUERIDO_TIPOM,"")))</f>
        <v>50</v>
      </c>
      <c r="AB75" s="259">
        <f t="shared" si="74"/>
        <v>0</v>
      </c>
      <c r="AC75" s="259">
        <v>0</v>
      </c>
      <c r="AD75" s="259">
        <f t="shared" si="75"/>
        <v>0</v>
      </c>
      <c r="AE75" s="260">
        <f t="shared" si="76"/>
        <v>0</v>
      </c>
      <c r="AF75" s="260">
        <v>0</v>
      </c>
      <c r="AG75" s="260">
        <f t="shared" si="77"/>
        <v>0</v>
      </c>
      <c r="AH75" s="348">
        <f t="array" ref="AH75">MAX((IF(MNU_CODIGO_ALIMENTO_ENTREGA=CONCATENATE($C75,"_","P_"),MNU_GRAMAJE_REQUERIDO_TIPOH,"")))</f>
        <v>80</v>
      </c>
      <c r="AI75" s="257">
        <f t="shared" si="78"/>
        <v>0</v>
      </c>
      <c r="AJ75" s="257">
        <v>0</v>
      </c>
      <c r="AK75" s="257">
        <f t="shared" si="79"/>
        <v>0</v>
      </c>
      <c r="AL75" s="258">
        <f t="shared" si="80"/>
        <v>0</v>
      </c>
      <c r="AM75" s="258">
        <v>0</v>
      </c>
      <c r="AN75" s="258">
        <f t="shared" si="81"/>
        <v>0</v>
      </c>
      <c r="AO75" s="451">
        <f t="shared" si="82"/>
        <v>333123</v>
      </c>
      <c r="AP75" s="450">
        <f t="shared" si="83"/>
        <v>208350501</v>
      </c>
      <c r="AQ75" s="261" t="e">
        <f>#REF!+AH75+AA75+T75+M75</f>
        <v>#REF!</v>
      </c>
      <c r="AR75" s="261">
        <f t="shared" si="42"/>
        <v>208549775</v>
      </c>
      <c r="AS75" s="261" t="e">
        <f t="shared" si="43"/>
        <v>#REF!</v>
      </c>
      <c r="AT75" s="261">
        <f t="shared" si="44"/>
        <v>208817981</v>
      </c>
      <c r="AU75" s="261" t="e">
        <f t="shared" si="45"/>
        <v>#REF!</v>
      </c>
      <c r="AV75" s="261">
        <f t="shared" si="46"/>
        <v>253506171</v>
      </c>
      <c r="AW75" s="261" t="e">
        <f t="shared" si="47"/>
        <v>#REF!</v>
      </c>
      <c r="AX75" s="261" t="e">
        <f>AV75+#REF!+AH75+AA75+T75</f>
        <v>#REF!</v>
      </c>
      <c r="AY75" s="261" t="e">
        <f t="shared" si="48"/>
        <v>#REF!</v>
      </c>
      <c r="AZ75" s="261" t="e">
        <f t="shared" si="49"/>
        <v>#REF!</v>
      </c>
      <c r="BA75" s="261" t="e">
        <f t="shared" si="50"/>
        <v>#REF!</v>
      </c>
      <c r="BB75" s="261" t="e">
        <f t="shared" si="51"/>
        <v>#REF!</v>
      </c>
      <c r="BC75" s="261" t="e">
        <f t="shared" si="52"/>
        <v>#REF!</v>
      </c>
      <c r="BD75" s="261" t="e">
        <f t="shared" si="53"/>
        <v>#REF!</v>
      </c>
      <c r="BE75" s="261" t="e">
        <f>BC75+AV75+#REF!+AH75+AA75</f>
        <v>#REF!</v>
      </c>
      <c r="BF75" s="261" t="e">
        <f t="shared" si="54"/>
        <v>#REF!</v>
      </c>
      <c r="BG75" s="261" t="e">
        <f t="shared" si="55"/>
        <v>#REF!</v>
      </c>
    </row>
    <row r="76" spans="1:59" ht="15.75">
      <c r="A76" s="333">
        <v>6</v>
      </c>
      <c r="B76" s="333" t="s">
        <v>1607</v>
      </c>
      <c r="C76" s="256">
        <v>15</v>
      </c>
      <c r="D76" s="322" t="s">
        <v>66</v>
      </c>
      <c r="E76" s="256" t="s">
        <v>9</v>
      </c>
      <c r="F76" s="425">
        <f t="array" ref="F76">MAX((IF(MNU_CODIGO_ALIMENTO_ENTREGA=CONCATENATE($C76,"_","P_"),MNU_GRAMAJE_REQUERIDO_TIPOA,"")))</f>
        <v>50</v>
      </c>
      <c r="G76" s="257">
        <f t="shared" si="56"/>
        <v>44625</v>
      </c>
      <c r="H76" s="257">
        <f t="shared" si="57"/>
        <v>11748</v>
      </c>
      <c r="I76" s="257">
        <f t="shared" si="58"/>
        <v>56373</v>
      </c>
      <c r="J76" s="258">
        <f t="shared" si="59"/>
        <v>30032625</v>
      </c>
      <c r="K76" s="258">
        <f t="shared" si="60"/>
        <v>7906404</v>
      </c>
      <c r="L76" s="258">
        <f t="shared" si="61"/>
        <v>37939029</v>
      </c>
      <c r="M76" s="426">
        <f t="array" ref="M76">MAX((IF(MNU_CODIGO_ALIMENTO_ENTREGA=CONCATENATE($C76,"_","P_"),MNU_GRAMAJE_REQUERIDO_TIPOB,"")))</f>
        <v>50</v>
      </c>
      <c r="N76" s="343">
        <f t="shared" si="62"/>
        <v>82042</v>
      </c>
      <c r="O76" s="343">
        <f t="shared" si="63"/>
        <v>17743</v>
      </c>
      <c r="P76" s="343">
        <f t="shared" si="64"/>
        <v>99785</v>
      </c>
      <c r="Q76" s="344">
        <f t="shared" si="65"/>
        <v>55214266</v>
      </c>
      <c r="R76" s="344">
        <f t="shared" si="66"/>
        <v>11941039</v>
      </c>
      <c r="S76" s="344">
        <f t="shared" si="67"/>
        <v>67155305</v>
      </c>
      <c r="T76" s="348">
        <f t="array" ref="T76">MAX((IF(MNU_CODIGO_ALIMENTO_ENTREGA=CONCATENATE($C76,"_","P_"),MNU_GRAMAJE_REQUERIDO_TIPOC,"")))</f>
        <v>80</v>
      </c>
      <c r="U76" s="257">
        <f t="shared" si="68"/>
        <v>117232</v>
      </c>
      <c r="V76" s="257">
        <f t="shared" si="69"/>
        <v>22165</v>
      </c>
      <c r="W76" s="257">
        <f t="shared" si="70"/>
        <v>139397</v>
      </c>
      <c r="X76" s="258">
        <f t="shared" si="71"/>
        <v>126141632</v>
      </c>
      <c r="Y76" s="258">
        <f t="shared" si="72"/>
        <v>23849540</v>
      </c>
      <c r="Z76" s="258">
        <f t="shared" si="73"/>
        <v>149991172</v>
      </c>
      <c r="AA76" s="256">
        <f t="array" ref="AA76">MAX((IF(MNU_CODIGO_ALIMENTO_ENTREGA=CONCATENATE($C76,"_","P_"),MNU_GRAMAJE_REQUERIDO_TIPOM,"")))</f>
        <v>50</v>
      </c>
      <c r="AB76" s="259">
        <f t="shared" si="74"/>
        <v>0</v>
      </c>
      <c r="AC76" s="259">
        <v>0</v>
      </c>
      <c r="AD76" s="259">
        <f t="shared" si="75"/>
        <v>0</v>
      </c>
      <c r="AE76" s="260">
        <f t="shared" si="76"/>
        <v>0</v>
      </c>
      <c r="AF76" s="260">
        <v>0</v>
      </c>
      <c r="AG76" s="260">
        <f t="shared" si="77"/>
        <v>0</v>
      </c>
      <c r="AH76" s="348">
        <f t="array" ref="AH76">MAX((IF(MNU_CODIGO_ALIMENTO_ENTREGA=CONCATENATE($C76,"_","P_"),MNU_GRAMAJE_REQUERIDO_TIPOH,"")))</f>
        <v>80</v>
      </c>
      <c r="AI76" s="257">
        <f t="shared" si="78"/>
        <v>0</v>
      </c>
      <c r="AJ76" s="257">
        <v>0</v>
      </c>
      <c r="AK76" s="257">
        <f t="shared" si="79"/>
        <v>0</v>
      </c>
      <c r="AL76" s="258">
        <f t="shared" si="80"/>
        <v>0</v>
      </c>
      <c r="AM76" s="258">
        <v>0</v>
      </c>
      <c r="AN76" s="258">
        <f t="shared" si="81"/>
        <v>0</v>
      </c>
      <c r="AO76" s="451">
        <f t="shared" si="82"/>
        <v>295555</v>
      </c>
      <c r="AP76" s="450">
        <f t="shared" si="83"/>
        <v>255085506</v>
      </c>
      <c r="AQ76" s="261" t="e">
        <f>#REF!+AH76+AA76+T76+M76</f>
        <v>#REF!</v>
      </c>
      <c r="AR76" s="261">
        <f t="shared" si="42"/>
        <v>255284780</v>
      </c>
      <c r="AS76" s="261" t="e">
        <f t="shared" si="43"/>
        <v>#REF!</v>
      </c>
      <c r="AT76" s="261">
        <f t="shared" si="44"/>
        <v>255523962</v>
      </c>
      <c r="AU76" s="261" t="e">
        <f t="shared" si="45"/>
        <v>#REF!</v>
      </c>
      <c r="AV76" s="261">
        <f t="shared" si="46"/>
        <v>291314541</v>
      </c>
      <c r="AW76" s="261" t="e">
        <f t="shared" si="47"/>
        <v>#REF!</v>
      </c>
      <c r="AX76" s="261" t="e">
        <f>AV76+#REF!+AH76+AA76+T76</f>
        <v>#REF!</v>
      </c>
      <c r="AY76" s="261" t="e">
        <f t="shared" si="48"/>
        <v>#REF!</v>
      </c>
      <c r="AZ76" s="261" t="e">
        <f t="shared" si="49"/>
        <v>#REF!</v>
      </c>
      <c r="BA76" s="261" t="e">
        <f t="shared" si="50"/>
        <v>#REF!</v>
      </c>
      <c r="BB76" s="261" t="e">
        <f t="shared" si="51"/>
        <v>#REF!</v>
      </c>
      <c r="BC76" s="261" t="e">
        <f t="shared" si="52"/>
        <v>#REF!</v>
      </c>
      <c r="BD76" s="261" t="e">
        <f t="shared" si="53"/>
        <v>#REF!</v>
      </c>
      <c r="BE76" s="261" t="e">
        <f>BC76+AV76+#REF!+AH76+AA76</f>
        <v>#REF!</v>
      </c>
      <c r="BF76" s="261" t="e">
        <f t="shared" si="54"/>
        <v>#REF!</v>
      </c>
      <c r="BG76" s="261" t="e">
        <f t="shared" si="55"/>
        <v>#REF!</v>
      </c>
    </row>
    <row r="77" spans="1:59" ht="15.75">
      <c r="A77" s="333">
        <v>6</v>
      </c>
      <c r="B77" s="333" t="s">
        <v>1607</v>
      </c>
      <c r="C77" s="256">
        <v>24</v>
      </c>
      <c r="D77" s="322" t="s">
        <v>61</v>
      </c>
      <c r="E77" s="256" t="s">
        <v>9</v>
      </c>
      <c r="F77" s="425">
        <f t="array" ref="F77">MAX((IF(MNU_CODIGO_ALIMENTO_ENTREGA=CONCATENATE($C77,"_","P_"),MNU_GRAMAJE_REQUERIDO_TIPOA,"")))</f>
        <v>20</v>
      </c>
      <c r="G77" s="257">
        <f t="shared" si="56"/>
        <v>44625</v>
      </c>
      <c r="H77" s="257">
        <f t="shared" si="57"/>
        <v>11748</v>
      </c>
      <c r="I77" s="257">
        <f t="shared" si="58"/>
        <v>56373</v>
      </c>
      <c r="J77" s="258">
        <f t="shared" si="59"/>
        <v>5712000</v>
      </c>
      <c r="K77" s="258">
        <f t="shared" si="60"/>
        <v>1503744</v>
      </c>
      <c r="L77" s="258">
        <f t="shared" si="61"/>
        <v>7215744</v>
      </c>
      <c r="M77" s="426">
        <f t="array" ref="M77">MAX((IF(MNU_CODIGO_ALIMENTO_ENTREGA=CONCATENATE($C77,"_","P_"),MNU_GRAMAJE_REQUERIDO_TIPOB,"")))</f>
        <v>30</v>
      </c>
      <c r="N77" s="343">
        <f t="shared" si="62"/>
        <v>82042</v>
      </c>
      <c r="O77" s="343">
        <f t="shared" si="63"/>
        <v>17743</v>
      </c>
      <c r="P77" s="343">
        <f t="shared" si="64"/>
        <v>99785</v>
      </c>
      <c r="Q77" s="344">
        <f t="shared" si="65"/>
        <v>16408400</v>
      </c>
      <c r="R77" s="344">
        <f t="shared" si="66"/>
        <v>3548600</v>
      </c>
      <c r="S77" s="344">
        <f t="shared" si="67"/>
        <v>19957000</v>
      </c>
      <c r="T77" s="348">
        <f t="array" ref="T77">MAX((IF(MNU_CODIGO_ALIMENTO_ENTREGA=CONCATENATE($C77,"_","P_"),MNU_GRAMAJE_REQUERIDO_TIPOC,"")))</f>
        <v>60</v>
      </c>
      <c r="U77" s="257">
        <f t="shared" si="68"/>
        <v>117232</v>
      </c>
      <c r="V77" s="257">
        <f t="shared" si="69"/>
        <v>22165</v>
      </c>
      <c r="W77" s="257">
        <f t="shared" si="70"/>
        <v>139397</v>
      </c>
      <c r="X77" s="258">
        <f t="shared" si="71"/>
        <v>45134320</v>
      </c>
      <c r="Y77" s="258">
        <f t="shared" si="72"/>
        <v>8533525</v>
      </c>
      <c r="Z77" s="258">
        <f t="shared" si="73"/>
        <v>53667845</v>
      </c>
      <c r="AA77" s="256">
        <f t="array" ref="AA77">MAX((IF(MNU_CODIGO_ALIMENTO_ENTREGA=CONCATENATE($C77,"_","P_"),MNU_GRAMAJE_REQUERIDO_TIPOM,"")))</f>
        <v>30</v>
      </c>
      <c r="AB77" s="259">
        <f t="shared" si="74"/>
        <v>0</v>
      </c>
      <c r="AC77" s="259">
        <v>0</v>
      </c>
      <c r="AD77" s="259">
        <f t="shared" si="75"/>
        <v>0</v>
      </c>
      <c r="AE77" s="260">
        <f t="shared" si="76"/>
        <v>0</v>
      </c>
      <c r="AF77" s="260">
        <v>0</v>
      </c>
      <c r="AG77" s="260">
        <f t="shared" si="77"/>
        <v>0</v>
      </c>
      <c r="AH77" s="348">
        <f t="array" ref="AH77">MAX((IF(MNU_CODIGO_ALIMENTO_ENTREGA=CONCATENATE($C77,"_","P_"),MNU_GRAMAJE_REQUERIDO_TIPOH,"")))</f>
        <v>60</v>
      </c>
      <c r="AI77" s="257">
        <f t="shared" si="78"/>
        <v>0</v>
      </c>
      <c r="AJ77" s="257">
        <v>0</v>
      </c>
      <c r="AK77" s="257">
        <f t="shared" si="79"/>
        <v>0</v>
      </c>
      <c r="AL77" s="258">
        <f t="shared" si="80"/>
        <v>0</v>
      </c>
      <c r="AM77" s="258">
        <v>0</v>
      </c>
      <c r="AN77" s="258">
        <f t="shared" si="81"/>
        <v>0</v>
      </c>
      <c r="AO77" s="451">
        <f t="shared" si="82"/>
        <v>295555</v>
      </c>
      <c r="AP77" s="450">
        <f t="shared" si="83"/>
        <v>80840589</v>
      </c>
      <c r="AQ77" s="261" t="e">
        <f>#REF!+AH77+AA77+T77+M77</f>
        <v>#REF!</v>
      </c>
      <c r="AR77" s="261">
        <f t="shared" si="42"/>
        <v>81039863</v>
      </c>
      <c r="AS77" s="261" t="e">
        <f t="shared" si="43"/>
        <v>#REF!</v>
      </c>
      <c r="AT77" s="261">
        <f t="shared" si="44"/>
        <v>81279045</v>
      </c>
      <c r="AU77" s="261" t="e">
        <f t="shared" si="45"/>
        <v>#REF!</v>
      </c>
      <c r="AV77" s="261">
        <f t="shared" si="46"/>
        <v>93361170</v>
      </c>
      <c r="AW77" s="261" t="e">
        <f t="shared" si="47"/>
        <v>#REF!</v>
      </c>
      <c r="AX77" s="261" t="e">
        <f>AV77+#REF!+AH77+AA77+T77</f>
        <v>#REF!</v>
      </c>
      <c r="AY77" s="261" t="e">
        <f t="shared" si="48"/>
        <v>#REF!</v>
      </c>
      <c r="AZ77" s="261" t="e">
        <f t="shared" si="49"/>
        <v>#REF!</v>
      </c>
      <c r="BA77" s="261" t="e">
        <f t="shared" si="50"/>
        <v>#REF!</v>
      </c>
      <c r="BB77" s="261" t="e">
        <f t="shared" si="51"/>
        <v>#REF!</v>
      </c>
      <c r="BC77" s="261" t="e">
        <f t="shared" si="52"/>
        <v>#REF!</v>
      </c>
      <c r="BD77" s="261" t="e">
        <f t="shared" si="53"/>
        <v>#REF!</v>
      </c>
      <c r="BE77" s="261" t="e">
        <f>BC77+AV77+#REF!+AH77+AA77</f>
        <v>#REF!</v>
      </c>
      <c r="BF77" s="261" t="e">
        <f t="shared" si="54"/>
        <v>#REF!</v>
      </c>
      <c r="BG77" s="261" t="e">
        <f t="shared" si="55"/>
        <v>#REF!</v>
      </c>
    </row>
    <row r="78" spans="1:59" ht="15.75">
      <c r="A78" s="333">
        <v>6</v>
      </c>
      <c r="B78" s="333" t="s">
        <v>1607</v>
      </c>
      <c r="C78" s="256">
        <v>25</v>
      </c>
      <c r="D78" s="322" t="s">
        <v>64</v>
      </c>
      <c r="E78" s="256" t="s">
        <v>9</v>
      </c>
      <c r="F78" s="425">
        <f t="array" ref="F78">MAX((IF(MNU_CODIGO_ALIMENTO_ENTREGA=CONCATENATE($C78,"_","P_"),MNU_GRAMAJE_REQUERIDO_TIPOA,"")))</f>
        <v>40</v>
      </c>
      <c r="G78" s="257">
        <f t="shared" si="56"/>
        <v>44625</v>
      </c>
      <c r="H78" s="257">
        <f t="shared" si="57"/>
        <v>23496</v>
      </c>
      <c r="I78" s="257">
        <f t="shared" si="58"/>
        <v>68121</v>
      </c>
      <c r="J78" s="258">
        <f t="shared" si="59"/>
        <v>11424000</v>
      </c>
      <c r="K78" s="258">
        <f t="shared" si="60"/>
        <v>6014976</v>
      </c>
      <c r="L78" s="258">
        <f t="shared" si="61"/>
        <v>17438976</v>
      </c>
      <c r="M78" s="426">
        <f t="array" ref="M78">MAX((IF(MNU_CODIGO_ALIMENTO_ENTREGA=CONCATENATE($C78,"_","P_"),MNU_GRAMAJE_REQUERIDO_TIPOB,"")))</f>
        <v>40</v>
      </c>
      <c r="N78" s="343">
        <f t="shared" si="62"/>
        <v>82042</v>
      </c>
      <c r="O78" s="343">
        <f t="shared" si="63"/>
        <v>35486</v>
      </c>
      <c r="P78" s="343">
        <f t="shared" si="64"/>
        <v>117528</v>
      </c>
      <c r="Q78" s="344">
        <f t="shared" si="65"/>
        <v>21002752</v>
      </c>
      <c r="R78" s="344">
        <f t="shared" si="66"/>
        <v>9084416</v>
      </c>
      <c r="S78" s="344">
        <f t="shared" si="67"/>
        <v>30087168</v>
      </c>
      <c r="T78" s="348">
        <f t="array" ref="T78">MAX((IF(MNU_CODIGO_ALIMENTO_ENTREGA=CONCATENATE($C78,"_","P_"),MNU_GRAMAJE_REQUERIDO_TIPOC,"")))</f>
        <v>60</v>
      </c>
      <c r="U78" s="257">
        <f t="shared" si="68"/>
        <v>117232</v>
      </c>
      <c r="V78" s="257">
        <f t="shared" si="69"/>
        <v>44330</v>
      </c>
      <c r="W78" s="257">
        <f t="shared" si="70"/>
        <v>161562</v>
      </c>
      <c r="X78" s="258">
        <f t="shared" si="71"/>
        <v>45017088</v>
      </c>
      <c r="Y78" s="258">
        <f t="shared" si="72"/>
        <v>17022720</v>
      </c>
      <c r="Z78" s="258">
        <f t="shared" si="73"/>
        <v>62039808</v>
      </c>
      <c r="AA78" s="256">
        <f t="array" ref="AA78">MAX((IF(MNU_CODIGO_ALIMENTO_ENTREGA=CONCATENATE($C78,"_","P_"),MNU_GRAMAJE_REQUERIDO_TIPOM,"")))</f>
        <v>40</v>
      </c>
      <c r="AB78" s="259">
        <f t="shared" si="74"/>
        <v>0</v>
      </c>
      <c r="AC78" s="259">
        <v>0</v>
      </c>
      <c r="AD78" s="259">
        <f t="shared" si="75"/>
        <v>0</v>
      </c>
      <c r="AE78" s="260">
        <f t="shared" si="76"/>
        <v>0</v>
      </c>
      <c r="AF78" s="260">
        <v>0</v>
      </c>
      <c r="AG78" s="260">
        <f t="shared" si="77"/>
        <v>0</v>
      </c>
      <c r="AH78" s="348">
        <f t="array" ref="AH78">MAX((IF(MNU_CODIGO_ALIMENTO_ENTREGA=CONCATENATE($C78,"_","P_"),MNU_GRAMAJE_REQUERIDO_TIPOH,"")))</f>
        <v>60</v>
      </c>
      <c r="AI78" s="257">
        <f t="shared" si="78"/>
        <v>0</v>
      </c>
      <c r="AJ78" s="257">
        <v>0</v>
      </c>
      <c r="AK78" s="257">
        <f t="shared" si="79"/>
        <v>0</v>
      </c>
      <c r="AL78" s="258">
        <f t="shared" si="80"/>
        <v>0</v>
      </c>
      <c r="AM78" s="258">
        <v>0</v>
      </c>
      <c r="AN78" s="258">
        <f t="shared" si="81"/>
        <v>0</v>
      </c>
      <c r="AO78" s="451">
        <f t="shared" si="82"/>
        <v>347211</v>
      </c>
      <c r="AP78" s="450">
        <f t="shared" si="83"/>
        <v>109565952</v>
      </c>
      <c r="AQ78" s="261" t="e">
        <f>#REF!+AH78+AA78+T78+M78</f>
        <v>#REF!</v>
      </c>
      <c r="AR78" s="261">
        <f t="shared" si="42"/>
        <v>109765226</v>
      </c>
      <c r="AS78" s="261" t="e">
        <f t="shared" si="43"/>
        <v>#REF!</v>
      </c>
      <c r="AT78" s="261">
        <f t="shared" si="44"/>
        <v>110044316</v>
      </c>
      <c r="AU78" s="261" t="e">
        <f t="shared" si="45"/>
        <v>#REF!</v>
      </c>
      <c r="AV78" s="261">
        <f t="shared" si="46"/>
        <v>136151452</v>
      </c>
      <c r="AW78" s="261" t="e">
        <f t="shared" si="47"/>
        <v>#REF!</v>
      </c>
      <c r="AX78" s="261" t="e">
        <f>AV78+#REF!+AH78+AA78+T78</f>
        <v>#REF!</v>
      </c>
      <c r="AY78" s="261" t="e">
        <f t="shared" si="48"/>
        <v>#REF!</v>
      </c>
      <c r="AZ78" s="261" t="e">
        <f t="shared" si="49"/>
        <v>#REF!</v>
      </c>
      <c r="BA78" s="261" t="e">
        <f t="shared" si="50"/>
        <v>#REF!</v>
      </c>
      <c r="BB78" s="261" t="e">
        <f t="shared" si="51"/>
        <v>#REF!</v>
      </c>
      <c r="BC78" s="261" t="e">
        <f t="shared" si="52"/>
        <v>#REF!</v>
      </c>
      <c r="BD78" s="261" t="e">
        <f t="shared" si="53"/>
        <v>#REF!</v>
      </c>
      <c r="BE78" s="261" t="e">
        <f>BC78+AV78+#REF!+AH78+AA78</f>
        <v>#REF!</v>
      </c>
      <c r="BF78" s="261" t="e">
        <f t="shared" si="54"/>
        <v>#REF!</v>
      </c>
      <c r="BG78" s="261" t="e">
        <f t="shared" si="55"/>
        <v>#REF!</v>
      </c>
    </row>
    <row r="79" spans="1:59" ht="15.75">
      <c r="A79" s="333">
        <v>6</v>
      </c>
      <c r="B79" s="333" t="s">
        <v>1607</v>
      </c>
      <c r="C79" s="256">
        <v>26</v>
      </c>
      <c r="D79" s="322" t="s">
        <v>69</v>
      </c>
      <c r="E79" s="256" t="s">
        <v>9</v>
      </c>
      <c r="F79" s="425">
        <f t="array" ref="F79">MAX((IF(MNU_CODIGO_ALIMENTO_ENTREGA=CONCATENATE($C79,"_","P_"),MNU_GRAMAJE_REQUERIDO_TIPOA,"")))</f>
        <v>30</v>
      </c>
      <c r="G79" s="257">
        <f t="shared" si="56"/>
        <v>15750</v>
      </c>
      <c r="H79" s="257">
        <f t="shared" si="57"/>
        <v>0</v>
      </c>
      <c r="I79" s="257">
        <f t="shared" si="58"/>
        <v>15750</v>
      </c>
      <c r="J79" s="258">
        <f t="shared" si="59"/>
        <v>2693250</v>
      </c>
      <c r="K79" s="258">
        <f t="shared" si="60"/>
        <v>0</v>
      </c>
      <c r="L79" s="258">
        <f t="shared" si="61"/>
        <v>2693250</v>
      </c>
      <c r="M79" s="426">
        <f t="array" ref="M79">MAX((IF(MNU_CODIGO_ALIMENTO_ENTREGA=CONCATENATE($C79,"_","P_"),MNU_GRAMAJE_REQUERIDO_TIPOB,"")))</f>
        <v>30</v>
      </c>
      <c r="N79" s="343">
        <f t="shared" si="62"/>
        <v>28956</v>
      </c>
      <c r="O79" s="343">
        <f t="shared" si="63"/>
        <v>0</v>
      </c>
      <c r="P79" s="343">
        <f t="shared" si="64"/>
        <v>28956</v>
      </c>
      <c r="Q79" s="344">
        <f t="shared" si="65"/>
        <v>4951476</v>
      </c>
      <c r="R79" s="344">
        <f t="shared" si="66"/>
        <v>0</v>
      </c>
      <c r="S79" s="344">
        <f t="shared" si="67"/>
        <v>4951476</v>
      </c>
      <c r="T79" s="348">
        <f t="array" ref="T79">MAX((IF(MNU_CODIGO_ALIMENTO_ENTREGA=CONCATENATE($C79,"_","P_"),MNU_GRAMAJE_REQUERIDO_TIPOC,"")))</f>
        <v>30</v>
      </c>
      <c r="U79" s="257">
        <f t="shared" si="68"/>
        <v>41376</v>
      </c>
      <c r="V79" s="257">
        <f t="shared" si="69"/>
        <v>0</v>
      </c>
      <c r="W79" s="257">
        <f t="shared" si="70"/>
        <v>41376</v>
      </c>
      <c r="X79" s="258">
        <f t="shared" si="71"/>
        <v>7075296</v>
      </c>
      <c r="Y79" s="258">
        <f t="shared" si="72"/>
        <v>0</v>
      </c>
      <c r="Z79" s="258">
        <f t="shared" si="73"/>
        <v>7075296</v>
      </c>
      <c r="AA79" s="256">
        <f t="array" ref="AA79">MAX((IF(MNU_CODIGO_ALIMENTO_ENTREGA=CONCATENATE($C79,"_","P_"),MNU_GRAMAJE_REQUERIDO_TIPOM,"")))</f>
        <v>30</v>
      </c>
      <c r="AB79" s="259">
        <f t="shared" si="74"/>
        <v>0</v>
      </c>
      <c r="AC79" s="259">
        <v>0</v>
      </c>
      <c r="AD79" s="259">
        <f t="shared" si="75"/>
        <v>0</v>
      </c>
      <c r="AE79" s="260">
        <f t="shared" si="76"/>
        <v>0</v>
      </c>
      <c r="AF79" s="260">
        <v>0</v>
      </c>
      <c r="AG79" s="260">
        <f t="shared" si="77"/>
        <v>0</v>
      </c>
      <c r="AH79" s="348">
        <f t="array" ref="AH79">MAX((IF(MNU_CODIGO_ALIMENTO_ENTREGA=CONCATENATE($C79,"_","P_"),MNU_GRAMAJE_REQUERIDO_TIPOH,"")))</f>
        <v>30</v>
      </c>
      <c r="AI79" s="257">
        <f t="shared" si="78"/>
        <v>0</v>
      </c>
      <c r="AJ79" s="257">
        <v>0</v>
      </c>
      <c r="AK79" s="257">
        <f t="shared" si="79"/>
        <v>0</v>
      </c>
      <c r="AL79" s="258">
        <f t="shared" si="80"/>
        <v>0</v>
      </c>
      <c r="AM79" s="258">
        <v>0</v>
      </c>
      <c r="AN79" s="258">
        <f t="shared" si="81"/>
        <v>0</v>
      </c>
      <c r="AO79" s="451">
        <f t="shared" si="82"/>
        <v>86082</v>
      </c>
      <c r="AP79" s="450">
        <f t="shared" si="83"/>
        <v>14720022</v>
      </c>
      <c r="AQ79" s="261" t="e">
        <f>#REF!+AH79+AA79+T79+M79</f>
        <v>#REF!</v>
      </c>
      <c r="AR79" s="261">
        <f t="shared" si="42"/>
        <v>14790354</v>
      </c>
      <c r="AS79" s="261" t="e">
        <f t="shared" si="43"/>
        <v>#REF!</v>
      </c>
      <c r="AT79" s="261">
        <f t="shared" si="44"/>
        <v>14860686</v>
      </c>
      <c r="AU79" s="261" t="e">
        <f t="shared" si="45"/>
        <v>#REF!</v>
      </c>
      <c r="AV79" s="261">
        <f t="shared" si="46"/>
        <v>14860686</v>
      </c>
      <c r="AW79" s="261" t="e">
        <f t="shared" si="47"/>
        <v>#REF!</v>
      </c>
      <c r="AX79" s="261" t="e">
        <f>AV79+#REF!+AH79+AA79+T79</f>
        <v>#REF!</v>
      </c>
      <c r="AY79" s="261" t="e">
        <f t="shared" si="48"/>
        <v>#REF!</v>
      </c>
      <c r="AZ79" s="261" t="e">
        <f t="shared" si="49"/>
        <v>#REF!</v>
      </c>
      <c r="BA79" s="261" t="e">
        <f t="shared" si="50"/>
        <v>#REF!</v>
      </c>
      <c r="BB79" s="261" t="e">
        <f t="shared" si="51"/>
        <v>#REF!</v>
      </c>
      <c r="BC79" s="261" t="e">
        <f t="shared" si="52"/>
        <v>#REF!</v>
      </c>
      <c r="BD79" s="261" t="e">
        <f t="shared" si="53"/>
        <v>#REF!</v>
      </c>
      <c r="BE79" s="261" t="e">
        <f>BC79+AV79+#REF!+AH79+AA79</f>
        <v>#REF!</v>
      </c>
      <c r="BF79" s="261" t="e">
        <f t="shared" si="54"/>
        <v>#REF!</v>
      </c>
      <c r="BG79" s="261" t="e">
        <f t="shared" si="55"/>
        <v>#REF!</v>
      </c>
    </row>
    <row r="80" spans="1:59" ht="27">
      <c r="A80" s="333">
        <v>6</v>
      </c>
      <c r="B80" s="333" t="s">
        <v>1607</v>
      </c>
      <c r="C80" s="256">
        <v>28</v>
      </c>
      <c r="D80" s="322" t="s">
        <v>67</v>
      </c>
      <c r="E80" s="256" t="s">
        <v>9</v>
      </c>
      <c r="F80" s="425">
        <f t="array" ref="F80">MAX((IF(MNU_CODIGO_ALIMENTO_ENTREGA=CONCATENATE($C80,"_","P_"),MNU_GRAMAJE_REQUERIDO_TIPOA,"")))</f>
        <v>30</v>
      </c>
      <c r="G80" s="257">
        <f t="shared" si="56"/>
        <v>15750</v>
      </c>
      <c r="H80" s="257">
        <f t="shared" si="57"/>
        <v>20292</v>
      </c>
      <c r="I80" s="257">
        <f t="shared" si="58"/>
        <v>36042</v>
      </c>
      <c r="J80" s="258">
        <f t="shared" si="59"/>
        <v>3559500</v>
      </c>
      <c r="K80" s="258">
        <f t="shared" si="60"/>
        <v>4585992</v>
      </c>
      <c r="L80" s="258">
        <f t="shared" si="61"/>
        <v>8145492</v>
      </c>
      <c r="M80" s="426">
        <f t="array" ref="M80">MAX((IF(MNU_CODIGO_ALIMENTO_ENTREGA=CONCATENATE($C80,"_","P_"),MNU_GRAMAJE_REQUERIDO_TIPOB,"")))</f>
        <v>40</v>
      </c>
      <c r="N80" s="343">
        <f t="shared" si="62"/>
        <v>28956</v>
      </c>
      <c r="O80" s="343">
        <f t="shared" si="63"/>
        <v>30647</v>
      </c>
      <c r="P80" s="343">
        <f t="shared" si="64"/>
        <v>59603</v>
      </c>
      <c r="Q80" s="344">
        <f t="shared" si="65"/>
        <v>8715756</v>
      </c>
      <c r="R80" s="344">
        <f t="shared" si="66"/>
        <v>9224747</v>
      </c>
      <c r="S80" s="344">
        <f t="shared" si="67"/>
        <v>17940503</v>
      </c>
      <c r="T80" s="348">
        <f t="array" ref="T80">MAX((IF(MNU_CODIGO_ALIMENTO_ENTREGA=CONCATENATE($C80,"_","P_"),MNU_GRAMAJE_REQUERIDO_TIPOC,"")))</f>
        <v>60</v>
      </c>
      <c r="U80" s="257">
        <f t="shared" si="68"/>
        <v>41376</v>
      </c>
      <c r="V80" s="257">
        <f t="shared" si="69"/>
        <v>38285</v>
      </c>
      <c r="W80" s="257">
        <f t="shared" si="70"/>
        <v>79661</v>
      </c>
      <c r="X80" s="258">
        <f t="shared" si="71"/>
        <v>18660576</v>
      </c>
      <c r="Y80" s="258">
        <f t="shared" si="72"/>
        <v>17266535</v>
      </c>
      <c r="Z80" s="258">
        <f t="shared" si="73"/>
        <v>35927111</v>
      </c>
      <c r="AA80" s="256">
        <f t="array" ref="AA80">MAX((IF(MNU_CODIGO_ALIMENTO_ENTREGA=CONCATENATE($C80,"_","P_"),MNU_GRAMAJE_REQUERIDO_TIPOM,"")))</f>
        <v>40</v>
      </c>
      <c r="AB80" s="259">
        <f t="shared" si="74"/>
        <v>0</v>
      </c>
      <c r="AC80" s="259">
        <v>0</v>
      </c>
      <c r="AD80" s="259">
        <f t="shared" si="75"/>
        <v>0</v>
      </c>
      <c r="AE80" s="260">
        <f t="shared" si="76"/>
        <v>0</v>
      </c>
      <c r="AF80" s="260">
        <v>0</v>
      </c>
      <c r="AG80" s="260">
        <f t="shared" si="77"/>
        <v>0</v>
      </c>
      <c r="AH80" s="348">
        <f t="array" ref="AH80">MAX((IF(MNU_CODIGO_ALIMENTO_ENTREGA=CONCATENATE($C80,"_","P_"),MNU_GRAMAJE_REQUERIDO_TIPOH,"")))</f>
        <v>60</v>
      </c>
      <c r="AI80" s="257">
        <f t="shared" si="78"/>
        <v>0</v>
      </c>
      <c r="AJ80" s="257">
        <v>0</v>
      </c>
      <c r="AK80" s="257">
        <f t="shared" si="79"/>
        <v>0</v>
      </c>
      <c r="AL80" s="258">
        <f t="shared" si="80"/>
        <v>0</v>
      </c>
      <c r="AM80" s="258">
        <v>0</v>
      </c>
      <c r="AN80" s="258">
        <f t="shared" si="81"/>
        <v>0</v>
      </c>
      <c r="AO80" s="451">
        <f t="shared" si="82"/>
        <v>175306</v>
      </c>
      <c r="AP80" s="450">
        <f t="shared" si="83"/>
        <v>62013106</v>
      </c>
      <c r="AQ80" s="261" t="e">
        <f>#REF!+AH80+AA80+T80+M80</f>
        <v>#REF!</v>
      </c>
      <c r="AR80" s="261">
        <f t="shared" si="42"/>
        <v>62083438</v>
      </c>
      <c r="AS80" s="261" t="e">
        <f t="shared" si="43"/>
        <v>#REF!</v>
      </c>
      <c r="AT80" s="261">
        <f t="shared" si="44"/>
        <v>62222702</v>
      </c>
      <c r="AU80" s="261" t="e">
        <f t="shared" si="45"/>
        <v>#REF!</v>
      </c>
      <c r="AV80" s="261">
        <f t="shared" si="46"/>
        <v>88713984</v>
      </c>
      <c r="AW80" s="261" t="e">
        <f t="shared" si="47"/>
        <v>#REF!</v>
      </c>
      <c r="AX80" s="261" t="e">
        <f>AV80+#REF!+AH80+AA80+T80</f>
        <v>#REF!</v>
      </c>
      <c r="AY80" s="261" t="e">
        <f t="shared" si="48"/>
        <v>#REF!</v>
      </c>
      <c r="AZ80" s="261" t="e">
        <f t="shared" si="49"/>
        <v>#REF!</v>
      </c>
      <c r="BA80" s="261" t="e">
        <f t="shared" si="50"/>
        <v>#REF!</v>
      </c>
      <c r="BB80" s="261" t="e">
        <f t="shared" si="51"/>
        <v>#REF!</v>
      </c>
      <c r="BC80" s="261" t="e">
        <f t="shared" si="52"/>
        <v>#REF!</v>
      </c>
      <c r="BD80" s="261" t="e">
        <f t="shared" si="53"/>
        <v>#REF!</v>
      </c>
      <c r="BE80" s="261" t="e">
        <f>BC80+AV80+#REF!+AH80+AA80</f>
        <v>#REF!</v>
      </c>
      <c r="BF80" s="261" t="e">
        <f t="shared" si="54"/>
        <v>#REF!</v>
      </c>
      <c r="BG80" s="261" t="e">
        <f t="shared" si="55"/>
        <v>#REF!</v>
      </c>
    </row>
    <row r="81" spans="1:59" ht="15.75">
      <c r="A81" s="333">
        <v>6</v>
      </c>
      <c r="B81" s="333" t="s">
        <v>1607</v>
      </c>
      <c r="C81" s="256">
        <v>30</v>
      </c>
      <c r="D81" s="322" t="s">
        <v>63</v>
      </c>
      <c r="E81" s="256" t="s">
        <v>9</v>
      </c>
      <c r="F81" s="425">
        <f t="array" ref="F81">MAX((IF(MNU_CODIGO_ALIMENTO_ENTREGA=CONCATENATE($C81,"_","P_"),MNU_GRAMAJE_REQUERIDO_TIPOA,"")))</f>
        <v>30</v>
      </c>
      <c r="G81" s="257">
        <f t="shared" si="56"/>
        <v>42000</v>
      </c>
      <c r="H81" s="257">
        <f t="shared" si="57"/>
        <v>0</v>
      </c>
      <c r="I81" s="257">
        <f t="shared" si="58"/>
        <v>42000</v>
      </c>
      <c r="J81" s="258">
        <f t="shared" si="59"/>
        <v>13944000</v>
      </c>
      <c r="K81" s="258">
        <f t="shared" si="60"/>
        <v>0</v>
      </c>
      <c r="L81" s="258">
        <f t="shared" si="61"/>
        <v>13944000</v>
      </c>
      <c r="M81" s="426">
        <f t="array" ref="M81">MAX((IF(MNU_CODIGO_ALIMENTO_ENTREGA=CONCATENATE($C81,"_","P_"),MNU_GRAMAJE_REQUERIDO_TIPOB,"")))</f>
        <v>30</v>
      </c>
      <c r="N81" s="343">
        <f t="shared" si="62"/>
        <v>77216</v>
      </c>
      <c r="O81" s="343">
        <f t="shared" si="63"/>
        <v>0</v>
      </c>
      <c r="P81" s="343">
        <f t="shared" si="64"/>
        <v>77216</v>
      </c>
      <c r="Q81" s="344">
        <f t="shared" si="65"/>
        <v>25635712</v>
      </c>
      <c r="R81" s="344">
        <f t="shared" si="66"/>
        <v>0</v>
      </c>
      <c r="S81" s="344">
        <f t="shared" si="67"/>
        <v>25635712</v>
      </c>
      <c r="T81" s="348">
        <f t="array" ref="T81">MAX((IF(MNU_CODIGO_ALIMENTO_ENTREGA=CONCATENATE($C81,"_","P_"),MNU_GRAMAJE_REQUERIDO_TIPOC,"")))</f>
        <v>30</v>
      </c>
      <c r="U81" s="257">
        <f t="shared" si="68"/>
        <v>110336</v>
      </c>
      <c r="V81" s="257">
        <f t="shared" si="69"/>
        <v>0</v>
      </c>
      <c r="W81" s="257">
        <f t="shared" si="70"/>
        <v>110336</v>
      </c>
      <c r="X81" s="258">
        <f t="shared" si="71"/>
        <v>36631552</v>
      </c>
      <c r="Y81" s="258">
        <f t="shared" si="72"/>
        <v>0</v>
      </c>
      <c r="Z81" s="258">
        <f t="shared" si="73"/>
        <v>36631552</v>
      </c>
      <c r="AA81" s="256">
        <f t="array" ref="AA81">MAX((IF(MNU_CODIGO_ALIMENTO_ENTREGA=CONCATENATE($C81,"_","P_"),MNU_GRAMAJE_REQUERIDO_TIPOM,"")))</f>
        <v>30</v>
      </c>
      <c r="AB81" s="259">
        <f t="shared" si="74"/>
        <v>0</v>
      </c>
      <c r="AC81" s="259">
        <v>0</v>
      </c>
      <c r="AD81" s="259">
        <f t="shared" si="75"/>
        <v>0</v>
      </c>
      <c r="AE81" s="260">
        <f t="shared" si="76"/>
        <v>0</v>
      </c>
      <c r="AF81" s="260">
        <v>0</v>
      </c>
      <c r="AG81" s="260">
        <f t="shared" si="77"/>
        <v>0</v>
      </c>
      <c r="AH81" s="348">
        <f t="array" ref="AH81">MAX((IF(MNU_CODIGO_ALIMENTO_ENTREGA=CONCATENATE($C81,"_","P_"),MNU_GRAMAJE_REQUERIDO_TIPOH,"")))</f>
        <v>30</v>
      </c>
      <c r="AI81" s="257">
        <f t="shared" si="78"/>
        <v>0</v>
      </c>
      <c r="AJ81" s="257">
        <v>0</v>
      </c>
      <c r="AK81" s="257">
        <f t="shared" si="79"/>
        <v>0</v>
      </c>
      <c r="AL81" s="258">
        <f t="shared" si="80"/>
        <v>0</v>
      </c>
      <c r="AM81" s="258">
        <v>0</v>
      </c>
      <c r="AN81" s="258">
        <f t="shared" si="81"/>
        <v>0</v>
      </c>
      <c r="AO81" s="451">
        <f t="shared" si="82"/>
        <v>229552</v>
      </c>
      <c r="AP81" s="450">
        <f t="shared" si="83"/>
        <v>76211264</v>
      </c>
      <c r="AQ81" s="261" t="e">
        <f>#REF!+AH81+AA81+T81+M81</f>
        <v>#REF!</v>
      </c>
      <c r="AR81" s="261">
        <f t="shared" si="42"/>
        <v>76398816</v>
      </c>
      <c r="AS81" s="261" t="e">
        <f t="shared" si="43"/>
        <v>#REF!</v>
      </c>
      <c r="AT81" s="261">
        <f t="shared" si="44"/>
        <v>76586368</v>
      </c>
      <c r="AU81" s="261" t="e">
        <f t="shared" si="45"/>
        <v>#REF!</v>
      </c>
      <c r="AV81" s="261">
        <f t="shared" si="46"/>
        <v>76586368</v>
      </c>
      <c r="AW81" s="261" t="e">
        <f t="shared" si="47"/>
        <v>#REF!</v>
      </c>
      <c r="AX81" s="261" t="e">
        <f>AV81+#REF!+AH81+AA81+T81</f>
        <v>#REF!</v>
      </c>
      <c r="AY81" s="261" t="e">
        <f t="shared" si="48"/>
        <v>#REF!</v>
      </c>
      <c r="AZ81" s="261" t="e">
        <f t="shared" si="49"/>
        <v>#REF!</v>
      </c>
      <c r="BA81" s="261" t="e">
        <f t="shared" si="50"/>
        <v>#REF!</v>
      </c>
      <c r="BB81" s="261" t="e">
        <f t="shared" si="51"/>
        <v>#REF!</v>
      </c>
      <c r="BC81" s="261" t="e">
        <f t="shared" si="52"/>
        <v>#REF!</v>
      </c>
      <c r="BD81" s="261" t="e">
        <f t="shared" si="53"/>
        <v>#REF!</v>
      </c>
      <c r="BE81" s="261" t="e">
        <f>BC81+AV81+#REF!+AH81+AA81</f>
        <v>#REF!</v>
      </c>
      <c r="BF81" s="261" t="e">
        <f t="shared" si="54"/>
        <v>#REF!</v>
      </c>
      <c r="BG81" s="261" t="e">
        <f t="shared" si="55"/>
        <v>#REF!</v>
      </c>
    </row>
    <row r="82" spans="1:59" ht="15.75">
      <c r="A82" s="333">
        <v>6</v>
      </c>
      <c r="B82" s="333" t="s">
        <v>1607</v>
      </c>
      <c r="C82" s="256">
        <v>45</v>
      </c>
      <c r="D82" s="322" t="s">
        <v>10</v>
      </c>
      <c r="E82" s="256" t="s">
        <v>9</v>
      </c>
      <c r="F82" s="425">
        <f t="array" ref="F82">MAX((IF(MNU_CODIGO_ALIMENTO_ENTREGA=CONCATENATE($C82,"_","P_"),MNU_GRAMAJE_REQUERIDO_TIPOA,"")))</f>
        <v>20</v>
      </c>
      <c r="G82" s="257">
        <f t="shared" si="56"/>
        <v>42000</v>
      </c>
      <c r="H82" s="257">
        <f t="shared" si="57"/>
        <v>21360</v>
      </c>
      <c r="I82" s="257">
        <f t="shared" si="58"/>
        <v>63360</v>
      </c>
      <c r="J82" s="258">
        <f t="shared" si="59"/>
        <v>8358000</v>
      </c>
      <c r="K82" s="258">
        <f t="shared" si="60"/>
        <v>4250640</v>
      </c>
      <c r="L82" s="258">
        <f t="shared" si="61"/>
        <v>12608640</v>
      </c>
      <c r="M82" s="426">
        <f t="array" ref="M82">MAX((IF(MNU_CODIGO_ALIMENTO_ENTREGA=CONCATENATE($C82,"_","P_"),MNU_GRAMAJE_REQUERIDO_TIPOB,"")))</f>
        <v>30</v>
      </c>
      <c r="N82" s="343">
        <f t="shared" si="62"/>
        <v>77216</v>
      </c>
      <c r="O82" s="343">
        <f t="shared" si="63"/>
        <v>32260</v>
      </c>
      <c r="P82" s="343">
        <f t="shared" si="64"/>
        <v>109476</v>
      </c>
      <c r="Q82" s="344">
        <f t="shared" si="65"/>
        <v>23010368</v>
      </c>
      <c r="R82" s="344">
        <f t="shared" si="66"/>
        <v>9613480</v>
      </c>
      <c r="S82" s="344">
        <f t="shared" si="67"/>
        <v>32623848</v>
      </c>
      <c r="T82" s="348">
        <f t="array" ref="T82">MAX((IF(MNU_CODIGO_ALIMENTO_ENTREGA=CONCATENATE($C82,"_","P_"),MNU_GRAMAJE_REQUERIDO_TIPOC,"")))</f>
        <v>60</v>
      </c>
      <c r="U82" s="257">
        <f t="shared" si="68"/>
        <v>110336</v>
      </c>
      <c r="V82" s="257">
        <f t="shared" si="69"/>
        <v>40300</v>
      </c>
      <c r="W82" s="257">
        <f t="shared" si="70"/>
        <v>150636</v>
      </c>
      <c r="X82" s="258">
        <f t="shared" si="71"/>
        <v>65870592</v>
      </c>
      <c r="Y82" s="258">
        <f t="shared" si="72"/>
        <v>24059100</v>
      </c>
      <c r="Z82" s="258">
        <f t="shared" si="73"/>
        <v>89929692</v>
      </c>
      <c r="AA82" s="256">
        <f t="array" ref="AA82">MAX((IF(MNU_CODIGO_ALIMENTO_ENTREGA=CONCATENATE($C82,"_","P_"),MNU_GRAMAJE_REQUERIDO_TIPOM,"")))</f>
        <v>30</v>
      </c>
      <c r="AB82" s="259">
        <f t="shared" si="74"/>
        <v>0</v>
      </c>
      <c r="AC82" s="259">
        <v>0</v>
      </c>
      <c r="AD82" s="259">
        <f t="shared" si="75"/>
        <v>0</v>
      </c>
      <c r="AE82" s="260">
        <f t="shared" si="76"/>
        <v>0</v>
      </c>
      <c r="AF82" s="260">
        <v>0</v>
      </c>
      <c r="AG82" s="260">
        <f t="shared" si="77"/>
        <v>0</v>
      </c>
      <c r="AH82" s="348">
        <f t="array" ref="AH82">MAX((IF(MNU_CODIGO_ALIMENTO_ENTREGA=CONCATENATE($C82,"_","P_"),MNU_GRAMAJE_REQUERIDO_TIPOH,"")))</f>
        <v>60</v>
      </c>
      <c r="AI82" s="257">
        <f t="shared" si="78"/>
        <v>0</v>
      </c>
      <c r="AJ82" s="257">
        <v>0</v>
      </c>
      <c r="AK82" s="257">
        <f t="shared" si="79"/>
        <v>0</v>
      </c>
      <c r="AL82" s="258">
        <f t="shared" si="80"/>
        <v>0</v>
      </c>
      <c r="AM82" s="258">
        <v>0</v>
      </c>
      <c r="AN82" s="258">
        <f t="shared" si="81"/>
        <v>0</v>
      </c>
      <c r="AO82" s="451">
        <f t="shared" si="82"/>
        <v>323472</v>
      </c>
      <c r="AP82" s="450">
        <f t="shared" si="83"/>
        <v>135162180</v>
      </c>
      <c r="AQ82" s="261" t="e">
        <f>#REF!+AH82+AA82+T82+M82</f>
        <v>#REF!</v>
      </c>
      <c r="AR82" s="261">
        <f t="shared" si="42"/>
        <v>135349732</v>
      </c>
      <c r="AS82" s="261" t="e">
        <f t="shared" si="43"/>
        <v>#REF!</v>
      </c>
      <c r="AT82" s="261">
        <f t="shared" si="44"/>
        <v>135609844</v>
      </c>
      <c r="AU82" s="261" t="e">
        <f t="shared" si="45"/>
        <v>#REF!</v>
      </c>
      <c r="AV82" s="261">
        <f t="shared" si="46"/>
        <v>169282424</v>
      </c>
      <c r="AW82" s="261" t="e">
        <f t="shared" si="47"/>
        <v>#REF!</v>
      </c>
      <c r="AX82" s="261" t="e">
        <f>AV82+#REF!+AH82+AA82+T82</f>
        <v>#REF!</v>
      </c>
      <c r="AY82" s="261" t="e">
        <f t="shared" si="48"/>
        <v>#REF!</v>
      </c>
      <c r="AZ82" s="261" t="e">
        <f t="shared" si="49"/>
        <v>#REF!</v>
      </c>
      <c r="BA82" s="261" t="e">
        <f t="shared" si="50"/>
        <v>#REF!</v>
      </c>
      <c r="BB82" s="261" t="e">
        <f t="shared" si="51"/>
        <v>#REF!</v>
      </c>
      <c r="BC82" s="261" t="e">
        <f t="shared" si="52"/>
        <v>#REF!</v>
      </c>
      <c r="BD82" s="261" t="e">
        <f t="shared" si="53"/>
        <v>#REF!</v>
      </c>
      <c r="BE82" s="261" t="e">
        <f>BC82+AV82+#REF!+AH82+AA82</f>
        <v>#REF!</v>
      </c>
      <c r="BF82" s="261" t="e">
        <f t="shared" si="54"/>
        <v>#REF!</v>
      </c>
      <c r="BG82" s="261" t="e">
        <f t="shared" si="55"/>
        <v>#REF!</v>
      </c>
    </row>
    <row r="83" spans="1:59" ht="15.75">
      <c r="A83" s="333">
        <v>6</v>
      </c>
      <c r="B83" s="333" t="s">
        <v>1607</v>
      </c>
      <c r="C83" s="256">
        <v>50</v>
      </c>
      <c r="D83" s="322" t="s">
        <v>65</v>
      </c>
      <c r="E83" s="256" t="s">
        <v>9</v>
      </c>
      <c r="F83" s="425">
        <f t="array" ref="F83">MAX((IF(MNU_CODIGO_ALIMENTO_ENTREGA=CONCATENATE($C83,"_","P_"),MNU_GRAMAJE_REQUERIDO_TIPOA,"")))</f>
        <v>30</v>
      </c>
      <c r="G83" s="257">
        <f t="shared" si="56"/>
        <v>44625</v>
      </c>
      <c r="H83" s="257">
        <f t="shared" si="57"/>
        <v>0</v>
      </c>
      <c r="I83" s="257">
        <f t="shared" si="58"/>
        <v>44625</v>
      </c>
      <c r="J83" s="258">
        <f t="shared" si="59"/>
        <v>14324625</v>
      </c>
      <c r="K83" s="258">
        <f t="shared" si="60"/>
        <v>0</v>
      </c>
      <c r="L83" s="258">
        <f t="shared" si="61"/>
        <v>14324625</v>
      </c>
      <c r="M83" s="426">
        <f t="array" ref="M83">MAX((IF(MNU_CODIGO_ALIMENTO_ENTREGA=CONCATENATE($C83,"_","P_"),MNU_GRAMAJE_REQUERIDO_TIPOB,"")))</f>
        <v>40</v>
      </c>
      <c r="N83" s="343">
        <f t="shared" si="62"/>
        <v>82042</v>
      </c>
      <c r="O83" s="343">
        <f t="shared" si="63"/>
        <v>0</v>
      </c>
      <c r="P83" s="343">
        <f t="shared" si="64"/>
        <v>82042</v>
      </c>
      <c r="Q83" s="344">
        <f t="shared" si="65"/>
        <v>35113976</v>
      </c>
      <c r="R83" s="344">
        <f t="shared" si="66"/>
        <v>0</v>
      </c>
      <c r="S83" s="344">
        <f t="shared" si="67"/>
        <v>35113976</v>
      </c>
      <c r="T83" s="348">
        <f t="array" ref="T83">MAX((IF(MNU_CODIGO_ALIMENTO_ENTREGA=CONCATENATE($C83,"_","P_"),MNU_GRAMAJE_REQUERIDO_TIPOC,"")))</f>
        <v>80</v>
      </c>
      <c r="U83" s="257">
        <f t="shared" si="68"/>
        <v>117232</v>
      </c>
      <c r="V83" s="257">
        <f t="shared" si="69"/>
        <v>0</v>
      </c>
      <c r="W83" s="257">
        <f t="shared" si="70"/>
        <v>117232</v>
      </c>
      <c r="X83" s="258">
        <f t="shared" si="71"/>
        <v>100233360</v>
      </c>
      <c r="Y83" s="258">
        <f t="shared" si="72"/>
        <v>0</v>
      </c>
      <c r="Z83" s="258">
        <f t="shared" si="73"/>
        <v>100233360</v>
      </c>
      <c r="AA83" s="256">
        <f t="array" ref="AA83">MAX((IF(MNU_CODIGO_ALIMENTO_ENTREGA=CONCATENATE($C83,"_","P_"),MNU_GRAMAJE_REQUERIDO_TIPOM,"")))</f>
        <v>40</v>
      </c>
      <c r="AB83" s="259">
        <f t="shared" si="74"/>
        <v>0</v>
      </c>
      <c r="AC83" s="259">
        <v>0</v>
      </c>
      <c r="AD83" s="259">
        <f t="shared" si="75"/>
        <v>0</v>
      </c>
      <c r="AE83" s="260">
        <f t="shared" si="76"/>
        <v>0</v>
      </c>
      <c r="AF83" s="260">
        <v>0</v>
      </c>
      <c r="AG83" s="260">
        <f t="shared" si="77"/>
        <v>0</v>
      </c>
      <c r="AH83" s="348">
        <f t="array" ref="AH83">MAX((IF(MNU_CODIGO_ALIMENTO_ENTREGA=CONCATENATE($C83,"_","P_"),MNU_GRAMAJE_REQUERIDO_TIPOH,"")))</f>
        <v>80</v>
      </c>
      <c r="AI83" s="257">
        <f t="shared" si="78"/>
        <v>0</v>
      </c>
      <c r="AJ83" s="257">
        <v>0</v>
      </c>
      <c r="AK83" s="257">
        <f t="shared" si="79"/>
        <v>0</v>
      </c>
      <c r="AL83" s="258">
        <f t="shared" si="80"/>
        <v>0</v>
      </c>
      <c r="AM83" s="258">
        <v>0</v>
      </c>
      <c r="AN83" s="258">
        <f t="shared" si="81"/>
        <v>0</v>
      </c>
      <c r="AO83" s="451">
        <f t="shared" si="82"/>
        <v>243899</v>
      </c>
      <c r="AP83" s="450">
        <f t="shared" si="83"/>
        <v>149671961</v>
      </c>
      <c r="AQ83" s="261" t="e">
        <f>#REF!+AH83+AA83+T83+M83</f>
        <v>#REF!</v>
      </c>
      <c r="AR83" s="261">
        <f t="shared" si="42"/>
        <v>149871235</v>
      </c>
      <c r="AS83" s="261" t="e">
        <f t="shared" si="43"/>
        <v>#REF!</v>
      </c>
      <c r="AT83" s="261">
        <f t="shared" si="44"/>
        <v>150070509</v>
      </c>
      <c r="AU83" s="261" t="e">
        <f t="shared" si="45"/>
        <v>#REF!</v>
      </c>
      <c r="AV83" s="261">
        <f t="shared" si="46"/>
        <v>150070509</v>
      </c>
      <c r="AW83" s="261" t="e">
        <f t="shared" si="47"/>
        <v>#REF!</v>
      </c>
      <c r="AX83" s="261" t="e">
        <f>AV83+#REF!+AH83+AA83+T83</f>
        <v>#REF!</v>
      </c>
      <c r="AY83" s="261" t="e">
        <f t="shared" si="48"/>
        <v>#REF!</v>
      </c>
      <c r="AZ83" s="261" t="e">
        <f t="shared" si="49"/>
        <v>#REF!</v>
      </c>
      <c r="BA83" s="261" t="e">
        <f t="shared" si="50"/>
        <v>#REF!</v>
      </c>
      <c r="BB83" s="261" t="e">
        <f t="shared" si="51"/>
        <v>#REF!</v>
      </c>
      <c r="BC83" s="261" t="e">
        <f t="shared" si="52"/>
        <v>#REF!</v>
      </c>
      <c r="BD83" s="261" t="e">
        <f t="shared" si="53"/>
        <v>#REF!</v>
      </c>
      <c r="BE83" s="261" t="e">
        <f>BC83+AV83+#REF!+AH83+AA83</f>
        <v>#REF!</v>
      </c>
      <c r="BF83" s="261" t="e">
        <f t="shared" si="54"/>
        <v>#REF!</v>
      </c>
      <c r="BG83" s="261" t="e">
        <f t="shared" si="55"/>
        <v>#REF!</v>
      </c>
    </row>
    <row r="84" spans="1:59" ht="15.75">
      <c r="A84" s="333">
        <v>6</v>
      </c>
      <c r="B84" s="333" t="s">
        <v>1607</v>
      </c>
      <c r="C84" s="256">
        <v>61</v>
      </c>
      <c r="D84" s="322" t="s">
        <v>13</v>
      </c>
      <c r="E84" s="256" t="s">
        <v>9</v>
      </c>
      <c r="F84" s="425">
        <f t="array" ref="F84">MAX((IF(MNU_CODIGO_ALIMENTO_ENTREGA=CONCATENATE($C84,"_","P_"),MNU_GRAMAJE_REQUERIDO_TIPOA,"")))</f>
        <v>20</v>
      </c>
      <c r="G84" s="257">
        <f t="shared" si="56"/>
        <v>42000</v>
      </c>
      <c r="H84" s="257">
        <f t="shared" si="57"/>
        <v>21360</v>
      </c>
      <c r="I84" s="257">
        <f t="shared" si="58"/>
        <v>63360</v>
      </c>
      <c r="J84" s="258">
        <f t="shared" si="59"/>
        <v>9786000</v>
      </c>
      <c r="K84" s="258">
        <f t="shared" si="60"/>
        <v>4976880</v>
      </c>
      <c r="L84" s="258">
        <f t="shared" si="61"/>
        <v>14762880</v>
      </c>
      <c r="M84" s="426">
        <f t="array" ref="M84">MAX((IF(MNU_CODIGO_ALIMENTO_ENTREGA=CONCATENATE($C84,"_","P_"),MNU_GRAMAJE_REQUERIDO_TIPOB,"")))</f>
        <v>30</v>
      </c>
      <c r="N84" s="343">
        <f t="shared" si="62"/>
        <v>77216</v>
      </c>
      <c r="O84" s="343">
        <f t="shared" si="63"/>
        <v>32260</v>
      </c>
      <c r="P84" s="343">
        <f t="shared" si="64"/>
        <v>109476</v>
      </c>
      <c r="Q84" s="344">
        <f t="shared" si="65"/>
        <v>27102816</v>
      </c>
      <c r="R84" s="344">
        <f t="shared" si="66"/>
        <v>11323260</v>
      </c>
      <c r="S84" s="344">
        <f t="shared" si="67"/>
        <v>38426076</v>
      </c>
      <c r="T84" s="348">
        <f t="array" ref="T84">MAX((IF(MNU_CODIGO_ALIMENTO_ENTREGA=CONCATENATE($C84,"_","P_"),MNU_GRAMAJE_REQUERIDO_TIPOC,"")))</f>
        <v>70</v>
      </c>
      <c r="U84" s="257">
        <f t="shared" si="68"/>
        <v>110336</v>
      </c>
      <c r="V84" s="257">
        <f t="shared" si="69"/>
        <v>40300</v>
      </c>
      <c r="W84" s="257">
        <f t="shared" si="70"/>
        <v>150636</v>
      </c>
      <c r="X84" s="258">
        <f t="shared" si="71"/>
        <v>90254848</v>
      </c>
      <c r="Y84" s="258">
        <f t="shared" si="72"/>
        <v>32965400</v>
      </c>
      <c r="Z84" s="258">
        <f t="shared" si="73"/>
        <v>123220248</v>
      </c>
      <c r="AA84" s="256">
        <f t="array" ref="AA84">MAX((IF(MNU_CODIGO_ALIMENTO_ENTREGA=CONCATENATE($C84,"_","P_"),MNU_GRAMAJE_REQUERIDO_TIPOM,"")))</f>
        <v>30</v>
      </c>
      <c r="AB84" s="259">
        <f t="shared" si="74"/>
        <v>0</v>
      </c>
      <c r="AC84" s="259">
        <v>0</v>
      </c>
      <c r="AD84" s="259">
        <f t="shared" si="75"/>
        <v>0</v>
      </c>
      <c r="AE84" s="260">
        <f t="shared" si="76"/>
        <v>0</v>
      </c>
      <c r="AF84" s="260">
        <v>0</v>
      </c>
      <c r="AG84" s="260">
        <f t="shared" si="77"/>
        <v>0</v>
      </c>
      <c r="AH84" s="348">
        <f t="array" ref="AH84">MAX((IF(MNU_CODIGO_ALIMENTO_ENTREGA=CONCATENATE($C84,"_","P_"),MNU_GRAMAJE_REQUERIDO_TIPOH,"")))</f>
        <v>70</v>
      </c>
      <c r="AI84" s="257">
        <f t="shared" si="78"/>
        <v>0</v>
      </c>
      <c r="AJ84" s="257">
        <v>0</v>
      </c>
      <c r="AK84" s="257">
        <f t="shared" si="79"/>
        <v>0</v>
      </c>
      <c r="AL84" s="258">
        <f t="shared" si="80"/>
        <v>0</v>
      </c>
      <c r="AM84" s="258">
        <v>0</v>
      </c>
      <c r="AN84" s="258">
        <f t="shared" si="81"/>
        <v>0</v>
      </c>
      <c r="AO84" s="451">
        <f t="shared" si="82"/>
        <v>323472</v>
      </c>
      <c r="AP84" s="450">
        <f t="shared" si="83"/>
        <v>176409204</v>
      </c>
      <c r="AQ84" s="261" t="e">
        <f>#REF!+AH84+AA84+T84+M84</f>
        <v>#REF!</v>
      </c>
      <c r="AR84" s="261">
        <f t="shared" si="42"/>
        <v>176596756</v>
      </c>
      <c r="AS84" s="261" t="e">
        <f t="shared" si="43"/>
        <v>#REF!</v>
      </c>
      <c r="AT84" s="261">
        <f t="shared" si="44"/>
        <v>176856868</v>
      </c>
      <c r="AU84" s="261" t="e">
        <f t="shared" si="45"/>
        <v>#REF!</v>
      </c>
      <c r="AV84" s="261">
        <f t="shared" si="46"/>
        <v>221145528</v>
      </c>
      <c r="AW84" s="261" t="e">
        <f t="shared" si="47"/>
        <v>#REF!</v>
      </c>
      <c r="AX84" s="261" t="e">
        <f>AV84+#REF!+AH84+AA84+T84</f>
        <v>#REF!</v>
      </c>
      <c r="AY84" s="261" t="e">
        <f t="shared" si="48"/>
        <v>#REF!</v>
      </c>
      <c r="AZ84" s="261" t="e">
        <f t="shared" si="49"/>
        <v>#REF!</v>
      </c>
      <c r="BA84" s="261" t="e">
        <f t="shared" si="50"/>
        <v>#REF!</v>
      </c>
      <c r="BB84" s="261" t="e">
        <f t="shared" si="51"/>
        <v>#REF!</v>
      </c>
      <c r="BC84" s="261" t="e">
        <f t="shared" si="52"/>
        <v>#REF!</v>
      </c>
      <c r="BD84" s="261" t="e">
        <f t="shared" si="53"/>
        <v>#REF!</v>
      </c>
      <c r="BE84" s="261" t="e">
        <f>BC84+AV84+#REF!+AH84+AA84</f>
        <v>#REF!</v>
      </c>
      <c r="BF84" s="261" t="e">
        <f t="shared" si="54"/>
        <v>#REF!</v>
      </c>
      <c r="BG84" s="261" t="e">
        <f t="shared" si="55"/>
        <v>#REF!</v>
      </c>
    </row>
    <row r="85" spans="1:59" ht="15.75">
      <c r="A85" s="333">
        <v>6</v>
      </c>
      <c r="B85" s="333" t="s">
        <v>1607</v>
      </c>
      <c r="C85" s="256">
        <v>62</v>
      </c>
      <c r="D85" s="322" t="s">
        <v>68</v>
      </c>
      <c r="E85" s="256" t="s">
        <v>9</v>
      </c>
      <c r="F85" s="425">
        <f t="array" ref="F85">MAX((IF(MNU_CODIGO_ALIMENTO_ENTREGA=CONCATENATE($C85,"_","P_"),MNU_GRAMAJE_REQUERIDO_TIPOA,"")))</f>
        <v>50</v>
      </c>
      <c r="G85" s="257">
        <f t="shared" si="56"/>
        <v>13125</v>
      </c>
      <c r="H85" s="257">
        <f t="shared" si="57"/>
        <v>0</v>
      </c>
      <c r="I85" s="257">
        <f t="shared" si="58"/>
        <v>13125</v>
      </c>
      <c r="J85" s="258">
        <f t="shared" si="59"/>
        <v>8203125</v>
      </c>
      <c r="K85" s="258">
        <f t="shared" si="60"/>
        <v>0</v>
      </c>
      <c r="L85" s="258">
        <f t="shared" si="61"/>
        <v>8203125</v>
      </c>
      <c r="M85" s="426">
        <f t="array" ref="M85">MAX((IF(MNU_CODIGO_ALIMENTO_ENTREGA=CONCATENATE($C85,"_","P_"),MNU_GRAMAJE_REQUERIDO_TIPOB,"")))</f>
        <v>50</v>
      </c>
      <c r="N85" s="343">
        <f t="shared" si="62"/>
        <v>24130</v>
      </c>
      <c r="O85" s="343">
        <f t="shared" si="63"/>
        <v>0</v>
      </c>
      <c r="P85" s="343">
        <f t="shared" si="64"/>
        <v>24130</v>
      </c>
      <c r="Q85" s="344">
        <f t="shared" si="65"/>
        <v>15081250</v>
      </c>
      <c r="R85" s="344">
        <f t="shared" si="66"/>
        <v>0</v>
      </c>
      <c r="S85" s="344">
        <f t="shared" si="67"/>
        <v>15081250</v>
      </c>
      <c r="T85" s="348">
        <f t="array" ref="T85">MAX((IF(MNU_CODIGO_ALIMENTO_ENTREGA=CONCATENATE($C85,"_","P_"),MNU_GRAMAJE_REQUERIDO_TIPOC,"")))</f>
        <v>50</v>
      </c>
      <c r="U85" s="257">
        <f t="shared" si="68"/>
        <v>34480</v>
      </c>
      <c r="V85" s="257">
        <f t="shared" si="69"/>
        <v>0</v>
      </c>
      <c r="W85" s="257">
        <f t="shared" si="70"/>
        <v>34480</v>
      </c>
      <c r="X85" s="258">
        <f t="shared" si="71"/>
        <v>21550000</v>
      </c>
      <c r="Y85" s="258">
        <f t="shared" si="72"/>
        <v>0</v>
      </c>
      <c r="Z85" s="258">
        <f t="shared" si="73"/>
        <v>21550000</v>
      </c>
      <c r="AA85" s="256">
        <f t="array" ref="AA85">MAX((IF(MNU_CODIGO_ALIMENTO_ENTREGA=CONCATENATE($C85,"_","P_"),MNU_GRAMAJE_REQUERIDO_TIPOM,"")))</f>
        <v>50</v>
      </c>
      <c r="AB85" s="259">
        <f t="shared" si="74"/>
        <v>0</v>
      </c>
      <c r="AC85" s="259">
        <v>0</v>
      </c>
      <c r="AD85" s="259">
        <f t="shared" si="75"/>
        <v>0</v>
      </c>
      <c r="AE85" s="260">
        <f t="shared" si="76"/>
        <v>0</v>
      </c>
      <c r="AF85" s="260">
        <v>0</v>
      </c>
      <c r="AG85" s="260">
        <f t="shared" si="77"/>
        <v>0</v>
      </c>
      <c r="AH85" s="348">
        <f t="array" ref="AH85">MAX((IF(MNU_CODIGO_ALIMENTO_ENTREGA=CONCATENATE($C85,"_","P_"),MNU_GRAMAJE_REQUERIDO_TIPOH,"")))</f>
        <v>50</v>
      </c>
      <c r="AI85" s="257">
        <f t="shared" si="78"/>
        <v>0</v>
      </c>
      <c r="AJ85" s="257">
        <v>0</v>
      </c>
      <c r="AK85" s="257">
        <f t="shared" si="79"/>
        <v>0</v>
      </c>
      <c r="AL85" s="258">
        <f t="shared" si="80"/>
        <v>0</v>
      </c>
      <c r="AM85" s="258">
        <v>0</v>
      </c>
      <c r="AN85" s="258">
        <f t="shared" si="81"/>
        <v>0</v>
      </c>
      <c r="AO85" s="451">
        <f t="shared" si="82"/>
        <v>71735</v>
      </c>
      <c r="AP85" s="450">
        <f t="shared" si="83"/>
        <v>44834375</v>
      </c>
      <c r="AQ85" s="261" t="e">
        <f>#REF!+AH85+AA85+T85+M85</f>
        <v>#REF!</v>
      </c>
      <c r="AR85" s="261">
        <f t="shared" si="42"/>
        <v>44892985</v>
      </c>
      <c r="AS85" s="261" t="e">
        <f t="shared" si="43"/>
        <v>#REF!</v>
      </c>
      <c r="AT85" s="261">
        <f t="shared" si="44"/>
        <v>44951595</v>
      </c>
      <c r="AU85" s="261" t="e">
        <f t="shared" si="45"/>
        <v>#REF!</v>
      </c>
      <c r="AV85" s="261">
        <f t="shared" si="46"/>
        <v>44951595</v>
      </c>
      <c r="AW85" s="261" t="e">
        <f t="shared" si="47"/>
        <v>#REF!</v>
      </c>
      <c r="AX85" s="261" t="e">
        <f>AV85+#REF!+AH85+AA85+T85</f>
        <v>#REF!</v>
      </c>
      <c r="AY85" s="261" t="e">
        <f t="shared" si="48"/>
        <v>#REF!</v>
      </c>
      <c r="AZ85" s="261" t="e">
        <f t="shared" si="49"/>
        <v>#REF!</v>
      </c>
      <c r="BA85" s="261" t="e">
        <f t="shared" si="50"/>
        <v>#REF!</v>
      </c>
      <c r="BB85" s="261" t="e">
        <f t="shared" si="51"/>
        <v>#REF!</v>
      </c>
      <c r="BC85" s="261" t="e">
        <f t="shared" si="52"/>
        <v>#REF!</v>
      </c>
      <c r="BD85" s="261" t="e">
        <f t="shared" si="53"/>
        <v>#REF!</v>
      </c>
      <c r="BE85" s="261" t="e">
        <f>BC85+AV85+#REF!+AH85+AA85</f>
        <v>#REF!</v>
      </c>
      <c r="BF85" s="261" t="e">
        <f t="shared" si="54"/>
        <v>#REF!</v>
      </c>
      <c r="BG85" s="261" t="e">
        <f t="shared" si="55"/>
        <v>#REF!</v>
      </c>
    </row>
    <row r="86" spans="1:59" ht="15.75">
      <c r="A86" s="333">
        <v>7</v>
      </c>
      <c r="B86" s="333" t="s">
        <v>1607</v>
      </c>
      <c r="C86" s="256">
        <v>1</v>
      </c>
      <c r="D86" s="322" t="s">
        <v>16</v>
      </c>
      <c r="E86" s="256" t="s">
        <v>9</v>
      </c>
      <c r="F86" s="425">
        <f t="array" ref="F86">MAX((IF(MNU_CODIGO_ALIMENTO_ENTREGA=CONCATENATE($C86,"_","P_"),MNU_GRAMAJE_REQUERIDO_TIPOA,"")))</f>
        <v>30</v>
      </c>
      <c r="G86" s="257">
        <f t="shared" si="56"/>
        <v>81360</v>
      </c>
      <c r="H86" s="257">
        <f t="shared" si="57"/>
        <v>0</v>
      </c>
      <c r="I86" s="257">
        <f t="shared" si="58"/>
        <v>81360</v>
      </c>
      <c r="J86" s="258">
        <f t="shared" si="59"/>
        <v>65738880</v>
      </c>
      <c r="K86" s="258">
        <f t="shared" si="60"/>
        <v>0</v>
      </c>
      <c r="L86" s="258">
        <f t="shared" si="61"/>
        <v>65738880</v>
      </c>
      <c r="M86" s="426">
        <f t="array" ref="M86">MAX((IF(MNU_CODIGO_ALIMENTO_ENTREGA=CONCATENATE($C86,"_","P_"),MNU_GRAMAJE_REQUERIDO_TIPOB,"")))</f>
        <v>40</v>
      </c>
      <c r="N86" s="343">
        <f t="shared" si="62"/>
        <v>120270</v>
      </c>
      <c r="O86" s="343">
        <f t="shared" si="63"/>
        <v>0</v>
      </c>
      <c r="P86" s="343">
        <f t="shared" si="64"/>
        <v>120270</v>
      </c>
      <c r="Q86" s="344">
        <f t="shared" si="65"/>
        <v>129651060</v>
      </c>
      <c r="R86" s="344">
        <f t="shared" si="66"/>
        <v>0</v>
      </c>
      <c r="S86" s="344">
        <f t="shared" si="67"/>
        <v>129651060</v>
      </c>
      <c r="T86" s="348">
        <f t="array" ref="T86">MAX((IF(MNU_CODIGO_ALIMENTO_ENTREGA=CONCATENATE($C86,"_","P_"),MNU_GRAMAJE_REQUERIDO_TIPOC,"")))</f>
        <v>60</v>
      </c>
      <c r="U86" s="257">
        <f t="shared" si="68"/>
        <v>147210</v>
      </c>
      <c r="V86" s="257">
        <f t="shared" si="69"/>
        <v>0</v>
      </c>
      <c r="W86" s="257">
        <f t="shared" si="70"/>
        <v>147210</v>
      </c>
      <c r="X86" s="258">
        <f t="shared" si="71"/>
        <v>237891360</v>
      </c>
      <c r="Y86" s="258">
        <f t="shared" si="72"/>
        <v>0</v>
      </c>
      <c r="Z86" s="258">
        <f t="shared" si="73"/>
        <v>237891360</v>
      </c>
      <c r="AA86" s="256">
        <f t="array" ref="AA86">MAX((IF(MNU_CODIGO_ALIMENTO_ENTREGA=CONCATENATE($C86,"_","P_"),MNU_GRAMAJE_REQUERIDO_TIPOM,"")))</f>
        <v>40</v>
      </c>
      <c r="AB86" s="259">
        <f t="shared" si="74"/>
        <v>2460</v>
      </c>
      <c r="AC86" s="259">
        <v>0</v>
      </c>
      <c r="AD86" s="259">
        <f t="shared" si="75"/>
        <v>2460</v>
      </c>
      <c r="AE86" s="260">
        <f t="shared" si="76"/>
        <v>2651880</v>
      </c>
      <c r="AF86" s="260">
        <v>0</v>
      </c>
      <c r="AG86" s="260">
        <f t="shared" si="77"/>
        <v>2651880</v>
      </c>
      <c r="AH86" s="348">
        <f t="array" ref="AH86">MAX((IF(MNU_CODIGO_ALIMENTO_ENTREGA=CONCATENATE($C86,"_","P_"),MNU_GRAMAJE_REQUERIDO_TIPOH,"")))</f>
        <v>60</v>
      </c>
      <c r="AI86" s="257">
        <f t="shared" si="78"/>
        <v>2400</v>
      </c>
      <c r="AJ86" s="257">
        <v>0</v>
      </c>
      <c r="AK86" s="257">
        <f t="shared" si="79"/>
        <v>2400</v>
      </c>
      <c r="AL86" s="258">
        <f t="shared" si="80"/>
        <v>3878400</v>
      </c>
      <c r="AM86" s="258">
        <v>0</v>
      </c>
      <c r="AN86" s="258">
        <f t="shared" si="81"/>
        <v>3878400</v>
      </c>
      <c r="AO86" s="451">
        <f t="shared" si="82"/>
        <v>353700</v>
      </c>
      <c r="AP86" s="450">
        <f t="shared" si="83"/>
        <v>439811580</v>
      </c>
      <c r="AQ86" s="261" t="e">
        <f>#REF!+AH86+AA86+T86+M86</f>
        <v>#REF!</v>
      </c>
      <c r="AR86" s="261">
        <f t="shared" si="42"/>
        <v>440083920</v>
      </c>
      <c r="AS86" s="261" t="e">
        <f t="shared" si="43"/>
        <v>#REF!</v>
      </c>
      <c r="AT86" s="261">
        <f t="shared" si="44"/>
        <v>440356260</v>
      </c>
      <c r="AU86" s="261" t="e">
        <f t="shared" si="45"/>
        <v>#REF!</v>
      </c>
      <c r="AV86" s="261">
        <f t="shared" si="46"/>
        <v>440356260</v>
      </c>
      <c r="AW86" s="261" t="e">
        <f t="shared" si="47"/>
        <v>#REF!</v>
      </c>
      <c r="AX86" s="261" t="e">
        <f>AV86+#REF!+AH86+AA86+T86</f>
        <v>#REF!</v>
      </c>
      <c r="AY86" s="261" t="e">
        <f t="shared" si="48"/>
        <v>#REF!</v>
      </c>
      <c r="AZ86" s="261" t="e">
        <f t="shared" si="49"/>
        <v>#REF!</v>
      </c>
      <c r="BA86" s="261" t="e">
        <f t="shared" si="50"/>
        <v>#REF!</v>
      </c>
      <c r="BB86" s="261" t="e">
        <f t="shared" si="51"/>
        <v>#REF!</v>
      </c>
      <c r="BC86" s="261" t="e">
        <f t="shared" si="52"/>
        <v>#REF!</v>
      </c>
      <c r="BD86" s="261" t="e">
        <f t="shared" si="53"/>
        <v>#REF!</v>
      </c>
      <c r="BE86" s="261" t="e">
        <f>BC86+AV86+#REF!+AH86+AA86</f>
        <v>#REF!</v>
      </c>
      <c r="BF86" s="261" t="e">
        <f t="shared" si="54"/>
        <v>#REF!</v>
      </c>
      <c r="BG86" s="261" t="e">
        <f t="shared" si="55"/>
        <v>#REF!</v>
      </c>
    </row>
    <row r="87" spans="1:59" ht="15.75">
      <c r="A87" s="333">
        <v>7</v>
      </c>
      <c r="B87" s="333" t="s">
        <v>1607</v>
      </c>
      <c r="C87" s="256">
        <v>3</v>
      </c>
      <c r="D87" s="322" t="s">
        <v>12</v>
      </c>
      <c r="E87" s="256" t="s">
        <v>9</v>
      </c>
      <c r="F87" s="425">
        <f t="array" ref="F87">MAX((IF(MNU_CODIGO_ALIMENTO_ENTREGA=CONCATENATE($C87,"_","P_"),MNU_GRAMAJE_REQUERIDO_TIPOA,"")))</f>
        <v>50</v>
      </c>
      <c r="G87" s="257">
        <f t="shared" si="56"/>
        <v>92208</v>
      </c>
      <c r="H87" s="257">
        <f t="shared" si="57"/>
        <v>18506</v>
      </c>
      <c r="I87" s="257">
        <f t="shared" si="58"/>
        <v>110714</v>
      </c>
      <c r="J87" s="258">
        <f t="shared" si="59"/>
        <v>46565040</v>
      </c>
      <c r="K87" s="258">
        <f t="shared" si="60"/>
        <v>9345530</v>
      </c>
      <c r="L87" s="258">
        <f t="shared" si="61"/>
        <v>55910570</v>
      </c>
      <c r="M87" s="426">
        <f t="array" ref="M87">MAX((IF(MNU_CODIGO_ALIMENTO_ENTREGA=CONCATENATE($C87,"_","P_"),MNU_GRAMAJE_REQUERIDO_TIPOB,"")))</f>
        <v>50</v>
      </c>
      <c r="N87" s="343">
        <f t="shared" si="62"/>
        <v>136306</v>
      </c>
      <c r="O87" s="343">
        <f t="shared" si="63"/>
        <v>21850</v>
      </c>
      <c r="P87" s="343">
        <f t="shared" si="64"/>
        <v>158156</v>
      </c>
      <c r="Q87" s="344">
        <f t="shared" si="65"/>
        <v>68834530</v>
      </c>
      <c r="R87" s="344">
        <f t="shared" si="66"/>
        <v>11034250</v>
      </c>
      <c r="S87" s="344">
        <f t="shared" si="67"/>
        <v>79868780</v>
      </c>
      <c r="T87" s="348">
        <f t="array" ref="T87">MAX((IF(MNU_CODIGO_ALIMENTO_ENTREGA=CONCATENATE($C87,"_","P_"),MNU_GRAMAJE_REQUERIDO_TIPOC,"")))</f>
        <v>80</v>
      </c>
      <c r="U87" s="257">
        <f t="shared" si="68"/>
        <v>166838</v>
      </c>
      <c r="V87" s="257">
        <f t="shared" si="69"/>
        <v>40223</v>
      </c>
      <c r="W87" s="257">
        <f t="shared" si="70"/>
        <v>207061</v>
      </c>
      <c r="X87" s="258">
        <f t="shared" si="71"/>
        <v>127297394</v>
      </c>
      <c r="Y87" s="258">
        <f t="shared" si="72"/>
        <v>30690149</v>
      </c>
      <c r="Z87" s="258">
        <f t="shared" si="73"/>
        <v>157987543</v>
      </c>
      <c r="AA87" s="256">
        <f t="array" ref="AA87">MAX((IF(MNU_CODIGO_ALIMENTO_ENTREGA=CONCATENATE($C87,"_","P_"),MNU_GRAMAJE_REQUERIDO_TIPOM,"")))</f>
        <v>50</v>
      </c>
      <c r="AB87" s="259">
        <f t="shared" si="74"/>
        <v>2788</v>
      </c>
      <c r="AC87" s="259">
        <v>0</v>
      </c>
      <c r="AD87" s="259">
        <f t="shared" si="75"/>
        <v>2788</v>
      </c>
      <c r="AE87" s="260">
        <f t="shared" si="76"/>
        <v>1407940</v>
      </c>
      <c r="AF87" s="260">
        <v>0</v>
      </c>
      <c r="AG87" s="260">
        <f t="shared" si="77"/>
        <v>1407940</v>
      </c>
      <c r="AH87" s="348">
        <f t="array" ref="AH87">MAX((IF(MNU_CODIGO_ALIMENTO_ENTREGA=CONCATENATE($C87,"_","P_"),MNU_GRAMAJE_REQUERIDO_TIPOH,"")))</f>
        <v>80</v>
      </c>
      <c r="AI87" s="257">
        <f t="shared" si="78"/>
        <v>2720</v>
      </c>
      <c r="AJ87" s="257">
        <v>0</v>
      </c>
      <c r="AK87" s="257">
        <f t="shared" si="79"/>
        <v>2720</v>
      </c>
      <c r="AL87" s="258">
        <f t="shared" si="80"/>
        <v>2075360</v>
      </c>
      <c r="AM87" s="258">
        <v>0</v>
      </c>
      <c r="AN87" s="258">
        <f t="shared" si="81"/>
        <v>2075360</v>
      </c>
      <c r="AO87" s="451">
        <f t="shared" si="82"/>
        <v>481439</v>
      </c>
      <c r="AP87" s="450">
        <f t="shared" si="83"/>
        <v>297250193</v>
      </c>
      <c r="AQ87" s="261" t="e">
        <f>#REF!+AH87+AA87+T87+M87</f>
        <v>#REF!</v>
      </c>
      <c r="AR87" s="261">
        <f t="shared" si="42"/>
        <v>297558845</v>
      </c>
      <c r="AS87" s="261" t="e">
        <f t="shared" si="43"/>
        <v>#REF!</v>
      </c>
      <c r="AT87" s="261">
        <f t="shared" si="44"/>
        <v>297929570</v>
      </c>
      <c r="AU87" s="261" t="e">
        <f t="shared" si="45"/>
        <v>#REF!</v>
      </c>
      <c r="AV87" s="261">
        <f t="shared" si="46"/>
        <v>339653969</v>
      </c>
      <c r="AW87" s="261" t="e">
        <f t="shared" si="47"/>
        <v>#REF!</v>
      </c>
      <c r="AX87" s="261" t="e">
        <f>AV87+#REF!+AH87+AA87+T87</f>
        <v>#REF!</v>
      </c>
      <c r="AY87" s="261" t="e">
        <f t="shared" si="48"/>
        <v>#REF!</v>
      </c>
      <c r="AZ87" s="261" t="e">
        <f t="shared" si="49"/>
        <v>#REF!</v>
      </c>
      <c r="BA87" s="261" t="e">
        <f t="shared" si="50"/>
        <v>#REF!</v>
      </c>
      <c r="BB87" s="261" t="e">
        <f t="shared" si="51"/>
        <v>#REF!</v>
      </c>
      <c r="BC87" s="261" t="e">
        <f t="shared" si="52"/>
        <v>#REF!</v>
      </c>
      <c r="BD87" s="261" t="e">
        <f t="shared" si="53"/>
        <v>#REF!</v>
      </c>
      <c r="BE87" s="261" t="e">
        <f>BC87+AV87+#REF!+AH87+AA87</f>
        <v>#REF!</v>
      </c>
      <c r="BF87" s="261" t="e">
        <f t="shared" si="54"/>
        <v>#REF!</v>
      </c>
      <c r="BG87" s="261" t="e">
        <f t="shared" si="55"/>
        <v>#REF!</v>
      </c>
    </row>
    <row r="88" spans="1:59" ht="15.75">
      <c r="A88" s="333">
        <v>7</v>
      </c>
      <c r="B88" s="333" t="s">
        <v>1607</v>
      </c>
      <c r="C88" s="256">
        <v>15</v>
      </c>
      <c r="D88" s="322" t="s">
        <v>66</v>
      </c>
      <c r="E88" s="256" t="s">
        <v>9</v>
      </c>
      <c r="F88" s="425">
        <f t="array" ref="F88">MAX((IF(MNU_CODIGO_ALIMENTO_ENTREGA=CONCATENATE($C88,"_","P_"),MNU_GRAMAJE_REQUERIDO_TIPOA,"")))</f>
        <v>50</v>
      </c>
      <c r="G88" s="257">
        <f t="shared" si="56"/>
        <v>92208</v>
      </c>
      <c r="H88" s="257">
        <f t="shared" si="57"/>
        <v>10714</v>
      </c>
      <c r="I88" s="257">
        <f t="shared" si="58"/>
        <v>102922</v>
      </c>
      <c r="J88" s="258">
        <f t="shared" si="59"/>
        <v>62055984</v>
      </c>
      <c r="K88" s="258">
        <f t="shared" si="60"/>
        <v>7210522</v>
      </c>
      <c r="L88" s="258">
        <f t="shared" si="61"/>
        <v>69266506</v>
      </c>
      <c r="M88" s="426">
        <f t="array" ref="M88">MAX((IF(MNU_CODIGO_ALIMENTO_ENTREGA=CONCATENATE($C88,"_","P_"),MNU_GRAMAJE_REQUERIDO_TIPOB,"")))</f>
        <v>50</v>
      </c>
      <c r="N88" s="343">
        <f t="shared" si="62"/>
        <v>136306</v>
      </c>
      <c r="O88" s="343">
        <f t="shared" si="63"/>
        <v>12650</v>
      </c>
      <c r="P88" s="343">
        <f t="shared" si="64"/>
        <v>148956</v>
      </c>
      <c r="Q88" s="344">
        <f t="shared" si="65"/>
        <v>91733938</v>
      </c>
      <c r="R88" s="344">
        <f t="shared" si="66"/>
        <v>8513450</v>
      </c>
      <c r="S88" s="344">
        <f t="shared" si="67"/>
        <v>100247388</v>
      </c>
      <c r="T88" s="348">
        <f t="array" ref="T88">MAX((IF(MNU_CODIGO_ALIMENTO_ENTREGA=CONCATENATE($C88,"_","P_"),MNU_GRAMAJE_REQUERIDO_TIPOC,"")))</f>
        <v>80</v>
      </c>
      <c r="U88" s="257">
        <f t="shared" si="68"/>
        <v>166838</v>
      </c>
      <c r="V88" s="257">
        <f t="shared" si="69"/>
        <v>23287</v>
      </c>
      <c r="W88" s="257">
        <f t="shared" si="70"/>
        <v>190125</v>
      </c>
      <c r="X88" s="258">
        <f t="shared" si="71"/>
        <v>179517688</v>
      </c>
      <c r="Y88" s="258">
        <f t="shared" si="72"/>
        <v>25056812</v>
      </c>
      <c r="Z88" s="258">
        <f t="shared" si="73"/>
        <v>204574500</v>
      </c>
      <c r="AA88" s="256">
        <f t="array" ref="AA88">MAX((IF(MNU_CODIGO_ALIMENTO_ENTREGA=CONCATENATE($C88,"_","P_"),MNU_GRAMAJE_REQUERIDO_TIPOM,"")))</f>
        <v>50</v>
      </c>
      <c r="AB88" s="259">
        <f t="shared" si="74"/>
        <v>2788</v>
      </c>
      <c r="AC88" s="259">
        <v>0</v>
      </c>
      <c r="AD88" s="259">
        <f t="shared" si="75"/>
        <v>2788</v>
      </c>
      <c r="AE88" s="260">
        <f t="shared" si="76"/>
        <v>1876324</v>
      </c>
      <c r="AF88" s="260">
        <v>0</v>
      </c>
      <c r="AG88" s="260">
        <f t="shared" si="77"/>
        <v>1876324</v>
      </c>
      <c r="AH88" s="348">
        <f t="array" ref="AH88">MAX((IF(MNU_CODIGO_ALIMENTO_ENTREGA=CONCATENATE($C88,"_","P_"),MNU_GRAMAJE_REQUERIDO_TIPOH,"")))</f>
        <v>80</v>
      </c>
      <c r="AI88" s="257">
        <f t="shared" si="78"/>
        <v>2720</v>
      </c>
      <c r="AJ88" s="257">
        <v>0</v>
      </c>
      <c r="AK88" s="257">
        <f t="shared" si="79"/>
        <v>2720</v>
      </c>
      <c r="AL88" s="258">
        <f t="shared" si="80"/>
        <v>2926720</v>
      </c>
      <c r="AM88" s="258">
        <v>0</v>
      </c>
      <c r="AN88" s="258">
        <f t="shared" si="81"/>
        <v>2926720</v>
      </c>
      <c r="AO88" s="451">
        <f t="shared" si="82"/>
        <v>447511</v>
      </c>
      <c r="AP88" s="450">
        <f t="shared" si="83"/>
        <v>378891438</v>
      </c>
      <c r="AQ88" s="261" t="e">
        <f>#REF!+AH88+AA88+T88+M88</f>
        <v>#REF!</v>
      </c>
      <c r="AR88" s="261">
        <f t="shared" si="42"/>
        <v>379200090</v>
      </c>
      <c r="AS88" s="261" t="e">
        <f t="shared" si="43"/>
        <v>#REF!</v>
      </c>
      <c r="AT88" s="261">
        <f t="shared" si="44"/>
        <v>379544679</v>
      </c>
      <c r="AU88" s="261" t="e">
        <f t="shared" si="45"/>
        <v>#REF!</v>
      </c>
      <c r="AV88" s="261">
        <f t="shared" si="46"/>
        <v>413114941</v>
      </c>
      <c r="AW88" s="261" t="e">
        <f t="shared" si="47"/>
        <v>#REF!</v>
      </c>
      <c r="AX88" s="261" t="e">
        <f>AV88+#REF!+AH88+AA88+T88</f>
        <v>#REF!</v>
      </c>
      <c r="AY88" s="261" t="e">
        <f t="shared" si="48"/>
        <v>#REF!</v>
      </c>
      <c r="AZ88" s="261" t="e">
        <f t="shared" si="49"/>
        <v>#REF!</v>
      </c>
      <c r="BA88" s="261" t="e">
        <f t="shared" si="50"/>
        <v>#REF!</v>
      </c>
      <c r="BB88" s="261" t="e">
        <f t="shared" si="51"/>
        <v>#REF!</v>
      </c>
      <c r="BC88" s="261" t="e">
        <f t="shared" si="52"/>
        <v>#REF!</v>
      </c>
      <c r="BD88" s="261" t="e">
        <f t="shared" si="53"/>
        <v>#REF!</v>
      </c>
      <c r="BE88" s="261" t="e">
        <f>BC88+AV88+#REF!+AH88+AA88</f>
        <v>#REF!</v>
      </c>
      <c r="BF88" s="261" t="e">
        <f t="shared" si="54"/>
        <v>#REF!</v>
      </c>
      <c r="BG88" s="261" t="e">
        <f t="shared" si="55"/>
        <v>#REF!</v>
      </c>
    </row>
    <row r="89" spans="1:59" ht="15.75">
      <c r="A89" s="333">
        <v>7</v>
      </c>
      <c r="B89" s="333" t="s">
        <v>1607</v>
      </c>
      <c r="C89" s="256">
        <v>24</v>
      </c>
      <c r="D89" s="322" t="s">
        <v>61</v>
      </c>
      <c r="E89" s="256" t="s">
        <v>9</v>
      </c>
      <c r="F89" s="425">
        <f t="array" ref="F89">MAX((IF(MNU_CODIGO_ALIMENTO_ENTREGA=CONCATENATE($C89,"_","P_"),MNU_GRAMAJE_REQUERIDO_TIPOA,"")))</f>
        <v>20</v>
      </c>
      <c r="G89" s="257">
        <f t="shared" si="56"/>
        <v>92208</v>
      </c>
      <c r="H89" s="257">
        <f t="shared" si="57"/>
        <v>10714</v>
      </c>
      <c r="I89" s="257">
        <f t="shared" si="58"/>
        <v>102922</v>
      </c>
      <c r="J89" s="258">
        <f t="shared" si="59"/>
        <v>11802624</v>
      </c>
      <c r="K89" s="258">
        <f t="shared" si="60"/>
        <v>1371392</v>
      </c>
      <c r="L89" s="258">
        <f t="shared" si="61"/>
        <v>13174016</v>
      </c>
      <c r="M89" s="426">
        <f t="array" ref="M89">MAX((IF(MNU_CODIGO_ALIMENTO_ENTREGA=CONCATENATE($C89,"_","P_"),MNU_GRAMAJE_REQUERIDO_TIPOB,"")))</f>
        <v>30</v>
      </c>
      <c r="N89" s="343">
        <f t="shared" si="62"/>
        <v>136306</v>
      </c>
      <c r="O89" s="343">
        <f t="shared" si="63"/>
        <v>12650</v>
      </c>
      <c r="P89" s="343">
        <f t="shared" si="64"/>
        <v>148956</v>
      </c>
      <c r="Q89" s="344">
        <f t="shared" si="65"/>
        <v>27261200</v>
      </c>
      <c r="R89" s="344">
        <f t="shared" si="66"/>
        <v>2530000</v>
      </c>
      <c r="S89" s="344">
        <f t="shared" si="67"/>
        <v>29791200</v>
      </c>
      <c r="T89" s="348">
        <f t="array" ref="T89">MAX((IF(MNU_CODIGO_ALIMENTO_ENTREGA=CONCATENATE($C89,"_","P_"),MNU_GRAMAJE_REQUERIDO_TIPOC,"")))</f>
        <v>60</v>
      </c>
      <c r="U89" s="257">
        <f t="shared" si="68"/>
        <v>166838</v>
      </c>
      <c r="V89" s="257">
        <f t="shared" si="69"/>
        <v>23287</v>
      </c>
      <c r="W89" s="257">
        <f t="shared" si="70"/>
        <v>190125</v>
      </c>
      <c r="X89" s="258">
        <f t="shared" si="71"/>
        <v>64232630</v>
      </c>
      <c r="Y89" s="258">
        <f t="shared" si="72"/>
        <v>8965495</v>
      </c>
      <c r="Z89" s="258">
        <f t="shared" si="73"/>
        <v>73198125</v>
      </c>
      <c r="AA89" s="256">
        <f t="array" ref="AA89">MAX((IF(MNU_CODIGO_ALIMENTO_ENTREGA=CONCATENATE($C89,"_","P_"),MNU_GRAMAJE_REQUERIDO_TIPOM,"")))</f>
        <v>30</v>
      </c>
      <c r="AB89" s="259">
        <f t="shared" si="74"/>
        <v>2788</v>
      </c>
      <c r="AC89" s="259">
        <v>0</v>
      </c>
      <c r="AD89" s="259">
        <f t="shared" si="75"/>
        <v>2788</v>
      </c>
      <c r="AE89" s="260">
        <f t="shared" si="76"/>
        <v>557600</v>
      </c>
      <c r="AF89" s="260">
        <v>0</v>
      </c>
      <c r="AG89" s="260">
        <f t="shared" si="77"/>
        <v>557600</v>
      </c>
      <c r="AH89" s="348">
        <f t="array" ref="AH89">MAX((IF(MNU_CODIGO_ALIMENTO_ENTREGA=CONCATENATE($C89,"_","P_"),MNU_GRAMAJE_REQUERIDO_TIPOH,"")))</f>
        <v>60</v>
      </c>
      <c r="AI89" s="257">
        <f t="shared" si="78"/>
        <v>2720</v>
      </c>
      <c r="AJ89" s="257">
        <v>0</v>
      </c>
      <c r="AK89" s="257">
        <f t="shared" si="79"/>
        <v>2720</v>
      </c>
      <c r="AL89" s="258">
        <f t="shared" si="80"/>
        <v>1047200</v>
      </c>
      <c r="AM89" s="258">
        <v>0</v>
      </c>
      <c r="AN89" s="258">
        <f t="shared" si="81"/>
        <v>1047200</v>
      </c>
      <c r="AO89" s="451">
        <f t="shared" si="82"/>
        <v>447511</v>
      </c>
      <c r="AP89" s="450">
        <f t="shared" si="83"/>
        <v>117768141</v>
      </c>
      <c r="AQ89" s="261" t="e">
        <f>#REF!+AH89+AA89+T89+M89</f>
        <v>#REF!</v>
      </c>
      <c r="AR89" s="261">
        <f t="shared" si="42"/>
        <v>118076793</v>
      </c>
      <c r="AS89" s="261" t="e">
        <f t="shared" si="43"/>
        <v>#REF!</v>
      </c>
      <c r="AT89" s="261">
        <f t="shared" si="44"/>
        <v>118421382</v>
      </c>
      <c r="AU89" s="261" t="e">
        <f t="shared" si="45"/>
        <v>#REF!</v>
      </c>
      <c r="AV89" s="261">
        <f t="shared" si="46"/>
        <v>129916877</v>
      </c>
      <c r="AW89" s="261" t="e">
        <f t="shared" si="47"/>
        <v>#REF!</v>
      </c>
      <c r="AX89" s="261" t="e">
        <f>AV89+#REF!+AH89+AA89+T89</f>
        <v>#REF!</v>
      </c>
      <c r="AY89" s="261" t="e">
        <f t="shared" si="48"/>
        <v>#REF!</v>
      </c>
      <c r="AZ89" s="261" t="e">
        <f t="shared" si="49"/>
        <v>#REF!</v>
      </c>
      <c r="BA89" s="261" t="e">
        <f t="shared" si="50"/>
        <v>#REF!</v>
      </c>
      <c r="BB89" s="261" t="e">
        <f t="shared" si="51"/>
        <v>#REF!</v>
      </c>
      <c r="BC89" s="261" t="e">
        <f t="shared" si="52"/>
        <v>#REF!</v>
      </c>
      <c r="BD89" s="261" t="e">
        <f t="shared" si="53"/>
        <v>#REF!</v>
      </c>
      <c r="BE89" s="261" t="e">
        <f>BC89+AV89+#REF!+AH89+AA89</f>
        <v>#REF!</v>
      </c>
      <c r="BF89" s="261" t="e">
        <f t="shared" si="54"/>
        <v>#REF!</v>
      </c>
      <c r="BG89" s="261" t="e">
        <f t="shared" si="55"/>
        <v>#REF!</v>
      </c>
    </row>
    <row r="90" spans="1:59" ht="15.75">
      <c r="A90" s="333">
        <v>7</v>
      </c>
      <c r="B90" s="333" t="s">
        <v>1607</v>
      </c>
      <c r="C90" s="256">
        <v>25</v>
      </c>
      <c r="D90" s="322" t="s">
        <v>64</v>
      </c>
      <c r="E90" s="256" t="s">
        <v>9</v>
      </c>
      <c r="F90" s="425">
        <f t="array" ref="F90">MAX((IF(MNU_CODIGO_ALIMENTO_ENTREGA=CONCATENATE($C90,"_","P_"),MNU_GRAMAJE_REQUERIDO_TIPOA,"")))</f>
        <v>40</v>
      </c>
      <c r="G90" s="257">
        <f t="shared" si="56"/>
        <v>92208</v>
      </c>
      <c r="H90" s="257">
        <f t="shared" si="57"/>
        <v>21428</v>
      </c>
      <c r="I90" s="257">
        <f t="shared" si="58"/>
        <v>113636</v>
      </c>
      <c r="J90" s="258">
        <f t="shared" si="59"/>
        <v>23605248</v>
      </c>
      <c r="K90" s="258">
        <f t="shared" si="60"/>
        <v>5485568</v>
      </c>
      <c r="L90" s="258">
        <f t="shared" si="61"/>
        <v>29090816</v>
      </c>
      <c r="M90" s="426">
        <f t="array" ref="M90">MAX((IF(MNU_CODIGO_ALIMENTO_ENTREGA=CONCATENATE($C90,"_","P_"),MNU_GRAMAJE_REQUERIDO_TIPOB,"")))</f>
        <v>40</v>
      </c>
      <c r="N90" s="343">
        <f t="shared" si="62"/>
        <v>136306</v>
      </c>
      <c r="O90" s="343">
        <f t="shared" si="63"/>
        <v>25300</v>
      </c>
      <c r="P90" s="343">
        <f t="shared" si="64"/>
        <v>161606</v>
      </c>
      <c r="Q90" s="344">
        <f t="shared" si="65"/>
        <v>34894336</v>
      </c>
      <c r="R90" s="344">
        <f t="shared" si="66"/>
        <v>6476800</v>
      </c>
      <c r="S90" s="344">
        <f t="shared" si="67"/>
        <v>41371136</v>
      </c>
      <c r="T90" s="348">
        <f t="array" ref="T90">MAX((IF(MNU_CODIGO_ALIMENTO_ENTREGA=CONCATENATE($C90,"_","P_"),MNU_GRAMAJE_REQUERIDO_TIPOC,"")))</f>
        <v>60</v>
      </c>
      <c r="U90" s="257">
        <f t="shared" si="68"/>
        <v>166838</v>
      </c>
      <c r="V90" s="257">
        <f t="shared" si="69"/>
        <v>46574</v>
      </c>
      <c r="W90" s="257">
        <f t="shared" si="70"/>
        <v>213412</v>
      </c>
      <c r="X90" s="258">
        <f t="shared" si="71"/>
        <v>64065792</v>
      </c>
      <c r="Y90" s="258">
        <f t="shared" si="72"/>
        <v>17884416</v>
      </c>
      <c r="Z90" s="258">
        <f t="shared" si="73"/>
        <v>81950208</v>
      </c>
      <c r="AA90" s="256">
        <f t="array" ref="AA90">MAX((IF(MNU_CODIGO_ALIMENTO_ENTREGA=CONCATENATE($C90,"_","P_"),MNU_GRAMAJE_REQUERIDO_TIPOM,"")))</f>
        <v>40</v>
      </c>
      <c r="AB90" s="259">
        <f t="shared" si="74"/>
        <v>2788</v>
      </c>
      <c r="AC90" s="259">
        <v>0</v>
      </c>
      <c r="AD90" s="259">
        <f t="shared" si="75"/>
        <v>2788</v>
      </c>
      <c r="AE90" s="260">
        <f t="shared" si="76"/>
        <v>713728</v>
      </c>
      <c r="AF90" s="260">
        <v>0</v>
      </c>
      <c r="AG90" s="260">
        <f t="shared" si="77"/>
        <v>713728</v>
      </c>
      <c r="AH90" s="348">
        <f t="array" ref="AH90">MAX((IF(MNU_CODIGO_ALIMENTO_ENTREGA=CONCATENATE($C90,"_","P_"),MNU_GRAMAJE_REQUERIDO_TIPOH,"")))</f>
        <v>60</v>
      </c>
      <c r="AI90" s="257">
        <f t="shared" si="78"/>
        <v>2720</v>
      </c>
      <c r="AJ90" s="257">
        <v>0</v>
      </c>
      <c r="AK90" s="257">
        <f t="shared" si="79"/>
        <v>2720</v>
      </c>
      <c r="AL90" s="258">
        <f t="shared" si="80"/>
        <v>1044480</v>
      </c>
      <c r="AM90" s="258">
        <v>0</v>
      </c>
      <c r="AN90" s="258">
        <f t="shared" si="81"/>
        <v>1044480</v>
      </c>
      <c r="AO90" s="451">
        <f t="shared" si="82"/>
        <v>494162</v>
      </c>
      <c r="AP90" s="450">
        <f t="shared" si="83"/>
        <v>154170368</v>
      </c>
      <c r="AQ90" s="261" t="e">
        <f>#REF!+AH90+AA90+T90+M90</f>
        <v>#REF!</v>
      </c>
      <c r="AR90" s="261">
        <f t="shared" si="42"/>
        <v>154479020</v>
      </c>
      <c r="AS90" s="261" t="e">
        <f t="shared" si="43"/>
        <v>#REF!</v>
      </c>
      <c r="AT90" s="261">
        <f t="shared" si="44"/>
        <v>154859546</v>
      </c>
      <c r="AU90" s="261" t="e">
        <f t="shared" si="45"/>
        <v>#REF!</v>
      </c>
      <c r="AV90" s="261">
        <f t="shared" si="46"/>
        <v>179220762</v>
      </c>
      <c r="AW90" s="261" t="e">
        <f t="shared" si="47"/>
        <v>#REF!</v>
      </c>
      <c r="AX90" s="261" t="e">
        <f>AV90+#REF!+AH90+AA90+T90</f>
        <v>#REF!</v>
      </c>
      <c r="AY90" s="261" t="e">
        <f t="shared" si="48"/>
        <v>#REF!</v>
      </c>
      <c r="AZ90" s="261" t="e">
        <f t="shared" si="49"/>
        <v>#REF!</v>
      </c>
      <c r="BA90" s="261" t="e">
        <f t="shared" si="50"/>
        <v>#REF!</v>
      </c>
      <c r="BB90" s="261" t="e">
        <f t="shared" si="51"/>
        <v>#REF!</v>
      </c>
      <c r="BC90" s="261" t="e">
        <f t="shared" si="52"/>
        <v>#REF!</v>
      </c>
      <c r="BD90" s="261" t="e">
        <f t="shared" si="53"/>
        <v>#REF!</v>
      </c>
      <c r="BE90" s="261" t="e">
        <f>BC90+AV90+#REF!+AH90+AA90</f>
        <v>#REF!</v>
      </c>
      <c r="BF90" s="261" t="e">
        <f t="shared" si="54"/>
        <v>#REF!</v>
      </c>
      <c r="BG90" s="261" t="e">
        <f t="shared" si="55"/>
        <v>#REF!</v>
      </c>
    </row>
    <row r="91" spans="1:59" ht="15.75">
      <c r="A91" s="333">
        <v>7</v>
      </c>
      <c r="B91" s="333" t="s">
        <v>1607</v>
      </c>
      <c r="C91" s="256">
        <v>26</v>
      </c>
      <c r="D91" s="322" t="s">
        <v>69</v>
      </c>
      <c r="E91" s="256" t="s">
        <v>9</v>
      </c>
      <c r="F91" s="425">
        <f t="array" ref="F91">MAX((IF(MNU_CODIGO_ALIMENTO_ENTREGA=CONCATENATE($C91,"_","P_"),MNU_GRAMAJE_REQUERIDO_TIPOA,"")))</f>
        <v>30</v>
      </c>
      <c r="G91" s="257">
        <f t="shared" si="56"/>
        <v>32544</v>
      </c>
      <c r="H91" s="257">
        <f t="shared" si="57"/>
        <v>0</v>
      </c>
      <c r="I91" s="257">
        <f t="shared" si="58"/>
        <v>32544</v>
      </c>
      <c r="J91" s="258">
        <f t="shared" si="59"/>
        <v>5565024</v>
      </c>
      <c r="K91" s="258">
        <f t="shared" si="60"/>
        <v>0</v>
      </c>
      <c r="L91" s="258">
        <f t="shared" si="61"/>
        <v>5565024</v>
      </c>
      <c r="M91" s="426">
        <f t="array" ref="M91">MAX((IF(MNU_CODIGO_ALIMENTO_ENTREGA=CONCATENATE($C91,"_","P_"),MNU_GRAMAJE_REQUERIDO_TIPOB,"")))</f>
        <v>30</v>
      </c>
      <c r="N91" s="343">
        <f t="shared" si="62"/>
        <v>48108</v>
      </c>
      <c r="O91" s="343">
        <f t="shared" si="63"/>
        <v>0</v>
      </c>
      <c r="P91" s="343">
        <f t="shared" si="64"/>
        <v>48108</v>
      </c>
      <c r="Q91" s="344">
        <f t="shared" si="65"/>
        <v>8226468</v>
      </c>
      <c r="R91" s="344">
        <f t="shared" si="66"/>
        <v>0</v>
      </c>
      <c r="S91" s="344">
        <f t="shared" si="67"/>
        <v>8226468</v>
      </c>
      <c r="T91" s="348">
        <f t="array" ref="T91">MAX((IF(MNU_CODIGO_ALIMENTO_ENTREGA=CONCATENATE($C91,"_","P_"),MNU_GRAMAJE_REQUERIDO_TIPOC,"")))</f>
        <v>30</v>
      </c>
      <c r="U91" s="257">
        <f t="shared" si="68"/>
        <v>58884</v>
      </c>
      <c r="V91" s="257">
        <f t="shared" si="69"/>
        <v>0</v>
      </c>
      <c r="W91" s="257">
        <f t="shared" si="70"/>
        <v>58884</v>
      </c>
      <c r="X91" s="258">
        <f t="shared" si="71"/>
        <v>10069164</v>
      </c>
      <c r="Y91" s="258">
        <f t="shared" si="72"/>
        <v>0</v>
      </c>
      <c r="Z91" s="258">
        <f t="shared" si="73"/>
        <v>10069164</v>
      </c>
      <c r="AA91" s="256">
        <f t="array" ref="AA91">MAX((IF(MNU_CODIGO_ALIMENTO_ENTREGA=CONCATENATE($C91,"_","P_"),MNU_GRAMAJE_REQUERIDO_TIPOM,"")))</f>
        <v>30</v>
      </c>
      <c r="AB91" s="259">
        <f t="shared" si="74"/>
        <v>984</v>
      </c>
      <c r="AC91" s="259">
        <v>0</v>
      </c>
      <c r="AD91" s="259">
        <f t="shared" si="75"/>
        <v>984</v>
      </c>
      <c r="AE91" s="260">
        <f t="shared" si="76"/>
        <v>168264</v>
      </c>
      <c r="AF91" s="260">
        <v>0</v>
      </c>
      <c r="AG91" s="260">
        <f t="shared" si="77"/>
        <v>168264</v>
      </c>
      <c r="AH91" s="348">
        <f t="array" ref="AH91">MAX((IF(MNU_CODIGO_ALIMENTO_ENTREGA=CONCATENATE($C91,"_","P_"),MNU_GRAMAJE_REQUERIDO_TIPOH,"")))</f>
        <v>30</v>
      </c>
      <c r="AI91" s="257">
        <f t="shared" si="78"/>
        <v>960</v>
      </c>
      <c r="AJ91" s="257">
        <v>0</v>
      </c>
      <c r="AK91" s="257">
        <f t="shared" si="79"/>
        <v>960</v>
      </c>
      <c r="AL91" s="258">
        <f t="shared" si="80"/>
        <v>164160</v>
      </c>
      <c r="AM91" s="258">
        <v>0</v>
      </c>
      <c r="AN91" s="258">
        <f t="shared" si="81"/>
        <v>164160</v>
      </c>
      <c r="AO91" s="451">
        <f t="shared" si="82"/>
        <v>141480</v>
      </c>
      <c r="AP91" s="450">
        <f t="shared" si="83"/>
        <v>24193080</v>
      </c>
      <c r="AQ91" s="261" t="e">
        <f>#REF!+AH91+AA91+T91+M91</f>
        <v>#REF!</v>
      </c>
      <c r="AR91" s="261">
        <f t="shared" si="42"/>
        <v>24302016</v>
      </c>
      <c r="AS91" s="261" t="e">
        <f t="shared" si="43"/>
        <v>#REF!</v>
      </c>
      <c r="AT91" s="261">
        <f t="shared" si="44"/>
        <v>24410952</v>
      </c>
      <c r="AU91" s="261" t="e">
        <f t="shared" si="45"/>
        <v>#REF!</v>
      </c>
      <c r="AV91" s="261">
        <f t="shared" si="46"/>
        <v>24410952</v>
      </c>
      <c r="AW91" s="261" t="e">
        <f t="shared" si="47"/>
        <v>#REF!</v>
      </c>
      <c r="AX91" s="261" t="e">
        <f>AV91+#REF!+AH91+AA91+T91</f>
        <v>#REF!</v>
      </c>
      <c r="AY91" s="261" t="e">
        <f t="shared" si="48"/>
        <v>#REF!</v>
      </c>
      <c r="AZ91" s="261" t="e">
        <f t="shared" si="49"/>
        <v>#REF!</v>
      </c>
      <c r="BA91" s="261" t="e">
        <f t="shared" si="50"/>
        <v>#REF!</v>
      </c>
      <c r="BB91" s="261" t="e">
        <f t="shared" si="51"/>
        <v>#REF!</v>
      </c>
      <c r="BC91" s="261" t="e">
        <f t="shared" si="52"/>
        <v>#REF!</v>
      </c>
      <c r="BD91" s="261" t="e">
        <f t="shared" si="53"/>
        <v>#REF!</v>
      </c>
      <c r="BE91" s="261" t="e">
        <f>BC91+AV91+#REF!+AH91+AA91</f>
        <v>#REF!</v>
      </c>
      <c r="BF91" s="261" t="e">
        <f t="shared" si="54"/>
        <v>#REF!</v>
      </c>
      <c r="BG91" s="261" t="e">
        <f t="shared" si="55"/>
        <v>#REF!</v>
      </c>
    </row>
    <row r="92" spans="1:59" ht="27">
      <c r="A92" s="333">
        <v>7</v>
      </c>
      <c r="B92" s="333" t="s">
        <v>1607</v>
      </c>
      <c r="C92" s="256">
        <v>28</v>
      </c>
      <c r="D92" s="322" t="s">
        <v>67</v>
      </c>
      <c r="E92" s="256" t="s">
        <v>9</v>
      </c>
      <c r="F92" s="425">
        <f t="array" ref="F92">MAX((IF(MNU_CODIGO_ALIMENTO_ENTREGA=CONCATENATE($C92,"_","P_"),MNU_GRAMAJE_REQUERIDO_TIPOA,"")))</f>
        <v>30</v>
      </c>
      <c r="G92" s="257">
        <f t="shared" si="56"/>
        <v>32544</v>
      </c>
      <c r="H92" s="257">
        <f t="shared" si="57"/>
        <v>18506</v>
      </c>
      <c r="I92" s="257">
        <f t="shared" si="58"/>
        <v>51050</v>
      </c>
      <c r="J92" s="258">
        <f t="shared" si="59"/>
        <v>7354944</v>
      </c>
      <c r="K92" s="258">
        <f t="shared" si="60"/>
        <v>4182356</v>
      </c>
      <c r="L92" s="258">
        <f t="shared" si="61"/>
        <v>11537300</v>
      </c>
      <c r="M92" s="426">
        <f t="array" ref="M92">MAX((IF(MNU_CODIGO_ALIMENTO_ENTREGA=CONCATENATE($C92,"_","P_"),MNU_GRAMAJE_REQUERIDO_TIPOB,"")))</f>
        <v>40</v>
      </c>
      <c r="N92" s="343">
        <f t="shared" si="62"/>
        <v>48108</v>
      </c>
      <c r="O92" s="343">
        <f t="shared" si="63"/>
        <v>21850</v>
      </c>
      <c r="P92" s="343">
        <f t="shared" si="64"/>
        <v>69958</v>
      </c>
      <c r="Q92" s="344">
        <f t="shared" si="65"/>
        <v>14480508</v>
      </c>
      <c r="R92" s="344">
        <f t="shared" si="66"/>
        <v>6576850</v>
      </c>
      <c r="S92" s="344">
        <f t="shared" si="67"/>
        <v>21057358</v>
      </c>
      <c r="T92" s="348">
        <f t="array" ref="T92">MAX((IF(MNU_CODIGO_ALIMENTO_ENTREGA=CONCATENATE($C92,"_","P_"),MNU_GRAMAJE_REQUERIDO_TIPOC,"")))</f>
        <v>60</v>
      </c>
      <c r="U92" s="257">
        <f t="shared" si="68"/>
        <v>58884</v>
      </c>
      <c r="V92" s="257">
        <f t="shared" si="69"/>
        <v>40223</v>
      </c>
      <c r="W92" s="257">
        <f t="shared" si="70"/>
        <v>99107</v>
      </c>
      <c r="X92" s="258">
        <f t="shared" si="71"/>
        <v>26556684</v>
      </c>
      <c r="Y92" s="258">
        <f t="shared" si="72"/>
        <v>18140573</v>
      </c>
      <c r="Z92" s="258">
        <f t="shared" si="73"/>
        <v>44697257</v>
      </c>
      <c r="AA92" s="256">
        <f t="array" ref="AA92">MAX((IF(MNU_CODIGO_ALIMENTO_ENTREGA=CONCATENATE($C92,"_","P_"),MNU_GRAMAJE_REQUERIDO_TIPOM,"")))</f>
        <v>40</v>
      </c>
      <c r="AB92" s="259">
        <f t="shared" si="74"/>
        <v>984</v>
      </c>
      <c r="AC92" s="259">
        <v>0</v>
      </c>
      <c r="AD92" s="259">
        <f t="shared" si="75"/>
        <v>984</v>
      </c>
      <c r="AE92" s="260">
        <f t="shared" si="76"/>
        <v>296184</v>
      </c>
      <c r="AF92" s="260">
        <v>0</v>
      </c>
      <c r="AG92" s="260">
        <f t="shared" si="77"/>
        <v>296184</v>
      </c>
      <c r="AH92" s="348">
        <f t="array" ref="AH92">MAX((IF(MNU_CODIGO_ALIMENTO_ENTREGA=CONCATENATE($C92,"_","P_"),MNU_GRAMAJE_REQUERIDO_TIPOH,"")))</f>
        <v>60</v>
      </c>
      <c r="AI92" s="257">
        <f t="shared" si="78"/>
        <v>960</v>
      </c>
      <c r="AJ92" s="257">
        <v>0</v>
      </c>
      <c r="AK92" s="257">
        <f t="shared" si="79"/>
        <v>960</v>
      </c>
      <c r="AL92" s="258">
        <f t="shared" si="80"/>
        <v>432960</v>
      </c>
      <c r="AM92" s="258">
        <v>0</v>
      </c>
      <c r="AN92" s="258">
        <f t="shared" si="81"/>
        <v>432960</v>
      </c>
      <c r="AO92" s="451">
        <f t="shared" si="82"/>
        <v>222059</v>
      </c>
      <c r="AP92" s="450">
        <f t="shared" si="83"/>
        <v>78021059</v>
      </c>
      <c r="AQ92" s="261" t="e">
        <f>#REF!+AH92+AA92+T92+M92</f>
        <v>#REF!</v>
      </c>
      <c r="AR92" s="261">
        <f t="shared" si="42"/>
        <v>78129995</v>
      </c>
      <c r="AS92" s="261" t="e">
        <f t="shared" si="43"/>
        <v>#REF!</v>
      </c>
      <c r="AT92" s="261">
        <f t="shared" si="44"/>
        <v>78301004</v>
      </c>
      <c r="AU92" s="261" t="e">
        <f t="shared" si="45"/>
        <v>#REF!</v>
      </c>
      <c r="AV92" s="261">
        <f t="shared" si="46"/>
        <v>103018427</v>
      </c>
      <c r="AW92" s="261" t="e">
        <f t="shared" si="47"/>
        <v>#REF!</v>
      </c>
      <c r="AX92" s="261" t="e">
        <f>AV92+#REF!+AH92+AA92+T92</f>
        <v>#REF!</v>
      </c>
      <c r="AY92" s="261" t="e">
        <f t="shared" si="48"/>
        <v>#REF!</v>
      </c>
      <c r="AZ92" s="261" t="e">
        <f t="shared" si="49"/>
        <v>#REF!</v>
      </c>
      <c r="BA92" s="261" t="e">
        <f t="shared" si="50"/>
        <v>#REF!</v>
      </c>
      <c r="BB92" s="261" t="e">
        <f t="shared" si="51"/>
        <v>#REF!</v>
      </c>
      <c r="BC92" s="261" t="e">
        <f t="shared" si="52"/>
        <v>#REF!</v>
      </c>
      <c r="BD92" s="261" t="e">
        <f t="shared" si="53"/>
        <v>#REF!</v>
      </c>
      <c r="BE92" s="261" t="e">
        <f>BC92+AV92+#REF!+AH92+AA92</f>
        <v>#REF!</v>
      </c>
      <c r="BF92" s="261" t="e">
        <f t="shared" si="54"/>
        <v>#REF!</v>
      </c>
      <c r="BG92" s="261" t="e">
        <f t="shared" si="55"/>
        <v>#REF!</v>
      </c>
    </row>
    <row r="93" spans="1:59" ht="15.75">
      <c r="A93" s="333">
        <v>7</v>
      </c>
      <c r="B93" s="333" t="s">
        <v>1607</v>
      </c>
      <c r="C93" s="256">
        <v>30</v>
      </c>
      <c r="D93" s="322" t="s">
        <v>63</v>
      </c>
      <c r="E93" s="256" t="s">
        <v>9</v>
      </c>
      <c r="F93" s="425">
        <f t="array" ref="F93">MAX((IF(MNU_CODIGO_ALIMENTO_ENTREGA=CONCATENATE($C93,"_","P_"),MNU_GRAMAJE_REQUERIDO_TIPOA,"")))</f>
        <v>30</v>
      </c>
      <c r="G93" s="257">
        <f t="shared" si="56"/>
        <v>86784</v>
      </c>
      <c r="H93" s="257">
        <f t="shared" si="57"/>
        <v>0</v>
      </c>
      <c r="I93" s="257">
        <f t="shared" si="58"/>
        <v>86784</v>
      </c>
      <c r="J93" s="258">
        <f t="shared" si="59"/>
        <v>28812288</v>
      </c>
      <c r="K93" s="258">
        <f t="shared" si="60"/>
        <v>0</v>
      </c>
      <c r="L93" s="258">
        <f t="shared" si="61"/>
        <v>28812288</v>
      </c>
      <c r="M93" s="426">
        <f t="array" ref="M93">MAX((IF(MNU_CODIGO_ALIMENTO_ENTREGA=CONCATENATE($C93,"_","P_"),MNU_GRAMAJE_REQUERIDO_TIPOB,"")))</f>
        <v>30</v>
      </c>
      <c r="N93" s="343">
        <f t="shared" si="62"/>
        <v>128288</v>
      </c>
      <c r="O93" s="343">
        <f t="shared" si="63"/>
        <v>0</v>
      </c>
      <c r="P93" s="343">
        <f t="shared" si="64"/>
        <v>128288</v>
      </c>
      <c r="Q93" s="344">
        <f t="shared" si="65"/>
        <v>42591616</v>
      </c>
      <c r="R93" s="344">
        <f t="shared" si="66"/>
        <v>0</v>
      </c>
      <c r="S93" s="344">
        <f t="shared" si="67"/>
        <v>42591616</v>
      </c>
      <c r="T93" s="348">
        <f t="array" ref="T93">MAX((IF(MNU_CODIGO_ALIMENTO_ENTREGA=CONCATENATE($C93,"_","P_"),MNU_GRAMAJE_REQUERIDO_TIPOC,"")))</f>
        <v>30</v>
      </c>
      <c r="U93" s="257">
        <f t="shared" si="68"/>
        <v>157024</v>
      </c>
      <c r="V93" s="257">
        <f t="shared" si="69"/>
        <v>0</v>
      </c>
      <c r="W93" s="257">
        <f t="shared" si="70"/>
        <v>157024</v>
      </c>
      <c r="X93" s="258">
        <f t="shared" si="71"/>
        <v>52131968</v>
      </c>
      <c r="Y93" s="258">
        <f t="shared" si="72"/>
        <v>0</v>
      </c>
      <c r="Z93" s="258">
        <f t="shared" si="73"/>
        <v>52131968</v>
      </c>
      <c r="AA93" s="256">
        <f t="array" ref="AA93">MAX((IF(MNU_CODIGO_ALIMENTO_ENTREGA=CONCATENATE($C93,"_","P_"),MNU_GRAMAJE_REQUERIDO_TIPOM,"")))</f>
        <v>30</v>
      </c>
      <c r="AB93" s="259">
        <f t="shared" si="74"/>
        <v>2624</v>
      </c>
      <c r="AC93" s="259">
        <v>0</v>
      </c>
      <c r="AD93" s="259">
        <f t="shared" si="75"/>
        <v>2624</v>
      </c>
      <c r="AE93" s="260">
        <f t="shared" si="76"/>
        <v>871168</v>
      </c>
      <c r="AF93" s="260">
        <v>0</v>
      </c>
      <c r="AG93" s="260">
        <f t="shared" si="77"/>
        <v>871168</v>
      </c>
      <c r="AH93" s="348">
        <f t="array" ref="AH93">MAX((IF(MNU_CODIGO_ALIMENTO_ENTREGA=CONCATENATE($C93,"_","P_"),MNU_GRAMAJE_REQUERIDO_TIPOH,"")))</f>
        <v>30</v>
      </c>
      <c r="AI93" s="257">
        <f t="shared" si="78"/>
        <v>2560</v>
      </c>
      <c r="AJ93" s="257">
        <v>0</v>
      </c>
      <c r="AK93" s="257">
        <f t="shared" si="79"/>
        <v>2560</v>
      </c>
      <c r="AL93" s="258">
        <f t="shared" si="80"/>
        <v>849920</v>
      </c>
      <c r="AM93" s="258">
        <v>0</v>
      </c>
      <c r="AN93" s="258">
        <f t="shared" si="81"/>
        <v>849920</v>
      </c>
      <c r="AO93" s="451">
        <f t="shared" si="82"/>
        <v>377280</v>
      </c>
      <c r="AP93" s="450">
        <f t="shared" si="83"/>
        <v>125256960</v>
      </c>
      <c r="AQ93" s="261" t="e">
        <f>#REF!+AH93+AA93+T93+M93</f>
        <v>#REF!</v>
      </c>
      <c r="AR93" s="261">
        <f t="shared" si="42"/>
        <v>125547456</v>
      </c>
      <c r="AS93" s="261" t="e">
        <f t="shared" si="43"/>
        <v>#REF!</v>
      </c>
      <c r="AT93" s="261">
        <f t="shared" si="44"/>
        <v>125837952</v>
      </c>
      <c r="AU93" s="261" t="e">
        <f t="shared" si="45"/>
        <v>#REF!</v>
      </c>
      <c r="AV93" s="261">
        <f t="shared" si="46"/>
        <v>125837952</v>
      </c>
      <c r="AW93" s="261" t="e">
        <f t="shared" si="47"/>
        <v>#REF!</v>
      </c>
      <c r="AX93" s="261" t="e">
        <f>AV93+#REF!+AH93+AA93+T93</f>
        <v>#REF!</v>
      </c>
      <c r="AY93" s="261" t="e">
        <f t="shared" si="48"/>
        <v>#REF!</v>
      </c>
      <c r="AZ93" s="261" t="e">
        <f t="shared" si="49"/>
        <v>#REF!</v>
      </c>
      <c r="BA93" s="261" t="e">
        <f t="shared" si="50"/>
        <v>#REF!</v>
      </c>
      <c r="BB93" s="261" t="e">
        <f t="shared" si="51"/>
        <v>#REF!</v>
      </c>
      <c r="BC93" s="261" t="e">
        <f t="shared" si="52"/>
        <v>#REF!</v>
      </c>
      <c r="BD93" s="261" t="e">
        <f t="shared" si="53"/>
        <v>#REF!</v>
      </c>
      <c r="BE93" s="261" t="e">
        <f>BC93+AV93+#REF!+AH93+AA93</f>
        <v>#REF!</v>
      </c>
      <c r="BF93" s="261" t="e">
        <f t="shared" si="54"/>
        <v>#REF!</v>
      </c>
      <c r="BG93" s="261" t="e">
        <f t="shared" si="55"/>
        <v>#REF!</v>
      </c>
    </row>
    <row r="94" spans="1:59" ht="15.75">
      <c r="A94" s="333">
        <v>7</v>
      </c>
      <c r="B94" s="333" t="s">
        <v>1607</v>
      </c>
      <c r="C94" s="256">
        <v>45</v>
      </c>
      <c r="D94" s="322" t="s">
        <v>10</v>
      </c>
      <c r="E94" s="256" t="s">
        <v>9</v>
      </c>
      <c r="F94" s="425">
        <f t="array" ref="F94">MAX((IF(MNU_CODIGO_ALIMENTO_ENTREGA=CONCATENATE($C94,"_","P_"),MNU_GRAMAJE_REQUERIDO_TIPOA,"")))</f>
        <v>20</v>
      </c>
      <c r="G94" s="257">
        <f t="shared" si="56"/>
        <v>86784</v>
      </c>
      <c r="H94" s="257">
        <f t="shared" si="57"/>
        <v>19480</v>
      </c>
      <c r="I94" s="257">
        <f t="shared" si="58"/>
        <v>106264</v>
      </c>
      <c r="J94" s="258">
        <f t="shared" si="59"/>
        <v>17270016</v>
      </c>
      <c r="K94" s="258">
        <f t="shared" si="60"/>
        <v>3876520</v>
      </c>
      <c r="L94" s="258">
        <f t="shared" si="61"/>
        <v>21146536</v>
      </c>
      <c r="M94" s="426">
        <f t="array" ref="M94">MAX((IF(MNU_CODIGO_ALIMENTO_ENTREGA=CONCATENATE($C94,"_","P_"),MNU_GRAMAJE_REQUERIDO_TIPOB,"")))</f>
        <v>30</v>
      </c>
      <c r="N94" s="343">
        <f t="shared" si="62"/>
        <v>128288</v>
      </c>
      <c r="O94" s="343">
        <f t="shared" si="63"/>
        <v>23000</v>
      </c>
      <c r="P94" s="343">
        <f t="shared" si="64"/>
        <v>151288</v>
      </c>
      <c r="Q94" s="344">
        <f t="shared" si="65"/>
        <v>38229824</v>
      </c>
      <c r="R94" s="344">
        <f t="shared" si="66"/>
        <v>6854000</v>
      </c>
      <c r="S94" s="344">
        <f t="shared" si="67"/>
        <v>45083824</v>
      </c>
      <c r="T94" s="348">
        <f t="array" ref="T94">MAX((IF(MNU_CODIGO_ALIMENTO_ENTREGA=CONCATENATE($C94,"_","P_"),MNU_GRAMAJE_REQUERIDO_TIPOC,"")))</f>
        <v>60</v>
      </c>
      <c r="U94" s="257">
        <f t="shared" si="68"/>
        <v>157024</v>
      </c>
      <c r="V94" s="257">
        <f t="shared" si="69"/>
        <v>42340</v>
      </c>
      <c r="W94" s="257">
        <f t="shared" si="70"/>
        <v>199364</v>
      </c>
      <c r="X94" s="258">
        <f t="shared" si="71"/>
        <v>93743328</v>
      </c>
      <c r="Y94" s="258">
        <f t="shared" si="72"/>
        <v>25276980</v>
      </c>
      <c r="Z94" s="258">
        <f t="shared" si="73"/>
        <v>119020308</v>
      </c>
      <c r="AA94" s="256">
        <f t="array" ref="AA94">MAX((IF(MNU_CODIGO_ALIMENTO_ENTREGA=CONCATENATE($C94,"_","P_"),MNU_GRAMAJE_REQUERIDO_TIPOM,"")))</f>
        <v>30</v>
      </c>
      <c r="AB94" s="259">
        <f t="shared" si="74"/>
        <v>2624</v>
      </c>
      <c r="AC94" s="259">
        <v>0</v>
      </c>
      <c r="AD94" s="259">
        <f t="shared" si="75"/>
        <v>2624</v>
      </c>
      <c r="AE94" s="260">
        <f t="shared" si="76"/>
        <v>781952</v>
      </c>
      <c r="AF94" s="260">
        <v>0</v>
      </c>
      <c r="AG94" s="260">
        <f t="shared" si="77"/>
        <v>781952</v>
      </c>
      <c r="AH94" s="348">
        <f t="array" ref="AH94">MAX((IF(MNU_CODIGO_ALIMENTO_ENTREGA=CONCATENATE($C94,"_","P_"),MNU_GRAMAJE_REQUERIDO_TIPOH,"")))</f>
        <v>60</v>
      </c>
      <c r="AI94" s="257">
        <f t="shared" si="78"/>
        <v>2560</v>
      </c>
      <c r="AJ94" s="257">
        <v>0</v>
      </c>
      <c r="AK94" s="257">
        <f t="shared" si="79"/>
        <v>2560</v>
      </c>
      <c r="AL94" s="258">
        <f t="shared" si="80"/>
        <v>1528320</v>
      </c>
      <c r="AM94" s="258">
        <v>0</v>
      </c>
      <c r="AN94" s="258">
        <f t="shared" si="81"/>
        <v>1528320</v>
      </c>
      <c r="AO94" s="451">
        <f t="shared" si="82"/>
        <v>462100</v>
      </c>
      <c r="AP94" s="450">
        <f t="shared" si="83"/>
        <v>187560940</v>
      </c>
      <c r="AQ94" s="261" t="e">
        <f>#REF!+AH94+AA94+T94+M94</f>
        <v>#REF!</v>
      </c>
      <c r="AR94" s="261">
        <f t="shared" si="42"/>
        <v>187851436</v>
      </c>
      <c r="AS94" s="261" t="e">
        <f t="shared" si="43"/>
        <v>#REF!</v>
      </c>
      <c r="AT94" s="261">
        <f t="shared" si="44"/>
        <v>188207272</v>
      </c>
      <c r="AU94" s="261" t="e">
        <f t="shared" si="45"/>
        <v>#REF!</v>
      </c>
      <c r="AV94" s="261">
        <f t="shared" si="46"/>
        <v>220338252</v>
      </c>
      <c r="AW94" s="261" t="e">
        <f t="shared" si="47"/>
        <v>#REF!</v>
      </c>
      <c r="AX94" s="261" t="e">
        <f>AV94+#REF!+AH94+AA94+T94</f>
        <v>#REF!</v>
      </c>
      <c r="AY94" s="261" t="e">
        <f t="shared" si="48"/>
        <v>#REF!</v>
      </c>
      <c r="AZ94" s="261" t="e">
        <f t="shared" si="49"/>
        <v>#REF!</v>
      </c>
      <c r="BA94" s="261" t="e">
        <f t="shared" si="50"/>
        <v>#REF!</v>
      </c>
      <c r="BB94" s="261" t="e">
        <f t="shared" si="51"/>
        <v>#REF!</v>
      </c>
      <c r="BC94" s="261" t="e">
        <f t="shared" si="52"/>
        <v>#REF!</v>
      </c>
      <c r="BD94" s="261" t="e">
        <f t="shared" si="53"/>
        <v>#REF!</v>
      </c>
      <c r="BE94" s="261" t="e">
        <f>BC94+AV94+#REF!+AH94+AA94</f>
        <v>#REF!</v>
      </c>
      <c r="BF94" s="261" t="e">
        <f t="shared" si="54"/>
        <v>#REF!</v>
      </c>
      <c r="BG94" s="261" t="e">
        <f t="shared" si="55"/>
        <v>#REF!</v>
      </c>
    </row>
    <row r="95" spans="1:59" ht="15.75">
      <c r="A95" s="333">
        <v>7</v>
      </c>
      <c r="B95" s="333" t="s">
        <v>1607</v>
      </c>
      <c r="C95" s="256">
        <v>50</v>
      </c>
      <c r="D95" s="322" t="s">
        <v>65</v>
      </c>
      <c r="E95" s="256" t="s">
        <v>9</v>
      </c>
      <c r="F95" s="425">
        <f t="array" ref="F95">MAX((IF(MNU_CODIGO_ALIMENTO_ENTREGA=CONCATENATE($C95,"_","P_"),MNU_GRAMAJE_REQUERIDO_TIPOA,"")))</f>
        <v>30</v>
      </c>
      <c r="G95" s="257">
        <f t="shared" si="56"/>
        <v>92208</v>
      </c>
      <c r="H95" s="257">
        <f t="shared" si="57"/>
        <v>0</v>
      </c>
      <c r="I95" s="257">
        <f t="shared" si="58"/>
        <v>92208</v>
      </c>
      <c r="J95" s="258">
        <f t="shared" si="59"/>
        <v>29598768</v>
      </c>
      <c r="K95" s="258">
        <f t="shared" si="60"/>
        <v>0</v>
      </c>
      <c r="L95" s="258">
        <f t="shared" si="61"/>
        <v>29598768</v>
      </c>
      <c r="M95" s="426">
        <f t="array" ref="M95">MAX((IF(MNU_CODIGO_ALIMENTO_ENTREGA=CONCATENATE($C95,"_","P_"),MNU_GRAMAJE_REQUERIDO_TIPOB,"")))</f>
        <v>40</v>
      </c>
      <c r="N95" s="343">
        <f t="shared" si="62"/>
        <v>136306</v>
      </c>
      <c r="O95" s="343">
        <f t="shared" si="63"/>
        <v>0</v>
      </c>
      <c r="P95" s="343">
        <f t="shared" si="64"/>
        <v>136306</v>
      </c>
      <c r="Q95" s="344">
        <f t="shared" si="65"/>
        <v>58338968</v>
      </c>
      <c r="R95" s="344">
        <f t="shared" si="66"/>
        <v>0</v>
      </c>
      <c r="S95" s="344">
        <f t="shared" si="67"/>
        <v>58338968</v>
      </c>
      <c r="T95" s="348">
        <f t="array" ref="T95">MAX((IF(MNU_CODIGO_ALIMENTO_ENTREGA=CONCATENATE($C95,"_","P_"),MNU_GRAMAJE_REQUERIDO_TIPOC,"")))</f>
        <v>80</v>
      </c>
      <c r="U95" s="257">
        <f t="shared" si="68"/>
        <v>166838</v>
      </c>
      <c r="V95" s="257">
        <f t="shared" si="69"/>
        <v>0</v>
      </c>
      <c r="W95" s="257">
        <f t="shared" si="70"/>
        <v>166838</v>
      </c>
      <c r="X95" s="258">
        <f t="shared" si="71"/>
        <v>142646490</v>
      </c>
      <c r="Y95" s="258">
        <f t="shared" si="72"/>
        <v>0</v>
      </c>
      <c r="Z95" s="258">
        <f t="shared" si="73"/>
        <v>142646490</v>
      </c>
      <c r="AA95" s="256">
        <f t="array" ref="AA95">MAX((IF(MNU_CODIGO_ALIMENTO_ENTREGA=CONCATENATE($C95,"_","P_"),MNU_GRAMAJE_REQUERIDO_TIPOM,"")))</f>
        <v>40</v>
      </c>
      <c r="AB95" s="259">
        <f t="shared" si="74"/>
        <v>2788</v>
      </c>
      <c r="AC95" s="259">
        <v>0</v>
      </c>
      <c r="AD95" s="259">
        <f t="shared" si="75"/>
        <v>2788</v>
      </c>
      <c r="AE95" s="260">
        <f t="shared" si="76"/>
        <v>1193264</v>
      </c>
      <c r="AF95" s="260">
        <v>0</v>
      </c>
      <c r="AG95" s="260">
        <f t="shared" si="77"/>
        <v>1193264</v>
      </c>
      <c r="AH95" s="348">
        <f t="array" ref="AH95">MAX((IF(MNU_CODIGO_ALIMENTO_ENTREGA=CONCATENATE($C95,"_","P_"),MNU_GRAMAJE_REQUERIDO_TIPOH,"")))</f>
        <v>80</v>
      </c>
      <c r="AI95" s="257">
        <f t="shared" si="78"/>
        <v>2720</v>
      </c>
      <c r="AJ95" s="257">
        <v>0</v>
      </c>
      <c r="AK95" s="257">
        <f t="shared" si="79"/>
        <v>2720</v>
      </c>
      <c r="AL95" s="258">
        <f t="shared" si="80"/>
        <v>2325600</v>
      </c>
      <c r="AM95" s="258">
        <v>0</v>
      </c>
      <c r="AN95" s="258">
        <f t="shared" si="81"/>
        <v>2325600</v>
      </c>
      <c r="AO95" s="451">
        <f t="shared" si="82"/>
        <v>400860</v>
      </c>
      <c r="AP95" s="450">
        <f t="shared" si="83"/>
        <v>234103090</v>
      </c>
      <c r="AQ95" s="261" t="e">
        <f>#REF!+AH95+AA95+T95+M95</f>
        <v>#REF!</v>
      </c>
      <c r="AR95" s="261">
        <f t="shared" si="42"/>
        <v>234411742</v>
      </c>
      <c r="AS95" s="261" t="e">
        <f t="shared" si="43"/>
        <v>#REF!</v>
      </c>
      <c r="AT95" s="261">
        <f t="shared" si="44"/>
        <v>234720394</v>
      </c>
      <c r="AU95" s="261" t="e">
        <f t="shared" si="45"/>
        <v>#REF!</v>
      </c>
      <c r="AV95" s="261">
        <f t="shared" si="46"/>
        <v>234720394</v>
      </c>
      <c r="AW95" s="261" t="e">
        <f t="shared" si="47"/>
        <v>#REF!</v>
      </c>
      <c r="AX95" s="261" t="e">
        <f>AV95+#REF!+AH95+AA95+T95</f>
        <v>#REF!</v>
      </c>
      <c r="AY95" s="261" t="e">
        <f t="shared" si="48"/>
        <v>#REF!</v>
      </c>
      <c r="AZ95" s="261" t="e">
        <f t="shared" si="49"/>
        <v>#REF!</v>
      </c>
      <c r="BA95" s="261" t="e">
        <f t="shared" si="50"/>
        <v>#REF!</v>
      </c>
      <c r="BB95" s="261" t="e">
        <f t="shared" si="51"/>
        <v>#REF!</v>
      </c>
      <c r="BC95" s="261" t="e">
        <f t="shared" si="52"/>
        <v>#REF!</v>
      </c>
      <c r="BD95" s="261" t="e">
        <f t="shared" si="53"/>
        <v>#REF!</v>
      </c>
      <c r="BE95" s="261" t="e">
        <f>BC95+AV95+#REF!+AH95+AA95</f>
        <v>#REF!</v>
      </c>
      <c r="BF95" s="261" t="e">
        <f t="shared" si="54"/>
        <v>#REF!</v>
      </c>
      <c r="BG95" s="261" t="e">
        <f t="shared" si="55"/>
        <v>#REF!</v>
      </c>
    </row>
    <row r="96" spans="1:59" ht="15.75">
      <c r="A96" s="333">
        <v>7</v>
      </c>
      <c r="B96" s="333" t="s">
        <v>1607</v>
      </c>
      <c r="C96" s="256">
        <v>61</v>
      </c>
      <c r="D96" s="322" t="s">
        <v>13</v>
      </c>
      <c r="E96" s="256" t="s">
        <v>9</v>
      </c>
      <c r="F96" s="425">
        <f t="array" ref="F96">MAX((IF(MNU_CODIGO_ALIMENTO_ENTREGA=CONCATENATE($C96,"_","P_"),MNU_GRAMAJE_REQUERIDO_TIPOA,"")))</f>
        <v>20</v>
      </c>
      <c r="G96" s="257">
        <f t="shared" si="56"/>
        <v>86784</v>
      </c>
      <c r="H96" s="257">
        <f t="shared" si="57"/>
        <v>19480</v>
      </c>
      <c r="I96" s="257">
        <f t="shared" si="58"/>
        <v>106264</v>
      </c>
      <c r="J96" s="258">
        <f t="shared" si="59"/>
        <v>20220672</v>
      </c>
      <c r="K96" s="258">
        <f t="shared" si="60"/>
        <v>4538840</v>
      </c>
      <c r="L96" s="258">
        <f t="shared" si="61"/>
        <v>24759512</v>
      </c>
      <c r="M96" s="426">
        <f t="array" ref="M96">MAX((IF(MNU_CODIGO_ALIMENTO_ENTREGA=CONCATENATE($C96,"_","P_"),MNU_GRAMAJE_REQUERIDO_TIPOB,"")))</f>
        <v>30</v>
      </c>
      <c r="N96" s="343">
        <f t="shared" si="62"/>
        <v>128288</v>
      </c>
      <c r="O96" s="343">
        <f t="shared" si="63"/>
        <v>23000</v>
      </c>
      <c r="P96" s="343">
        <f t="shared" si="64"/>
        <v>151288</v>
      </c>
      <c r="Q96" s="344">
        <f t="shared" si="65"/>
        <v>45029088</v>
      </c>
      <c r="R96" s="344">
        <f t="shared" si="66"/>
        <v>8073000</v>
      </c>
      <c r="S96" s="344">
        <f t="shared" si="67"/>
        <v>53102088</v>
      </c>
      <c r="T96" s="348">
        <f t="array" ref="T96">MAX((IF(MNU_CODIGO_ALIMENTO_ENTREGA=CONCATENATE($C96,"_","P_"),MNU_GRAMAJE_REQUERIDO_TIPOC,"")))</f>
        <v>70</v>
      </c>
      <c r="U96" s="257">
        <f t="shared" si="68"/>
        <v>157024</v>
      </c>
      <c r="V96" s="257">
        <f t="shared" si="69"/>
        <v>42340</v>
      </c>
      <c r="W96" s="257">
        <f t="shared" si="70"/>
        <v>199364</v>
      </c>
      <c r="X96" s="258">
        <f t="shared" si="71"/>
        <v>128445632</v>
      </c>
      <c r="Y96" s="258">
        <f t="shared" si="72"/>
        <v>34634120</v>
      </c>
      <c r="Z96" s="258">
        <f t="shared" si="73"/>
        <v>163079752</v>
      </c>
      <c r="AA96" s="256">
        <f t="array" ref="AA96">MAX((IF(MNU_CODIGO_ALIMENTO_ENTREGA=CONCATENATE($C96,"_","P_"),MNU_GRAMAJE_REQUERIDO_TIPOM,"")))</f>
        <v>30</v>
      </c>
      <c r="AB96" s="259">
        <f t="shared" si="74"/>
        <v>2624</v>
      </c>
      <c r="AC96" s="259">
        <v>0</v>
      </c>
      <c r="AD96" s="259">
        <f t="shared" si="75"/>
        <v>2624</v>
      </c>
      <c r="AE96" s="260">
        <f t="shared" si="76"/>
        <v>921024</v>
      </c>
      <c r="AF96" s="260">
        <v>0</v>
      </c>
      <c r="AG96" s="260">
        <f t="shared" si="77"/>
        <v>921024</v>
      </c>
      <c r="AH96" s="348">
        <f t="array" ref="AH96">MAX((IF(MNU_CODIGO_ALIMENTO_ENTREGA=CONCATENATE($C96,"_","P_"),MNU_GRAMAJE_REQUERIDO_TIPOH,"")))</f>
        <v>70</v>
      </c>
      <c r="AI96" s="257">
        <f t="shared" si="78"/>
        <v>2560</v>
      </c>
      <c r="AJ96" s="257">
        <v>0</v>
      </c>
      <c r="AK96" s="257">
        <f t="shared" si="79"/>
        <v>2560</v>
      </c>
      <c r="AL96" s="258">
        <f t="shared" si="80"/>
        <v>2094080</v>
      </c>
      <c r="AM96" s="258">
        <v>0</v>
      </c>
      <c r="AN96" s="258">
        <f t="shared" si="81"/>
        <v>2094080</v>
      </c>
      <c r="AO96" s="451">
        <f t="shared" si="82"/>
        <v>462100</v>
      </c>
      <c r="AP96" s="450">
        <f t="shared" si="83"/>
        <v>243956456</v>
      </c>
      <c r="AQ96" s="261" t="e">
        <f>#REF!+AH96+AA96+T96+M96</f>
        <v>#REF!</v>
      </c>
      <c r="AR96" s="261">
        <f t="shared" si="42"/>
        <v>244246952</v>
      </c>
      <c r="AS96" s="261" t="e">
        <f t="shared" si="43"/>
        <v>#REF!</v>
      </c>
      <c r="AT96" s="261">
        <f t="shared" si="44"/>
        <v>244602788</v>
      </c>
      <c r="AU96" s="261" t="e">
        <f t="shared" si="45"/>
        <v>#REF!</v>
      </c>
      <c r="AV96" s="261">
        <f t="shared" si="46"/>
        <v>287309908</v>
      </c>
      <c r="AW96" s="261" t="e">
        <f t="shared" si="47"/>
        <v>#REF!</v>
      </c>
      <c r="AX96" s="261" t="e">
        <f>AV96+#REF!+AH96+AA96+T96</f>
        <v>#REF!</v>
      </c>
      <c r="AY96" s="261" t="e">
        <f t="shared" si="48"/>
        <v>#REF!</v>
      </c>
      <c r="AZ96" s="261" t="e">
        <f t="shared" si="49"/>
        <v>#REF!</v>
      </c>
      <c r="BA96" s="261" t="e">
        <f t="shared" si="50"/>
        <v>#REF!</v>
      </c>
      <c r="BB96" s="261" t="e">
        <f t="shared" si="51"/>
        <v>#REF!</v>
      </c>
      <c r="BC96" s="261" t="e">
        <f t="shared" si="52"/>
        <v>#REF!</v>
      </c>
      <c r="BD96" s="261" t="e">
        <f t="shared" si="53"/>
        <v>#REF!</v>
      </c>
      <c r="BE96" s="261" t="e">
        <f>BC96+AV96+#REF!+AH96+AA96</f>
        <v>#REF!</v>
      </c>
      <c r="BF96" s="261" t="e">
        <f t="shared" si="54"/>
        <v>#REF!</v>
      </c>
      <c r="BG96" s="261" t="e">
        <f t="shared" si="55"/>
        <v>#REF!</v>
      </c>
    </row>
    <row r="97" spans="1:59" ht="15.75">
      <c r="A97" s="333">
        <v>7</v>
      </c>
      <c r="B97" s="333" t="s">
        <v>1607</v>
      </c>
      <c r="C97" s="256">
        <v>62</v>
      </c>
      <c r="D97" s="322" t="s">
        <v>68</v>
      </c>
      <c r="E97" s="256" t="s">
        <v>9</v>
      </c>
      <c r="F97" s="425">
        <f t="array" ref="F97">MAX((IF(MNU_CODIGO_ALIMENTO_ENTREGA=CONCATENATE($C97,"_","P_"),MNU_GRAMAJE_REQUERIDO_TIPOA,"")))</f>
        <v>50</v>
      </c>
      <c r="G97" s="257">
        <f t="shared" si="56"/>
        <v>27120</v>
      </c>
      <c r="H97" s="257">
        <f t="shared" si="57"/>
        <v>0</v>
      </c>
      <c r="I97" s="257">
        <f t="shared" si="58"/>
        <v>27120</v>
      </c>
      <c r="J97" s="258">
        <f t="shared" si="59"/>
        <v>16950000</v>
      </c>
      <c r="K97" s="258">
        <f t="shared" si="60"/>
        <v>0</v>
      </c>
      <c r="L97" s="258">
        <f t="shared" si="61"/>
        <v>16950000</v>
      </c>
      <c r="M97" s="426">
        <f t="array" ref="M97">MAX((IF(MNU_CODIGO_ALIMENTO_ENTREGA=CONCATENATE($C97,"_","P_"),MNU_GRAMAJE_REQUERIDO_TIPOB,"")))</f>
        <v>50</v>
      </c>
      <c r="N97" s="343">
        <f t="shared" si="62"/>
        <v>40090</v>
      </c>
      <c r="O97" s="343">
        <f t="shared" si="63"/>
        <v>0</v>
      </c>
      <c r="P97" s="343">
        <f t="shared" si="64"/>
        <v>40090</v>
      </c>
      <c r="Q97" s="344">
        <f t="shared" si="65"/>
        <v>25056250</v>
      </c>
      <c r="R97" s="344">
        <f t="shared" si="66"/>
        <v>0</v>
      </c>
      <c r="S97" s="344">
        <f t="shared" si="67"/>
        <v>25056250</v>
      </c>
      <c r="T97" s="348">
        <f t="array" ref="T97">MAX((IF(MNU_CODIGO_ALIMENTO_ENTREGA=CONCATENATE($C97,"_","P_"),MNU_GRAMAJE_REQUERIDO_TIPOC,"")))</f>
        <v>50</v>
      </c>
      <c r="U97" s="257">
        <f t="shared" si="68"/>
        <v>49070</v>
      </c>
      <c r="V97" s="257">
        <f t="shared" si="69"/>
        <v>0</v>
      </c>
      <c r="W97" s="257">
        <f t="shared" si="70"/>
        <v>49070</v>
      </c>
      <c r="X97" s="258">
        <f t="shared" si="71"/>
        <v>30668750</v>
      </c>
      <c r="Y97" s="258">
        <f t="shared" si="72"/>
        <v>0</v>
      </c>
      <c r="Z97" s="258">
        <f t="shared" si="73"/>
        <v>30668750</v>
      </c>
      <c r="AA97" s="256">
        <f t="array" ref="AA97">MAX((IF(MNU_CODIGO_ALIMENTO_ENTREGA=CONCATENATE($C97,"_","P_"),MNU_GRAMAJE_REQUERIDO_TIPOM,"")))</f>
        <v>50</v>
      </c>
      <c r="AB97" s="259">
        <f t="shared" si="74"/>
        <v>820</v>
      </c>
      <c r="AC97" s="259">
        <v>0</v>
      </c>
      <c r="AD97" s="259">
        <f t="shared" si="75"/>
        <v>820</v>
      </c>
      <c r="AE97" s="260">
        <f t="shared" si="76"/>
        <v>512500</v>
      </c>
      <c r="AF97" s="260">
        <v>0</v>
      </c>
      <c r="AG97" s="260">
        <f t="shared" si="77"/>
        <v>512500</v>
      </c>
      <c r="AH97" s="348">
        <f t="array" ref="AH97">MAX((IF(MNU_CODIGO_ALIMENTO_ENTREGA=CONCATENATE($C97,"_","P_"),MNU_GRAMAJE_REQUERIDO_TIPOH,"")))</f>
        <v>50</v>
      </c>
      <c r="AI97" s="257">
        <f t="shared" si="78"/>
        <v>800</v>
      </c>
      <c r="AJ97" s="257">
        <v>0</v>
      </c>
      <c r="AK97" s="257">
        <f t="shared" si="79"/>
        <v>800</v>
      </c>
      <c r="AL97" s="258">
        <f t="shared" si="80"/>
        <v>500000</v>
      </c>
      <c r="AM97" s="258">
        <v>0</v>
      </c>
      <c r="AN97" s="258">
        <f t="shared" si="81"/>
        <v>500000</v>
      </c>
      <c r="AO97" s="451">
        <f t="shared" si="82"/>
        <v>117900</v>
      </c>
      <c r="AP97" s="450">
        <f t="shared" si="83"/>
        <v>73687500</v>
      </c>
      <c r="AQ97" s="261" t="e">
        <f>#REF!+AH97+AA97+T97+M97</f>
        <v>#REF!</v>
      </c>
      <c r="AR97" s="261">
        <f t="shared" si="42"/>
        <v>73778280</v>
      </c>
      <c r="AS97" s="261" t="e">
        <f t="shared" si="43"/>
        <v>#REF!</v>
      </c>
      <c r="AT97" s="261">
        <f t="shared" si="44"/>
        <v>73869060</v>
      </c>
      <c r="AU97" s="261" t="e">
        <f t="shared" si="45"/>
        <v>#REF!</v>
      </c>
      <c r="AV97" s="261">
        <f t="shared" si="46"/>
        <v>73869060</v>
      </c>
      <c r="AW97" s="261" t="e">
        <f t="shared" si="47"/>
        <v>#REF!</v>
      </c>
      <c r="AX97" s="261" t="e">
        <f>AV97+#REF!+AH97+AA97+T97</f>
        <v>#REF!</v>
      </c>
      <c r="AY97" s="261" t="e">
        <f t="shared" si="48"/>
        <v>#REF!</v>
      </c>
      <c r="AZ97" s="261" t="e">
        <f t="shared" si="49"/>
        <v>#REF!</v>
      </c>
      <c r="BA97" s="261" t="e">
        <f t="shared" si="50"/>
        <v>#REF!</v>
      </c>
      <c r="BB97" s="261" t="e">
        <f t="shared" si="51"/>
        <v>#REF!</v>
      </c>
      <c r="BC97" s="261" t="e">
        <f t="shared" si="52"/>
        <v>#REF!</v>
      </c>
      <c r="BD97" s="261" t="e">
        <f t="shared" si="53"/>
        <v>#REF!</v>
      </c>
      <c r="BE97" s="261" t="e">
        <f>BC97+AV97+#REF!+AH97+AA97</f>
        <v>#REF!</v>
      </c>
      <c r="BF97" s="261" t="e">
        <f t="shared" si="54"/>
        <v>#REF!</v>
      </c>
      <c r="BG97" s="261" t="e">
        <f t="shared" si="55"/>
        <v>#REF!</v>
      </c>
    </row>
    <row r="98" spans="1:59" ht="15.75">
      <c r="A98" s="333">
        <v>8</v>
      </c>
      <c r="B98" s="333" t="s">
        <v>1607</v>
      </c>
      <c r="C98" s="256">
        <v>1</v>
      </c>
      <c r="D98" s="322" t="s">
        <v>16</v>
      </c>
      <c r="E98" s="256" t="s">
        <v>9</v>
      </c>
      <c r="F98" s="425">
        <f t="array" ref="F98">MAX((IF(MNU_CODIGO_ALIMENTO_ENTREGA=CONCATENATE($C98,"_","P_"),MNU_GRAMAJE_REQUERIDO_TIPOA,"")))</f>
        <v>30</v>
      </c>
      <c r="G98" s="257">
        <f t="shared" si="56"/>
        <v>58575</v>
      </c>
      <c r="H98" s="257">
        <f t="shared" si="57"/>
        <v>0</v>
      </c>
      <c r="I98" s="257">
        <f t="shared" si="58"/>
        <v>58575</v>
      </c>
      <c r="J98" s="258">
        <f t="shared" si="59"/>
        <v>47328600</v>
      </c>
      <c r="K98" s="258">
        <f t="shared" si="60"/>
        <v>0</v>
      </c>
      <c r="L98" s="258">
        <f t="shared" si="61"/>
        <v>47328600</v>
      </c>
      <c r="M98" s="426">
        <f t="array" ref="M98">MAX((IF(MNU_CODIGO_ALIMENTO_ENTREGA=CONCATENATE($C98,"_","P_"),MNU_GRAMAJE_REQUERIDO_TIPOB,"")))</f>
        <v>40</v>
      </c>
      <c r="N98" s="343">
        <f t="shared" si="62"/>
        <v>80205</v>
      </c>
      <c r="O98" s="343">
        <f t="shared" si="63"/>
        <v>0</v>
      </c>
      <c r="P98" s="343">
        <f t="shared" si="64"/>
        <v>80205</v>
      </c>
      <c r="Q98" s="344">
        <f t="shared" si="65"/>
        <v>86460990</v>
      </c>
      <c r="R98" s="344">
        <f t="shared" si="66"/>
        <v>0</v>
      </c>
      <c r="S98" s="344">
        <f t="shared" si="67"/>
        <v>86460990</v>
      </c>
      <c r="T98" s="348">
        <f t="array" ref="T98">MAX((IF(MNU_CODIGO_ALIMENTO_ENTREGA=CONCATENATE($C98,"_","P_"),MNU_GRAMAJE_REQUERIDO_TIPOC,"")))</f>
        <v>60</v>
      </c>
      <c r="U98" s="257">
        <f t="shared" si="68"/>
        <v>82695</v>
      </c>
      <c r="V98" s="257">
        <f t="shared" si="69"/>
        <v>0</v>
      </c>
      <c r="W98" s="257">
        <f t="shared" si="70"/>
        <v>82695</v>
      </c>
      <c r="X98" s="258">
        <f t="shared" si="71"/>
        <v>133635120</v>
      </c>
      <c r="Y98" s="258">
        <f t="shared" si="72"/>
        <v>0</v>
      </c>
      <c r="Z98" s="258">
        <f t="shared" si="73"/>
        <v>133635120</v>
      </c>
      <c r="AA98" s="256">
        <f t="array" ref="AA98">MAX((IF(MNU_CODIGO_ALIMENTO_ENTREGA=CONCATENATE($C98,"_","P_"),MNU_GRAMAJE_REQUERIDO_TIPOM,"")))</f>
        <v>40</v>
      </c>
      <c r="AB98" s="259">
        <f t="shared" si="74"/>
        <v>3525</v>
      </c>
      <c r="AC98" s="259">
        <v>0</v>
      </c>
      <c r="AD98" s="259">
        <f t="shared" si="75"/>
        <v>3525</v>
      </c>
      <c r="AE98" s="260">
        <f t="shared" si="76"/>
        <v>3799950</v>
      </c>
      <c r="AF98" s="260">
        <v>0</v>
      </c>
      <c r="AG98" s="260">
        <f t="shared" si="77"/>
        <v>3799950</v>
      </c>
      <c r="AH98" s="348">
        <f t="array" ref="AH98">MAX((IF(MNU_CODIGO_ALIMENTO_ENTREGA=CONCATENATE($C98,"_","P_"),MNU_GRAMAJE_REQUERIDO_TIPOH,"")))</f>
        <v>60</v>
      </c>
      <c r="AI98" s="257">
        <f t="shared" si="78"/>
        <v>3645</v>
      </c>
      <c r="AJ98" s="257">
        <v>0</v>
      </c>
      <c r="AK98" s="257">
        <f t="shared" si="79"/>
        <v>3645</v>
      </c>
      <c r="AL98" s="258">
        <f t="shared" si="80"/>
        <v>5890320</v>
      </c>
      <c r="AM98" s="258">
        <v>0</v>
      </c>
      <c r="AN98" s="258">
        <f t="shared" si="81"/>
        <v>5890320</v>
      </c>
      <c r="AO98" s="451">
        <f t="shared" si="82"/>
        <v>228645</v>
      </c>
      <c r="AP98" s="450">
        <f t="shared" si="83"/>
        <v>277114980</v>
      </c>
      <c r="AQ98" s="261" t="e">
        <f>#REF!+AH98+AA98+T98+M98</f>
        <v>#REF!</v>
      </c>
      <c r="AR98" s="261">
        <f t="shared" si="42"/>
        <v>277285050</v>
      </c>
      <c r="AS98" s="261" t="e">
        <f t="shared" si="43"/>
        <v>#REF!</v>
      </c>
      <c r="AT98" s="261">
        <f t="shared" si="44"/>
        <v>277455120</v>
      </c>
      <c r="AU98" s="261" t="e">
        <f t="shared" si="45"/>
        <v>#REF!</v>
      </c>
      <c r="AV98" s="261">
        <f t="shared" si="46"/>
        <v>277455120</v>
      </c>
      <c r="AW98" s="261" t="e">
        <f t="shared" si="47"/>
        <v>#REF!</v>
      </c>
      <c r="AX98" s="261" t="e">
        <f>AV98+#REF!+AH98+AA98+T98</f>
        <v>#REF!</v>
      </c>
      <c r="AY98" s="261" t="e">
        <f t="shared" si="48"/>
        <v>#REF!</v>
      </c>
      <c r="AZ98" s="261" t="e">
        <f t="shared" si="49"/>
        <v>#REF!</v>
      </c>
      <c r="BA98" s="261" t="e">
        <f t="shared" si="50"/>
        <v>#REF!</v>
      </c>
      <c r="BB98" s="261" t="e">
        <f t="shared" si="51"/>
        <v>#REF!</v>
      </c>
      <c r="BC98" s="261" t="e">
        <f t="shared" si="52"/>
        <v>#REF!</v>
      </c>
      <c r="BD98" s="261" t="e">
        <f t="shared" si="53"/>
        <v>#REF!</v>
      </c>
      <c r="BE98" s="261" t="e">
        <f>BC98+AV98+#REF!+AH98+AA98</f>
        <v>#REF!</v>
      </c>
      <c r="BF98" s="261" t="e">
        <f t="shared" si="54"/>
        <v>#REF!</v>
      </c>
      <c r="BG98" s="261" t="e">
        <f t="shared" si="55"/>
        <v>#REF!</v>
      </c>
    </row>
    <row r="99" spans="1:59" ht="15.75">
      <c r="A99" s="333">
        <v>8</v>
      </c>
      <c r="B99" s="333" t="s">
        <v>1607</v>
      </c>
      <c r="C99" s="256">
        <v>3</v>
      </c>
      <c r="D99" s="322" t="s">
        <v>12</v>
      </c>
      <c r="E99" s="256" t="s">
        <v>9</v>
      </c>
      <c r="F99" s="425">
        <f t="array" ref="F99">MAX((IF(MNU_CODIGO_ALIMENTO_ENTREGA=CONCATENATE($C99,"_","P_"),MNU_GRAMAJE_REQUERIDO_TIPOA,"")))</f>
        <v>50</v>
      </c>
      <c r="G99" s="257">
        <f t="shared" si="56"/>
        <v>66385</v>
      </c>
      <c r="H99" s="257">
        <f t="shared" si="57"/>
        <v>30096</v>
      </c>
      <c r="I99" s="257">
        <f t="shared" si="58"/>
        <v>96481</v>
      </c>
      <c r="J99" s="258">
        <f t="shared" si="59"/>
        <v>33524425</v>
      </c>
      <c r="K99" s="258">
        <f t="shared" si="60"/>
        <v>15198480</v>
      </c>
      <c r="L99" s="258">
        <f t="shared" si="61"/>
        <v>48722905</v>
      </c>
      <c r="M99" s="426">
        <f t="array" ref="M99">MAX((IF(MNU_CODIGO_ALIMENTO_ENTREGA=CONCATENATE($C99,"_","P_"),MNU_GRAMAJE_REQUERIDO_TIPOB,"")))</f>
        <v>50</v>
      </c>
      <c r="N99" s="343">
        <f t="shared" si="62"/>
        <v>90899</v>
      </c>
      <c r="O99" s="343">
        <f t="shared" si="63"/>
        <v>59508</v>
      </c>
      <c r="P99" s="343">
        <f t="shared" si="64"/>
        <v>150407</v>
      </c>
      <c r="Q99" s="344">
        <f t="shared" si="65"/>
        <v>45903995</v>
      </c>
      <c r="R99" s="344">
        <f t="shared" si="66"/>
        <v>30051540</v>
      </c>
      <c r="S99" s="344">
        <f t="shared" si="67"/>
        <v>75955535</v>
      </c>
      <c r="T99" s="348">
        <f t="array" ref="T99">MAX((IF(MNU_CODIGO_ALIMENTO_ENTREGA=CONCATENATE($C99,"_","P_"),MNU_GRAMAJE_REQUERIDO_TIPOC,"")))</f>
        <v>80</v>
      </c>
      <c r="U99" s="257">
        <f t="shared" si="68"/>
        <v>93721</v>
      </c>
      <c r="V99" s="257">
        <f t="shared" si="69"/>
        <v>60420</v>
      </c>
      <c r="W99" s="257">
        <f t="shared" si="70"/>
        <v>154141</v>
      </c>
      <c r="X99" s="258">
        <f t="shared" si="71"/>
        <v>71509123</v>
      </c>
      <c r="Y99" s="258">
        <f t="shared" si="72"/>
        <v>46100460</v>
      </c>
      <c r="Z99" s="258">
        <f t="shared" si="73"/>
        <v>117609583</v>
      </c>
      <c r="AA99" s="256">
        <f t="array" ref="AA99">MAX((IF(MNU_CODIGO_ALIMENTO_ENTREGA=CONCATENATE($C99,"_","P_"),MNU_GRAMAJE_REQUERIDO_TIPOM,"")))</f>
        <v>50</v>
      </c>
      <c r="AB99" s="259">
        <f t="shared" si="74"/>
        <v>3995</v>
      </c>
      <c r="AC99" s="259">
        <v>0</v>
      </c>
      <c r="AD99" s="259">
        <f t="shared" si="75"/>
        <v>3995</v>
      </c>
      <c r="AE99" s="260">
        <f t="shared" si="76"/>
        <v>2017475</v>
      </c>
      <c r="AF99" s="260">
        <v>0</v>
      </c>
      <c r="AG99" s="260">
        <f t="shared" si="77"/>
        <v>2017475</v>
      </c>
      <c r="AH99" s="348">
        <f t="array" ref="AH99">MAX((IF(MNU_CODIGO_ALIMENTO_ENTREGA=CONCATENATE($C99,"_","P_"),MNU_GRAMAJE_REQUERIDO_TIPOH,"")))</f>
        <v>80</v>
      </c>
      <c r="AI99" s="257">
        <f t="shared" si="78"/>
        <v>4131</v>
      </c>
      <c r="AJ99" s="257">
        <v>0</v>
      </c>
      <c r="AK99" s="257">
        <f t="shared" si="79"/>
        <v>4131</v>
      </c>
      <c r="AL99" s="258">
        <f t="shared" si="80"/>
        <v>3151953</v>
      </c>
      <c r="AM99" s="258">
        <v>0</v>
      </c>
      <c r="AN99" s="258">
        <f t="shared" si="81"/>
        <v>3151953</v>
      </c>
      <c r="AO99" s="451">
        <f t="shared" si="82"/>
        <v>409155</v>
      </c>
      <c r="AP99" s="450">
        <f t="shared" si="83"/>
        <v>247457451</v>
      </c>
      <c r="AQ99" s="261" t="e">
        <f>#REF!+AH99+AA99+T99+M99</f>
        <v>#REF!</v>
      </c>
      <c r="AR99" s="261">
        <f t="shared" si="42"/>
        <v>247650197</v>
      </c>
      <c r="AS99" s="261" t="e">
        <f t="shared" si="43"/>
        <v>#REF!</v>
      </c>
      <c r="AT99" s="261">
        <f t="shared" si="44"/>
        <v>247962871</v>
      </c>
      <c r="AU99" s="261" t="e">
        <f t="shared" si="45"/>
        <v>#REF!</v>
      </c>
      <c r="AV99" s="261">
        <f t="shared" si="46"/>
        <v>324114871</v>
      </c>
      <c r="AW99" s="261" t="e">
        <f t="shared" si="47"/>
        <v>#REF!</v>
      </c>
      <c r="AX99" s="261" t="e">
        <f>AV99+#REF!+AH99+AA99+T99</f>
        <v>#REF!</v>
      </c>
      <c r="AY99" s="261" t="e">
        <f t="shared" si="48"/>
        <v>#REF!</v>
      </c>
      <c r="AZ99" s="261" t="e">
        <f t="shared" si="49"/>
        <v>#REF!</v>
      </c>
      <c r="BA99" s="261" t="e">
        <f t="shared" si="50"/>
        <v>#REF!</v>
      </c>
      <c r="BB99" s="261" t="e">
        <f t="shared" si="51"/>
        <v>#REF!</v>
      </c>
      <c r="BC99" s="261" t="e">
        <f t="shared" si="52"/>
        <v>#REF!</v>
      </c>
      <c r="BD99" s="261" t="e">
        <f t="shared" si="53"/>
        <v>#REF!</v>
      </c>
      <c r="BE99" s="261" t="e">
        <f>BC99+AV99+#REF!+AH99+AA99</f>
        <v>#REF!</v>
      </c>
      <c r="BF99" s="261" t="e">
        <f t="shared" si="54"/>
        <v>#REF!</v>
      </c>
      <c r="BG99" s="261" t="e">
        <f t="shared" si="55"/>
        <v>#REF!</v>
      </c>
    </row>
    <row r="100" spans="1:59" ht="15.75">
      <c r="A100" s="333">
        <v>8</v>
      </c>
      <c r="B100" s="333" t="s">
        <v>1607</v>
      </c>
      <c r="C100" s="256">
        <v>15</v>
      </c>
      <c r="D100" s="322" t="s">
        <v>66</v>
      </c>
      <c r="E100" s="256" t="s">
        <v>9</v>
      </c>
      <c r="F100" s="425">
        <f t="array" ref="F100">MAX((IF(MNU_CODIGO_ALIMENTO_ENTREGA=CONCATENATE($C100,"_","P_"),MNU_GRAMAJE_REQUERIDO_TIPOA,"")))</f>
        <v>50</v>
      </c>
      <c r="G100" s="257">
        <f t="shared" si="56"/>
        <v>66385</v>
      </c>
      <c r="H100" s="257">
        <f t="shared" si="57"/>
        <v>17424</v>
      </c>
      <c r="I100" s="257">
        <f t="shared" si="58"/>
        <v>83809</v>
      </c>
      <c r="J100" s="258">
        <f t="shared" si="59"/>
        <v>44677105</v>
      </c>
      <c r="K100" s="258">
        <f t="shared" si="60"/>
        <v>11726352</v>
      </c>
      <c r="L100" s="258">
        <f t="shared" si="61"/>
        <v>56403457</v>
      </c>
      <c r="M100" s="426">
        <f t="array" ref="M100">MAX((IF(MNU_CODIGO_ALIMENTO_ENTREGA=CONCATENATE($C100,"_","P_"),MNU_GRAMAJE_REQUERIDO_TIPOB,"")))</f>
        <v>50</v>
      </c>
      <c r="N100" s="343">
        <f t="shared" si="62"/>
        <v>90899</v>
      </c>
      <c r="O100" s="343">
        <f t="shared" si="63"/>
        <v>34452</v>
      </c>
      <c r="P100" s="343">
        <f t="shared" si="64"/>
        <v>125351</v>
      </c>
      <c r="Q100" s="344">
        <f t="shared" si="65"/>
        <v>61175027</v>
      </c>
      <c r="R100" s="344">
        <f t="shared" si="66"/>
        <v>23186196</v>
      </c>
      <c r="S100" s="344">
        <f t="shared" si="67"/>
        <v>84361223</v>
      </c>
      <c r="T100" s="348">
        <f t="array" ref="T100">MAX((IF(MNU_CODIGO_ALIMENTO_ENTREGA=CONCATENATE($C100,"_","P_"),MNU_GRAMAJE_REQUERIDO_TIPOC,"")))</f>
        <v>80</v>
      </c>
      <c r="U100" s="257">
        <f t="shared" si="68"/>
        <v>93721</v>
      </c>
      <c r="V100" s="257">
        <f t="shared" si="69"/>
        <v>34980</v>
      </c>
      <c r="W100" s="257">
        <f t="shared" si="70"/>
        <v>128701</v>
      </c>
      <c r="X100" s="258">
        <f t="shared" si="71"/>
        <v>100843796</v>
      </c>
      <c r="Y100" s="258">
        <f t="shared" si="72"/>
        <v>37638480</v>
      </c>
      <c r="Z100" s="258">
        <f t="shared" si="73"/>
        <v>138482276</v>
      </c>
      <c r="AA100" s="256">
        <f t="array" ref="AA100">MAX((IF(MNU_CODIGO_ALIMENTO_ENTREGA=CONCATENATE($C100,"_","P_"),MNU_GRAMAJE_REQUERIDO_TIPOM,"")))</f>
        <v>50</v>
      </c>
      <c r="AB100" s="259">
        <f t="shared" si="74"/>
        <v>3995</v>
      </c>
      <c r="AC100" s="259">
        <v>0</v>
      </c>
      <c r="AD100" s="259">
        <f t="shared" si="75"/>
        <v>3995</v>
      </c>
      <c r="AE100" s="260">
        <f t="shared" si="76"/>
        <v>2688635</v>
      </c>
      <c r="AF100" s="260">
        <v>0</v>
      </c>
      <c r="AG100" s="260">
        <f t="shared" si="77"/>
        <v>2688635</v>
      </c>
      <c r="AH100" s="348">
        <f t="array" ref="AH100">MAX((IF(MNU_CODIGO_ALIMENTO_ENTREGA=CONCATENATE($C100,"_","P_"),MNU_GRAMAJE_REQUERIDO_TIPOH,"")))</f>
        <v>80</v>
      </c>
      <c r="AI100" s="257">
        <f t="shared" si="78"/>
        <v>4131</v>
      </c>
      <c r="AJ100" s="257">
        <v>0</v>
      </c>
      <c r="AK100" s="257">
        <f t="shared" si="79"/>
        <v>4131</v>
      </c>
      <c r="AL100" s="258">
        <f t="shared" si="80"/>
        <v>4444956</v>
      </c>
      <c r="AM100" s="258">
        <v>0</v>
      </c>
      <c r="AN100" s="258">
        <f t="shared" si="81"/>
        <v>4444956</v>
      </c>
      <c r="AO100" s="451">
        <f t="shared" si="82"/>
        <v>345987</v>
      </c>
      <c r="AP100" s="450">
        <f t="shared" si="83"/>
        <v>286380547</v>
      </c>
      <c r="AQ100" s="261" t="e">
        <f>#REF!+AH100+AA100+T100+M100</f>
        <v>#REF!</v>
      </c>
      <c r="AR100" s="261">
        <f t="shared" si="42"/>
        <v>286573293</v>
      </c>
      <c r="AS100" s="261" t="e">
        <f t="shared" si="43"/>
        <v>#REF!</v>
      </c>
      <c r="AT100" s="261">
        <f t="shared" si="44"/>
        <v>286835471</v>
      </c>
      <c r="AU100" s="261" t="e">
        <f t="shared" si="45"/>
        <v>#REF!</v>
      </c>
      <c r="AV100" s="261">
        <f t="shared" si="46"/>
        <v>347660147</v>
      </c>
      <c r="AW100" s="261" t="e">
        <f t="shared" si="47"/>
        <v>#REF!</v>
      </c>
      <c r="AX100" s="261" t="e">
        <f>AV100+#REF!+AH100+AA100+T100</f>
        <v>#REF!</v>
      </c>
      <c r="AY100" s="261" t="e">
        <f t="shared" si="48"/>
        <v>#REF!</v>
      </c>
      <c r="AZ100" s="261" t="e">
        <f t="shared" si="49"/>
        <v>#REF!</v>
      </c>
      <c r="BA100" s="261" t="e">
        <f t="shared" si="50"/>
        <v>#REF!</v>
      </c>
      <c r="BB100" s="261" t="e">
        <f t="shared" si="51"/>
        <v>#REF!</v>
      </c>
      <c r="BC100" s="261" t="e">
        <f t="shared" si="52"/>
        <v>#REF!</v>
      </c>
      <c r="BD100" s="261" t="e">
        <f t="shared" si="53"/>
        <v>#REF!</v>
      </c>
      <c r="BE100" s="261" t="e">
        <f>BC100+AV100+#REF!+AH100+AA100</f>
        <v>#REF!</v>
      </c>
      <c r="BF100" s="261" t="e">
        <f t="shared" si="54"/>
        <v>#REF!</v>
      </c>
      <c r="BG100" s="261" t="e">
        <f t="shared" si="55"/>
        <v>#REF!</v>
      </c>
    </row>
    <row r="101" spans="1:59" ht="15.75">
      <c r="A101" s="333">
        <v>8</v>
      </c>
      <c r="B101" s="333" t="s">
        <v>1607</v>
      </c>
      <c r="C101" s="256">
        <v>24</v>
      </c>
      <c r="D101" s="322" t="s">
        <v>61</v>
      </c>
      <c r="E101" s="256" t="s">
        <v>9</v>
      </c>
      <c r="F101" s="425">
        <f t="array" ref="F101">MAX((IF(MNU_CODIGO_ALIMENTO_ENTREGA=CONCATENATE($C101,"_","P_"),MNU_GRAMAJE_REQUERIDO_TIPOA,"")))</f>
        <v>20</v>
      </c>
      <c r="G101" s="257">
        <f t="shared" si="56"/>
        <v>66385</v>
      </c>
      <c r="H101" s="257">
        <f t="shared" si="57"/>
        <v>17424</v>
      </c>
      <c r="I101" s="257">
        <f t="shared" si="58"/>
        <v>83809</v>
      </c>
      <c r="J101" s="258">
        <f t="shared" si="59"/>
        <v>8497280</v>
      </c>
      <c r="K101" s="258">
        <f t="shared" si="60"/>
        <v>2230272</v>
      </c>
      <c r="L101" s="258">
        <f t="shared" si="61"/>
        <v>10727552</v>
      </c>
      <c r="M101" s="426">
        <f t="array" ref="M101">MAX((IF(MNU_CODIGO_ALIMENTO_ENTREGA=CONCATENATE($C101,"_","P_"),MNU_GRAMAJE_REQUERIDO_TIPOB,"")))</f>
        <v>30</v>
      </c>
      <c r="N101" s="343">
        <f t="shared" si="62"/>
        <v>90899</v>
      </c>
      <c r="O101" s="343">
        <f t="shared" si="63"/>
        <v>34452</v>
      </c>
      <c r="P101" s="343">
        <f t="shared" si="64"/>
        <v>125351</v>
      </c>
      <c r="Q101" s="344">
        <f t="shared" si="65"/>
        <v>18179800</v>
      </c>
      <c r="R101" s="344">
        <f t="shared" si="66"/>
        <v>6890400</v>
      </c>
      <c r="S101" s="344">
        <f t="shared" si="67"/>
        <v>25070200</v>
      </c>
      <c r="T101" s="348">
        <f t="array" ref="T101">MAX((IF(MNU_CODIGO_ALIMENTO_ENTREGA=CONCATENATE($C101,"_","P_"),MNU_GRAMAJE_REQUERIDO_TIPOC,"")))</f>
        <v>60</v>
      </c>
      <c r="U101" s="257">
        <f t="shared" si="68"/>
        <v>93721</v>
      </c>
      <c r="V101" s="257">
        <f t="shared" si="69"/>
        <v>34980</v>
      </c>
      <c r="W101" s="257">
        <f t="shared" si="70"/>
        <v>128701</v>
      </c>
      <c r="X101" s="258">
        <f t="shared" si="71"/>
        <v>36082585</v>
      </c>
      <c r="Y101" s="258">
        <f t="shared" si="72"/>
        <v>13467300</v>
      </c>
      <c r="Z101" s="258">
        <f t="shared" si="73"/>
        <v>49549885</v>
      </c>
      <c r="AA101" s="256">
        <f t="array" ref="AA101">MAX((IF(MNU_CODIGO_ALIMENTO_ENTREGA=CONCATENATE($C101,"_","P_"),MNU_GRAMAJE_REQUERIDO_TIPOM,"")))</f>
        <v>30</v>
      </c>
      <c r="AB101" s="259">
        <f t="shared" si="74"/>
        <v>3995</v>
      </c>
      <c r="AC101" s="259">
        <v>0</v>
      </c>
      <c r="AD101" s="259">
        <f t="shared" si="75"/>
        <v>3995</v>
      </c>
      <c r="AE101" s="260">
        <f t="shared" si="76"/>
        <v>799000</v>
      </c>
      <c r="AF101" s="260">
        <v>0</v>
      </c>
      <c r="AG101" s="260">
        <f t="shared" si="77"/>
        <v>799000</v>
      </c>
      <c r="AH101" s="348">
        <f t="array" ref="AH101">MAX((IF(MNU_CODIGO_ALIMENTO_ENTREGA=CONCATENATE($C101,"_","P_"),MNU_GRAMAJE_REQUERIDO_TIPOH,"")))</f>
        <v>60</v>
      </c>
      <c r="AI101" s="257">
        <f t="shared" si="78"/>
        <v>4131</v>
      </c>
      <c r="AJ101" s="257">
        <v>0</v>
      </c>
      <c r="AK101" s="257">
        <f t="shared" si="79"/>
        <v>4131</v>
      </c>
      <c r="AL101" s="258">
        <f t="shared" si="80"/>
        <v>1590435</v>
      </c>
      <c r="AM101" s="258">
        <v>0</v>
      </c>
      <c r="AN101" s="258">
        <f t="shared" si="81"/>
        <v>1590435</v>
      </c>
      <c r="AO101" s="451">
        <f t="shared" si="82"/>
        <v>345987</v>
      </c>
      <c r="AP101" s="450">
        <f t="shared" si="83"/>
        <v>87737072</v>
      </c>
      <c r="AQ101" s="261" t="e">
        <f>#REF!+AH101+AA101+T101+M101</f>
        <v>#REF!</v>
      </c>
      <c r="AR101" s="261">
        <f t="shared" si="42"/>
        <v>87929818</v>
      </c>
      <c r="AS101" s="261" t="e">
        <f t="shared" si="43"/>
        <v>#REF!</v>
      </c>
      <c r="AT101" s="261">
        <f t="shared" si="44"/>
        <v>88191996</v>
      </c>
      <c r="AU101" s="261" t="e">
        <f t="shared" si="45"/>
        <v>#REF!</v>
      </c>
      <c r="AV101" s="261">
        <f t="shared" si="46"/>
        <v>108549696</v>
      </c>
      <c r="AW101" s="261" t="e">
        <f t="shared" si="47"/>
        <v>#REF!</v>
      </c>
      <c r="AX101" s="261" t="e">
        <f>AV101+#REF!+AH101+AA101+T101</f>
        <v>#REF!</v>
      </c>
      <c r="AY101" s="261" t="e">
        <f t="shared" si="48"/>
        <v>#REF!</v>
      </c>
      <c r="AZ101" s="261" t="e">
        <f t="shared" si="49"/>
        <v>#REF!</v>
      </c>
      <c r="BA101" s="261" t="e">
        <f t="shared" si="50"/>
        <v>#REF!</v>
      </c>
      <c r="BB101" s="261" t="e">
        <f t="shared" si="51"/>
        <v>#REF!</v>
      </c>
      <c r="BC101" s="261" t="e">
        <f t="shared" si="52"/>
        <v>#REF!</v>
      </c>
      <c r="BD101" s="261" t="e">
        <f t="shared" si="53"/>
        <v>#REF!</v>
      </c>
      <c r="BE101" s="261" t="e">
        <f>BC101+AV101+#REF!+AH101+AA101</f>
        <v>#REF!</v>
      </c>
      <c r="BF101" s="261" t="e">
        <f t="shared" si="54"/>
        <v>#REF!</v>
      </c>
      <c r="BG101" s="261" t="e">
        <f t="shared" si="55"/>
        <v>#REF!</v>
      </c>
    </row>
    <row r="102" spans="1:59" ht="15.75">
      <c r="A102" s="333">
        <v>8</v>
      </c>
      <c r="B102" s="333" t="s">
        <v>1607</v>
      </c>
      <c r="C102" s="256">
        <v>25</v>
      </c>
      <c r="D102" s="322" t="s">
        <v>64</v>
      </c>
      <c r="E102" s="256" t="s">
        <v>9</v>
      </c>
      <c r="F102" s="425">
        <f t="array" ref="F102">MAX((IF(MNU_CODIGO_ALIMENTO_ENTREGA=CONCATENATE($C102,"_","P_"),MNU_GRAMAJE_REQUERIDO_TIPOA,"")))</f>
        <v>40</v>
      </c>
      <c r="G102" s="257">
        <f t="shared" si="56"/>
        <v>66385</v>
      </c>
      <c r="H102" s="257">
        <f t="shared" si="57"/>
        <v>34848</v>
      </c>
      <c r="I102" s="257">
        <f t="shared" si="58"/>
        <v>101233</v>
      </c>
      <c r="J102" s="258">
        <f t="shared" si="59"/>
        <v>16994560</v>
      </c>
      <c r="K102" s="258">
        <f t="shared" si="60"/>
        <v>8921088</v>
      </c>
      <c r="L102" s="258">
        <f t="shared" si="61"/>
        <v>25915648</v>
      </c>
      <c r="M102" s="426">
        <f t="array" ref="M102">MAX((IF(MNU_CODIGO_ALIMENTO_ENTREGA=CONCATENATE($C102,"_","P_"),MNU_GRAMAJE_REQUERIDO_TIPOB,"")))</f>
        <v>40</v>
      </c>
      <c r="N102" s="343">
        <f t="shared" si="62"/>
        <v>90899</v>
      </c>
      <c r="O102" s="343">
        <f t="shared" si="63"/>
        <v>68904</v>
      </c>
      <c r="P102" s="343">
        <f t="shared" si="64"/>
        <v>159803</v>
      </c>
      <c r="Q102" s="344">
        <f t="shared" si="65"/>
        <v>23270144</v>
      </c>
      <c r="R102" s="344">
        <f t="shared" si="66"/>
        <v>17639424</v>
      </c>
      <c r="S102" s="344">
        <f t="shared" si="67"/>
        <v>40909568</v>
      </c>
      <c r="T102" s="348">
        <f t="array" ref="T102">MAX((IF(MNU_CODIGO_ALIMENTO_ENTREGA=CONCATENATE($C102,"_","P_"),MNU_GRAMAJE_REQUERIDO_TIPOC,"")))</f>
        <v>60</v>
      </c>
      <c r="U102" s="257">
        <f t="shared" si="68"/>
        <v>93721</v>
      </c>
      <c r="V102" s="257">
        <f t="shared" si="69"/>
        <v>69960</v>
      </c>
      <c r="W102" s="257">
        <f t="shared" si="70"/>
        <v>163681</v>
      </c>
      <c r="X102" s="258">
        <f t="shared" si="71"/>
        <v>35988864</v>
      </c>
      <c r="Y102" s="258">
        <f t="shared" si="72"/>
        <v>26864640</v>
      </c>
      <c r="Z102" s="258">
        <f t="shared" si="73"/>
        <v>62853504</v>
      </c>
      <c r="AA102" s="256">
        <f t="array" ref="AA102">MAX((IF(MNU_CODIGO_ALIMENTO_ENTREGA=CONCATENATE($C102,"_","P_"),MNU_GRAMAJE_REQUERIDO_TIPOM,"")))</f>
        <v>40</v>
      </c>
      <c r="AB102" s="259">
        <f t="shared" si="74"/>
        <v>3995</v>
      </c>
      <c r="AC102" s="259">
        <v>0</v>
      </c>
      <c r="AD102" s="259">
        <f t="shared" si="75"/>
        <v>3995</v>
      </c>
      <c r="AE102" s="260">
        <f t="shared" si="76"/>
        <v>1022720</v>
      </c>
      <c r="AF102" s="260">
        <v>0</v>
      </c>
      <c r="AG102" s="260">
        <f t="shared" si="77"/>
        <v>1022720</v>
      </c>
      <c r="AH102" s="348">
        <f t="array" ref="AH102">MAX((IF(MNU_CODIGO_ALIMENTO_ENTREGA=CONCATENATE($C102,"_","P_"),MNU_GRAMAJE_REQUERIDO_TIPOH,"")))</f>
        <v>60</v>
      </c>
      <c r="AI102" s="257">
        <f t="shared" si="78"/>
        <v>4131</v>
      </c>
      <c r="AJ102" s="257">
        <v>0</v>
      </c>
      <c r="AK102" s="257">
        <f t="shared" si="79"/>
        <v>4131</v>
      </c>
      <c r="AL102" s="258">
        <f t="shared" si="80"/>
        <v>1586304</v>
      </c>
      <c r="AM102" s="258">
        <v>0</v>
      </c>
      <c r="AN102" s="258">
        <f t="shared" si="81"/>
        <v>1586304</v>
      </c>
      <c r="AO102" s="451">
        <f t="shared" si="82"/>
        <v>432843</v>
      </c>
      <c r="AP102" s="450">
        <f t="shared" si="83"/>
        <v>132287744</v>
      </c>
      <c r="AQ102" s="261" t="e">
        <f>#REF!+AH102+AA102+T102+M102</f>
        <v>#REF!</v>
      </c>
      <c r="AR102" s="261">
        <f t="shared" si="42"/>
        <v>132480490</v>
      </c>
      <c r="AS102" s="261" t="e">
        <f t="shared" si="43"/>
        <v>#REF!</v>
      </c>
      <c r="AT102" s="261">
        <f t="shared" si="44"/>
        <v>132812100</v>
      </c>
      <c r="AU102" s="261" t="e">
        <f t="shared" si="45"/>
        <v>#REF!</v>
      </c>
      <c r="AV102" s="261">
        <f t="shared" si="46"/>
        <v>177316164</v>
      </c>
      <c r="AW102" s="261" t="e">
        <f t="shared" si="47"/>
        <v>#REF!</v>
      </c>
      <c r="AX102" s="261" t="e">
        <f>AV102+#REF!+AH102+AA102+T102</f>
        <v>#REF!</v>
      </c>
      <c r="AY102" s="261" t="e">
        <f t="shared" si="48"/>
        <v>#REF!</v>
      </c>
      <c r="AZ102" s="261" t="e">
        <f t="shared" si="49"/>
        <v>#REF!</v>
      </c>
      <c r="BA102" s="261" t="e">
        <f t="shared" si="50"/>
        <v>#REF!</v>
      </c>
      <c r="BB102" s="261" t="e">
        <f t="shared" si="51"/>
        <v>#REF!</v>
      </c>
      <c r="BC102" s="261" t="e">
        <f t="shared" si="52"/>
        <v>#REF!</v>
      </c>
      <c r="BD102" s="261" t="e">
        <f t="shared" si="53"/>
        <v>#REF!</v>
      </c>
      <c r="BE102" s="261" t="e">
        <f>BC102+AV102+#REF!+AH102+AA102</f>
        <v>#REF!</v>
      </c>
      <c r="BF102" s="261" t="e">
        <f t="shared" si="54"/>
        <v>#REF!</v>
      </c>
      <c r="BG102" s="261" t="e">
        <f t="shared" si="55"/>
        <v>#REF!</v>
      </c>
    </row>
    <row r="103" spans="1:59" ht="15.75">
      <c r="A103" s="333">
        <v>8</v>
      </c>
      <c r="B103" s="333" t="s">
        <v>1607</v>
      </c>
      <c r="C103" s="256">
        <v>26</v>
      </c>
      <c r="D103" s="322" t="s">
        <v>69</v>
      </c>
      <c r="E103" s="256" t="s">
        <v>9</v>
      </c>
      <c r="F103" s="425">
        <f t="array" ref="F103">MAX((IF(MNU_CODIGO_ALIMENTO_ENTREGA=CONCATENATE($C103,"_","P_"),MNU_GRAMAJE_REQUERIDO_TIPOA,"")))</f>
        <v>30</v>
      </c>
      <c r="G103" s="257">
        <f t="shared" si="56"/>
        <v>23430</v>
      </c>
      <c r="H103" s="257">
        <f t="shared" si="57"/>
        <v>0</v>
      </c>
      <c r="I103" s="257">
        <f t="shared" si="58"/>
        <v>23430</v>
      </c>
      <c r="J103" s="258">
        <f t="shared" si="59"/>
        <v>4006530</v>
      </c>
      <c r="K103" s="258">
        <f t="shared" si="60"/>
        <v>0</v>
      </c>
      <c r="L103" s="258">
        <f t="shared" si="61"/>
        <v>4006530</v>
      </c>
      <c r="M103" s="426">
        <f t="array" ref="M103">MAX((IF(MNU_CODIGO_ALIMENTO_ENTREGA=CONCATENATE($C103,"_","P_"),MNU_GRAMAJE_REQUERIDO_TIPOB,"")))</f>
        <v>30</v>
      </c>
      <c r="N103" s="343">
        <f t="shared" si="62"/>
        <v>32082</v>
      </c>
      <c r="O103" s="343">
        <f t="shared" si="63"/>
        <v>0</v>
      </c>
      <c r="P103" s="343">
        <f t="shared" si="64"/>
        <v>32082</v>
      </c>
      <c r="Q103" s="344">
        <f t="shared" si="65"/>
        <v>5486022</v>
      </c>
      <c r="R103" s="344">
        <f t="shared" si="66"/>
        <v>0</v>
      </c>
      <c r="S103" s="344">
        <f t="shared" si="67"/>
        <v>5486022</v>
      </c>
      <c r="T103" s="348">
        <f t="array" ref="T103">MAX((IF(MNU_CODIGO_ALIMENTO_ENTREGA=CONCATENATE($C103,"_","P_"),MNU_GRAMAJE_REQUERIDO_TIPOC,"")))</f>
        <v>30</v>
      </c>
      <c r="U103" s="257">
        <f t="shared" si="68"/>
        <v>33078</v>
      </c>
      <c r="V103" s="257">
        <f t="shared" si="69"/>
        <v>0</v>
      </c>
      <c r="W103" s="257">
        <f t="shared" si="70"/>
        <v>33078</v>
      </c>
      <c r="X103" s="258">
        <f t="shared" si="71"/>
        <v>5656338</v>
      </c>
      <c r="Y103" s="258">
        <f t="shared" si="72"/>
        <v>0</v>
      </c>
      <c r="Z103" s="258">
        <f t="shared" si="73"/>
        <v>5656338</v>
      </c>
      <c r="AA103" s="256">
        <f t="array" ref="AA103">MAX((IF(MNU_CODIGO_ALIMENTO_ENTREGA=CONCATENATE($C103,"_","P_"),MNU_GRAMAJE_REQUERIDO_TIPOM,"")))</f>
        <v>30</v>
      </c>
      <c r="AB103" s="259">
        <f t="shared" si="74"/>
        <v>1410</v>
      </c>
      <c r="AC103" s="259">
        <v>0</v>
      </c>
      <c r="AD103" s="259">
        <f t="shared" si="75"/>
        <v>1410</v>
      </c>
      <c r="AE103" s="260">
        <f t="shared" si="76"/>
        <v>241110</v>
      </c>
      <c r="AF103" s="260">
        <v>0</v>
      </c>
      <c r="AG103" s="260">
        <f t="shared" si="77"/>
        <v>241110</v>
      </c>
      <c r="AH103" s="348">
        <f t="array" ref="AH103">MAX((IF(MNU_CODIGO_ALIMENTO_ENTREGA=CONCATENATE($C103,"_","P_"),MNU_GRAMAJE_REQUERIDO_TIPOH,"")))</f>
        <v>30</v>
      </c>
      <c r="AI103" s="257">
        <f t="shared" si="78"/>
        <v>1458</v>
      </c>
      <c r="AJ103" s="257">
        <v>0</v>
      </c>
      <c r="AK103" s="257">
        <f t="shared" si="79"/>
        <v>1458</v>
      </c>
      <c r="AL103" s="258">
        <f t="shared" si="80"/>
        <v>249318</v>
      </c>
      <c r="AM103" s="258">
        <v>0</v>
      </c>
      <c r="AN103" s="258">
        <f t="shared" si="81"/>
        <v>249318</v>
      </c>
      <c r="AO103" s="451">
        <f t="shared" si="82"/>
        <v>91458</v>
      </c>
      <c r="AP103" s="450">
        <f t="shared" si="83"/>
        <v>15639318</v>
      </c>
      <c r="AQ103" s="261" t="e">
        <f>#REF!+AH103+AA103+T103+M103</f>
        <v>#REF!</v>
      </c>
      <c r="AR103" s="261">
        <f t="shared" si="42"/>
        <v>15707346</v>
      </c>
      <c r="AS103" s="261" t="e">
        <f t="shared" si="43"/>
        <v>#REF!</v>
      </c>
      <c r="AT103" s="261">
        <f t="shared" si="44"/>
        <v>15775374</v>
      </c>
      <c r="AU103" s="261" t="e">
        <f t="shared" si="45"/>
        <v>#REF!</v>
      </c>
      <c r="AV103" s="261">
        <f t="shared" si="46"/>
        <v>15775374</v>
      </c>
      <c r="AW103" s="261" t="e">
        <f t="shared" si="47"/>
        <v>#REF!</v>
      </c>
      <c r="AX103" s="261" t="e">
        <f>AV103+#REF!+AH103+AA103+T103</f>
        <v>#REF!</v>
      </c>
      <c r="AY103" s="261" t="e">
        <f t="shared" si="48"/>
        <v>#REF!</v>
      </c>
      <c r="AZ103" s="261" t="e">
        <f t="shared" si="49"/>
        <v>#REF!</v>
      </c>
      <c r="BA103" s="261" t="e">
        <f t="shared" si="50"/>
        <v>#REF!</v>
      </c>
      <c r="BB103" s="261" t="e">
        <f t="shared" si="51"/>
        <v>#REF!</v>
      </c>
      <c r="BC103" s="261" t="e">
        <f t="shared" si="52"/>
        <v>#REF!</v>
      </c>
      <c r="BD103" s="261" t="e">
        <f t="shared" si="53"/>
        <v>#REF!</v>
      </c>
      <c r="BE103" s="261" t="e">
        <f>BC103+AV103+#REF!+AH103+AA103</f>
        <v>#REF!</v>
      </c>
      <c r="BF103" s="261" t="e">
        <f t="shared" si="54"/>
        <v>#REF!</v>
      </c>
      <c r="BG103" s="261" t="e">
        <f t="shared" si="55"/>
        <v>#REF!</v>
      </c>
    </row>
    <row r="104" spans="1:59" ht="27">
      <c r="A104" s="333">
        <v>8</v>
      </c>
      <c r="B104" s="333" t="s">
        <v>1607</v>
      </c>
      <c r="C104" s="256">
        <v>28</v>
      </c>
      <c r="D104" s="322" t="s">
        <v>67</v>
      </c>
      <c r="E104" s="256" t="s">
        <v>9</v>
      </c>
      <c r="F104" s="425">
        <f t="array" ref="F104">MAX((IF(MNU_CODIGO_ALIMENTO_ENTREGA=CONCATENATE($C104,"_","P_"),MNU_GRAMAJE_REQUERIDO_TIPOA,"")))</f>
        <v>30</v>
      </c>
      <c r="G104" s="257">
        <f t="shared" si="56"/>
        <v>23430</v>
      </c>
      <c r="H104" s="257">
        <f t="shared" si="57"/>
        <v>30096</v>
      </c>
      <c r="I104" s="257">
        <f t="shared" si="58"/>
        <v>53526</v>
      </c>
      <c r="J104" s="258">
        <f t="shared" si="59"/>
        <v>5295180</v>
      </c>
      <c r="K104" s="258">
        <f t="shared" si="60"/>
        <v>6801696</v>
      </c>
      <c r="L104" s="258">
        <f t="shared" si="61"/>
        <v>12096876</v>
      </c>
      <c r="M104" s="426">
        <f t="array" ref="M104">MAX((IF(MNU_CODIGO_ALIMENTO_ENTREGA=CONCATENATE($C104,"_","P_"),MNU_GRAMAJE_REQUERIDO_TIPOB,"")))</f>
        <v>40</v>
      </c>
      <c r="N104" s="343">
        <f t="shared" si="62"/>
        <v>32082</v>
      </c>
      <c r="O104" s="343">
        <f t="shared" si="63"/>
        <v>59508</v>
      </c>
      <c r="P104" s="343">
        <f t="shared" si="64"/>
        <v>91590</v>
      </c>
      <c r="Q104" s="344">
        <f t="shared" si="65"/>
        <v>9656682</v>
      </c>
      <c r="R104" s="344">
        <f t="shared" si="66"/>
        <v>17911908</v>
      </c>
      <c r="S104" s="344">
        <f t="shared" si="67"/>
        <v>27568590</v>
      </c>
      <c r="T104" s="348">
        <f t="array" ref="T104">MAX((IF(MNU_CODIGO_ALIMENTO_ENTREGA=CONCATENATE($C104,"_","P_"),MNU_GRAMAJE_REQUERIDO_TIPOC,"")))</f>
        <v>60</v>
      </c>
      <c r="U104" s="257">
        <f t="shared" si="68"/>
        <v>33078</v>
      </c>
      <c r="V104" s="257">
        <f t="shared" si="69"/>
        <v>60420</v>
      </c>
      <c r="W104" s="257">
        <f t="shared" si="70"/>
        <v>93498</v>
      </c>
      <c r="X104" s="258">
        <f t="shared" si="71"/>
        <v>14918178</v>
      </c>
      <c r="Y104" s="258">
        <f t="shared" si="72"/>
        <v>27249420</v>
      </c>
      <c r="Z104" s="258">
        <f t="shared" si="73"/>
        <v>42167598</v>
      </c>
      <c r="AA104" s="256">
        <f t="array" ref="AA104">MAX((IF(MNU_CODIGO_ALIMENTO_ENTREGA=CONCATENATE($C104,"_","P_"),MNU_GRAMAJE_REQUERIDO_TIPOM,"")))</f>
        <v>40</v>
      </c>
      <c r="AB104" s="259">
        <f t="shared" si="74"/>
        <v>1410</v>
      </c>
      <c r="AC104" s="259">
        <v>0</v>
      </c>
      <c r="AD104" s="259">
        <f t="shared" si="75"/>
        <v>1410</v>
      </c>
      <c r="AE104" s="260">
        <f t="shared" si="76"/>
        <v>424410</v>
      </c>
      <c r="AF104" s="260">
        <v>0</v>
      </c>
      <c r="AG104" s="260">
        <f t="shared" si="77"/>
        <v>424410</v>
      </c>
      <c r="AH104" s="348">
        <f t="array" ref="AH104">MAX((IF(MNU_CODIGO_ALIMENTO_ENTREGA=CONCATENATE($C104,"_","P_"),MNU_GRAMAJE_REQUERIDO_TIPOH,"")))</f>
        <v>60</v>
      </c>
      <c r="AI104" s="257">
        <f t="shared" si="78"/>
        <v>1458</v>
      </c>
      <c r="AJ104" s="257">
        <v>0</v>
      </c>
      <c r="AK104" s="257">
        <f t="shared" si="79"/>
        <v>1458</v>
      </c>
      <c r="AL104" s="258">
        <f t="shared" si="80"/>
        <v>657558</v>
      </c>
      <c r="AM104" s="258">
        <v>0</v>
      </c>
      <c r="AN104" s="258">
        <f t="shared" si="81"/>
        <v>657558</v>
      </c>
      <c r="AO104" s="451">
        <f t="shared" si="82"/>
        <v>241482</v>
      </c>
      <c r="AP104" s="450">
        <f t="shared" si="83"/>
        <v>82915032</v>
      </c>
      <c r="AQ104" s="261" t="e">
        <f>#REF!+AH104+AA104+T104+M104</f>
        <v>#REF!</v>
      </c>
      <c r="AR104" s="261">
        <f t="shared" si="42"/>
        <v>82983060</v>
      </c>
      <c r="AS104" s="261" t="e">
        <f t="shared" si="43"/>
        <v>#REF!</v>
      </c>
      <c r="AT104" s="261">
        <f t="shared" si="44"/>
        <v>83171016</v>
      </c>
      <c r="AU104" s="261" t="e">
        <f t="shared" si="45"/>
        <v>#REF!</v>
      </c>
      <c r="AV104" s="261">
        <f t="shared" si="46"/>
        <v>128332344</v>
      </c>
      <c r="AW104" s="261" t="e">
        <f t="shared" si="47"/>
        <v>#REF!</v>
      </c>
      <c r="AX104" s="261" t="e">
        <f>AV104+#REF!+AH104+AA104+T104</f>
        <v>#REF!</v>
      </c>
      <c r="AY104" s="261" t="e">
        <f t="shared" si="48"/>
        <v>#REF!</v>
      </c>
      <c r="AZ104" s="261" t="e">
        <f t="shared" si="49"/>
        <v>#REF!</v>
      </c>
      <c r="BA104" s="261" t="e">
        <f t="shared" si="50"/>
        <v>#REF!</v>
      </c>
      <c r="BB104" s="261" t="e">
        <f t="shared" si="51"/>
        <v>#REF!</v>
      </c>
      <c r="BC104" s="261" t="e">
        <f t="shared" si="52"/>
        <v>#REF!</v>
      </c>
      <c r="BD104" s="261" t="e">
        <f t="shared" si="53"/>
        <v>#REF!</v>
      </c>
      <c r="BE104" s="261" t="e">
        <f>BC104+AV104+#REF!+AH104+AA104</f>
        <v>#REF!</v>
      </c>
      <c r="BF104" s="261" t="e">
        <f t="shared" si="54"/>
        <v>#REF!</v>
      </c>
      <c r="BG104" s="261" t="e">
        <f t="shared" si="55"/>
        <v>#REF!</v>
      </c>
    </row>
    <row r="105" spans="1:59" ht="15.75">
      <c r="A105" s="333">
        <v>8</v>
      </c>
      <c r="B105" s="333" t="s">
        <v>1607</v>
      </c>
      <c r="C105" s="256">
        <v>30</v>
      </c>
      <c r="D105" s="322" t="s">
        <v>63</v>
      </c>
      <c r="E105" s="256" t="s">
        <v>9</v>
      </c>
      <c r="F105" s="425">
        <f t="array" ref="F105">MAX((IF(MNU_CODIGO_ALIMENTO_ENTREGA=CONCATENATE($C105,"_","P_"),MNU_GRAMAJE_REQUERIDO_TIPOA,"")))</f>
        <v>30</v>
      </c>
      <c r="G105" s="257">
        <f t="shared" si="56"/>
        <v>62480</v>
      </c>
      <c r="H105" s="257">
        <f t="shared" si="57"/>
        <v>0</v>
      </c>
      <c r="I105" s="257">
        <f t="shared" si="58"/>
        <v>62480</v>
      </c>
      <c r="J105" s="258">
        <f t="shared" si="59"/>
        <v>20743360</v>
      </c>
      <c r="K105" s="258">
        <f t="shared" si="60"/>
        <v>0</v>
      </c>
      <c r="L105" s="258">
        <f t="shared" si="61"/>
        <v>20743360</v>
      </c>
      <c r="M105" s="426">
        <f t="array" ref="M105">MAX((IF(MNU_CODIGO_ALIMENTO_ENTREGA=CONCATENATE($C105,"_","P_"),MNU_GRAMAJE_REQUERIDO_TIPOB,"")))</f>
        <v>30</v>
      </c>
      <c r="N105" s="343">
        <f t="shared" si="62"/>
        <v>85552</v>
      </c>
      <c r="O105" s="343">
        <f t="shared" si="63"/>
        <v>0</v>
      </c>
      <c r="P105" s="343">
        <f t="shared" si="64"/>
        <v>85552</v>
      </c>
      <c r="Q105" s="344">
        <f t="shared" si="65"/>
        <v>28403264</v>
      </c>
      <c r="R105" s="344">
        <f t="shared" si="66"/>
        <v>0</v>
      </c>
      <c r="S105" s="344">
        <f t="shared" si="67"/>
        <v>28403264</v>
      </c>
      <c r="T105" s="348">
        <f t="array" ref="T105">MAX((IF(MNU_CODIGO_ALIMENTO_ENTREGA=CONCATENATE($C105,"_","P_"),MNU_GRAMAJE_REQUERIDO_TIPOC,"")))</f>
        <v>30</v>
      </c>
      <c r="U105" s="257">
        <f t="shared" si="68"/>
        <v>88208</v>
      </c>
      <c r="V105" s="257">
        <f t="shared" si="69"/>
        <v>0</v>
      </c>
      <c r="W105" s="257">
        <f t="shared" si="70"/>
        <v>88208</v>
      </c>
      <c r="X105" s="258">
        <f t="shared" si="71"/>
        <v>29285056</v>
      </c>
      <c r="Y105" s="258">
        <f t="shared" si="72"/>
        <v>0</v>
      </c>
      <c r="Z105" s="258">
        <f t="shared" si="73"/>
        <v>29285056</v>
      </c>
      <c r="AA105" s="256">
        <f t="array" ref="AA105">MAX((IF(MNU_CODIGO_ALIMENTO_ENTREGA=CONCATENATE($C105,"_","P_"),MNU_GRAMAJE_REQUERIDO_TIPOM,"")))</f>
        <v>30</v>
      </c>
      <c r="AB105" s="259">
        <f t="shared" si="74"/>
        <v>3760</v>
      </c>
      <c r="AC105" s="259">
        <v>0</v>
      </c>
      <c r="AD105" s="259">
        <f t="shared" si="75"/>
        <v>3760</v>
      </c>
      <c r="AE105" s="260">
        <f t="shared" si="76"/>
        <v>1248320</v>
      </c>
      <c r="AF105" s="260">
        <v>0</v>
      </c>
      <c r="AG105" s="260">
        <f t="shared" si="77"/>
        <v>1248320</v>
      </c>
      <c r="AH105" s="348">
        <f t="array" ref="AH105">MAX((IF(MNU_CODIGO_ALIMENTO_ENTREGA=CONCATENATE($C105,"_","P_"),MNU_GRAMAJE_REQUERIDO_TIPOH,"")))</f>
        <v>30</v>
      </c>
      <c r="AI105" s="257">
        <f t="shared" si="78"/>
        <v>3888</v>
      </c>
      <c r="AJ105" s="257">
        <v>0</v>
      </c>
      <c r="AK105" s="257">
        <f t="shared" si="79"/>
        <v>3888</v>
      </c>
      <c r="AL105" s="258">
        <f t="shared" si="80"/>
        <v>1290816</v>
      </c>
      <c r="AM105" s="258">
        <v>0</v>
      </c>
      <c r="AN105" s="258">
        <f t="shared" si="81"/>
        <v>1290816</v>
      </c>
      <c r="AO105" s="451">
        <f t="shared" si="82"/>
        <v>243888</v>
      </c>
      <c r="AP105" s="450">
        <f t="shared" si="83"/>
        <v>80970816</v>
      </c>
      <c r="AQ105" s="261" t="e">
        <f>#REF!+AH105+AA105+T105+M105</f>
        <v>#REF!</v>
      </c>
      <c r="AR105" s="261">
        <f t="shared" si="42"/>
        <v>81152224</v>
      </c>
      <c r="AS105" s="261" t="e">
        <f t="shared" si="43"/>
        <v>#REF!</v>
      </c>
      <c r="AT105" s="261">
        <f t="shared" si="44"/>
        <v>81333632</v>
      </c>
      <c r="AU105" s="261" t="e">
        <f t="shared" si="45"/>
        <v>#REF!</v>
      </c>
      <c r="AV105" s="261">
        <f t="shared" si="46"/>
        <v>81333632</v>
      </c>
      <c r="AW105" s="261" t="e">
        <f t="shared" si="47"/>
        <v>#REF!</v>
      </c>
      <c r="AX105" s="261" t="e">
        <f>AV105+#REF!+AH105+AA105+T105</f>
        <v>#REF!</v>
      </c>
      <c r="AY105" s="261" t="e">
        <f t="shared" si="48"/>
        <v>#REF!</v>
      </c>
      <c r="AZ105" s="261" t="e">
        <f t="shared" si="49"/>
        <v>#REF!</v>
      </c>
      <c r="BA105" s="261" t="e">
        <f t="shared" si="50"/>
        <v>#REF!</v>
      </c>
      <c r="BB105" s="261" t="e">
        <f t="shared" si="51"/>
        <v>#REF!</v>
      </c>
      <c r="BC105" s="261" t="e">
        <f t="shared" si="52"/>
        <v>#REF!</v>
      </c>
      <c r="BD105" s="261" t="e">
        <f t="shared" si="53"/>
        <v>#REF!</v>
      </c>
      <c r="BE105" s="261" t="e">
        <f>BC105+AV105+#REF!+AH105+AA105</f>
        <v>#REF!</v>
      </c>
      <c r="BF105" s="261" t="e">
        <f t="shared" si="54"/>
        <v>#REF!</v>
      </c>
      <c r="BG105" s="261" t="e">
        <f t="shared" si="55"/>
        <v>#REF!</v>
      </c>
    </row>
    <row r="106" spans="1:59" ht="15.75">
      <c r="A106" s="333">
        <v>8</v>
      </c>
      <c r="B106" s="333" t="s">
        <v>1607</v>
      </c>
      <c r="C106" s="256">
        <v>45</v>
      </c>
      <c r="D106" s="322" t="s">
        <v>10</v>
      </c>
      <c r="E106" s="256" t="s">
        <v>9</v>
      </c>
      <c r="F106" s="425">
        <f t="array" ref="F106">MAX((IF(MNU_CODIGO_ALIMENTO_ENTREGA=CONCATENATE($C106,"_","P_"),MNU_GRAMAJE_REQUERIDO_TIPOA,"")))</f>
        <v>20</v>
      </c>
      <c r="G106" s="257">
        <f t="shared" si="56"/>
        <v>62480</v>
      </c>
      <c r="H106" s="257">
        <f t="shared" si="57"/>
        <v>31680</v>
      </c>
      <c r="I106" s="257">
        <f t="shared" si="58"/>
        <v>94160</v>
      </c>
      <c r="J106" s="258">
        <f t="shared" si="59"/>
        <v>12433520</v>
      </c>
      <c r="K106" s="258">
        <f t="shared" si="60"/>
        <v>6304320</v>
      </c>
      <c r="L106" s="258">
        <f t="shared" si="61"/>
        <v>18737840</v>
      </c>
      <c r="M106" s="426">
        <f t="array" ref="M106">MAX((IF(MNU_CODIGO_ALIMENTO_ENTREGA=CONCATENATE($C106,"_","P_"),MNU_GRAMAJE_REQUERIDO_TIPOB,"")))</f>
        <v>30</v>
      </c>
      <c r="N106" s="343">
        <f t="shared" si="62"/>
        <v>85552</v>
      </c>
      <c r="O106" s="343">
        <f t="shared" si="63"/>
        <v>62640</v>
      </c>
      <c r="P106" s="343">
        <f t="shared" si="64"/>
        <v>148192</v>
      </c>
      <c r="Q106" s="344">
        <f t="shared" si="65"/>
        <v>25494496</v>
      </c>
      <c r="R106" s="344">
        <f t="shared" si="66"/>
        <v>18666720</v>
      </c>
      <c r="S106" s="344">
        <f t="shared" si="67"/>
        <v>44161216</v>
      </c>
      <c r="T106" s="348">
        <f t="array" ref="T106">MAX((IF(MNU_CODIGO_ALIMENTO_ENTREGA=CONCATENATE($C106,"_","P_"),MNU_GRAMAJE_REQUERIDO_TIPOC,"")))</f>
        <v>60</v>
      </c>
      <c r="U106" s="257">
        <f t="shared" si="68"/>
        <v>88208</v>
      </c>
      <c r="V106" s="257">
        <f t="shared" si="69"/>
        <v>63600</v>
      </c>
      <c r="W106" s="257">
        <f t="shared" si="70"/>
        <v>151808</v>
      </c>
      <c r="X106" s="258">
        <f t="shared" si="71"/>
        <v>52660176</v>
      </c>
      <c r="Y106" s="258">
        <f t="shared" si="72"/>
        <v>37969200</v>
      </c>
      <c r="Z106" s="258">
        <f t="shared" si="73"/>
        <v>90629376</v>
      </c>
      <c r="AA106" s="256">
        <f t="array" ref="AA106">MAX((IF(MNU_CODIGO_ALIMENTO_ENTREGA=CONCATENATE($C106,"_","P_"),MNU_GRAMAJE_REQUERIDO_TIPOM,"")))</f>
        <v>30</v>
      </c>
      <c r="AB106" s="259">
        <f t="shared" si="74"/>
        <v>3760</v>
      </c>
      <c r="AC106" s="259">
        <v>0</v>
      </c>
      <c r="AD106" s="259">
        <f t="shared" si="75"/>
        <v>3760</v>
      </c>
      <c r="AE106" s="260">
        <f t="shared" si="76"/>
        <v>1120480</v>
      </c>
      <c r="AF106" s="260">
        <v>0</v>
      </c>
      <c r="AG106" s="260">
        <f t="shared" si="77"/>
        <v>1120480</v>
      </c>
      <c r="AH106" s="348">
        <f t="array" ref="AH106">MAX((IF(MNU_CODIGO_ALIMENTO_ENTREGA=CONCATENATE($C106,"_","P_"),MNU_GRAMAJE_REQUERIDO_TIPOH,"")))</f>
        <v>60</v>
      </c>
      <c r="AI106" s="257">
        <f t="shared" si="78"/>
        <v>3888</v>
      </c>
      <c r="AJ106" s="257">
        <v>0</v>
      </c>
      <c r="AK106" s="257">
        <f t="shared" si="79"/>
        <v>3888</v>
      </c>
      <c r="AL106" s="258">
        <f t="shared" si="80"/>
        <v>2321136</v>
      </c>
      <c r="AM106" s="258">
        <v>0</v>
      </c>
      <c r="AN106" s="258">
        <f t="shared" si="81"/>
        <v>2321136</v>
      </c>
      <c r="AO106" s="451">
        <f t="shared" si="82"/>
        <v>401808</v>
      </c>
      <c r="AP106" s="450">
        <f t="shared" si="83"/>
        <v>156970048</v>
      </c>
      <c r="AQ106" s="261" t="e">
        <f>#REF!+AH106+AA106+T106+M106</f>
        <v>#REF!</v>
      </c>
      <c r="AR106" s="261">
        <f t="shared" si="42"/>
        <v>157151456</v>
      </c>
      <c r="AS106" s="261" t="e">
        <f t="shared" si="43"/>
        <v>#REF!</v>
      </c>
      <c r="AT106" s="261">
        <f t="shared" si="44"/>
        <v>157459104</v>
      </c>
      <c r="AU106" s="261" t="e">
        <f t="shared" si="45"/>
        <v>#REF!</v>
      </c>
      <c r="AV106" s="261">
        <f t="shared" si="46"/>
        <v>214095024</v>
      </c>
      <c r="AW106" s="261" t="e">
        <f t="shared" si="47"/>
        <v>#REF!</v>
      </c>
      <c r="AX106" s="261" t="e">
        <f>AV106+#REF!+AH106+AA106+T106</f>
        <v>#REF!</v>
      </c>
      <c r="AY106" s="261" t="e">
        <f t="shared" si="48"/>
        <v>#REF!</v>
      </c>
      <c r="AZ106" s="261" t="e">
        <f t="shared" si="49"/>
        <v>#REF!</v>
      </c>
      <c r="BA106" s="261" t="e">
        <f t="shared" si="50"/>
        <v>#REF!</v>
      </c>
      <c r="BB106" s="261" t="e">
        <f t="shared" si="51"/>
        <v>#REF!</v>
      </c>
      <c r="BC106" s="261" t="e">
        <f t="shared" si="52"/>
        <v>#REF!</v>
      </c>
      <c r="BD106" s="261" t="e">
        <f t="shared" si="53"/>
        <v>#REF!</v>
      </c>
      <c r="BE106" s="261" t="e">
        <f>BC106+AV106+#REF!+AH106+AA106</f>
        <v>#REF!</v>
      </c>
      <c r="BF106" s="261" t="e">
        <f t="shared" si="54"/>
        <v>#REF!</v>
      </c>
      <c r="BG106" s="261" t="e">
        <f t="shared" si="55"/>
        <v>#REF!</v>
      </c>
    </row>
    <row r="107" spans="1:59" ht="15.75">
      <c r="A107" s="333">
        <v>8</v>
      </c>
      <c r="B107" s="333" t="s">
        <v>1607</v>
      </c>
      <c r="C107" s="256">
        <v>50</v>
      </c>
      <c r="D107" s="322" t="s">
        <v>65</v>
      </c>
      <c r="E107" s="256" t="s">
        <v>9</v>
      </c>
      <c r="F107" s="425">
        <f t="array" ref="F107">MAX((IF(MNU_CODIGO_ALIMENTO_ENTREGA=CONCATENATE($C107,"_","P_"),MNU_GRAMAJE_REQUERIDO_TIPOA,"")))</f>
        <v>30</v>
      </c>
      <c r="G107" s="257">
        <f t="shared" si="56"/>
        <v>66385</v>
      </c>
      <c r="H107" s="257">
        <f t="shared" si="57"/>
        <v>0</v>
      </c>
      <c r="I107" s="257">
        <f t="shared" si="58"/>
        <v>66385</v>
      </c>
      <c r="J107" s="258">
        <f t="shared" si="59"/>
        <v>21309585</v>
      </c>
      <c r="K107" s="258">
        <f t="shared" si="60"/>
        <v>0</v>
      </c>
      <c r="L107" s="258">
        <f t="shared" si="61"/>
        <v>21309585</v>
      </c>
      <c r="M107" s="426">
        <f t="array" ref="M107">MAX((IF(MNU_CODIGO_ALIMENTO_ENTREGA=CONCATENATE($C107,"_","P_"),MNU_GRAMAJE_REQUERIDO_TIPOB,"")))</f>
        <v>40</v>
      </c>
      <c r="N107" s="343">
        <f t="shared" si="62"/>
        <v>90899</v>
      </c>
      <c r="O107" s="343">
        <f t="shared" si="63"/>
        <v>0</v>
      </c>
      <c r="P107" s="343">
        <f t="shared" si="64"/>
        <v>90899</v>
      </c>
      <c r="Q107" s="344">
        <f t="shared" si="65"/>
        <v>38904772</v>
      </c>
      <c r="R107" s="344">
        <f t="shared" si="66"/>
        <v>0</v>
      </c>
      <c r="S107" s="344">
        <f t="shared" si="67"/>
        <v>38904772</v>
      </c>
      <c r="T107" s="348">
        <f t="array" ref="T107">MAX((IF(MNU_CODIGO_ALIMENTO_ENTREGA=CONCATENATE($C107,"_","P_"),MNU_GRAMAJE_REQUERIDO_TIPOC,"")))</f>
        <v>80</v>
      </c>
      <c r="U107" s="257">
        <f t="shared" si="68"/>
        <v>93721</v>
      </c>
      <c r="V107" s="257">
        <f t="shared" si="69"/>
        <v>0</v>
      </c>
      <c r="W107" s="257">
        <f t="shared" si="70"/>
        <v>93721</v>
      </c>
      <c r="X107" s="258">
        <f t="shared" si="71"/>
        <v>80131455</v>
      </c>
      <c r="Y107" s="258">
        <f t="shared" si="72"/>
        <v>0</v>
      </c>
      <c r="Z107" s="258">
        <f t="shared" si="73"/>
        <v>80131455</v>
      </c>
      <c r="AA107" s="256">
        <f t="array" ref="AA107">MAX((IF(MNU_CODIGO_ALIMENTO_ENTREGA=CONCATENATE($C107,"_","P_"),MNU_GRAMAJE_REQUERIDO_TIPOM,"")))</f>
        <v>40</v>
      </c>
      <c r="AB107" s="259">
        <f t="shared" si="74"/>
        <v>3995</v>
      </c>
      <c r="AC107" s="259">
        <v>0</v>
      </c>
      <c r="AD107" s="259">
        <f t="shared" si="75"/>
        <v>3995</v>
      </c>
      <c r="AE107" s="260">
        <f t="shared" si="76"/>
        <v>1709860</v>
      </c>
      <c r="AF107" s="260">
        <v>0</v>
      </c>
      <c r="AG107" s="260">
        <f t="shared" si="77"/>
        <v>1709860</v>
      </c>
      <c r="AH107" s="348">
        <f t="array" ref="AH107">MAX((IF(MNU_CODIGO_ALIMENTO_ENTREGA=CONCATENATE($C107,"_","P_"),MNU_GRAMAJE_REQUERIDO_TIPOH,"")))</f>
        <v>80</v>
      </c>
      <c r="AI107" s="257">
        <f t="shared" si="78"/>
        <v>4131</v>
      </c>
      <c r="AJ107" s="257">
        <v>0</v>
      </c>
      <c r="AK107" s="257">
        <f t="shared" si="79"/>
        <v>4131</v>
      </c>
      <c r="AL107" s="258">
        <f t="shared" si="80"/>
        <v>3532005</v>
      </c>
      <c r="AM107" s="258">
        <v>0</v>
      </c>
      <c r="AN107" s="258">
        <f t="shared" si="81"/>
        <v>3532005</v>
      </c>
      <c r="AO107" s="451">
        <f t="shared" si="82"/>
        <v>259131</v>
      </c>
      <c r="AP107" s="450">
        <f t="shared" si="83"/>
        <v>145587677</v>
      </c>
      <c r="AQ107" s="261" t="e">
        <f>#REF!+AH107+AA107+T107+M107</f>
        <v>#REF!</v>
      </c>
      <c r="AR107" s="261">
        <f t="shared" si="42"/>
        <v>145780423</v>
      </c>
      <c r="AS107" s="261" t="e">
        <f t="shared" si="43"/>
        <v>#REF!</v>
      </c>
      <c r="AT107" s="261">
        <f t="shared" si="44"/>
        <v>145973169</v>
      </c>
      <c r="AU107" s="261" t="e">
        <f t="shared" si="45"/>
        <v>#REF!</v>
      </c>
      <c r="AV107" s="261">
        <f t="shared" si="46"/>
        <v>145973169</v>
      </c>
      <c r="AW107" s="261" t="e">
        <f t="shared" si="47"/>
        <v>#REF!</v>
      </c>
      <c r="AX107" s="261" t="e">
        <f>AV107+#REF!+AH107+AA107+T107</f>
        <v>#REF!</v>
      </c>
      <c r="AY107" s="261" t="e">
        <f t="shared" si="48"/>
        <v>#REF!</v>
      </c>
      <c r="AZ107" s="261" t="e">
        <f t="shared" si="49"/>
        <v>#REF!</v>
      </c>
      <c r="BA107" s="261" t="e">
        <f t="shared" si="50"/>
        <v>#REF!</v>
      </c>
      <c r="BB107" s="261" t="e">
        <f t="shared" si="51"/>
        <v>#REF!</v>
      </c>
      <c r="BC107" s="261" t="e">
        <f t="shared" si="52"/>
        <v>#REF!</v>
      </c>
      <c r="BD107" s="261" t="e">
        <f t="shared" si="53"/>
        <v>#REF!</v>
      </c>
      <c r="BE107" s="261" t="e">
        <f>BC107+AV107+#REF!+AH107+AA107</f>
        <v>#REF!</v>
      </c>
      <c r="BF107" s="261" t="e">
        <f t="shared" si="54"/>
        <v>#REF!</v>
      </c>
      <c r="BG107" s="261" t="e">
        <f t="shared" si="55"/>
        <v>#REF!</v>
      </c>
    </row>
    <row r="108" spans="1:59" ht="15.75">
      <c r="A108" s="333">
        <v>8</v>
      </c>
      <c r="B108" s="333" t="s">
        <v>1607</v>
      </c>
      <c r="C108" s="256">
        <v>61</v>
      </c>
      <c r="D108" s="322" t="s">
        <v>13</v>
      </c>
      <c r="E108" s="256" t="s">
        <v>9</v>
      </c>
      <c r="F108" s="425">
        <f t="array" ref="F108">MAX((IF(MNU_CODIGO_ALIMENTO_ENTREGA=CONCATENATE($C108,"_","P_"),MNU_GRAMAJE_REQUERIDO_TIPOA,"")))</f>
        <v>20</v>
      </c>
      <c r="G108" s="257">
        <f t="shared" si="56"/>
        <v>62480</v>
      </c>
      <c r="H108" s="257">
        <f t="shared" si="57"/>
        <v>31680</v>
      </c>
      <c r="I108" s="257">
        <f t="shared" si="58"/>
        <v>94160</v>
      </c>
      <c r="J108" s="258">
        <f t="shared" si="59"/>
        <v>14557840</v>
      </c>
      <c r="K108" s="258">
        <f t="shared" si="60"/>
        <v>7381440</v>
      </c>
      <c r="L108" s="258">
        <f t="shared" si="61"/>
        <v>21939280</v>
      </c>
      <c r="M108" s="426">
        <f t="array" ref="M108">MAX((IF(MNU_CODIGO_ALIMENTO_ENTREGA=CONCATENATE($C108,"_","P_"),MNU_GRAMAJE_REQUERIDO_TIPOB,"")))</f>
        <v>30</v>
      </c>
      <c r="N108" s="343">
        <f t="shared" si="62"/>
        <v>85552</v>
      </c>
      <c r="O108" s="343">
        <f t="shared" si="63"/>
        <v>62640</v>
      </c>
      <c r="P108" s="343">
        <f t="shared" si="64"/>
        <v>148192</v>
      </c>
      <c r="Q108" s="344">
        <f t="shared" si="65"/>
        <v>30028752</v>
      </c>
      <c r="R108" s="344">
        <f t="shared" si="66"/>
        <v>21986640</v>
      </c>
      <c r="S108" s="344">
        <f t="shared" si="67"/>
        <v>52015392</v>
      </c>
      <c r="T108" s="348">
        <f t="array" ref="T108">MAX((IF(MNU_CODIGO_ALIMENTO_ENTREGA=CONCATENATE($C108,"_","P_"),MNU_GRAMAJE_REQUERIDO_TIPOC,"")))</f>
        <v>70</v>
      </c>
      <c r="U108" s="257">
        <f t="shared" si="68"/>
        <v>88208</v>
      </c>
      <c r="V108" s="257">
        <f t="shared" si="69"/>
        <v>63600</v>
      </c>
      <c r="W108" s="257">
        <f t="shared" si="70"/>
        <v>151808</v>
      </c>
      <c r="X108" s="258">
        <f t="shared" si="71"/>
        <v>72154144</v>
      </c>
      <c r="Y108" s="258">
        <f t="shared" si="72"/>
        <v>52024800</v>
      </c>
      <c r="Z108" s="258">
        <f t="shared" si="73"/>
        <v>124178944</v>
      </c>
      <c r="AA108" s="256">
        <f t="array" ref="AA108">MAX((IF(MNU_CODIGO_ALIMENTO_ENTREGA=CONCATENATE($C108,"_","P_"),MNU_GRAMAJE_REQUERIDO_TIPOM,"")))</f>
        <v>30</v>
      </c>
      <c r="AB108" s="259">
        <f t="shared" si="74"/>
        <v>3760</v>
      </c>
      <c r="AC108" s="259">
        <v>0</v>
      </c>
      <c r="AD108" s="259">
        <f t="shared" si="75"/>
        <v>3760</v>
      </c>
      <c r="AE108" s="260">
        <f t="shared" si="76"/>
        <v>1319760</v>
      </c>
      <c r="AF108" s="260">
        <v>0</v>
      </c>
      <c r="AG108" s="260">
        <f t="shared" si="77"/>
        <v>1319760</v>
      </c>
      <c r="AH108" s="348">
        <f t="array" ref="AH108">MAX((IF(MNU_CODIGO_ALIMENTO_ENTREGA=CONCATENATE($C108,"_","P_"),MNU_GRAMAJE_REQUERIDO_TIPOH,"")))</f>
        <v>70</v>
      </c>
      <c r="AI108" s="257">
        <f t="shared" si="78"/>
        <v>3888</v>
      </c>
      <c r="AJ108" s="257">
        <v>0</v>
      </c>
      <c r="AK108" s="257">
        <f t="shared" si="79"/>
        <v>3888</v>
      </c>
      <c r="AL108" s="258">
        <f t="shared" si="80"/>
        <v>3180384</v>
      </c>
      <c r="AM108" s="258">
        <v>0</v>
      </c>
      <c r="AN108" s="258">
        <f t="shared" si="81"/>
        <v>3180384</v>
      </c>
      <c r="AO108" s="451">
        <f t="shared" si="82"/>
        <v>401808</v>
      </c>
      <c r="AP108" s="450">
        <f t="shared" si="83"/>
        <v>202633760</v>
      </c>
      <c r="AQ108" s="261" t="e">
        <f>#REF!+AH108+AA108+T108+M108</f>
        <v>#REF!</v>
      </c>
      <c r="AR108" s="261">
        <f t="shared" si="42"/>
        <v>202815168</v>
      </c>
      <c r="AS108" s="261" t="e">
        <f t="shared" si="43"/>
        <v>#REF!</v>
      </c>
      <c r="AT108" s="261">
        <f t="shared" si="44"/>
        <v>203122816</v>
      </c>
      <c r="AU108" s="261" t="e">
        <f t="shared" si="45"/>
        <v>#REF!</v>
      </c>
      <c r="AV108" s="261">
        <f t="shared" si="46"/>
        <v>277134256</v>
      </c>
      <c r="AW108" s="261" t="e">
        <f t="shared" si="47"/>
        <v>#REF!</v>
      </c>
      <c r="AX108" s="261" t="e">
        <f>AV108+#REF!+AH108+AA108+T108</f>
        <v>#REF!</v>
      </c>
      <c r="AY108" s="261" t="e">
        <f t="shared" si="48"/>
        <v>#REF!</v>
      </c>
      <c r="AZ108" s="261" t="e">
        <f t="shared" si="49"/>
        <v>#REF!</v>
      </c>
      <c r="BA108" s="261" t="e">
        <f t="shared" si="50"/>
        <v>#REF!</v>
      </c>
      <c r="BB108" s="261" t="e">
        <f t="shared" si="51"/>
        <v>#REF!</v>
      </c>
      <c r="BC108" s="261" t="e">
        <f t="shared" si="52"/>
        <v>#REF!</v>
      </c>
      <c r="BD108" s="261" t="e">
        <f t="shared" si="53"/>
        <v>#REF!</v>
      </c>
      <c r="BE108" s="261" t="e">
        <f>BC108+AV108+#REF!+AH108+AA108</f>
        <v>#REF!</v>
      </c>
      <c r="BF108" s="261" t="e">
        <f t="shared" si="54"/>
        <v>#REF!</v>
      </c>
      <c r="BG108" s="261" t="e">
        <f t="shared" si="55"/>
        <v>#REF!</v>
      </c>
    </row>
    <row r="109" spans="1:59" ht="15.75">
      <c r="A109" s="333">
        <v>8</v>
      </c>
      <c r="B109" s="333" t="s">
        <v>1607</v>
      </c>
      <c r="C109" s="256">
        <v>62</v>
      </c>
      <c r="D109" s="322" t="s">
        <v>68</v>
      </c>
      <c r="E109" s="256" t="s">
        <v>9</v>
      </c>
      <c r="F109" s="425">
        <f t="array" ref="F109">MAX((IF(MNU_CODIGO_ALIMENTO_ENTREGA=CONCATENATE($C109,"_","P_"),MNU_GRAMAJE_REQUERIDO_TIPOA,"")))</f>
        <v>50</v>
      </c>
      <c r="G109" s="257">
        <f t="shared" si="56"/>
        <v>19525</v>
      </c>
      <c r="H109" s="257">
        <f t="shared" si="57"/>
        <v>0</v>
      </c>
      <c r="I109" s="257">
        <f t="shared" si="58"/>
        <v>19525</v>
      </c>
      <c r="J109" s="258">
        <f t="shared" si="59"/>
        <v>12203125</v>
      </c>
      <c r="K109" s="258">
        <f t="shared" si="60"/>
        <v>0</v>
      </c>
      <c r="L109" s="258">
        <f t="shared" si="61"/>
        <v>12203125</v>
      </c>
      <c r="M109" s="426">
        <f t="array" ref="M109">MAX((IF(MNU_CODIGO_ALIMENTO_ENTREGA=CONCATENATE($C109,"_","P_"),MNU_GRAMAJE_REQUERIDO_TIPOB,"")))</f>
        <v>50</v>
      </c>
      <c r="N109" s="343">
        <f t="shared" si="62"/>
        <v>26735</v>
      </c>
      <c r="O109" s="343">
        <f t="shared" si="63"/>
        <v>0</v>
      </c>
      <c r="P109" s="343">
        <f t="shared" si="64"/>
        <v>26735</v>
      </c>
      <c r="Q109" s="344">
        <f t="shared" si="65"/>
        <v>16709375</v>
      </c>
      <c r="R109" s="344">
        <f t="shared" si="66"/>
        <v>0</v>
      </c>
      <c r="S109" s="344">
        <f t="shared" si="67"/>
        <v>16709375</v>
      </c>
      <c r="T109" s="348">
        <f t="array" ref="T109">MAX((IF(MNU_CODIGO_ALIMENTO_ENTREGA=CONCATENATE($C109,"_","P_"),MNU_GRAMAJE_REQUERIDO_TIPOC,"")))</f>
        <v>50</v>
      </c>
      <c r="U109" s="257">
        <f t="shared" si="68"/>
        <v>27565</v>
      </c>
      <c r="V109" s="257">
        <f t="shared" si="69"/>
        <v>0</v>
      </c>
      <c r="W109" s="257">
        <f t="shared" si="70"/>
        <v>27565</v>
      </c>
      <c r="X109" s="258">
        <f t="shared" si="71"/>
        <v>17228125</v>
      </c>
      <c r="Y109" s="258">
        <f t="shared" si="72"/>
        <v>0</v>
      </c>
      <c r="Z109" s="258">
        <f t="shared" si="73"/>
        <v>17228125</v>
      </c>
      <c r="AA109" s="256">
        <f t="array" ref="AA109">MAX((IF(MNU_CODIGO_ALIMENTO_ENTREGA=CONCATENATE($C109,"_","P_"),MNU_GRAMAJE_REQUERIDO_TIPOM,"")))</f>
        <v>50</v>
      </c>
      <c r="AB109" s="259">
        <f t="shared" si="74"/>
        <v>1175</v>
      </c>
      <c r="AC109" s="259">
        <v>0</v>
      </c>
      <c r="AD109" s="259">
        <f t="shared" si="75"/>
        <v>1175</v>
      </c>
      <c r="AE109" s="260">
        <f t="shared" si="76"/>
        <v>734375</v>
      </c>
      <c r="AF109" s="260">
        <v>0</v>
      </c>
      <c r="AG109" s="260">
        <f t="shared" si="77"/>
        <v>734375</v>
      </c>
      <c r="AH109" s="348">
        <f t="array" ref="AH109">MAX((IF(MNU_CODIGO_ALIMENTO_ENTREGA=CONCATENATE($C109,"_","P_"),MNU_GRAMAJE_REQUERIDO_TIPOH,"")))</f>
        <v>50</v>
      </c>
      <c r="AI109" s="257">
        <f t="shared" si="78"/>
        <v>1215</v>
      </c>
      <c r="AJ109" s="257">
        <v>0</v>
      </c>
      <c r="AK109" s="257">
        <f t="shared" si="79"/>
        <v>1215</v>
      </c>
      <c r="AL109" s="258">
        <f t="shared" si="80"/>
        <v>759375</v>
      </c>
      <c r="AM109" s="258">
        <v>0</v>
      </c>
      <c r="AN109" s="258">
        <f t="shared" si="81"/>
        <v>759375</v>
      </c>
      <c r="AO109" s="451">
        <f t="shared" si="82"/>
        <v>76215</v>
      </c>
      <c r="AP109" s="450">
        <f t="shared" si="83"/>
        <v>47634375</v>
      </c>
      <c r="AQ109" s="261" t="e">
        <f>#REF!+AH109+AA109+T109+M109</f>
        <v>#REF!</v>
      </c>
      <c r="AR109" s="261">
        <f t="shared" si="42"/>
        <v>47691065</v>
      </c>
      <c r="AS109" s="261" t="e">
        <f t="shared" si="43"/>
        <v>#REF!</v>
      </c>
      <c r="AT109" s="261">
        <f t="shared" si="44"/>
        <v>47747755</v>
      </c>
      <c r="AU109" s="261" t="e">
        <f t="shared" si="45"/>
        <v>#REF!</v>
      </c>
      <c r="AV109" s="261">
        <f t="shared" si="46"/>
        <v>47747755</v>
      </c>
      <c r="AW109" s="261" t="e">
        <f t="shared" si="47"/>
        <v>#REF!</v>
      </c>
      <c r="AX109" s="261" t="e">
        <f>AV109+#REF!+AH109+AA109+T109</f>
        <v>#REF!</v>
      </c>
      <c r="AY109" s="261" t="e">
        <f t="shared" si="48"/>
        <v>#REF!</v>
      </c>
      <c r="AZ109" s="261" t="e">
        <f t="shared" si="49"/>
        <v>#REF!</v>
      </c>
      <c r="BA109" s="261" t="e">
        <f t="shared" si="50"/>
        <v>#REF!</v>
      </c>
      <c r="BB109" s="261" t="e">
        <f t="shared" si="51"/>
        <v>#REF!</v>
      </c>
      <c r="BC109" s="261" t="e">
        <f t="shared" si="52"/>
        <v>#REF!</v>
      </c>
      <c r="BD109" s="261" t="e">
        <f t="shared" si="53"/>
        <v>#REF!</v>
      </c>
      <c r="BE109" s="261" t="e">
        <f>BC109+AV109+#REF!+AH109+AA109</f>
        <v>#REF!</v>
      </c>
      <c r="BF109" s="261" t="e">
        <f t="shared" si="54"/>
        <v>#REF!</v>
      </c>
      <c r="BG109" s="261" t="e">
        <f t="shared" si="55"/>
        <v>#REF!</v>
      </c>
    </row>
    <row r="110" spans="1:59" ht="15.75">
      <c r="A110" s="333">
        <v>9</v>
      </c>
      <c r="B110" s="333" t="s">
        <v>1607</v>
      </c>
      <c r="C110" s="256">
        <v>1</v>
      </c>
      <c r="D110" s="322" t="s">
        <v>16</v>
      </c>
      <c r="E110" s="256" t="s">
        <v>9</v>
      </c>
      <c r="F110" s="425">
        <f t="array" ref="F110">MAX((IF(MNU_CODIGO_ALIMENTO_ENTREGA=CONCATENATE($C110,"_","P_"),MNU_GRAMAJE_REQUERIDO_TIPOA,"")))</f>
        <v>30</v>
      </c>
      <c r="G110" s="257">
        <f t="shared" si="56"/>
        <v>80265</v>
      </c>
      <c r="H110" s="257">
        <f t="shared" si="57"/>
        <v>0</v>
      </c>
      <c r="I110" s="257">
        <f t="shared" si="58"/>
        <v>80265</v>
      </c>
      <c r="J110" s="258">
        <f t="shared" si="59"/>
        <v>64854120</v>
      </c>
      <c r="K110" s="258">
        <f t="shared" si="60"/>
        <v>0</v>
      </c>
      <c r="L110" s="258">
        <f t="shared" si="61"/>
        <v>64854120</v>
      </c>
      <c r="M110" s="426">
        <f t="array" ref="M110">MAX((IF(MNU_CODIGO_ALIMENTO_ENTREGA=CONCATENATE($C110,"_","P_"),MNU_GRAMAJE_REQUERIDO_TIPOB,"")))</f>
        <v>40</v>
      </c>
      <c r="N110" s="343">
        <f t="shared" si="62"/>
        <v>108420</v>
      </c>
      <c r="O110" s="343">
        <f t="shared" si="63"/>
        <v>0</v>
      </c>
      <c r="P110" s="343">
        <f t="shared" si="64"/>
        <v>108420</v>
      </c>
      <c r="Q110" s="344">
        <f t="shared" si="65"/>
        <v>116876760</v>
      </c>
      <c r="R110" s="344">
        <f t="shared" si="66"/>
        <v>0</v>
      </c>
      <c r="S110" s="344">
        <f t="shared" si="67"/>
        <v>116876760</v>
      </c>
      <c r="T110" s="348">
        <f t="array" ref="T110">MAX((IF(MNU_CODIGO_ALIMENTO_ENTREGA=CONCATENATE($C110,"_","P_"),MNU_GRAMAJE_REQUERIDO_TIPOC,"")))</f>
        <v>60</v>
      </c>
      <c r="U110" s="257">
        <f t="shared" si="68"/>
        <v>107340</v>
      </c>
      <c r="V110" s="257">
        <f t="shared" si="69"/>
        <v>0</v>
      </c>
      <c r="W110" s="257">
        <f t="shared" si="70"/>
        <v>107340</v>
      </c>
      <c r="X110" s="258">
        <f t="shared" si="71"/>
        <v>173461440</v>
      </c>
      <c r="Y110" s="258">
        <f t="shared" si="72"/>
        <v>0</v>
      </c>
      <c r="Z110" s="258">
        <f t="shared" si="73"/>
        <v>173461440</v>
      </c>
      <c r="AA110" s="256">
        <f t="array" ref="AA110">MAX((IF(MNU_CODIGO_ALIMENTO_ENTREGA=CONCATENATE($C110,"_","P_"),MNU_GRAMAJE_REQUERIDO_TIPOM,"")))</f>
        <v>40</v>
      </c>
      <c r="AB110" s="259">
        <f t="shared" si="74"/>
        <v>5565</v>
      </c>
      <c r="AC110" s="259">
        <v>0</v>
      </c>
      <c r="AD110" s="259">
        <f t="shared" si="75"/>
        <v>5565</v>
      </c>
      <c r="AE110" s="260">
        <f t="shared" si="76"/>
        <v>5999070</v>
      </c>
      <c r="AF110" s="260">
        <v>0</v>
      </c>
      <c r="AG110" s="260">
        <f t="shared" si="77"/>
        <v>5999070</v>
      </c>
      <c r="AH110" s="348">
        <f t="array" ref="AH110">MAX((IF(MNU_CODIGO_ALIMENTO_ENTREGA=CONCATENATE($C110,"_","P_"),MNU_GRAMAJE_REQUERIDO_TIPOH,"")))</f>
        <v>60</v>
      </c>
      <c r="AI110" s="257">
        <f t="shared" si="78"/>
        <v>6285</v>
      </c>
      <c r="AJ110" s="257">
        <v>0</v>
      </c>
      <c r="AK110" s="257">
        <f t="shared" si="79"/>
        <v>6285</v>
      </c>
      <c r="AL110" s="258">
        <f t="shared" si="80"/>
        <v>10156560</v>
      </c>
      <c r="AM110" s="258">
        <v>0</v>
      </c>
      <c r="AN110" s="258">
        <f t="shared" si="81"/>
        <v>10156560</v>
      </c>
      <c r="AO110" s="451">
        <f t="shared" si="82"/>
        <v>307875</v>
      </c>
      <c r="AP110" s="450">
        <f t="shared" si="83"/>
        <v>371347950</v>
      </c>
      <c r="AQ110" s="261" t="e">
        <f>#REF!+AH110+AA110+T110+M110</f>
        <v>#REF!</v>
      </c>
      <c r="AR110" s="261">
        <f t="shared" si="42"/>
        <v>371575560</v>
      </c>
      <c r="AS110" s="261" t="e">
        <f t="shared" si="43"/>
        <v>#REF!</v>
      </c>
      <c r="AT110" s="261">
        <f t="shared" si="44"/>
        <v>371803170</v>
      </c>
      <c r="AU110" s="261" t="e">
        <f t="shared" si="45"/>
        <v>#REF!</v>
      </c>
      <c r="AV110" s="261">
        <f t="shared" si="46"/>
        <v>371803170</v>
      </c>
      <c r="AW110" s="261" t="e">
        <f t="shared" si="47"/>
        <v>#REF!</v>
      </c>
      <c r="AX110" s="261" t="e">
        <f>AV110+#REF!+AH110+AA110+T110</f>
        <v>#REF!</v>
      </c>
      <c r="AY110" s="261" t="e">
        <f t="shared" si="48"/>
        <v>#REF!</v>
      </c>
      <c r="AZ110" s="261" t="e">
        <f t="shared" si="49"/>
        <v>#REF!</v>
      </c>
      <c r="BA110" s="261" t="e">
        <f t="shared" si="50"/>
        <v>#REF!</v>
      </c>
      <c r="BB110" s="261" t="e">
        <f t="shared" si="51"/>
        <v>#REF!</v>
      </c>
      <c r="BC110" s="261" t="e">
        <f t="shared" si="52"/>
        <v>#REF!</v>
      </c>
      <c r="BD110" s="261" t="e">
        <f t="shared" si="53"/>
        <v>#REF!</v>
      </c>
      <c r="BE110" s="261" t="e">
        <f>BC110+AV110+#REF!+AH110+AA110</f>
        <v>#REF!</v>
      </c>
      <c r="BF110" s="261" t="e">
        <f t="shared" si="54"/>
        <v>#REF!</v>
      </c>
      <c r="BG110" s="261" t="e">
        <f t="shared" si="55"/>
        <v>#REF!</v>
      </c>
    </row>
    <row r="111" spans="1:59" ht="15.75">
      <c r="A111" s="333">
        <v>9</v>
      </c>
      <c r="B111" s="333" t="s">
        <v>1607</v>
      </c>
      <c r="C111" s="256">
        <v>3</v>
      </c>
      <c r="D111" s="322" t="s">
        <v>12</v>
      </c>
      <c r="E111" s="256" t="s">
        <v>9</v>
      </c>
      <c r="F111" s="425">
        <f t="array" ref="F111">MAX((IF(MNU_CODIGO_ALIMENTO_ENTREGA=CONCATENATE($C111,"_","P_"),MNU_GRAMAJE_REQUERIDO_TIPOA,"")))</f>
        <v>50</v>
      </c>
      <c r="G111" s="257">
        <f t="shared" si="56"/>
        <v>90967</v>
      </c>
      <c r="H111" s="257">
        <f t="shared" si="57"/>
        <v>14877</v>
      </c>
      <c r="I111" s="257">
        <f t="shared" si="58"/>
        <v>105844</v>
      </c>
      <c r="J111" s="258">
        <f t="shared" si="59"/>
        <v>45938335</v>
      </c>
      <c r="K111" s="258">
        <f t="shared" si="60"/>
        <v>7512885</v>
      </c>
      <c r="L111" s="258">
        <f t="shared" si="61"/>
        <v>53451220</v>
      </c>
      <c r="M111" s="426">
        <f t="array" ref="M111">MAX((IF(MNU_CODIGO_ALIMENTO_ENTREGA=CONCATENATE($C111,"_","P_"),MNU_GRAMAJE_REQUERIDO_TIPOB,"")))</f>
        <v>50</v>
      </c>
      <c r="N111" s="343">
        <f t="shared" si="62"/>
        <v>122876</v>
      </c>
      <c r="O111" s="343">
        <f t="shared" si="63"/>
        <v>32015</v>
      </c>
      <c r="P111" s="343">
        <f t="shared" si="64"/>
        <v>154891</v>
      </c>
      <c r="Q111" s="344">
        <f t="shared" si="65"/>
        <v>62052380</v>
      </c>
      <c r="R111" s="344">
        <f t="shared" si="66"/>
        <v>16167575</v>
      </c>
      <c r="S111" s="344">
        <f t="shared" si="67"/>
        <v>78219955</v>
      </c>
      <c r="T111" s="348">
        <f t="array" ref="T111">MAX((IF(MNU_CODIGO_ALIMENTO_ENTREGA=CONCATENATE($C111,"_","P_"),MNU_GRAMAJE_REQUERIDO_TIPOC,"")))</f>
        <v>80</v>
      </c>
      <c r="U111" s="257">
        <f t="shared" si="68"/>
        <v>121652</v>
      </c>
      <c r="V111" s="257">
        <f t="shared" si="69"/>
        <v>56354</v>
      </c>
      <c r="W111" s="257">
        <f t="shared" si="70"/>
        <v>178006</v>
      </c>
      <c r="X111" s="258">
        <f t="shared" si="71"/>
        <v>92820476</v>
      </c>
      <c r="Y111" s="258">
        <f t="shared" si="72"/>
        <v>42998102</v>
      </c>
      <c r="Z111" s="258">
        <f t="shared" si="73"/>
        <v>135818578</v>
      </c>
      <c r="AA111" s="256">
        <f t="array" ref="AA111">MAX((IF(MNU_CODIGO_ALIMENTO_ENTREGA=CONCATENATE($C111,"_","P_"),MNU_GRAMAJE_REQUERIDO_TIPOM,"")))</f>
        <v>50</v>
      </c>
      <c r="AB111" s="259">
        <f t="shared" si="74"/>
        <v>6307</v>
      </c>
      <c r="AC111" s="259">
        <v>0</v>
      </c>
      <c r="AD111" s="259">
        <f t="shared" si="75"/>
        <v>6307</v>
      </c>
      <c r="AE111" s="260">
        <f t="shared" si="76"/>
        <v>3185035</v>
      </c>
      <c r="AF111" s="260">
        <v>0</v>
      </c>
      <c r="AG111" s="260">
        <f t="shared" si="77"/>
        <v>3185035</v>
      </c>
      <c r="AH111" s="348">
        <f t="array" ref="AH111">MAX((IF(MNU_CODIGO_ALIMENTO_ENTREGA=CONCATENATE($C111,"_","P_"),MNU_GRAMAJE_REQUERIDO_TIPOH,"")))</f>
        <v>80</v>
      </c>
      <c r="AI111" s="257">
        <f t="shared" si="78"/>
        <v>7123</v>
      </c>
      <c r="AJ111" s="257">
        <v>0</v>
      </c>
      <c r="AK111" s="257">
        <f t="shared" si="79"/>
        <v>7123</v>
      </c>
      <c r="AL111" s="258">
        <f t="shared" si="80"/>
        <v>5434849</v>
      </c>
      <c r="AM111" s="258">
        <v>0</v>
      </c>
      <c r="AN111" s="258">
        <f t="shared" si="81"/>
        <v>5434849</v>
      </c>
      <c r="AO111" s="451">
        <f t="shared" si="82"/>
        <v>452171</v>
      </c>
      <c r="AP111" s="450">
        <f t="shared" si="83"/>
        <v>276109637</v>
      </c>
      <c r="AQ111" s="261" t="e">
        <f>#REF!+AH111+AA111+T111+M111</f>
        <v>#REF!</v>
      </c>
      <c r="AR111" s="261">
        <f t="shared" ref="AR111:AR174" si="84">AP111+AI111+AB111+U111+N111</f>
        <v>276367595</v>
      </c>
      <c r="AS111" s="261" t="e">
        <f t="shared" ref="AS111:AS174" si="85">AQ111+AJ111+AC111+V111+O111</f>
        <v>#REF!</v>
      </c>
      <c r="AT111" s="261">
        <f t="shared" ref="AT111:AT174" si="86">AR111+AK111+AD111+W111+P111</f>
        <v>276713922</v>
      </c>
      <c r="AU111" s="261" t="e">
        <f t="shared" ref="AU111:AU174" si="87">AS111+AL111+AE111+X111+Q111</f>
        <v>#REF!</v>
      </c>
      <c r="AV111" s="261">
        <f t="shared" ref="AV111:AV174" si="88">AT111+AM111+AF111+Y111+R111</f>
        <v>335879599</v>
      </c>
      <c r="AW111" s="261" t="e">
        <f t="shared" ref="AW111:AW174" si="89">AU111+AN111+AG111+Z111+S111</f>
        <v>#REF!</v>
      </c>
      <c r="AX111" s="261" t="e">
        <f>AV111+#REF!+AH111+AA111+T111</f>
        <v>#REF!</v>
      </c>
      <c r="AY111" s="261" t="e">
        <f t="shared" ref="AY111:AY174" si="90">AW111+AP111+AI111+AB111+U111</f>
        <v>#REF!</v>
      </c>
      <c r="AZ111" s="261" t="e">
        <f t="shared" ref="AZ111:AZ174" si="91">AX111+AQ111+AJ111+AC111+V111</f>
        <v>#REF!</v>
      </c>
      <c r="BA111" s="261" t="e">
        <f t="shared" ref="BA111:BA174" si="92">AY111+AR111+AK111+AD111+W111</f>
        <v>#REF!</v>
      </c>
      <c r="BB111" s="261" t="e">
        <f t="shared" ref="BB111:BB174" si="93">AZ111+AS111+AL111+AE111+X111</f>
        <v>#REF!</v>
      </c>
      <c r="BC111" s="261" t="e">
        <f t="shared" ref="BC111:BC174" si="94">BA111+AT111+AM111+AF111+Y111</f>
        <v>#REF!</v>
      </c>
      <c r="BD111" s="261" t="e">
        <f t="shared" ref="BD111:BD174" si="95">BB111+AU111+AN111+AG111+Z111</f>
        <v>#REF!</v>
      </c>
      <c r="BE111" s="261" t="e">
        <f>BC111+AV111+#REF!+AH111+AA111</f>
        <v>#REF!</v>
      </c>
      <c r="BF111" s="261" t="e">
        <f t="shared" ref="BF111:BF174" si="96">BD111+AW111+AP111+AI111+AB111</f>
        <v>#REF!</v>
      </c>
      <c r="BG111" s="261" t="e">
        <f t="shared" ref="BG111:BG174" si="97">BE111+AX111+AQ111+AJ111+AC111</f>
        <v>#REF!</v>
      </c>
    </row>
    <row r="112" spans="1:59" ht="15.75">
      <c r="A112" s="333">
        <v>9</v>
      </c>
      <c r="B112" s="333" t="s">
        <v>1607</v>
      </c>
      <c r="C112" s="256">
        <v>15</v>
      </c>
      <c r="D112" s="322" t="s">
        <v>66</v>
      </c>
      <c r="E112" s="256" t="s">
        <v>9</v>
      </c>
      <c r="F112" s="425">
        <f t="array" ref="F112">MAX((IF(MNU_CODIGO_ALIMENTO_ENTREGA=CONCATENATE($C112,"_","P_"),MNU_GRAMAJE_REQUERIDO_TIPOA,"")))</f>
        <v>50</v>
      </c>
      <c r="G112" s="257">
        <f t="shared" si="56"/>
        <v>90967</v>
      </c>
      <c r="H112" s="257">
        <f t="shared" si="57"/>
        <v>8613</v>
      </c>
      <c r="I112" s="257">
        <f t="shared" si="58"/>
        <v>99580</v>
      </c>
      <c r="J112" s="258">
        <f t="shared" si="59"/>
        <v>61220791</v>
      </c>
      <c r="K112" s="258">
        <f t="shared" si="60"/>
        <v>5796549</v>
      </c>
      <c r="L112" s="258">
        <f t="shared" si="61"/>
        <v>67017340</v>
      </c>
      <c r="M112" s="426">
        <f t="array" ref="M112">MAX((IF(MNU_CODIGO_ALIMENTO_ENTREGA=CONCATENATE($C112,"_","P_"),MNU_GRAMAJE_REQUERIDO_TIPOB,"")))</f>
        <v>50</v>
      </c>
      <c r="N112" s="343">
        <f t="shared" si="62"/>
        <v>122876</v>
      </c>
      <c r="O112" s="343">
        <f t="shared" si="63"/>
        <v>18535</v>
      </c>
      <c r="P112" s="343">
        <f t="shared" si="64"/>
        <v>141411</v>
      </c>
      <c r="Q112" s="344">
        <f t="shared" si="65"/>
        <v>82695548</v>
      </c>
      <c r="R112" s="344">
        <f t="shared" si="66"/>
        <v>12474055</v>
      </c>
      <c r="S112" s="344">
        <f t="shared" si="67"/>
        <v>95169603</v>
      </c>
      <c r="T112" s="348">
        <f t="array" ref="T112">MAX((IF(MNU_CODIGO_ALIMENTO_ENTREGA=CONCATENATE($C112,"_","P_"),MNU_GRAMAJE_REQUERIDO_TIPOC,"")))</f>
        <v>80</v>
      </c>
      <c r="U112" s="257">
        <f t="shared" si="68"/>
        <v>121652</v>
      </c>
      <c r="V112" s="257">
        <f t="shared" si="69"/>
        <v>33022</v>
      </c>
      <c r="W112" s="257">
        <f t="shared" si="70"/>
        <v>154674</v>
      </c>
      <c r="X112" s="258">
        <f t="shared" si="71"/>
        <v>130897552</v>
      </c>
      <c r="Y112" s="258">
        <f t="shared" si="72"/>
        <v>35531672</v>
      </c>
      <c r="Z112" s="258">
        <f t="shared" si="73"/>
        <v>166429224</v>
      </c>
      <c r="AA112" s="256">
        <f t="array" ref="AA112">MAX((IF(MNU_CODIGO_ALIMENTO_ENTREGA=CONCATENATE($C112,"_","P_"),MNU_GRAMAJE_REQUERIDO_TIPOM,"")))</f>
        <v>50</v>
      </c>
      <c r="AB112" s="259">
        <f t="shared" si="74"/>
        <v>6307</v>
      </c>
      <c r="AC112" s="259">
        <v>0</v>
      </c>
      <c r="AD112" s="259">
        <f t="shared" si="75"/>
        <v>6307</v>
      </c>
      <c r="AE112" s="260">
        <f t="shared" si="76"/>
        <v>4244611</v>
      </c>
      <c r="AF112" s="260">
        <v>0</v>
      </c>
      <c r="AG112" s="260">
        <f t="shared" si="77"/>
        <v>4244611</v>
      </c>
      <c r="AH112" s="348">
        <f t="array" ref="AH112">MAX((IF(MNU_CODIGO_ALIMENTO_ENTREGA=CONCATENATE($C112,"_","P_"),MNU_GRAMAJE_REQUERIDO_TIPOH,"")))</f>
        <v>80</v>
      </c>
      <c r="AI112" s="257">
        <f t="shared" si="78"/>
        <v>7123</v>
      </c>
      <c r="AJ112" s="257">
        <v>0</v>
      </c>
      <c r="AK112" s="257">
        <f t="shared" si="79"/>
        <v>7123</v>
      </c>
      <c r="AL112" s="258">
        <f t="shared" si="80"/>
        <v>7664348</v>
      </c>
      <c r="AM112" s="258">
        <v>0</v>
      </c>
      <c r="AN112" s="258">
        <f t="shared" si="81"/>
        <v>7664348</v>
      </c>
      <c r="AO112" s="451">
        <f t="shared" si="82"/>
        <v>409095</v>
      </c>
      <c r="AP112" s="450">
        <f t="shared" si="83"/>
        <v>340525126</v>
      </c>
      <c r="AQ112" s="261" t="e">
        <f>#REF!+AH112+AA112+T112+M112</f>
        <v>#REF!</v>
      </c>
      <c r="AR112" s="261">
        <f t="shared" si="84"/>
        <v>340783084</v>
      </c>
      <c r="AS112" s="261" t="e">
        <f t="shared" si="85"/>
        <v>#REF!</v>
      </c>
      <c r="AT112" s="261">
        <f t="shared" si="86"/>
        <v>341092599</v>
      </c>
      <c r="AU112" s="261" t="e">
        <f t="shared" si="87"/>
        <v>#REF!</v>
      </c>
      <c r="AV112" s="261">
        <f t="shared" si="88"/>
        <v>389098326</v>
      </c>
      <c r="AW112" s="261" t="e">
        <f t="shared" si="89"/>
        <v>#REF!</v>
      </c>
      <c r="AX112" s="261" t="e">
        <f>AV112+#REF!+AH112+AA112+T112</f>
        <v>#REF!</v>
      </c>
      <c r="AY112" s="261" t="e">
        <f t="shared" si="90"/>
        <v>#REF!</v>
      </c>
      <c r="AZ112" s="261" t="e">
        <f t="shared" si="91"/>
        <v>#REF!</v>
      </c>
      <c r="BA112" s="261" t="e">
        <f t="shared" si="92"/>
        <v>#REF!</v>
      </c>
      <c r="BB112" s="261" t="e">
        <f t="shared" si="93"/>
        <v>#REF!</v>
      </c>
      <c r="BC112" s="261" t="e">
        <f t="shared" si="94"/>
        <v>#REF!</v>
      </c>
      <c r="BD112" s="261" t="e">
        <f t="shared" si="95"/>
        <v>#REF!</v>
      </c>
      <c r="BE112" s="261" t="e">
        <f>BC112+AV112+#REF!+AH112+AA112</f>
        <v>#REF!</v>
      </c>
      <c r="BF112" s="261" t="e">
        <f t="shared" si="96"/>
        <v>#REF!</v>
      </c>
      <c r="BG112" s="261" t="e">
        <f t="shared" si="97"/>
        <v>#REF!</v>
      </c>
    </row>
    <row r="113" spans="1:59" ht="15.75">
      <c r="A113" s="333">
        <v>9</v>
      </c>
      <c r="B113" s="333" t="s">
        <v>1607</v>
      </c>
      <c r="C113" s="256">
        <v>24</v>
      </c>
      <c r="D113" s="322" t="s">
        <v>61</v>
      </c>
      <c r="E113" s="256" t="s">
        <v>9</v>
      </c>
      <c r="F113" s="425">
        <f t="array" ref="F113">MAX((IF(MNU_CODIGO_ALIMENTO_ENTREGA=CONCATENATE($C113,"_","P_"),MNU_GRAMAJE_REQUERIDO_TIPOA,"")))</f>
        <v>20</v>
      </c>
      <c r="G113" s="257">
        <f t="shared" si="56"/>
        <v>90967</v>
      </c>
      <c r="H113" s="257">
        <f t="shared" si="57"/>
        <v>8613</v>
      </c>
      <c r="I113" s="257">
        <f t="shared" si="58"/>
        <v>99580</v>
      </c>
      <c r="J113" s="258">
        <f t="shared" si="59"/>
        <v>11643776</v>
      </c>
      <c r="K113" s="258">
        <f t="shared" si="60"/>
        <v>1102464</v>
      </c>
      <c r="L113" s="258">
        <f t="shared" si="61"/>
        <v>12746240</v>
      </c>
      <c r="M113" s="426">
        <f t="array" ref="M113">MAX((IF(MNU_CODIGO_ALIMENTO_ENTREGA=CONCATENATE($C113,"_","P_"),MNU_GRAMAJE_REQUERIDO_TIPOB,"")))</f>
        <v>30</v>
      </c>
      <c r="N113" s="343">
        <f t="shared" si="62"/>
        <v>122876</v>
      </c>
      <c r="O113" s="343">
        <f t="shared" si="63"/>
        <v>18535</v>
      </c>
      <c r="P113" s="343">
        <f t="shared" si="64"/>
        <v>141411</v>
      </c>
      <c r="Q113" s="344">
        <f t="shared" si="65"/>
        <v>24575200</v>
      </c>
      <c r="R113" s="344">
        <f t="shared" si="66"/>
        <v>3707000</v>
      </c>
      <c r="S113" s="344">
        <f t="shared" si="67"/>
        <v>28282200</v>
      </c>
      <c r="T113" s="348">
        <f t="array" ref="T113">MAX((IF(MNU_CODIGO_ALIMENTO_ENTREGA=CONCATENATE($C113,"_","P_"),MNU_GRAMAJE_REQUERIDO_TIPOC,"")))</f>
        <v>60</v>
      </c>
      <c r="U113" s="257">
        <f t="shared" si="68"/>
        <v>121652</v>
      </c>
      <c r="V113" s="257">
        <f t="shared" si="69"/>
        <v>33022</v>
      </c>
      <c r="W113" s="257">
        <f t="shared" si="70"/>
        <v>154674</v>
      </c>
      <c r="X113" s="258">
        <f t="shared" si="71"/>
        <v>46836020</v>
      </c>
      <c r="Y113" s="258">
        <f t="shared" si="72"/>
        <v>12713470</v>
      </c>
      <c r="Z113" s="258">
        <f t="shared" si="73"/>
        <v>59549490</v>
      </c>
      <c r="AA113" s="256">
        <f t="array" ref="AA113">MAX((IF(MNU_CODIGO_ALIMENTO_ENTREGA=CONCATENATE($C113,"_","P_"),MNU_GRAMAJE_REQUERIDO_TIPOM,"")))</f>
        <v>30</v>
      </c>
      <c r="AB113" s="259">
        <f t="shared" si="74"/>
        <v>6307</v>
      </c>
      <c r="AC113" s="259">
        <v>0</v>
      </c>
      <c r="AD113" s="259">
        <f t="shared" si="75"/>
        <v>6307</v>
      </c>
      <c r="AE113" s="260">
        <f t="shared" si="76"/>
        <v>1261400</v>
      </c>
      <c r="AF113" s="260">
        <v>0</v>
      </c>
      <c r="AG113" s="260">
        <f t="shared" si="77"/>
        <v>1261400</v>
      </c>
      <c r="AH113" s="348">
        <f t="array" ref="AH113">MAX((IF(MNU_CODIGO_ALIMENTO_ENTREGA=CONCATENATE($C113,"_","P_"),MNU_GRAMAJE_REQUERIDO_TIPOH,"")))</f>
        <v>60</v>
      </c>
      <c r="AI113" s="257">
        <f t="shared" si="78"/>
        <v>7123</v>
      </c>
      <c r="AJ113" s="257">
        <v>0</v>
      </c>
      <c r="AK113" s="257">
        <f t="shared" si="79"/>
        <v>7123</v>
      </c>
      <c r="AL113" s="258">
        <f t="shared" si="80"/>
        <v>2742355</v>
      </c>
      <c r="AM113" s="258">
        <v>0</v>
      </c>
      <c r="AN113" s="258">
        <f t="shared" si="81"/>
        <v>2742355</v>
      </c>
      <c r="AO113" s="451">
        <f t="shared" si="82"/>
        <v>409095</v>
      </c>
      <c r="AP113" s="450">
        <f t="shared" si="83"/>
        <v>104581685</v>
      </c>
      <c r="AQ113" s="261" t="e">
        <f>#REF!+AH113+AA113+T113+M113</f>
        <v>#REF!</v>
      </c>
      <c r="AR113" s="261">
        <f t="shared" si="84"/>
        <v>104839643</v>
      </c>
      <c r="AS113" s="261" t="e">
        <f t="shared" si="85"/>
        <v>#REF!</v>
      </c>
      <c r="AT113" s="261">
        <f t="shared" si="86"/>
        <v>105149158</v>
      </c>
      <c r="AU113" s="261" t="e">
        <f t="shared" si="87"/>
        <v>#REF!</v>
      </c>
      <c r="AV113" s="261">
        <f t="shared" si="88"/>
        <v>121569628</v>
      </c>
      <c r="AW113" s="261" t="e">
        <f t="shared" si="89"/>
        <v>#REF!</v>
      </c>
      <c r="AX113" s="261" t="e">
        <f>AV113+#REF!+AH113+AA113+T113</f>
        <v>#REF!</v>
      </c>
      <c r="AY113" s="261" t="e">
        <f t="shared" si="90"/>
        <v>#REF!</v>
      </c>
      <c r="AZ113" s="261" t="e">
        <f t="shared" si="91"/>
        <v>#REF!</v>
      </c>
      <c r="BA113" s="261" t="e">
        <f t="shared" si="92"/>
        <v>#REF!</v>
      </c>
      <c r="BB113" s="261" t="e">
        <f t="shared" si="93"/>
        <v>#REF!</v>
      </c>
      <c r="BC113" s="261" t="e">
        <f t="shared" si="94"/>
        <v>#REF!</v>
      </c>
      <c r="BD113" s="261" t="e">
        <f t="shared" si="95"/>
        <v>#REF!</v>
      </c>
      <c r="BE113" s="261" t="e">
        <f>BC113+AV113+#REF!+AH113+AA113</f>
        <v>#REF!</v>
      </c>
      <c r="BF113" s="261" t="e">
        <f t="shared" si="96"/>
        <v>#REF!</v>
      </c>
      <c r="BG113" s="261" t="e">
        <f t="shared" si="97"/>
        <v>#REF!</v>
      </c>
    </row>
    <row r="114" spans="1:59" ht="15.75">
      <c r="A114" s="333">
        <v>9</v>
      </c>
      <c r="B114" s="333" t="s">
        <v>1607</v>
      </c>
      <c r="C114" s="256">
        <v>25</v>
      </c>
      <c r="D114" s="322" t="s">
        <v>64</v>
      </c>
      <c r="E114" s="256" t="s">
        <v>9</v>
      </c>
      <c r="F114" s="425">
        <f t="array" ref="F114">MAX((IF(MNU_CODIGO_ALIMENTO_ENTREGA=CONCATENATE($C114,"_","P_"),MNU_GRAMAJE_REQUERIDO_TIPOA,"")))</f>
        <v>40</v>
      </c>
      <c r="G114" s="257">
        <f t="shared" ref="G114:G177" si="98">SUMIF(COSTPE_G_ALIMENTO_GRUPO,CONCATENATE($C114,"_",$A114),COSTPE_G_VOLUMEN_TOTAL_TIPOA)</f>
        <v>90967</v>
      </c>
      <c r="H114" s="257">
        <f t="shared" ref="H114:H177" si="99">SUMIF(COSTSE_G_ALIMENTO_GRUPO,CONCATENATE($C114,"_",$A114),COSTSE_G_VOLUMEN_TOTAL_TIPOA)</f>
        <v>17226</v>
      </c>
      <c r="I114" s="257">
        <f t="shared" ref="I114:I177" si="100">G114+H114</f>
        <v>108193</v>
      </c>
      <c r="J114" s="258">
        <f t="shared" ref="J114:J177" si="101">SUMIF(COSTPE_G_ALIMENTO_GRUPO,CONCATENATE($C114,"_",$A114),COSTPE_G_VALOR_TOTAL_TIPOA)</f>
        <v>23287552</v>
      </c>
      <c r="K114" s="258">
        <f t="shared" ref="K114:K177" si="102">SUMIF(COSTSE_G_ALIMENTO_GRUPO,CONCATENATE($C114,"_",$A114),COSTSE_G_VALOR_TOTAL_TIPOA)</f>
        <v>4409856</v>
      </c>
      <c r="L114" s="258">
        <f t="shared" ref="L114:L177" si="103">J114+K114</f>
        <v>27697408</v>
      </c>
      <c r="M114" s="426">
        <f t="array" ref="M114">MAX((IF(MNU_CODIGO_ALIMENTO_ENTREGA=CONCATENATE($C114,"_","P_"),MNU_GRAMAJE_REQUERIDO_TIPOB,"")))</f>
        <v>40</v>
      </c>
      <c r="N114" s="343">
        <f t="shared" ref="N114:N177" si="104">SUMIF(COSTPE_G_ALIMENTO_GRUPO,CONCATENATE($C114,"_",$A114),COSTPE_G_VOLUMEN_TOTAL_TIPOB)</f>
        <v>122876</v>
      </c>
      <c r="O114" s="343">
        <f t="shared" ref="O114:O177" si="105">SUMIF(COSTSE_G_ALIMENTO_GRUPO,CONCATENATE($C114,"_",$A114),COSTSE_G_VOLUMEN_TOTAL_TIPOB)</f>
        <v>37070</v>
      </c>
      <c r="P114" s="343">
        <f t="shared" ref="P114:P177" si="106">N114+O114</f>
        <v>159946</v>
      </c>
      <c r="Q114" s="344">
        <f t="shared" ref="Q114:Q177" si="107">SUMIF(COSTPE_G_ALIMENTO_GRUPO,CONCATENATE($C114,"_",$A114),COSTPE_G_VALOR_TOTAL_TIPOB)</f>
        <v>31456256</v>
      </c>
      <c r="R114" s="344">
        <f t="shared" ref="R114:R177" si="108">SUMIF(COSTSE_G_ALIMENTO_GRUPO,CONCATENATE($C114,"_",$A114),COSTSE_G_VALOR_TOTAL_TIPOB)</f>
        <v>9489920</v>
      </c>
      <c r="S114" s="344">
        <f t="shared" ref="S114:S177" si="109">Q114+R114</f>
        <v>40946176</v>
      </c>
      <c r="T114" s="348">
        <f t="array" ref="T114">MAX((IF(MNU_CODIGO_ALIMENTO_ENTREGA=CONCATENATE($C114,"_","P_"),MNU_GRAMAJE_REQUERIDO_TIPOC,"")))</f>
        <v>60</v>
      </c>
      <c r="U114" s="257">
        <f t="shared" ref="U114:U177" si="110">SUMIF(COSTPE_G_ALIMENTO_GRUPO,CONCATENATE($C114,"_",$A114),COSTPE_G_VOLUMEN_TOTAL_TIPOC)</f>
        <v>121652</v>
      </c>
      <c r="V114" s="257">
        <f t="shared" ref="V114:V177" si="111">SUMIF(COSTSE_G_ALIMENTO_GRUPO,CONCATENATE($C114,"_",$A114),COSTSE_G_VOLUMEN_TOTAL_TIPOC)</f>
        <v>65252</v>
      </c>
      <c r="W114" s="257">
        <f t="shared" ref="W114:W177" si="112">U114+V114</f>
        <v>186904</v>
      </c>
      <c r="X114" s="258">
        <f t="shared" ref="X114:X177" si="113">SUMIF(COSTPE_G_ALIMENTO_GRUPO,CONCATENATE($C114,"_",$A114),COSTPE_G_VALOR_TOTAL_TIPOC)</f>
        <v>46714368</v>
      </c>
      <c r="Y114" s="258">
        <f t="shared" ref="Y114:Y177" si="114">SUMIF(COSTSE_G_ALIMENTO_GRUPO,CONCATENATE($C114,"_",$A114),COSTSE_G_VALOR_TOTAL_TIPOC)</f>
        <v>25056768</v>
      </c>
      <c r="Z114" s="258">
        <f t="shared" ref="Z114:Z177" si="115">X114+Y114</f>
        <v>71771136</v>
      </c>
      <c r="AA114" s="256">
        <f t="array" ref="AA114">MAX((IF(MNU_CODIGO_ALIMENTO_ENTREGA=CONCATENATE($C114,"_","P_"),MNU_GRAMAJE_REQUERIDO_TIPOM,"")))</f>
        <v>40</v>
      </c>
      <c r="AB114" s="259">
        <f t="shared" ref="AB114:AB177" si="116">SUMIF(COSTPE_G_ALIMENTO_GRUPO,CONCATENATE($C114,"_",$A114),COSTPE_G_VOLUMEN_TOTAL_TIPOM)</f>
        <v>6307</v>
      </c>
      <c r="AC114" s="259">
        <v>0</v>
      </c>
      <c r="AD114" s="259">
        <f t="shared" ref="AD114:AD177" si="117">AB114+AC114</f>
        <v>6307</v>
      </c>
      <c r="AE114" s="260">
        <f t="shared" ref="AE114:AE177" si="118">SUMIF(COSTPE_G_ALIMENTO_GRUPO,CONCATENATE($C114,"_",$A114),COSTPE_G_VALOR_TOTAL_TIPOM)</f>
        <v>1614592</v>
      </c>
      <c r="AF114" s="260">
        <v>0</v>
      </c>
      <c r="AG114" s="260">
        <f t="shared" ref="AG114:AG177" si="119">AE114+AF114</f>
        <v>1614592</v>
      </c>
      <c r="AH114" s="348">
        <f t="array" ref="AH114">MAX((IF(MNU_CODIGO_ALIMENTO_ENTREGA=CONCATENATE($C114,"_","P_"),MNU_GRAMAJE_REQUERIDO_TIPOH,"")))</f>
        <v>60</v>
      </c>
      <c r="AI114" s="257">
        <f t="shared" ref="AI114:AI177" si="120">SUMIF(COSTPE_G_ALIMENTO_GRUPO,CONCATENATE($C114,"_",$A114),COSTPE_G_VOLUMEN_TOTAL_TIPOH)</f>
        <v>7123</v>
      </c>
      <c r="AJ114" s="257">
        <v>0</v>
      </c>
      <c r="AK114" s="257">
        <f t="shared" ref="AK114:AK177" si="121">AI114+AJ114</f>
        <v>7123</v>
      </c>
      <c r="AL114" s="258">
        <f t="shared" ref="AL114:AL177" si="122">SUMIF(COSTPE_G_ALIMENTO_GRUPO,CONCATENATE($C114,"_",$A114),COSTPE_G_VALOR_TOTAL_TIPOH)</f>
        <v>2735232</v>
      </c>
      <c r="AM114" s="258">
        <v>0</v>
      </c>
      <c r="AN114" s="258">
        <f t="shared" ref="AN114:AN177" si="123">AL114+AM114</f>
        <v>2735232</v>
      </c>
      <c r="AO114" s="451">
        <f t="shared" ref="AO114:AO177" si="124">AK114+AD114+W114+P114+I114</f>
        <v>468473</v>
      </c>
      <c r="AP114" s="450">
        <f t="shared" ref="AP114:AP177" si="125">AN114+AG114+Z114+S114+L114</f>
        <v>144764544</v>
      </c>
      <c r="AQ114" s="261" t="e">
        <f>#REF!+AH114+AA114+T114+M114</f>
        <v>#REF!</v>
      </c>
      <c r="AR114" s="261">
        <f t="shared" si="84"/>
        <v>145022502</v>
      </c>
      <c r="AS114" s="261" t="e">
        <f t="shared" si="85"/>
        <v>#REF!</v>
      </c>
      <c r="AT114" s="261">
        <f t="shared" si="86"/>
        <v>145382782</v>
      </c>
      <c r="AU114" s="261" t="e">
        <f t="shared" si="87"/>
        <v>#REF!</v>
      </c>
      <c r="AV114" s="261">
        <f t="shared" si="88"/>
        <v>179929470</v>
      </c>
      <c r="AW114" s="261" t="e">
        <f t="shared" si="89"/>
        <v>#REF!</v>
      </c>
      <c r="AX114" s="261" t="e">
        <f>AV114+#REF!+AH114+AA114+T114</f>
        <v>#REF!</v>
      </c>
      <c r="AY114" s="261" t="e">
        <f t="shared" si="90"/>
        <v>#REF!</v>
      </c>
      <c r="AZ114" s="261" t="e">
        <f t="shared" si="91"/>
        <v>#REF!</v>
      </c>
      <c r="BA114" s="261" t="e">
        <f t="shared" si="92"/>
        <v>#REF!</v>
      </c>
      <c r="BB114" s="261" t="e">
        <f t="shared" si="93"/>
        <v>#REF!</v>
      </c>
      <c r="BC114" s="261" t="e">
        <f t="shared" si="94"/>
        <v>#REF!</v>
      </c>
      <c r="BD114" s="261" t="e">
        <f t="shared" si="95"/>
        <v>#REF!</v>
      </c>
      <c r="BE114" s="261" t="e">
        <f>BC114+AV114+#REF!+AH114+AA114</f>
        <v>#REF!</v>
      </c>
      <c r="BF114" s="261" t="e">
        <f t="shared" si="96"/>
        <v>#REF!</v>
      </c>
      <c r="BG114" s="261" t="e">
        <f t="shared" si="97"/>
        <v>#REF!</v>
      </c>
    </row>
    <row r="115" spans="1:59" ht="15.75">
      <c r="A115" s="333">
        <v>9</v>
      </c>
      <c r="B115" s="333" t="s">
        <v>1607</v>
      </c>
      <c r="C115" s="256">
        <v>26</v>
      </c>
      <c r="D115" s="322" t="s">
        <v>69</v>
      </c>
      <c r="E115" s="256" t="s">
        <v>9</v>
      </c>
      <c r="F115" s="425">
        <f t="array" ref="F115">MAX((IF(MNU_CODIGO_ALIMENTO_ENTREGA=CONCATENATE($C115,"_","P_"),MNU_GRAMAJE_REQUERIDO_TIPOA,"")))</f>
        <v>30</v>
      </c>
      <c r="G115" s="257">
        <f t="shared" si="98"/>
        <v>32106</v>
      </c>
      <c r="H115" s="257">
        <f t="shared" si="99"/>
        <v>0</v>
      </c>
      <c r="I115" s="257">
        <f t="shared" si="100"/>
        <v>32106</v>
      </c>
      <c r="J115" s="258">
        <f t="shared" si="101"/>
        <v>5490126</v>
      </c>
      <c r="K115" s="258">
        <f t="shared" si="102"/>
        <v>0</v>
      </c>
      <c r="L115" s="258">
        <f t="shared" si="103"/>
        <v>5490126</v>
      </c>
      <c r="M115" s="426">
        <f t="array" ref="M115">MAX((IF(MNU_CODIGO_ALIMENTO_ENTREGA=CONCATENATE($C115,"_","P_"),MNU_GRAMAJE_REQUERIDO_TIPOB,"")))</f>
        <v>30</v>
      </c>
      <c r="N115" s="343">
        <f t="shared" si="104"/>
        <v>43368</v>
      </c>
      <c r="O115" s="343">
        <f t="shared" si="105"/>
        <v>0</v>
      </c>
      <c r="P115" s="343">
        <f t="shared" si="106"/>
        <v>43368</v>
      </c>
      <c r="Q115" s="344">
        <f t="shared" si="107"/>
        <v>7415928</v>
      </c>
      <c r="R115" s="344">
        <f t="shared" si="108"/>
        <v>0</v>
      </c>
      <c r="S115" s="344">
        <f t="shared" si="109"/>
        <v>7415928</v>
      </c>
      <c r="T115" s="348">
        <f t="array" ref="T115">MAX((IF(MNU_CODIGO_ALIMENTO_ENTREGA=CONCATENATE($C115,"_","P_"),MNU_GRAMAJE_REQUERIDO_TIPOC,"")))</f>
        <v>30</v>
      </c>
      <c r="U115" s="257">
        <f t="shared" si="110"/>
        <v>42936</v>
      </c>
      <c r="V115" s="257">
        <f t="shared" si="111"/>
        <v>0</v>
      </c>
      <c r="W115" s="257">
        <f t="shared" si="112"/>
        <v>42936</v>
      </c>
      <c r="X115" s="258">
        <f t="shared" si="113"/>
        <v>7342056</v>
      </c>
      <c r="Y115" s="258">
        <f t="shared" si="114"/>
        <v>0</v>
      </c>
      <c r="Z115" s="258">
        <f t="shared" si="115"/>
        <v>7342056</v>
      </c>
      <c r="AA115" s="256">
        <f t="array" ref="AA115">MAX((IF(MNU_CODIGO_ALIMENTO_ENTREGA=CONCATENATE($C115,"_","P_"),MNU_GRAMAJE_REQUERIDO_TIPOM,"")))</f>
        <v>30</v>
      </c>
      <c r="AB115" s="259">
        <f t="shared" si="116"/>
        <v>2226</v>
      </c>
      <c r="AC115" s="259">
        <v>0</v>
      </c>
      <c r="AD115" s="259">
        <f t="shared" si="117"/>
        <v>2226</v>
      </c>
      <c r="AE115" s="260">
        <f t="shared" si="118"/>
        <v>380646</v>
      </c>
      <c r="AF115" s="260">
        <v>0</v>
      </c>
      <c r="AG115" s="260">
        <f t="shared" si="119"/>
        <v>380646</v>
      </c>
      <c r="AH115" s="348">
        <f t="array" ref="AH115">MAX((IF(MNU_CODIGO_ALIMENTO_ENTREGA=CONCATENATE($C115,"_","P_"),MNU_GRAMAJE_REQUERIDO_TIPOH,"")))</f>
        <v>30</v>
      </c>
      <c r="AI115" s="257">
        <f t="shared" si="120"/>
        <v>2514</v>
      </c>
      <c r="AJ115" s="257">
        <v>0</v>
      </c>
      <c r="AK115" s="257">
        <f t="shared" si="121"/>
        <v>2514</v>
      </c>
      <c r="AL115" s="258">
        <f t="shared" si="122"/>
        <v>429894</v>
      </c>
      <c r="AM115" s="258">
        <v>0</v>
      </c>
      <c r="AN115" s="258">
        <f t="shared" si="123"/>
        <v>429894</v>
      </c>
      <c r="AO115" s="451">
        <f t="shared" si="124"/>
        <v>123150</v>
      </c>
      <c r="AP115" s="450">
        <f t="shared" si="125"/>
        <v>21058650</v>
      </c>
      <c r="AQ115" s="261" t="e">
        <f>#REF!+AH115+AA115+T115+M115</f>
        <v>#REF!</v>
      </c>
      <c r="AR115" s="261">
        <f t="shared" si="84"/>
        <v>21149694</v>
      </c>
      <c r="AS115" s="261" t="e">
        <f t="shared" si="85"/>
        <v>#REF!</v>
      </c>
      <c r="AT115" s="261">
        <f t="shared" si="86"/>
        <v>21240738</v>
      </c>
      <c r="AU115" s="261" t="e">
        <f t="shared" si="87"/>
        <v>#REF!</v>
      </c>
      <c r="AV115" s="261">
        <f t="shared" si="88"/>
        <v>21240738</v>
      </c>
      <c r="AW115" s="261" t="e">
        <f t="shared" si="89"/>
        <v>#REF!</v>
      </c>
      <c r="AX115" s="261" t="e">
        <f>AV115+#REF!+AH115+AA115+T115</f>
        <v>#REF!</v>
      </c>
      <c r="AY115" s="261" t="e">
        <f t="shared" si="90"/>
        <v>#REF!</v>
      </c>
      <c r="AZ115" s="261" t="e">
        <f t="shared" si="91"/>
        <v>#REF!</v>
      </c>
      <c r="BA115" s="261" t="e">
        <f t="shared" si="92"/>
        <v>#REF!</v>
      </c>
      <c r="BB115" s="261" t="e">
        <f t="shared" si="93"/>
        <v>#REF!</v>
      </c>
      <c r="BC115" s="261" t="e">
        <f t="shared" si="94"/>
        <v>#REF!</v>
      </c>
      <c r="BD115" s="261" t="e">
        <f t="shared" si="95"/>
        <v>#REF!</v>
      </c>
      <c r="BE115" s="261" t="e">
        <f>BC115+AV115+#REF!+AH115+AA115</f>
        <v>#REF!</v>
      </c>
      <c r="BF115" s="261" t="e">
        <f t="shared" si="96"/>
        <v>#REF!</v>
      </c>
      <c r="BG115" s="261" t="e">
        <f t="shared" si="97"/>
        <v>#REF!</v>
      </c>
    </row>
    <row r="116" spans="1:59" ht="27">
      <c r="A116" s="333">
        <v>9</v>
      </c>
      <c r="B116" s="333" t="s">
        <v>1607</v>
      </c>
      <c r="C116" s="256">
        <v>28</v>
      </c>
      <c r="D116" s="322" t="s">
        <v>67</v>
      </c>
      <c r="E116" s="256" t="s">
        <v>9</v>
      </c>
      <c r="F116" s="425">
        <f t="array" ref="F116">MAX((IF(MNU_CODIGO_ALIMENTO_ENTREGA=CONCATENATE($C116,"_","P_"),MNU_GRAMAJE_REQUERIDO_TIPOA,"")))</f>
        <v>30</v>
      </c>
      <c r="G116" s="257">
        <f t="shared" si="98"/>
        <v>32106</v>
      </c>
      <c r="H116" s="257">
        <f t="shared" si="99"/>
        <v>14877</v>
      </c>
      <c r="I116" s="257">
        <f t="shared" si="100"/>
        <v>46983</v>
      </c>
      <c r="J116" s="258">
        <f t="shared" si="101"/>
        <v>7255956</v>
      </c>
      <c r="K116" s="258">
        <f t="shared" si="102"/>
        <v>3362202</v>
      </c>
      <c r="L116" s="258">
        <f t="shared" si="103"/>
        <v>10618158</v>
      </c>
      <c r="M116" s="426">
        <f t="array" ref="M116">MAX((IF(MNU_CODIGO_ALIMENTO_ENTREGA=CONCATENATE($C116,"_","P_"),MNU_GRAMAJE_REQUERIDO_TIPOB,"")))</f>
        <v>40</v>
      </c>
      <c r="N116" s="343">
        <f t="shared" si="104"/>
        <v>43368</v>
      </c>
      <c r="O116" s="343">
        <f t="shared" si="105"/>
        <v>32015</v>
      </c>
      <c r="P116" s="343">
        <f t="shared" si="106"/>
        <v>75383</v>
      </c>
      <c r="Q116" s="344">
        <f t="shared" si="107"/>
        <v>13053768</v>
      </c>
      <c r="R116" s="344">
        <f t="shared" si="108"/>
        <v>9636515</v>
      </c>
      <c r="S116" s="344">
        <f t="shared" si="109"/>
        <v>22690283</v>
      </c>
      <c r="T116" s="348">
        <f t="array" ref="T116">MAX((IF(MNU_CODIGO_ALIMENTO_ENTREGA=CONCATENATE($C116,"_","P_"),MNU_GRAMAJE_REQUERIDO_TIPOC,"")))</f>
        <v>60</v>
      </c>
      <c r="U116" s="257">
        <f t="shared" si="110"/>
        <v>42936</v>
      </c>
      <c r="V116" s="257">
        <f t="shared" si="111"/>
        <v>56354</v>
      </c>
      <c r="W116" s="257">
        <f t="shared" si="112"/>
        <v>99290</v>
      </c>
      <c r="X116" s="258">
        <f t="shared" si="113"/>
        <v>19364136</v>
      </c>
      <c r="Y116" s="258">
        <f t="shared" si="114"/>
        <v>25415654</v>
      </c>
      <c r="Z116" s="258">
        <f t="shared" si="115"/>
        <v>44779790</v>
      </c>
      <c r="AA116" s="256">
        <f t="array" ref="AA116">MAX((IF(MNU_CODIGO_ALIMENTO_ENTREGA=CONCATENATE($C116,"_","P_"),MNU_GRAMAJE_REQUERIDO_TIPOM,"")))</f>
        <v>40</v>
      </c>
      <c r="AB116" s="259">
        <f t="shared" si="116"/>
        <v>2226</v>
      </c>
      <c r="AC116" s="259">
        <v>0</v>
      </c>
      <c r="AD116" s="259">
        <f t="shared" si="117"/>
        <v>2226</v>
      </c>
      <c r="AE116" s="260">
        <f t="shared" si="118"/>
        <v>670026</v>
      </c>
      <c r="AF116" s="260">
        <v>0</v>
      </c>
      <c r="AG116" s="260">
        <f t="shared" si="119"/>
        <v>670026</v>
      </c>
      <c r="AH116" s="348">
        <f t="array" ref="AH116">MAX((IF(MNU_CODIGO_ALIMENTO_ENTREGA=CONCATENATE($C116,"_","P_"),MNU_GRAMAJE_REQUERIDO_TIPOH,"")))</f>
        <v>60</v>
      </c>
      <c r="AI116" s="257">
        <f t="shared" si="120"/>
        <v>2514</v>
      </c>
      <c r="AJ116" s="257">
        <v>0</v>
      </c>
      <c r="AK116" s="257">
        <f t="shared" si="121"/>
        <v>2514</v>
      </c>
      <c r="AL116" s="258">
        <f t="shared" si="122"/>
        <v>1133814</v>
      </c>
      <c r="AM116" s="258">
        <v>0</v>
      </c>
      <c r="AN116" s="258">
        <f t="shared" si="123"/>
        <v>1133814</v>
      </c>
      <c r="AO116" s="451">
        <f t="shared" si="124"/>
        <v>226396</v>
      </c>
      <c r="AP116" s="450">
        <f t="shared" si="125"/>
        <v>79892071</v>
      </c>
      <c r="AQ116" s="261" t="e">
        <f>#REF!+AH116+AA116+T116+M116</f>
        <v>#REF!</v>
      </c>
      <c r="AR116" s="261">
        <f t="shared" si="84"/>
        <v>79983115</v>
      </c>
      <c r="AS116" s="261" t="e">
        <f t="shared" si="85"/>
        <v>#REF!</v>
      </c>
      <c r="AT116" s="261">
        <f t="shared" si="86"/>
        <v>80162528</v>
      </c>
      <c r="AU116" s="261" t="e">
        <f t="shared" si="87"/>
        <v>#REF!</v>
      </c>
      <c r="AV116" s="261">
        <f t="shared" si="88"/>
        <v>115214697</v>
      </c>
      <c r="AW116" s="261" t="e">
        <f t="shared" si="89"/>
        <v>#REF!</v>
      </c>
      <c r="AX116" s="261" t="e">
        <f>AV116+#REF!+AH116+AA116+T116</f>
        <v>#REF!</v>
      </c>
      <c r="AY116" s="261" t="e">
        <f t="shared" si="90"/>
        <v>#REF!</v>
      </c>
      <c r="AZ116" s="261" t="e">
        <f t="shared" si="91"/>
        <v>#REF!</v>
      </c>
      <c r="BA116" s="261" t="e">
        <f t="shared" si="92"/>
        <v>#REF!</v>
      </c>
      <c r="BB116" s="261" t="e">
        <f t="shared" si="93"/>
        <v>#REF!</v>
      </c>
      <c r="BC116" s="261" t="e">
        <f t="shared" si="94"/>
        <v>#REF!</v>
      </c>
      <c r="BD116" s="261" t="e">
        <f t="shared" si="95"/>
        <v>#REF!</v>
      </c>
      <c r="BE116" s="261" t="e">
        <f>BC116+AV116+#REF!+AH116+AA116</f>
        <v>#REF!</v>
      </c>
      <c r="BF116" s="261" t="e">
        <f t="shared" si="96"/>
        <v>#REF!</v>
      </c>
      <c r="BG116" s="261" t="e">
        <f t="shared" si="97"/>
        <v>#REF!</v>
      </c>
    </row>
    <row r="117" spans="1:59" ht="15.75">
      <c r="A117" s="333">
        <v>9</v>
      </c>
      <c r="B117" s="333" t="s">
        <v>1607</v>
      </c>
      <c r="C117" s="256">
        <v>30</v>
      </c>
      <c r="D117" s="322" t="s">
        <v>63</v>
      </c>
      <c r="E117" s="256" t="s">
        <v>9</v>
      </c>
      <c r="F117" s="425">
        <f t="array" ref="F117">MAX((IF(MNU_CODIGO_ALIMENTO_ENTREGA=CONCATENATE($C117,"_","P_"),MNU_GRAMAJE_REQUERIDO_TIPOA,"")))</f>
        <v>30</v>
      </c>
      <c r="G117" s="257">
        <f t="shared" si="98"/>
        <v>85616</v>
      </c>
      <c r="H117" s="257">
        <f t="shared" si="99"/>
        <v>0</v>
      </c>
      <c r="I117" s="257">
        <f t="shared" si="100"/>
        <v>85616</v>
      </c>
      <c r="J117" s="258">
        <f t="shared" si="101"/>
        <v>28424512</v>
      </c>
      <c r="K117" s="258">
        <f t="shared" si="102"/>
        <v>0</v>
      </c>
      <c r="L117" s="258">
        <f t="shared" si="103"/>
        <v>28424512</v>
      </c>
      <c r="M117" s="426">
        <f t="array" ref="M117">MAX((IF(MNU_CODIGO_ALIMENTO_ENTREGA=CONCATENATE($C117,"_","P_"),MNU_GRAMAJE_REQUERIDO_TIPOB,"")))</f>
        <v>30</v>
      </c>
      <c r="N117" s="343">
        <f t="shared" si="104"/>
        <v>115648</v>
      </c>
      <c r="O117" s="343">
        <f t="shared" si="105"/>
        <v>0</v>
      </c>
      <c r="P117" s="343">
        <f t="shared" si="106"/>
        <v>115648</v>
      </c>
      <c r="Q117" s="344">
        <f t="shared" si="107"/>
        <v>38395136</v>
      </c>
      <c r="R117" s="344">
        <f t="shared" si="108"/>
        <v>0</v>
      </c>
      <c r="S117" s="344">
        <f t="shared" si="109"/>
        <v>38395136</v>
      </c>
      <c r="T117" s="348">
        <f t="array" ref="T117">MAX((IF(MNU_CODIGO_ALIMENTO_ENTREGA=CONCATENATE($C117,"_","P_"),MNU_GRAMAJE_REQUERIDO_TIPOC,"")))</f>
        <v>30</v>
      </c>
      <c r="U117" s="257">
        <f t="shared" si="110"/>
        <v>114496</v>
      </c>
      <c r="V117" s="257">
        <f t="shared" si="111"/>
        <v>0</v>
      </c>
      <c r="W117" s="257">
        <f t="shared" si="112"/>
        <v>114496</v>
      </c>
      <c r="X117" s="258">
        <f t="shared" si="113"/>
        <v>38012672</v>
      </c>
      <c r="Y117" s="258">
        <f t="shared" si="114"/>
        <v>0</v>
      </c>
      <c r="Z117" s="258">
        <f t="shared" si="115"/>
        <v>38012672</v>
      </c>
      <c r="AA117" s="256">
        <f t="array" ref="AA117">MAX((IF(MNU_CODIGO_ALIMENTO_ENTREGA=CONCATENATE($C117,"_","P_"),MNU_GRAMAJE_REQUERIDO_TIPOM,"")))</f>
        <v>30</v>
      </c>
      <c r="AB117" s="259">
        <f t="shared" si="116"/>
        <v>5936</v>
      </c>
      <c r="AC117" s="259">
        <v>0</v>
      </c>
      <c r="AD117" s="259">
        <f t="shared" si="117"/>
        <v>5936</v>
      </c>
      <c r="AE117" s="260">
        <f t="shared" si="118"/>
        <v>1970752</v>
      </c>
      <c r="AF117" s="260">
        <v>0</v>
      </c>
      <c r="AG117" s="260">
        <f t="shared" si="119"/>
        <v>1970752</v>
      </c>
      <c r="AH117" s="348">
        <f t="array" ref="AH117">MAX((IF(MNU_CODIGO_ALIMENTO_ENTREGA=CONCATENATE($C117,"_","P_"),MNU_GRAMAJE_REQUERIDO_TIPOH,"")))</f>
        <v>30</v>
      </c>
      <c r="AI117" s="257">
        <f t="shared" si="120"/>
        <v>6704</v>
      </c>
      <c r="AJ117" s="257">
        <v>0</v>
      </c>
      <c r="AK117" s="257">
        <f t="shared" si="121"/>
        <v>6704</v>
      </c>
      <c r="AL117" s="258">
        <f t="shared" si="122"/>
        <v>2225728</v>
      </c>
      <c r="AM117" s="258">
        <v>0</v>
      </c>
      <c r="AN117" s="258">
        <f t="shared" si="123"/>
        <v>2225728</v>
      </c>
      <c r="AO117" s="451">
        <f t="shared" si="124"/>
        <v>328400</v>
      </c>
      <c r="AP117" s="450">
        <f t="shared" si="125"/>
        <v>109028800</v>
      </c>
      <c r="AQ117" s="261" t="e">
        <f>#REF!+AH117+AA117+T117+M117</f>
        <v>#REF!</v>
      </c>
      <c r="AR117" s="261">
        <f t="shared" si="84"/>
        <v>109271584</v>
      </c>
      <c r="AS117" s="261" t="e">
        <f t="shared" si="85"/>
        <v>#REF!</v>
      </c>
      <c r="AT117" s="261">
        <f t="shared" si="86"/>
        <v>109514368</v>
      </c>
      <c r="AU117" s="261" t="e">
        <f t="shared" si="87"/>
        <v>#REF!</v>
      </c>
      <c r="AV117" s="261">
        <f t="shared" si="88"/>
        <v>109514368</v>
      </c>
      <c r="AW117" s="261" t="e">
        <f t="shared" si="89"/>
        <v>#REF!</v>
      </c>
      <c r="AX117" s="261" t="e">
        <f>AV117+#REF!+AH117+AA117+T117</f>
        <v>#REF!</v>
      </c>
      <c r="AY117" s="261" t="e">
        <f t="shared" si="90"/>
        <v>#REF!</v>
      </c>
      <c r="AZ117" s="261" t="e">
        <f t="shared" si="91"/>
        <v>#REF!</v>
      </c>
      <c r="BA117" s="261" t="e">
        <f t="shared" si="92"/>
        <v>#REF!</v>
      </c>
      <c r="BB117" s="261" t="e">
        <f t="shared" si="93"/>
        <v>#REF!</v>
      </c>
      <c r="BC117" s="261" t="e">
        <f t="shared" si="94"/>
        <v>#REF!</v>
      </c>
      <c r="BD117" s="261" t="e">
        <f t="shared" si="95"/>
        <v>#REF!</v>
      </c>
      <c r="BE117" s="261" t="e">
        <f>BC117+AV117+#REF!+AH117+AA117</f>
        <v>#REF!</v>
      </c>
      <c r="BF117" s="261" t="e">
        <f t="shared" si="96"/>
        <v>#REF!</v>
      </c>
      <c r="BG117" s="261" t="e">
        <f t="shared" si="97"/>
        <v>#REF!</v>
      </c>
    </row>
    <row r="118" spans="1:59" ht="15.75">
      <c r="A118" s="333">
        <v>9</v>
      </c>
      <c r="B118" s="333" t="s">
        <v>1607</v>
      </c>
      <c r="C118" s="256">
        <v>45</v>
      </c>
      <c r="D118" s="322" t="s">
        <v>10</v>
      </c>
      <c r="E118" s="256" t="s">
        <v>9</v>
      </c>
      <c r="F118" s="425">
        <f t="array" ref="F118">MAX((IF(MNU_CODIGO_ALIMENTO_ENTREGA=CONCATENATE($C118,"_","P_"),MNU_GRAMAJE_REQUERIDO_TIPOA,"")))</f>
        <v>20</v>
      </c>
      <c r="G118" s="257">
        <f t="shared" si="98"/>
        <v>85616</v>
      </c>
      <c r="H118" s="257">
        <f t="shared" si="99"/>
        <v>15660</v>
      </c>
      <c r="I118" s="257">
        <f t="shared" si="100"/>
        <v>101276</v>
      </c>
      <c r="J118" s="258">
        <f t="shared" si="101"/>
        <v>17037584</v>
      </c>
      <c r="K118" s="258">
        <f t="shared" si="102"/>
        <v>3116340</v>
      </c>
      <c r="L118" s="258">
        <f t="shared" si="103"/>
        <v>20153924</v>
      </c>
      <c r="M118" s="426">
        <f t="array" ref="M118">MAX((IF(MNU_CODIGO_ALIMENTO_ENTREGA=CONCATENATE($C118,"_","P_"),MNU_GRAMAJE_REQUERIDO_TIPOB,"")))</f>
        <v>30</v>
      </c>
      <c r="N118" s="343">
        <f t="shared" si="104"/>
        <v>115648</v>
      </c>
      <c r="O118" s="343">
        <f t="shared" si="105"/>
        <v>33700</v>
      </c>
      <c r="P118" s="343">
        <f t="shared" si="106"/>
        <v>149348</v>
      </c>
      <c r="Q118" s="344">
        <f t="shared" si="107"/>
        <v>34463104</v>
      </c>
      <c r="R118" s="344">
        <f t="shared" si="108"/>
        <v>10042600</v>
      </c>
      <c r="S118" s="344">
        <f t="shared" si="109"/>
        <v>44505704</v>
      </c>
      <c r="T118" s="348">
        <f t="array" ref="T118">MAX((IF(MNU_CODIGO_ALIMENTO_ENTREGA=CONCATENATE($C118,"_","P_"),MNU_GRAMAJE_REQUERIDO_TIPOC,"")))</f>
        <v>60</v>
      </c>
      <c r="U118" s="257">
        <f t="shared" si="110"/>
        <v>114496</v>
      </c>
      <c r="V118" s="257">
        <f t="shared" si="111"/>
        <v>59320</v>
      </c>
      <c r="W118" s="257">
        <f t="shared" si="112"/>
        <v>173816</v>
      </c>
      <c r="X118" s="258">
        <f t="shared" si="113"/>
        <v>68354112</v>
      </c>
      <c r="Y118" s="258">
        <f t="shared" si="114"/>
        <v>35414040</v>
      </c>
      <c r="Z118" s="258">
        <f t="shared" si="115"/>
        <v>103768152</v>
      </c>
      <c r="AA118" s="256">
        <f t="array" ref="AA118">MAX((IF(MNU_CODIGO_ALIMENTO_ENTREGA=CONCATENATE($C118,"_","P_"),MNU_GRAMAJE_REQUERIDO_TIPOM,"")))</f>
        <v>30</v>
      </c>
      <c r="AB118" s="259">
        <f t="shared" si="116"/>
        <v>5936</v>
      </c>
      <c r="AC118" s="259">
        <v>0</v>
      </c>
      <c r="AD118" s="259">
        <f t="shared" si="117"/>
        <v>5936</v>
      </c>
      <c r="AE118" s="260">
        <f t="shared" si="118"/>
        <v>1768928</v>
      </c>
      <c r="AF118" s="260">
        <v>0</v>
      </c>
      <c r="AG118" s="260">
        <f t="shared" si="119"/>
        <v>1768928</v>
      </c>
      <c r="AH118" s="348">
        <f t="array" ref="AH118">MAX((IF(MNU_CODIGO_ALIMENTO_ENTREGA=CONCATENATE($C118,"_","P_"),MNU_GRAMAJE_REQUERIDO_TIPOH,"")))</f>
        <v>60</v>
      </c>
      <c r="AI118" s="257">
        <f t="shared" si="120"/>
        <v>6704</v>
      </c>
      <c r="AJ118" s="257">
        <v>0</v>
      </c>
      <c r="AK118" s="257">
        <f t="shared" si="121"/>
        <v>6704</v>
      </c>
      <c r="AL118" s="258">
        <f t="shared" si="122"/>
        <v>4002288</v>
      </c>
      <c r="AM118" s="258">
        <v>0</v>
      </c>
      <c r="AN118" s="258">
        <f t="shared" si="123"/>
        <v>4002288</v>
      </c>
      <c r="AO118" s="451">
        <f t="shared" si="124"/>
        <v>437080</v>
      </c>
      <c r="AP118" s="450">
        <f t="shared" si="125"/>
        <v>174198996</v>
      </c>
      <c r="AQ118" s="261" t="e">
        <f>#REF!+AH118+AA118+T118+M118</f>
        <v>#REF!</v>
      </c>
      <c r="AR118" s="261">
        <f t="shared" si="84"/>
        <v>174441780</v>
      </c>
      <c r="AS118" s="261" t="e">
        <f t="shared" si="85"/>
        <v>#REF!</v>
      </c>
      <c r="AT118" s="261">
        <f t="shared" si="86"/>
        <v>174777584</v>
      </c>
      <c r="AU118" s="261" t="e">
        <f t="shared" si="87"/>
        <v>#REF!</v>
      </c>
      <c r="AV118" s="261">
        <f t="shared" si="88"/>
        <v>220234224</v>
      </c>
      <c r="AW118" s="261" t="e">
        <f t="shared" si="89"/>
        <v>#REF!</v>
      </c>
      <c r="AX118" s="261" t="e">
        <f>AV118+#REF!+AH118+AA118+T118</f>
        <v>#REF!</v>
      </c>
      <c r="AY118" s="261" t="e">
        <f t="shared" si="90"/>
        <v>#REF!</v>
      </c>
      <c r="AZ118" s="261" t="e">
        <f t="shared" si="91"/>
        <v>#REF!</v>
      </c>
      <c r="BA118" s="261" t="e">
        <f t="shared" si="92"/>
        <v>#REF!</v>
      </c>
      <c r="BB118" s="261" t="e">
        <f t="shared" si="93"/>
        <v>#REF!</v>
      </c>
      <c r="BC118" s="261" t="e">
        <f t="shared" si="94"/>
        <v>#REF!</v>
      </c>
      <c r="BD118" s="261" t="e">
        <f t="shared" si="95"/>
        <v>#REF!</v>
      </c>
      <c r="BE118" s="261" t="e">
        <f>BC118+AV118+#REF!+AH118+AA118</f>
        <v>#REF!</v>
      </c>
      <c r="BF118" s="261" t="e">
        <f t="shared" si="96"/>
        <v>#REF!</v>
      </c>
      <c r="BG118" s="261" t="e">
        <f t="shared" si="97"/>
        <v>#REF!</v>
      </c>
    </row>
    <row r="119" spans="1:59" ht="15.75">
      <c r="A119" s="333">
        <v>9</v>
      </c>
      <c r="B119" s="333" t="s">
        <v>1607</v>
      </c>
      <c r="C119" s="256">
        <v>50</v>
      </c>
      <c r="D119" s="322" t="s">
        <v>65</v>
      </c>
      <c r="E119" s="256" t="s">
        <v>9</v>
      </c>
      <c r="F119" s="425">
        <f t="array" ref="F119">MAX((IF(MNU_CODIGO_ALIMENTO_ENTREGA=CONCATENATE($C119,"_","P_"),MNU_GRAMAJE_REQUERIDO_TIPOA,"")))</f>
        <v>30</v>
      </c>
      <c r="G119" s="257">
        <f t="shared" si="98"/>
        <v>90967</v>
      </c>
      <c r="H119" s="257">
        <f t="shared" si="99"/>
        <v>0</v>
      </c>
      <c r="I119" s="257">
        <f t="shared" si="100"/>
        <v>90967</v>
      </c>
      <c r="J119" s="258">
        <f t="shared" si="101"/>
        <v>29200407</v>
      </c>
      <c r="K119" s="258">
        <f t="shared" si="102"/>
        <v>0</v>
      </c>
      <c r="L119" s="258">
        <f t="shared" si="103"/>
        <v>29200407</v>
      </c>
      <c r="M119" s="426">
        <f t="array" ref="M119">MAX((IF(MNU_CODIGO_ALIMENTO_ENTREGA=CONCATENATE($C119,"_","P_"),MNU_GRAMAJE_REQUERIDO_TIPOB,"")))</f>
        <v>40</v>
      </c>
      <c r="N119" s="343">
        <f t="shared" si="104"/>
        <v>122876</v>
      </c>
      <c r="O119" s="343">
        <f t="shared" si="105"/>
        <v>0</v>
      </c>
      <c r="P119" s="343">
        <f t="shared" si="106"/>
        <v>122876</v>
      </c>
      <c r="Q119" s="344">
        <f t="shared" si="107"/>
        <v>52590928</v>
      </c>
      <c r="R119" s="344">
        <f t="shared" si="108"/>
        <v>0</v>
      </c>
      <c r="S119" s="344">
        <f t="shared" si="109"/>
        <v>52590928</v>
      </c>
      <c r="T119" s="348">
        <f t="array" ref="T119">MAX((IF(MNU_CODIGO_ALIMENTO_ENTREGA=CONCATENATE($C119,"_","P_"),MNU_GRAMAJE_REQUERIDO_TIPOC,"")))</f>
        <v>80</v>
      </c>
      <c r="U119" s="257">
        <f t="shared" si="110"/>
        <v>121652</v>
      </c>
      <c r="V119" s="257">
        <f t="shared" si="111"/>
        <v>0</v>
      </c>
      <c r="W119" s="257">
        <f t="shared" si="112"/>
        <v>121652</v>
      </c>
      <c r="X119" s="258">
        <f t="shared" si="113"/>
        <v>104012460</v>
      </c>
      <c r="Y119" s="258">
        <f t="shared" si="114"/>
        <v>0</v>
      </c>
      <c r="Z119" s="258">
        <f t="shared" si="115"/>
        <v>104012460</v>
      </c>
      <c r="AA119" s="256">
        <f t="array" ref="AA119">MAX((IF(MNU_CODIGO_ALIMENTO_ENTREGA=CONCATENATE($C119,"_","P_"),MNU_GRAMAJE_REQUERIDO_TIPOM,"")))</f>
        <v>40</v>
      </c>
      <c r="AB119" s="259">
        <f t="shared" si="116"/>
        <v>6307</v>
      </c>
      <c r="AC119" s="259">
        <v>0</v>
      </c>
      <c r="AD119" s="259">
        <f t="shared" si="117"/>
        <v>6307</v>
      </c>
      <c r="AE119" s="260">
        <f t="shared" si="118"/>
        <v>2699396</v>
      </c>
      <c r="AF119" s="260">
        <v>0</v>
      </c>
      <c r="AG119" s="260">
        <f t="shared" si="119"/>
        <v>2699396</v>
      </c>
      <c r="AH119" s="348">
        <f t="array" ref="AH119">MAX((IF(MNU_CODIGO_ALIMENTO_ENTREGA=CONCATENATE($C119,"_","P_"),MNU_GRAMAJE_REQUERIDO_TIPOH,"")))</f>
        <v>80</v>
      </c>
      <c r="AI119" s="257">
        <f t="shared" si="120"/>
        <v>7123</v>
      </c>
      <c r="AJ119" s="257">
        <v>0</v>
      </c>
      <c r="AK119" s="257">
        <f t="shared" si="121"/>
        <v>7123</v>
      </c>
      <c r="AL119" s="258">
        <f t="shared" si="122"/>
        <v>6090165</v>
      </c>
      <c r="AM119" s="258">
        <v>0</v>
      </c>
      <c r="AN119" s="258">
        <f t="shared" si="123"/>
        <v>6090165</v>
      </c>
      <c r="AO119" s="451">
        <f t="shared" si="124"/>
        <v>348925</v>
      </c>
      <c r="AP119" s="450">
        <f t="shared" si="125"/>
        <v>194593356</v>
      </c>
      <c r="AQ119" s="261" t="e">
        <f>#REF!+AH119+AA119+T119+M119</f>
        <v>#REF!</v>
      </c>
      <c r="AR119" s="261">
        <f t="shared" si="84"/>
        <v>194851314</v>
      </c>
      <c r="AS119" s="261" t="e">
        <f t="shared" si="85"/>
        <v>#REF!</v>
      </c>
      <c r="AT119" s="261">
        <f t="shared" si="86"/>
        <v>195109272</v>
      </c>
      <c r="AU119" s="261" t="e">
        <f t="shared" si="87"/>
        <v>#REF!</v>
      </c>
      <c r="AV119" s="261">
        <f t="shared" si="88"/>
        <v>195109272</v>
      </c>
      <c r="AW119" s="261" t="e">
        <f t="shared" si="89"/>
        <v>#REF!</v>
      </c>
      <c r="AX119" s="261" t="e">
        <f>AV119+#REF!+AH119+AA119+T119</f>
        <v>#REF!</v>
      </c>
      <c r="AY119" s="261" t="e">
        <f t="shared" si="90"/>
        <v>#REF!</v>
      </c>
      <c r="AZ119" s="261" t="e">
        <f t="shared" si="91"/>
        <v>#REF!</v>
      </c>
      <c r="BA119" s="261" t="e">
        <f t="shared" si="92"/>
        <v>#REF!</v>
      </c>
      <c r="BB119" s="261" t="e">
        <f t="shared" si="93"/>
        <v>#REF!</v>
      </c>
      <c r="BC119" s="261" t="e">
        <f t="shared" si="94"/>
        <v>#REF!</v>
      </c>
      <c r="BD119" s="261" t="e">
        <f t="shared" si="95"/>
        <v>#REF!</v>
      </c>
      <c r="BE119" s="261" t="e">
        <f>BC119+AV119+#REF!+AH119+AA119</f>
        <v>#REF!</v>
      </c>
      <c r="BF119" s="261" t="e">
        <f t="shared" si="96"/>
        <v>#REF!</v>
      </c>
      <c r="BG119" s="261" t="e">
        <f t="shared" si="97"/>
        <v>#REF!</v>
      </c>
    </row>
    <row r="120" spans="1:59" ht="15.75">
      <c r="A120" s="333">
        <v>9</v>
      </c>
      <c r="B120" s="333" t="s">
        <v>1607</v>
      </c>
      <c r="C120" s="256">
        <v>61</v>
      </c>
      <c r="D120" s="322" t="s">
        <v>13</v>
      </c>
      <c r="E120" s="256" t="s">
        <v>9</v>
      </c>
      <c r="F120" s="425">
        <f t="array" ref="F120">MAX((IF(MNU_CODIGO_ALIMENTO_ENTREGA=CONCATENATE($C120,"_","P_"),MNU_GRAMAJE_REQUERIDO_TIPOA,"")))</f>
        <v>20</v>
      </c>
      <c r="G120" s="257">
        <f t="shared" si="98"/>
        <v>85616</v>
      </c>
      <c r="H120" s="257">
        <f t="shared" si="99"/>
        <v>15660</v>
      </c>
      <c r="I120" s="257">
        <f t="shared" si="100"/>
        <v>101276</v>
      </c>
      <c r="J120" s="258">
        <f t="shared" si="101"/>
        <v>19948528</v>
      </c>
      <c r="K120" s="258">
        <f t="shared" si="102"/>
        <v>3648780</v>
      </c>
      <c r="L120" s="258">
        <f t="shared" si="103"/>
        <v>23597308</v>
      </c>
      <c r="M120" s="426">
        <f t="array" ref="M120">MAX((IF(MNU_CODIGO_ALIMENTO_ENTREGA=CONCATENATE($C120,"_","P_"),MNU_GRAMAJE_REQUERIDO_TIPOB,"")))</f>
        <v>30</v>
      </c>
      <c r="N120" s="343">
        <f t="shared" si="104"/>
        <v>115648</v>
      </c>
      <c r="O120" s="343">
        <f t="shared" si="105"/>
        <v>33700</v>
      </c>
      <c r="P120" s="343">
        <f t="shared" si="106"/>
        <v>149348</v>
      </c>
      <c r="Q120" s="344">
        <f t="shared" si="107"/>
        <v>40592448</v>
      </c>
      <c r="R120" s="344">
        <f t="shared" si="108"/>
        <v>11828700</v>
      </c>
      <c r="S120" s="344">
        <f t="shared" si="109"/>
        <v>52421148</v>
      </c>
      <c r="T120" s="348">
        <f t="array" ref="T120">MAX((IF(MNU_CODIGO_ALIMENTO_ENTREGA=CONCATENATE($C120,"_","P_"),MNU_GRAMAJE_REQUERIDO_TIPOC,"")))</f>
        <v>70</v>
      </c>
      <c r="U120" s="257">
        <f t="shared" si="110"/>
        <v>114496</v>
      </c>
      <c r="V120" s="257">
        <f t="shared" si="111"/>
        <v>59320</v>
      </c>
      <c r="W120" s="257">
        <f t="shared" si="112"/>
        <v>173816</v>
      </c>
      <c r="X120" s="258">
        <f t="shared" si="113"/>
        <v>93657728</v>
      </c>
      <c r="Y120" s="258">
        <f t="shared" si="114"/>
        <v>48523760</v>
      </c>
      <c r="Z120" s="258">
        <f t="shared" si="115"/>
        <v>142181488</v>
      </c>
      <c r="AA120" s="256">
        <f t="array" ref="AA120">MAX((IF(MNU_CODIGO_ALIMENTO_ENTREGA=CONCATENATE($C120,"_","P_"),MNU_GRAMAJE_REQUERIDO_TIPOM,"")))</f>
        <v>30</v>
      </c>
      <c r="AB120" s="259">
        <f t="shared" si="116"/>
        <v>5936</v>
      </c>
      <c r="AC120" s="259">
        <v>0</v>
      </c>
      <c r="AD120" s="259">
        <f t="shared" si="117"/>
        <v>5936</v>
      </c>
      <c r="AE120" s="260">
        <f t="shared" si="118"/>
        <v>2083536</v>
      </c>
      <c r="AF120" s="260">
        <v>0</v>
      </c>
      <c r="AG120" s="260">
        <f t="shared" si="119"/>
        <v>2083536</v>
      </c>
      <c r="AH120" s="348">
        <f t="array" ref="AH120">MAX((IF(MNU_CODIGO_ALIMENTO_ENTREGA=CONCATENATE($C120,"_","P_"),MNU_GRAMAJE_REQUERIDO_TIPOH,"")))</f>
        <v>70</v>
      </c>
      <c r="AI120" s="257">
        <f t="shared" si="120"/>
        <v>6704</v>
      </c>
      <c r="AJ120" s="257">
        <v>0</v>
      </c>
      <c r="AK120" s="257">
        <f t="shared" si="121"/>
        <v>6704</v>
      </c>
      <c r="AL120" s="258">
        <f t="shared" si="122"/>
        <v>5483872</v>
      </c>
      <c r="AM120" s="258">
        <v>0</v>
      </c>
      <c r="AN120" s="258">
        <f t="shared" si="123"/>
        <v>5483872</v>
      </c>
      <c r="AO120" s="451">
        <f t="shared" si="124"/>
        <v>437080</v>
      </c>
      <c r="AP120" s="450">
        <f t="shared" si="125"/>
        <v>225767352</v>
      </c>
      <c r="AQ120" s="261" t="e">
        <f>#REF!+AH120+AA120+T120+M120</f>
        <v>#REF!</v>
      </c>
      <c r="AR120" s="261">
        <f t="shared" si="84"/>
        <v>226010136</v>
      </c>
      <c r="AS120" s="261" t="e">
        <f t="shared" si="85"/>
        <v>#REF!</v>
      </c>
      <c r="AT120" s="261">
        <f t="shared" si="86"/>
        <v>226345940</v>
      </c>
      <c r="AU120" s="261" t="e">
        <f t="shared" si="87"/>
        <v>#REF!</v>
      </c>
      <c r="AV120" s="261">
        <f t="shared" si="88"/>
        <v>286698400</v>
      </c>
      <c r="AW120" s="261" t="e">
        <f t="shared" si="89"/>
        <v>#REF!</v>
      </c>
      <c r="AX120" s="261" t="e">
        <f>AV120+#REF!+AH120+AA120+T120</f>
        <v>#REF!</v>
      </c>
      <c r="AY120" s="261" t="e">
        <f t="shared" si="90"/>
        <v>#REF!</v>
      </c>
      <c r="AZ120" s="261" t="e">
        <f t="shared" si="91"/>
        <v>#REF!</v>
      </c>
      <c r="BA120" s="261" t="e">
        <f t="shared" si="92"/>
        <v>#REF!</v>
      </c>
      <c r="BB120" s="261" t="e">
        <f t="shared" si="93"/>
        <v>#REF!</v>
      </c>
      <c r="BC120" s="261" t="e">
        <f t="shared" si="94"/>
        <v>#REF!</v>
      </c>
      <c r="BD120" s="261" t="e">
        <f t="shared" si="95"/>
        <v>#REF!</v>
      </c>
      <c r="BE120" s="261" t="e">
        <f>BC120+AV120+#REF!+AH120+AA120</f>
        <v>#REF!</v>
      </c>
      <c r="BF120" s="261" t="e">
        <f t="shared" si="96"/>
        <v>#REF!</v>
      </c>
      <c r="BG120" s="261" t="e">
        <f t="shared" si="97"/>
        <v>#REF!</v>
      </c>
    </row>
    <row r="121" spans="1:59" ht="15.75">
      <c r="A121" s="333">
        <v>9</v>
      </c>
      <c r="B121" s="333" t="s">
        <v>1607</v>
      </c>
      <c r="C121" s="256">
        <v>62</v>
      </c>
      <c r="D121" s="322" t="s">
        <v>68</v>
      </c>
      <c r="E121" s="256" t="s">
        <v>9</v>
      </c>
      <c r="F121" s="425">
        <f t="array" ref="F121">MAX((IF(MNU_CODIGO_ALIMENTO_ENTREGA=CONCATENATE($C121,"_","P_"),MNU_GRAMAJE_REQUERIDO_TIPOA,"")))</f>
        <v>50</v>
      </c>
      <c r="G121" s="257">
        <f t="shared" si="98"/>
        <v>26755</v>
      </c>
      <c r="H121" s="257">
        <f t="shared" si="99"/>
        <v>0</v>
      </c>
      <c r="I121" s="257">
        <f t="shared" si="100"/>
        <v>26755</v>
      </c>
      <c r="J121" s="258">
        <f t="shared" si="101"/>
        <v>16721875</v>
      </c>
      <c r="K121" s="258">
        <f t="shared" si="102"/>
        <v>0</v>
      </c>
      <c r="L121" s="258">
        <f t="shared" si="103"/>
        <v>16721875</v>
      </c>
      <c r="M121" s="426">
        <f t="array" ref="M121">MAX((IF(MNU_CODIGO_ALIMENTO_ENTREGA=CONCATENATE($C121,"_","P_"),MNU_GRAMAJE_REQUERIDO_TIPOB,"")))</f>
        <v>50</v>
      </c>
      <c r="N121" s="343">
        <f t="shared" si="104"/>
        <v>36140</v>
      </c>
      <c r="O121" s="343">
        <f t="shared" si="105"/>
        <v>0</v>
      </c>
      <c r="P121" s="343">
        <f t="shared" si="106"/>
        <v>36140</v>
      </c>
      <c r="Q121" s="344">
        <f t="shared" si="107"/>
        <v>22587500</v>
      </c>
      <c r="R121" s="344">
        <f t="shared" si="108"/>
        <v>0</v>
      </c>
      <c r="S121" s="344">
        <f t="shared" si="109"/>
        <v>22587500</v>
      </c>
      <c r="T121" s="348">
        <f t="array" ref="T121">MAX((IF(MNU_CODIGO_ALIMENTO_ENTREGA=CONCATENATE($C121,"_","P_"),MNU_GRAMAJE_REQUERIDO_TIPOC,"")))</f>
        <v>50</v>
      </c>
      <c r="U121" s="257">
        <f t="shared" si="110"/>
        <v>35780</v>
      </c>
      <c r="V121" s="257">
        <f t="shared" si="111"/>
        <v>0</v>
      </c>
      <c r="W121" s="257">
        <f t="shared" si="112"/>
        <v>35780</v>
      </c>
      <c r="X121" s="258">
        <f t="shared" si="113"/>
        <v>22362500</v>
      </c>
      <c r="Y121" s="258">
        <f t="shared" si="114"/>
        <v>0</v>
      </c>
      <c r="Z121" s="258">
        <f t="shared" si="115"/>
        <v>22362500</v>
      </c>
      <c r="AA121" s="256">
        <f t="array" ref="AA121">MAX((IF(MNU_CODIGO_ALIMENTO_ENTREGA=CONCATENATE($C121,"_","P_"),MNU_GRAMAJE_REQUERIDO_TIPOM,"")))</f>
        <v>50</v>
      </c>
      <c r="AB121" s="259">
        <f t="shared" si="116"/>
        <v>1855</v>
      </c>
      <c r="AC121" s="259">
        <v>0</v>
      </c>
      <c r="AD121" s="259">
        <f t="shared" si="117"/>
        <v>1855</v>
      </c>
      <c r="AE121" s="260">
        <f t="shared" si="118"/>
        <v>1159375</v>
      </c>
      <c r="AF121" s="260">
        <v>0</v>
      </c>
      <c r="AG121" s="260">
        <f t="shared" si="119"/>
        <v>1159375</v>
      </c>
      <c r="AH121" s="348">
        <f t="array" ref="AH121">MAX((IF(MNU_CODIGO_ALIMENTO_ENTREGA=CONCATENATE($C121,"_","P_"),MNU_GRAMAJE_REQUERIDO_TIPOH,"")))</f>
        <v>50</v>
      </c>
      <c r="AI121" s="257">
        <f t="shared" si="120"/>
        <v>2095</v>
      </c>
      <c r="AJ121" s="257">
        <v>0</v>
      </c>
      <c r="AK121" s="257">
        <f t="shared" si="121"/>
        <v>2095</v>
      </c>
      <c r="AL121" s="258">
        <f t="shared" si="122"/>
        <v>1309375</v>
      </c>
      <c r="AM121" s="258">
        <v>0</v>
      </c>
      <c r="AN121" s="258">
        <f t="shared" si="123"/>
        <v>1309375</v>
      </c>
      <c r="AO121" s="451">
        <f t="shared" si="124"/>
        <v>102625</v>
      </c>
      <c r="AP121" s="450">
        <f t="shared" si="125"/>
        <v>64140625</v>
      </c>
      <c r="AQ121" s="261" t="e">
        <f>#REF!+AH121+AA121+T121+M121</f>
        <v>#REF!</v>
      </c>
      <c r="AR121" s="261">
        <f t="shared" si="84"/>
        <v>64216495</v>
      </c>
      <c r="AS121" s="261" t="e">
        <f t="shared" si="85"/>
        <v>#REF!</v>
      </c>
      <c r="AT121" s="261">
        <f t="shared" si="86"/>
        <v>64292365</v>
      </c>
      <c r="AU121" s="261" t="e">
        <f t="shared" si="87"/>
        <v>#REF!</v>
      </c>
      <c r="AV121" s="261">
        <f t="shared" si="88"/>
        <v>64292365</v>
      </c>
      <c r="AW121" s="261" t="e">
        <f t="shared" si="89"/>
        <v>#REF!</v>
      </c>
      <c r="AX121" s="261" t="e">
        <f>AV121+#REF!+AH121+AA121+T121</f>
        <v>#REF!</v>
      </c>
      <c r="AY121" s="261" t="e">
        <f t="shared" si="90"/>
        <v>#REF!</v>
      </c>
      <c r="AZ121" s="261" t="e">
        <f t="shared" si="91"/>
        <v>#REF!</v>
      </c>
      <c r="BA121" s="261" t="e">
        <f t="shared" si="92"/>
        <v>#REF!</v>
      </c>
      <c r="BB121" s="261" t="e">
        <f t="shared" si="93"/>
        <v>#REF!</v>
      </c>
      <c r="BC121" s="261" t="e">
        <f t="shared" si="94"/>
        <v>#REF!</v>
      </c>
      <c r="BD121" s="261" t="e">
        <f t="shared" si="95"/>
        <v>#REF!</v>
      </c>
      <c r="BE121" s="261" t="e">
        <f>BC121+AV121+#REF!+AH121+AA121</f>
        <v>#REF!</v>
      </c>
      <c r="BF121" s="261" t="e">
        <f t="shared" si="96"/>
        <v>#REF!</v>
      </c>
      <c r="BG121" s="261" t="e">
        <f t="shared" si="97"/>
        <v>#REF!</v>
      </c>
    </row>
    <row r="122" spans="1:59" ht="15.75">
      <c r="A122" s="333">
        <v>10</v>
      </c>
      <c r="B122" s="333" t="s">
        <v>1607</v>
      </c>
      <c r="C122" s="256">
        <v>1</v>
      </c>
      <c r="D122" s="322" t="s">
        <v>16</v>
      </c>
      <c r="E122" s="256" t="s">
        <v>9</v>
      </c>
      <c r="F122" s="425">
        <f t="array" ref="F122">MAX((IF(MNU_CODIGO_ALIMENTO_ENTREGA=CONCATENATE($C122,"_","P_"),MNU_GRAMAJE_REQUERIDO_TIPOA,"")))</f>
        <v>30</v>
      </c>
      <c r="G122" s="257">
        <f t="shared" si="98"/>
        <v>93120</v>
      </c>
      <c r="H122" s="257">
        <f t="shared" si="99"/>
        <v>0</v>
      </c>
      <c r="I122" s="257">
        <f t="shared" si="100"/>
        <v>93120</v>
      </c>
      <c r="J122" s="258">
        <f t="shared" si="101"/>
        <v>75240960</v>
      </c>
      <c r="K122" s="258">
        <f t="shared" si="102"/>
        <v>0</v>
      </c>
      <c r="L122" s="258">
        <f t="shared" si="103"/>
        <v>75240960</v>
      </c>
      <c r="M122" s="426">
        <f t="array" ref="M122">MAX((IF(MNU_CODIGO_ALIMENTO_ENTREGA=CONCATENATE($C122,"_","P_"),MNU_GRAMAJE_REQUERIDO_TIPOB,"")))</f>
        <v>40</v>
      </c>
      <c r="N122" s="343">
        <f t="shared" si="104"/>
        <v>122355</v>
      </c>
      <c r="O122" s="343">
        <f t="shared" si="105"/>
        <v>0</v>
      </c>
      <c r="P122" s="343">
        <f t="shared" si="106"/>
        <v>122355</v>
      </c>
      <c r="Q122" s="344">
        <f t="shared" si="107"/>
        <v>131898690</v>
      </c>
      <c r="R122" s="344">
        <f t="shared" si="108"/>
        <v>0</v>
      </c>
      <c r="S122" s="344">
        <f t="shared" si="109"/>
        <v>131898690</v>
      </c>
      <c r="T122" s="348">
        <f t="array" ref="T122">MAX((IF(MNU_CODIGO_ALIMENTO_ENTREGA=CONCATENATE($C122,"_","P_"),MNU_GRAMAJE_REQUERIDO_TIPOC,"")))</f>
        <v>60</v>
      </c>
      <c r="U122" s="257">
        <f t="shared" si="110"/>
        <v>131535</v>
      </c>
      <c r="V122" s="257">
        <f t="shared" si="111"/>
        <v>0</v>
      </c>
      <c r="W122" s="257">
        <f t="shared" si="112"/>
        <v>131535</v>
      </c>
      <c r="X122" s="258">
        <f t="shared" si="113"/>
        <v>212560560</v>
      </c>
      <c r="Y122" s="258">
        <f t="shared" si="114"/>
        <v>0</v>
      </c>
      <c r="Z122" s="258">
        <f t="shared" si="115"/>
        <v>212560560</v>
      </c>
      <c r="AA122" s="256">
        <f t="array" ref="AA122">MAX((IF(MNU_CODIGO_ALIMENTO_ENTREGA=CONCATENATE($C122,"_","P_"),MNU_GRAMAJE_REQUERIDO_TIPOM,"")))</f>
        <v>40</v>
      </c>
      <c r="AB122" s="259">
        <f t="shared" si="116"/>
        <v>0</v>
      </c>
      <c r="AC122" s="259">
        <v>0</v>
      </c>
      <c r="AD122" s="259">
        <f t="shared" si="117"/>
        <v>0</v>
      </c>
      <c r="AE122" s="260">
        <f t="shared" si="118"/>
        <v>0</v>
      </c>
      <c r="AF122" s="260">
        <v>0</v>
      </c>
      <c r="AG122" s="260">
        <f t="shared" si="119"/>
        <v>0</v>
      </c>
      <c r="AH122" s="348">
        <f t="array" ref="AH122">MAX((IF(MNU_CODIGO_ALIMENTO_ENTREGA=CONCATENATE($C122,"_","P_"),MNU_GRAMAJE_REQUERIDO_TIPOH,"")))</f>
        <v>60</v>
      </c>
      <c r="AI122" s="257">
        <f t="shared" si="120"/>
        <v>0</v>
      </c>
      <c r="AJ122" s="257">
        <v>0</v>
      </c>
      <c r="AK122" s="257">
        <f t="shared" si="121"/>
        <v>0</v>
      </c>
      <c r="AL122" s="258">
        <f t="shared" si="122"/>
        <v>0</v>
      </c>
      <c r="AM122" s="258">
        <v>0</v>
      </c>
      <c r="AN122" s="258">
        <f t="shared" si="123"/>
        <v>0</v>
      </c>
      <c r="AO122" s="451">
        <f t="shared" si="124"/>
        <v>347010</v>
      </c>
      <c r="AP122" s="450">
        <f t="shared" si="125"/>
        <v>419700210</v>
      </c>
      <c r="AQ122" s="261" t="e">
        <f>#REF!+AH122+AA122+T122+M122</f>
        <v>#REF!</v>
      </c>
      <c r="AR122" s="261">
        <f t="shared" si="84"/>
        <v>419954100</v>
      </c>
      <c r="AS122" s="261" t="e">
        <f t="shared" si="85"/>
        <v>#REF!</v>
      </c>
      <c r="AT122" s="261">
        <f t="shared" si="86"/>
        <v>420207990</v>
      </c>
      <c r="AU122" s="261" t="e">
        <f t="shared" si="87"/>
        <v>#REF!</v>
      </c>
      <c r="AV122" s="261">
        <f t="shared" si="88"/>
        <v>420207990</v>
      </c>
      <c r="AW122" s="261" t="e">
        <f t="shared" si="89"/>
        <v>#REF!</v>
      </c>
      <c r="AX122" s="261" t="e">
        <f>AV122+#REF!+AH122+AA122+T122</f>
        <v>#REF!</v>
      </c>
      <c r="AY122" s="261" t="e">
        <f t="shared" si="90"/>
        <v>#REF!</v>
      </c>
      <c r="AZ122" s="261" t="e">
        <f t="shared" si="91"/>
        <v>#REF!</v>
      </c>
      <c r="BA122" s="261" t="e">
        <f t="shared" si="92"/>
        <v>#REF!</v>
      </c>
      <c r="BB122" s="261" t="e">
        <f t="shared" si="93"/>
        <v>#REF!</v>
      </c>
      <c r="BC122" s="261" t="e">
        <f t="shared" si="94"/>
        <v>#REF!</v>
      </c>
      <c r="BD122" s="261" t="e">
        <f t="shared" si="95"/>
        <v>#REF!</v>
      </c>
      <c r="BE122" s="261" t="e">
        <f>BC122+AV122+#REF!+AH122+AA122</f>
        <v>#REF!</v>
      </c>
      <c r="BF122" s="261" t="e">
        <f t="shared" si="96"/>
        <v>#REF!</v>
      </c>
      <c r="BG122" s="261" t="e">
        <f t="shared" si="97"/>
        <v>#REF!</v>
      </c>
    </row>
    <row r="123" spans="1:59" ht="15.75">
      <c r="A123" s="333">
        <v>10</v>
      </c>
      <c r="B123" s="333" t="s">
        <v>1607</v>
      </c>
      <c r="C123" s="256">
        <v>3</v>
      </c>
      <c r="D123" s="322" t="s">
        <v>12</v>
      </c>
      <c r="E123" s="256" t="s">
        <v>9</v>
      </c>
      <c r="F123" s="425">
        <f t="array" ref="F123">MAX((IF(MNU_CODIGO_ALIMENTO_ENTREGA=CONCATENATE($C123,"_","P_"),MNU_GRAMAJE_REQUERIDO_TIPOA,"")))</f>
        <v>50</v>
      </c>
      <c r="G123" s="257">
        <f t="shared" si="98"/>
        <v>105536</v>
      </c>
      <c r="H123" s="257">
        <f t="shared" si="99"/>
        <v>12939</v>
      </c>
      <c r="I123" s="257">
        <f t="shared" si="100"/>
        <v>118475</v>
      </c>
      <c r="J123" s="258">
        <f t="shared" si="101"/>
        <v>53295680</v>
      </c>
      <c r="K123" s="258">
        <f t="shared" si="102"/>
        <v>6534195</v>
      </c>
      <c r="L123" s="258">
        <f t="shared" si="103"/>
        <v>59829875</v>
      </c>
      <c r="M123" s="426">
        <f t="array" ref="M123">MAX((IF(MNU_CODIGO_ALIMENTO_ENTREGA=CONCATENATE($C123,"_","P_"),MNU_GRAMAJE_REQUERIDO_TIPOB,"")))</f>
        <v>50</v>
      </c>
      <c r="N123" s="343">
        <f t="shared" si="104"/>
        <v>138669</v>
      </c>
      <c r="O123" s="343">
        <f t="shared" si="105"/>
        <v>15219</v>
      </c>
      <c r="P123" s="343">
        <f t="shared" si="106"/>
        <v>153888</v>
      </c>
      <c r="Q123" s="344">
        <f t="shared" si="107"/>
        <v>70027845</v>
      </c>
      <c r="R123" s="344">
        <f t="shared" si="108"/>
        <v>7685595</v>
      </c>
      <c r="S123" s="344">
        <f t="shared" si="109"/>
        <v>77713440</v>
      </c>
      <c r="T123" s="348">
        <f t="array" ref="T123">MAX((IF(MNU_CODIGO_ALIMENTO_ENTREGA=CONCATENATE($C123,"_","P_"),MNU_GRAMAJE_REQUERIDO_TIPOC,"")))</f>
        <v>80</v>
      </c>
      <c r="U123" s="257">
        <f t="shared" si="110"/>
        <v>149073</v>
      </c>
      <c r="V123" s="257">
        <f t="shared" si="111"/>
        <v>16663</v>
      </c>
      <c r="W123" s="257">
        <f t="shared" si="112"/>
        <v>165736</v>
      </c>
      <c r="X123" s="258">
        <f t="shared" si="113"/>
        <v>113742699</v>
      </c>
      <c r="Y123" s="258">
        <f t="shared" si="114"/>
        <v>12713869</v>
      </c>
      <c r="Z123" s="258">
        <f t="shared" si="115"/>
        <v>126456568</v>
      </c>
      <c r="AA123" s="256">
        <f t="array" ref="AA123">MAX((IF(MNU_CODIGO_ALIMENTO_ENTREGA=CONCATENATE($C123,"_","P_"),MNU_GRAMAJE_REQUERIDO_TIPOM,"")))</f>
        <v>50</v>
      </c>
      <c r="AB123" s="259">
        <f t="shared" si="116"/>
        <v>0</v>
      </c>
      <c r="AC123" s="259">
        <v>0</v>
      </c>
      <c r="AD123" s="259">
        <f t="shared" si="117"/>
        <v>0</v>
      </c>
      <c r="AE123" s="260">
        <f t="shared" si="118"/>
        <v>0</v>
      </c>
      <c r="AF123" s="260">
        <v>0</v>
      </c>
      <c r="AG123" s="260">
        <f t="shared" si="119"/>
        <v>0</v>
      </c>
      <c r="AH123" s="348">
        <f t="array" ref="AH123">MAX((IF(MNU_CODIGO_ALIMENTO_ENTREGA=CONCATENATE($C123,"_","P_"),MNU_GRAMAJE_REQUERIDO_TIPOH,"")))</f>
        <v>80</v>
      </c>
      <c r="AI123" s="257">
        <f t="shared" si="120"/>
        <v>0</v>
      </c>
      <c r="AJ123" s="257">
        <v>0</v>
      </c>
      <c r="AK123" s="257">
        <f t="shared" si="121"/>
        <v>0</v>
      </c>
      <c r="AL123" s="258">
        <f t="shared" si="122"/>
        <v>0</v>
      </c>
      <c r="AM123" s="258">
        <v>0</v>
      </c>
      <c r="AN123" s="258">
        <f t="shared" si="123"/>
        <v>0</v>
      </c>
      <c r="AO123" s="451">
        <f t="shared" si="124"/>
        <v>438099</v>
      </c>
      <c r="AP123" s="450">
        <f t="shared" si="125"/>
        <v>263999883</v>
      </c>
      <c r="AQ123" s="261" t="e">
        <f>#REF!+AH123+AA123+T123+M123</f>
        <v>#REF!</v>
      </c>
      <c r="AR123" s="261">
        <f t="shared" si="84"/>
        <v>264287625</v>
      </c>
      <c r="AS123" s="261" t="e">
        <f t="shared" si="85"/>
        <v>#REF!</v>
      </c>
      <c r="AT123" s="261">
        <f t="shared" si="86"/>
        <v>264607249</v>
      </c>
      <c r="AU123" s="261" t="e">
        <f t="shared" si="87"/>
        <v>#REF!</v>
      </c>
      <c r="AV123" s="261">
        <f t="shared" si="88"/>
        <v>285006713</v>
      </c>
      <c r="AW123" s="261" t="e">
        <f t="shared" si="89"/>
        <v>#REF!</v>
      </c>
      <c r="AX123" s="261" t="e">
        <f>AV123+#REF!+AH123+AA123+T123</f>
        <v>#REF!</v>
      </c>
      <c r="AY123" s="261" t="e">
        <f t="shared" si="90"/>
        <v>#REF!</v>
      </c>
      <c r="AZ123" s="261" t="e">
        <f t="shared" si="91"/>
        <v>#REF!</v>
      </c>
      <c r="BA123" s="261" t="e">
        <f t="shared" si="92"/>
        <v>#REF!</v>
      </c>
      <c r="BB123" s="261" t="e">
        <f t="shared" si="93"/>
        <v>#REF!</v>
      </c>
      <c r="BC123" s="261" t="e">
        <f t="shared" si="94"/>
        <v>#REF!</v>
      </c>
      <c r="BD123" s="261" t="e">
        <f t="shared" si="95"/>
        <v>#REF!</v>
      </c>
      <c r="BE123" s="261" t="e">
        <f>BC123+AV123+#REF!+AH123+AA123</f>
        <v>#REF!</v>
      </c>
      <c r="BF123" s="261" t="e">
        <f t="shared" si="96"/>
        <v>#REF!</v>
      </c>
      <c r="BG123" s="261" t="e">
        <f t="shared" si="97"/>
        <v>#REF!</v>
      </c>
    </row>
    <row r="124" spans="1:59" ht="15.75">
      <c r="A124" s="333">
        <v>10</v>
      </c>
      <c r="B124" s="333" t="s">
        <v>1607</v>
      </c>
      <c r="C124" s="256">
        <v>15</v>
      </c>
      <c r="D124" s="322" t="s">
        <v>66</v>
      </c>
      <c r="E124" s="256" t="s">
        <v>9</v>
      </c>
      <c r="F124" s="425">
        <f t="array" ref="F124">MAX((IF(MNU_CODIGO_ALIMENTO_ENTREGA=CONCATENATE($C124,"_","P_"),MNU_GRAMAJE_REQUERIDO_TIPOA,"")))</f>
        <v>50</v>
      </c>
      <c r="G124" s="257">
        <f t="shared" si="98"/>
        <v>105536</v>
      </c>
      <c r="H124" s="257">
        <f t="shared" si="99"/>
        <v>7491</v>
      </c>
      <c r="I124" s="257">
        <f t="shared" si="100"/>
        <v>113027</v>
      </c>
      <c r="J124" s="258">
        <f t="shared" si="101"/>
        <v>71025728</v>
      </c>
      <c r="K124" s="258">
        <f t="shared" si="102"/>
        <v>5041443</v>
      </c>
      <c r="L124" s="258">
        <f t="shared" si="103"/>
        <v>76067171</v>
      </c>
      <c r="M124" s="426">
        <f t="array" ref="M124">MAX((IF(MNU_CODIGO_ALIMENTO_ENTREGA=CONCATENATE($C124,"_","P_"),MNU_GRAMAJE_REQUERIDO_TIPOB,"")))</f>
        <v>50</v>
      </c>
      <c r="N124" s="343">
        <f t="shared" si="104"/>
        <v>138669</v>
      </c>
      <c r="O124" s="343">
        <f t="shared" si="105"/>
        <v>8811</v>
      </c>
      <c r="P124" s="343">
        <f t="shared" si="106"/>
        <v>147480</v>
      </c>
      <c r="Q124" s="344">
        <f t="shared" si="107"/>
        <v>93324237</v>
      </c>
      <c r="R124" s="344">
        <f t="shared" si="108"/>
        <v>5929803</v>
      </c>
      <c r="S124" s="344">
        <f t="shared" si="109"/>
        <v>99254040</v>
      </c>
      <c r="T124" s="348">
        <f t="array" ref="T124">MAX((IF(MNU_CODIGO_ALIMENTO_ENTREGA=CONCATENATE($C124,"_","P_"),MNU_GRAMAJE_REQUERIDO_TIPOC,"")))</f>
        <v>80</v>
      </c>
      <c r="U124" s="257">
        <f t="shared" si="110"/>
        <v>149073</v>
      </c>
      <c r="V124" s="257">
        <f t="shared" si="111"/>
        <v>9647</v>
      </c>
      <c r="W124" s="257">
        <f t="shared" si="112"/>
        <v>158720</v>
      </c>
      <c r="X124" s="258">
        <f t="shared" si="113"/>
        <v>160402548</v>
      </c>
      <c r="Y124" s="258">
        <f t="shared" si="114"/>
        <v>10380172</v>
      </c>
      <c r="Z124" s="258">
        <f t="shared" si="115"/>
        <v>170782720</v>
      </c>
      <c r="AA124" s="256">
        <f t="array" ref="AA124">MAX((IF(MNU_CODIGO_ALIMENTO_ENTREGA=CONCATENATE($C124,"_","P_"),MNU_GRAMAJE_REQUERIDO_TIPOM,"")))</f>
        <v>50</v>
      </c>
      <c r="AB124" s="259">
        <f t="shared" si="116"/>
        <v>0</v>
      </c>
      <c r="AC124" s="259">
        <v>0</v>
      </c>
      <c r="AD124" s="259">
        <f t="shared" si="117"/>
        <v>0</v>
      </c>
      <c r="AE124" s="260">
        <f t="shared" si="118"/>
        <v>0</v>
      </c>
      <c r="AF124" s="260">
        <v>0</v>
      </c>
      <c r="AG124" s="260">
        <f t="shared" si="119"/>
        <v>0</v>
      </c>
      <c r="AH124" s="348">
        <f t="array" ref="AH124">MAX((IF(MNU_CODIGO_ALIMENTO_ENTREGA=CONCATENATE($C124,"_","P_"),MNU_GRAMAJE_REQUERIDO_TIPOH,"")))</f>
        <v>80</v>
      </c>
      <c r="AI124" s="257">
        <f t="shared" si="120"/>
        <v>0</v>
      </c>
      <c r="AJ124" s="257">
        <v>0</v>
      </c>
      <c r="AK124" s="257">
        <f t="shared" si="121"/>
        <v>0</v>
      </c>
      <c r="AL124" s="258">
        <f t="shared" si="122"/>
        <v>0</v>
      </c>
      <c r="AM124" s="258">
        <v>0</v>
      </c>
      <c r="AN124" s="258">
        <f t="shared" si="123"/>
        <v>0</v>
      </c>
      <c r="AO124" s="451">
        <f t="shared" si="124"/>
        <v>419227</v>
      </c>
      <c r="AP124" s="450">
        <f t="shared" si="125"/>
        <v>346103931</v>
      </c>
      <c r="AQ124" s="261" t="e">
        <f>#REF!+AH124+AA124+T124+M124</f>
        <v>#REF!</v>
      </c>
      <c r="AR124" s="261">
        <f t="shared" si="84"/>
        <v>346391673</v>
      </c>
      <c r="AS124" s="261" t="e">
        <f t="shared" si="85"/>
        <v>#REF!</v>
      </c>
      <c r="AT124" s="261">
        <f t="shared" si="86"/>
        <v>346697873</v>
      </c>
      <c r="AU124" s="261" t="e">
        <f t="shared" si="87"/>
        <v>#REF!</v>
      </c>
      <c r="AV124" s="261">
        <f t="shared" si="88"/>
        <v>363007848</v>
      </c>
      <c r="AW124" s="261" t="e">
        <f t="shared" si="89"/>
        <v>#REF!</v>
      </c>
      <c r="AX124" s="261" t="e">
        <f>AV124+#REF!+AH124+AA124+T124</f>
        <v>#REF!</v>
      </c>
      <c r="AY124" s="261" t="e">
        <f t="shared" si="90"/>
        <v>#REF!</v>
      </c>
      <c r="AZ124" s="261" t="e">
        <f t="shared" si="91"/>
        <v>#REF!</v>
      </c>
      <c r="BA124" s="261" t="e">
        <f t="shared" si="92"/>
        <v>#REF!</v>
      </c>
      <c r="BB124" s="261" t="e">
        <f t="shared" si="93"/>
        <v>#REF!</v>
      </c>
      <c r="BC124" s="261" t="e">
        <f t="shared" si="94"/>
        <v>#REF!</v>
      </c>
      <c r="BD124" s="261" t="e">
        <f t="shared" si="95"/>
        <v>#REF!</v>
      </c>
      <c r="BE124" s="261" t="e">
        <f>BC124+AV124+#REF!+AH124+AA124</f>
        <v>#REF!</v>
      </c>
      <c r="BF124" s="261" t="e">
        <f t="shared" si="96"/>
        <v>#REF!</v>
      </c>
      <c r="BG124" s="261" t="e">
        <f t="shared" si="97"/>
        <v>#REF!</v>
      </c>
    </row>
    <row r="125" spans="1:59" ht="15.75">
      <c r="A125" s="333">
        <v>10</v>
      </c>
      <c r="B125" s="333" t="s">
        <v>1607</v>
      </c>
      <c r="C125" s="256">
        <v>24</v>
      </c>
      <c r="D125" s="322" t="s">
        <v>61</v>
      </c>
      <c r="E125" s="256" t="s">
        <v>9</v>
      </c>
      <c r="F125" s="425">
        <f t="array" ref="F125">MAX((IF(MNU_CODIGO_ALIMENTO_ENTREGA=CONCATENATE($C125,"_","P_"),MNU_GRAMAJE_REQUERIDO_TIPOA,"")))</f>
        <v>20</v>
      </c>
      <c r="G125" s="257">
        <f t="shared" si="98"/>
        <v>105536</v>
      </c>
      <c r="H125" s="257">
        <f t="shared" si="99"/>
        <v>7491</v>
      </c>
      <c r="I125" s="257">
        <f t="shared" si="100"/>
        <v>113027</v>
      </c>
      <c r="J125" s="258">
        <f t="shared" si="101"/>
        <v>13508608</v>
      </c>
      <c r="K125" s="258">
        <f t="shared" si="102"/>
        <v>958848</v>
      </c>
      <c r="L125" s="258">
        <f t="shared" si="103"/>
        <v>14467456</v>
      </c>
      <c r="M125" s="426">
        <f t="array" ref="M125">MAX((IF(MNU_CODIGO_ALIMENTO_ENTREGA=CONCATENATE($C125,"_","P_"),MNU_GRAMAJE_REQUERIDO_TIPOB,"")))</f>
        <v>30</v>
      </c>
      <c r="N125" s="343">
        <f t="shared" si="104"/>
        <v>138669</v>
      </c>
      <c r="O125" s="343">
        <f t="shared" si="105"/>
        <v>8811</v>
      </c>
      <c r="P125" s="343">
        <f t="shared" si="106"/>
        <v>147480</v>
      </c>
      <c r="Q125" s="344">
        <f t="shared" si="107"/>
        <v>27733800</v>
      </c>
      <c r="R125" s="344">
        <f t="shared" si="108"/>
        <v>1762200</v>
      </c>
      <c r="S125" s="344">
        <f t="shared" si="109"/>
        <v>29496000</v>
      </c>
      <c r="T125" s="348">
        <f t="array" ref="T125">MAX((IF(MNU_CODIGO_ALIMENTO_ENTREGA=CONCATENATE($C125,"_","P_"),MNU_GRAMAJE_REQUERIDO_TIPOC,"")))</f>
        <v>60</v>
      </c>
      <c r="U125" s="257">
        <f t="shared" si="110"/>
        <v>149073</v>
      </c>
      <c r="V125" s="257">
        <f t="shared" si="111"/>
        <v>9647</v>
      </c>
      <c r="W125" s="257">
        <f t="shared" si="112"/>
        <v>158720</v>
      </c>
      <c r="X125" s="258">
        <f t="shared" si="113"/>
        <v>57393105</v>
      </c>
      <c r="Y125" s="258">
        <f t="shared" si="114"/>
        <v>3714095</v>
      </c>
      <c r="Z125" s="258">
        <f t="shared" si="115"/>
        <v>61107200</v>
      </c>
      <c r="AA125" s="256">
        <f t="array" ref="AA125">MAX((IF(MNU_CODIGO_ALIMENTO_ENTREGA=CONCATENATE($C125,"_","P_"),MNU_GRAMAJE_REQUERIDO_TIPOM,"")))</f>
        <v>30</v>
      </c>
      <c r="AB125" s="259">
        <f t="shared" si="116"/>
        <v>0</v>
      </c>
      <c r="AC125" s="259">
        <v>0</v>
      </c>
      <c r="AD125" s="259">
        <f t="shared" si="117"/>
        <v>0</v>
      </c>
      <c r="AE125" s="260">
        <f t="shared" si="118"/>
        <v>0</v>
      </c>
      <c r="AF125" s="260">
        <v>0</v>
      </c>
      <c r="AG125" s="260">
        <f t="shared" si="119"/>
        <v>0</v>
      </c>
      <c r="AH125" s="348">
        <f t="array" ref="AH125">MAX((IF(MNU_CODIGO_ALIMENTO_ENTREGA=CONCATENATE($C125,"_","P_"),MNU_GRAMAJE_REQUERIDO_TIPOH,"")))</f>
        <v>60</v>
      </c>
      <c r="AI125" s="257">
        <f t="shared" si="120"/>
        <v>0</v>
      </c>
      <c r="AJ125" s="257">
        <v>0</v>
      </c>
      <c r="AK125" s="257">
        <f t="shared" si="121"/>
        <v>0</v>
      </c>
      <c r="AL125" s="258">
        <f t="shared" si="122"/>
        <v>0</v>
      </c>
      <c r="AM125" s="258">
        <v>0</v>
      </c>
      <c r="AN125" s="258">
        <f t="shared" si="123"/>
        <v>0</v>
      </c>
      <c r="AO125" s="451">
        <f t="shared" si="124"/>
        <v>419227</v>
      </c>
      <c r="AP125" s="450">
        <f t="shared" si="125"/>
        <v>105070656</v>
      </c>
      <c r="AQ125" s="261" t="e">
        <f>#REF!+AH125+AA125+T125+M125</f>
        <v>#REF!</v>
      </c>
      <c r="AR125" s="261">
        <f t="shared" si="84"/>
        <v>105358398</v>
      </c>
      <c r="AS125" s="261" t="e">
        <f t="shared" si="85"/>
        <v>#REF!</v>
      </c>
      <c r="AT125" s="261">
        <f t="shared" si="86"/>
        <v>105664598</v>
      </c>
      <c r="AU125" s="261" t="e">
        <f t="shared" si="87"/>
        <v>#REF!</v>
      </c>
      <c r="AV125" s="261">
        <f t="shared" si="88"/>
        <v>111140893</v>
      </c>
      <c r="AW125" s="261" t="e">
        <f t="shared" si="89"/>
        <v>#REF!</v>
      </c>
      <c r="AX125" s="261" t="e">
        <f>AV125+#REF!+AH125+AA125+T125</f>
        <v>#REF!</v>
      </c>
      <c r="AY125" s="261" t="e">
        <f t="shared" si="90"/>
        <v>#REF!</v>
      </c>
      <c r="AZ125" s="261" t="e">
        <f t="shared" si="91"/>
        <v>#REF!</v>
      </c>
      <c r="BA125" s="261" t="e">
        <f t="shared" si="92"/>
        <v>#REF!</v>
      </c>
      <c r="BB125" s="261" t="e">
        <f t="shared" si="93"/>
        <v>#REF!</v>
      </c>
      <c r="BC125" s="261" t="e">
        <f t="shared" si="94"/>
        <v>#REF!</v>
      </c>
      <c r="BD125" s="261" t="e">
        <f t="shared" si="95"/>
        <v>#REF!</v>
      </c>
      <c r="BE125" s="261" t="e">
        <f>BC125+AV125+#REF!+AH125+AA125</f>
        <v>#REF!</v>
      </c>
      <c r="BF125" s="261" t="e">
        <f t="shared" si="96"/>
        <v>#REF!</v>
      </c>
      <c r="BG125" s="261" t="e">
        <f t="shared" si="97"/>
        <v>#REF!</v>
      </c>
    </row>
    <row r="126" spans="1:59" ht="15.75">
      <c r="A126" s="333">
        <v>10</v>
      </c>
      <c r="B126" s="333" t="s">
        <v>1607</v>
      </c>
      <c r="C126" s="256">
        <v>25</v>
      </c>
      <c r="D126" s="322" t="s">
        <v>64</v>
      </c>
      <c r="E126" s="256" t="s">
        <v>9</v>
      </c>
      <c r="F126" s="425">
        <f t="array" ref="F126">MAX((IF(MNU_CODIGO_ALIMENTO_ENTREGA=CONCATENATE($C126,"_","P_"),MNU_GRAMAJE_REQUERIDO_TIPOA,"")))</f>
        <v>40</v>
      </c>
      <c r="G126" s="257">
        <f t="shared" si="98"/>
        <v>105536</v>
      </c>
      <c r="H126" s="257">
        <f t="shared" si="99"/>
        <v>14982</v>
      </c>
      <c r="I126" s="257">
        <f t="shared" si="100"/>
        <v>120518</v>
      </c>
      <c r="J126" s="258">
        <f t="shared" si="101"/>
        <v>27017216</v>
      </c>
      <c r="K126" s="258">
        <f t="shared" si="102"/>
        <v>3835392</v>
      </c>
      <c r="L126" s="258">
        <f t="shared" si="103"/>
        <v>30852608</v>
      </c>
      <c r="M126" s="426">
        <f t="array" ref="M126">MAX((IF(MNU_CODIGO_ALIMENTO_ENTREGA=CONCATENATE($C126,"_","P_"),MNU_GRAMAJE_REQUERIDO_TIPOB,"")))</f>
        <v>40</v>
      </c>
      <c r="N126" s="343">
        <f t="shared" si="104"/>
        <v>138669</v>
      </c>
      <c r="O126" s="343">
        <f t="shared" si="105"/>
        <v>17622</v>
      </c>
      <c r="P126" s="343">
        <f t="shared" si="106"/>
        <v>156291</v>
      </c>
      <c r="Q126" s="344">
        <f t="shared" si="107"/>
        <v>35499264</v>
      </c>
      <c r="R126" s="344">
        <f t="shared" si="108"/>
        <v>4511232</v>
      </c>
      <c r="S126" s="344">
        <f t="shared" si="109"/>
        <v>40010496</v>
      </c>
      <c r="T126" s="348">
        <f t="array" ref="T126">MAX((IF(MNU_CODIGO_ALIMENTO_ENTREGA=CONCATENATE($C126,"_","P_"),MNU_GRAMAJE_REQUERIDO_TIPOC,"")))</f>
        <v>60</v>
      </c>
      <c r="U126" s="257">
        <f t="shared" si="110"/>
        <v>149073</v>
      </c>
      <c r="V126" s="257">
        <f t="shared" si="111"/>
        <v>19294</v>
      </c>
      <c r="W126" s="257">
        <f t="shared" si="112"/>
        <v>168367</v>
      </c>
      <c r="X126" s="258">
        <f t="shared" si="113"/>
        <v>57244032</v>
      </c>
      <c r="Y126" s="258">
        <f t="shared" si="114"/>
        <v>7408896</v>
      </c>
      <c r="Z126" s="258">
        <f t="shared" si="115"/>
        <v>64652928</v>
      </c>
      <c r="AA126" s="256">
        <f t="array" ref="AA126">MAX((IF(MNU_CODIGO_ALIMENTO_ENTREGA=CONCATENATE($C126,"_","P_"),MNU_GRAMAJE_REQUERIDO_TIPOM,"")))</f>
        <v>40</v>
      </c>
      <c r="AB126" s="259">
        <f t="shared" si="116"/>
        <v>0</v>
      </c>
      <c r="AC126" s="259">
        <v>0</v>
      </c>
      <c r="AD126" s="259">
        <f t="shared" si="117"/>
        <v>0</v>
      </c>
      <c r="AE126" s="260">
        <f t="shared" si="118"/>
        <v>0</v>
      </c>
      <c r="AF126" s="260">
        <v>0</v>
      </c>
      <c r="AG126" s="260">
        <f t="shared" si="119"/>
        <v>0</v>
      </c>
      <c r="AH126" s="348">
        <f t="array" ref="AH126">MAX((IF(MNU_CODIGO_ALIMENTO_ENTREGA=CONCATENATE($C126,"_","P_"),MNU_GRAMAJE_REQUERIDO_TIPOH,"")))</f>
        <v>60</v>
      </c>
      <c r="AI126" s="257">
        <f t="shared" si="120"/>
        <v>0</v>
      </c>
      <c r="AJ126" s="257">
        <v>0</v>
      </c>
      <c r="AK126" s="257">
        <f t="shared" si="121"/>
        <v>0</v>
      </c>
      <c r="AL126" s="258">
        <f t="shared" si="122"/>
        <v>0</v>
      </c>
      <c r="AM126" s="258">
        <v>0</v>
      </c>
      <c r="AN126" s="258">
        <f t="shared" si="123"/>
        <v>0</v>
      </c>
      <c r="AO126" s="451">
        <f t="shared" si="124"/>
        <v>445176</v>
      </c>
      <c r="AP126" s="450">
        <f t="shared" si="125"/>
        <v>135516032</v>
      </c>
      <c r="AQ126" s="261" t="e">
        <f>#REF!+AH126+AA126+T126+M126</f>
        <v>#REF!</v>
      </c>
      <c r="AR126" s="261">
        <f t="shared" si="84"/>
        <v>135803774</v>
      </c>
      <c r="AS126" s="261" t="e">
        <f t="shared" si="85"/>
        <v>#REF!</v>
      </c>
      <c r="AT126" s="261">
        <f t="shared" si="86"/>
        <v>136128432</v>
      </c>
      <c r="AU126" s="261" t="e">
        <f t="shared" si="87"/>
        <v>#REF!</v>
      </c>
      <c r="AV126" s="261">
        <f t="shared" si="88"/>
        <v>148048560</v>
      </c>
      <c r="AW126" s="261" t="e">
        <f t="shared" si="89"/>
        <v>#REF!</v>
      </c>
      <c r="AX126" s="261" t="e">
        <f>AV126+#REF!+AH126+AA126+T126</f>
        <v>#REF!</v>
      </c>
      <c r="AY126" s="261" t="e">
        <f t="shared" si="90"/>
        <v>#REF!</v>
      </c>
      <c r="AZ126" s="261" t="e">
        <f t="shared" si="91"/>
        <v>#REF!</v>
      </c>
      <c r="BA126" s="261" t="e">
        <f t="shared" si="92"/>
        <v>#REF!</v>
      </c>
      <c r="BB126" s="261" t="e">
        <f t="shared" si="93"/>
        <v>#REF!</v>
      </c>
      <c r="BC126" s="261" t="e">
        <f t="shared" si="94"/>
        <v>#REF!</v>
      </c>
      <c r="BD126" s="261" t="e">
        <f t="shared" si="95"/>
        <v>#REF!</v>
      </c>
      <c r="BE126" s="261" t="e">
        <f>BC126+AV126+#REF!+AH126+AA126</f>
        <v>#REF!</v>
      </c>
      <c r="BF126" s="261" t="e">
        <f t="shared" si="96"/>
        <v>#REF!</v>
      </c>
      <c r="BG126" s="261" t="e">
        <f t="shared" si="97"/>
        <v>#REF!</v>
      </c>
    </row>
    <row r="127" spans="1:59" ht="15.75">
      <c r="A127" s="333">
        <v>10</v>
      </c>
      <c r="B127" s="333" t="s">
        <v>1607</v>
      </c>
      <c r="C127" s="256">
        <v>26</v>
      </c>
      <c r="D127" s="322" t="s">
        <v>69</v>
      </c>
      <c r="E127" s="256" t="s">
        <v>9</v>
      </c>
      <c r="F127" s="425">
        <f t="array" ref="F127">MAX((IF(MNU_CODIGO_ALIMENTO_ENTREGA=CONCATENATE($C127,"_","P_"),MNU_GRAMAJE_REQUERIDO_TIPOA,"")))</f>
        <v>30</v>
      </c>
      <c r="G127" s="257">
        <f t="shared" si="98"/>
        <v>37248</v>
      </c>
      <c r="H127" s="257">
        <f t="shared" si="99"/>
        <v>0</v>
      </c>
      <c r="I127" s="257">
        <f t="shared" si="100"/>
        <v>37248</v>
      </c>
      <c r="J127" s="258">
        <f t="shared" si="101"/>
        <v>6369408</v>
      </c>
      <c r="K127" s="258">
        <f t="shared" si="102"/>
        <v>0</v>
      </c>
      <c r="L127" s="258">
        <f t="shared" si="103"/>
        <v>6369408</v>
      </c>
      <c r="M127" s="426">
        <f t="array" ref="M127">MAX((IF(MNU_CODIGO_ALIMENTO_ENTREGA=CONCATENATE($C127,"_","P_"),MNU_GRAMAJE_REQUERIDO_TIPOB,"")))</f>
        <v>30</v>
      </c>
      <c r="N127" s="343">
        <f t="shared" si="104"/>
        <v>48942</v>
      </c>
      <c r="O127" s="343">
        <f t="shared" si="105"/>
        <v>0</v>
      </c>
      <c r="P127" s="343">
        <f t="shared" si="106"/>
        <v>48942</v>
      </c>
      <c r="Q127" s="344">
        <f t="shared" si="107"/>
        <v>8369082</v>
      </c>
      <c r="R127" s="344">
        <f t="shared" si="108"/>
        <v>0</v>
      </c>
      <c r="S127" s="344">
        <f t="shared" si="109"/>
        <v>8369082</v>
      </c>
      <c r="T127" s="348">
        <f t="array" ref="T127">MAX((IF(MNU_CODIGO_ALIMENTO_ENTREGA=CONCATENATE($C127,"_","P_"),MNU_GRAMAJE_REQUERIDO_TIPOC,"")))</f>
        <v>30</v>
      </c>
      <c r="U127" s="257">
        <f t="shared" si="110"/>
        <v>52614</v>
      </c>
      <c r="V127" s="257">
        <f t="shared" si="111"/>
        <v>0</v>
      </c>
      <c r="W127" s="257">
        <f t="shared" si="112"/>
        <v>52614</v>
      </c>
      <c r="X127" s="258">
        <f t="shared" si="113"/>
        <v>8996994</v>
      </c>
      <c r="Y127" s="258">
        <f t="shared" si="114"/>
        <v>0</v>
      </c>
      <c r="Z127" s="258">
        <f t="shared" si="115"/>
        <v>8996994</v>
      </c>
      <c r="AA127" s="256">
        <f t="array" ref="AA127">MAX((IF(MNU_CODIGO_ALIMENTO_ENTREGA=CONCATENATE($C127,"_","P_"),MNU_GRAMAJE_REQUERIDO_TIPOM,"")))</f>
        <v>30</v>
      </c>
      <c r="AB127" s="259">
        <f t="shared" si="116"/>
        <v>0</v>
      </c>
      <c r="AC127" s="259">
        <v>0</v>
      </c>
      <c r="AD127" s="259">
        <f t="shared" si="117"/>
        <v>0</v>
      </c>
      <c r="AE127" s="260">
        <f t="shared" si="118"/>
        <v>0</v>
      </c>
      <c r="AF127" s="260">
        <v>0</v>
      </c>
      <c r="AG127" s="260">
        <f t="shared" si="119"/>
        <v>0</v>
      </c>
      <c r="AH127" s="348">
        <f t="array" ref="AH127">MAX((IF(MNU_CODIGO_ALIMENTO_ENTREGA=CONCATENATE($C127,"_","P_"),MNU_GRAMAJE_REQUERIDO_TIPOH,"")))</f>
        <v>30</v>
      </c>
      <c r="AI127" s="257">
        <f t="shared" si="120"/>
        <v>0</v>
      </c>
      <c r="AJ127" s="257">
        <v>0</v>
      </c>
      <c r="AK127" s="257">
        <f t="shared" si="121"/>
        <v>0</v>
      </c>
      <c r="AL127" s="258">
        <f t="shared" si="122"/>
        <v>0</v>
      </c>
      <c r="AM127" s="258">
        <v>0</v>
      </c>
      <c r="AN127" s="258">
        <f t="shared" si="123"/>
        <v>0</v>
      </c>
      <c r="AO127" s="451">
        <f t="shared" si="124"/>
        <v>138804</v>
      </c>
      <c r="AP127" s="450">
        <f t="shared" si="125"/>
        <v>23735484</v>
      </c>
      <c r="AQ127" s="261" t="e">
        <f>#REF!+AH127+AA127+T127+M127</f>
        <v>#REF!</v>
      </c>
      <c r="AR127" s="261">
        <f t="shared" si="84"/>
        <v>23837040</v>
      </c>
      <c r="AS127" s="261" t="e">
        <f t="shared" si="85"/>
        <v>#REF!</v>
      </c>
      <c r="AT127" s="261">
        <f t="shared" si="86"/>
        <v>23938596</v>
      </c>
      <c r="AU127" s="261" t="e">
        <f t="shared" si="87"/>
        <v>#REF!</v>
      </c>
      <c r="AV127" s="261">
        <f t="shared" si="88"/>
        <v>23938596</v>
      </c>
      <c r="AW127" s="261" t="e">
        <f t="shared" si="89"/>
        <v>#REF!</v>
      </c>
      <c r="AX127" s="261" t="e">
        <f>AV127+#REF!+AH127+AA127+T127</f>
        <v>#REF!</v>
      </c>
      <c r="AY127" s="261" t="e">
        <f t="shared" si="90"/>
        <v>#REF!</v>
      </c>
      <c r="AZ127" s="261" t="e">
        <f t="shared" si="91"/>
        <v>#REF!</v>
      </c>
      <c r="BA127" s="261" t="e">
        <f t="shared" si="92"/>
        <v>#REF!</v>
      </c>
      <c r="BB127" s="261" t="e">
        <f t="shared" si="93"/>
        <v>#REF!</v>
      </c>
      <c r="BC127" s="261" t="e">
        <f t="shared" si="94"/>
        <v>#REF!</v>
      </c>
      <c r="BD127" s="261" t="e">
        <f t="shared" si="95"/>
        <v>#REF!</v>
      </c>
      <c r="BE127" s="261" t="e">
        <f>BC127+AV127+#REF!+AH127+AA127</f>
        <v>#REF!</v>
      </c>
      <c r="BF127" s="261" t="e">
        <f t="shared" si="96"/>
        <v>#REF!</v>
      </c>
      <c r="BG127" s="261" t="e">
        <f t="shared" si="97"/>
        <v>#REF!</v>
      </c>
    </row>
    <row r="128" spans="1:59" ht="27">
      <c r="A128" s="333">
        <v>10</v>
      </c>
      <c r="B128" s="333" t="s">
        <v>1607</v>
      </c>
      <c r="C128" s="256">
        <v>28</v>
      </c>
      <c r="D128" s="322" t="s">
        <v>67</v>
      </c>
      <c r="E128" s="256" t="s">
        <v>9</v>
      </c>
      <c r="F128" s="425">
        <f t="array" ref="F128">MAX((IF(MNU_CODIGO_ALIMENTO_ENTREGA=CONCATENATE($C128,"_","P_"),MNU_GRAMAJE_REQUERIDO_TIPOA,"")))</f>
        <v>30</v>
      </c>
      <c r="G128" s="257">
        <f t="shared" si="98"/>
        <v>37248</v>
      </c>
      <c r="H128" s="257">
        <f t="shared" si="99"/>
        <v>12939</v>
      </c>
      <c r="I128" s="257">
        <f t="shared" si="100"/>
        <v>50187</v>
      </c>
      <c r="J128" s="258">
        <f t="shared" si="101"/>
        <v>8418048</v>
      </c>
      <c r="K128" s="258">
        <f t="shared" si="102"/>
        <v>2924214</v>
      </c>
      <c r="L128" s="258">
        <f t="shared" si="103"/>
        <v>11342262</v>
      </c>
      <c r="M128" s="426">
        <f t="array" ref="M128">MAX((IF(MNU_CODIGO_ALIMENTO_ENTREGA=CONCATENATE($C128,"_","P_"),MNU_GRAMAJE_REQUERIDO_TIPOB,"")))</f>
        <v>40</v>
      </c>
      <c r="N128" s="343">
        <f t="shared" si="104"/>
        <v>48942</v>
      </c>
      <c r="O128" s="343">
        <f t="shared" si="105"/>
        <v>15219</v>
      </c>
      <c r="P128" s="343">
        <f t="shared" si="106"/>
        <v>64161</v>
      </c>
      <c r="Q128" s="344">
        <f t="shared" si="107"/>
        <v>14731542</v>
      </c>
      <c r="R128" s="344">
        <f t="shared" si="108"/>
        <v>4580919</v>
      </c>
      <c r="S128" s="344">
        <f t="shared" si="109"/>
        <v>19312461</v>
      </c>
      <c r="T128" s="348">
        <f t="array" ref="T128">MAX((IF(MNU_CODIGO_ALIMENTO_ENTREGA=CONCATENATE($C128,"_","P_"),MNU_GRAMAJE_REQUERIDO_TIPOC,"")))</f>
        <v>60</v>
      </c>
      <c r="U128" s="257">
        <f t="shared" si="110"/>
        <v>52614</v>
      </c>
      <c r="V128" s="257">
        <f t="shared" si="111"/>
        <v>16663</v>
      </c>
      <c r="W128" s="257">
        <f t="shared" si="112"/>
        <v>69277</v>
      </c>
      <c r="X128" s="258">
        <f t="shared" si="113"/>
        <v>23728914</v>
      </c>
      <c r="Y128" s="258">
        <f t="shared" si="114"/>
        <v>7515013</v>
      </c>
      <c r="Z128" s="258">
        <f t="shared" si="115"/>
        <v>31243927</v>
      </c>
      <c r="AA128" s="256">
        <f t="array" ref="AA128">MAX((IF(MNU_CODIGO_ALIMENTO_ENTREGA=CONCATENATE($C128,"_","P_"),MNU_GRAMAJE_REQUERIDO_TIPOM,"")))</f>
        <v>40</v>
      </c>
      <c r="AB128" s="259">
        <f t="shared" si="116"/>
        <v>0</v>
      </c>
      <c r="AC128" s="259">
        <v>0</v>
      </c>
      <c r="AD128" s="259">
        <f t="shared" si="117"/>
        <v>0</v>
      </c>
      <c r="AE128" s="260">
        <f t="shared" si="118"/>
        <v>0</v>
      </c>
      <c r="AF128" s="260">
        <v>0</v>
      </c>
      <c r="AG128" s="260">
        <f t="shared" si="119"/>
        <v>0</v>
      </c>
      <c r="AH128" s="348">
        <f t="array" ref="AH128">MAX((IF(MNU_CODIGO_ALIMENTO_ENTREGA=CONCATENATE($C128,"_","P_"),MNU_GRAMAJE_REQUERIDO_TIPOH,"")))</f>
        <v>60</v>
      </c>
      <c r="AI128" s="257">
        <f t="shared" si="120"/>
        <v>0</v>
      </c>
      <c r="AJ128" s="257">
        <v>0</v>
      </c>
      <c r="AK128" s="257">
        <f t="shared" si="121"/>
        <v>0</v>
      </c>
      <c r="AL128" s="258">
        <f t="shared" si="122"/>
        <v>0</v>
      </c>
      <c r="AM128" s="258">
        <v>0</v>
      </c>
      <c r="AN128" s="258">
        <f t="shared" si="123"/>
        <v>0</v>
      </c>
      <c r="AO128" s="451">
        <f t="shared" si="124"/>
        <v>183625</v>
      </c>
      <c r="AP128" s="450">
        <f t="shared" si="125"/>
        <v>61898650</v>
      </c>
      <c r="AQ128" s="261" t="e">
        <f>#REF!+AH128+AA128+T128+M128</f>
        <v>#REF!</v>
      </c>
      <c r="AR128" s="261">
        <f t="shared" si="84"/>
        <v>62000206</v>
      </c>
      <c r="AS128" s="261" t="e">
        <f t="shared" si="85"/>
        <v>#REF!</v>
      </c>
      <c r="AT128" s="261">
        <f t="shared" si="86"/>
        <v>62133644</v>
      </c>
      <c r="AU128" s="261" t="e">
        <f t="shared" si="87"/>
        <v>#REF!</v>
      </c>
      <c r="AV128" s="261">
        <f t="shared" si="88"/>
        <v>74229576</v>
      </c>
      <c r="AW128" s="261" t="e">
        <f t="shared" si="89"/>
        <v>#REF!</v>
      </c>
      <c r="AX128" s="261" t="e">
        <f>AV128+#REF!+AH128+AA128+T128</f>
        <v>#REF!</v>
      </c>
      <c r="AY128" s="261" t="e">
        <f t="shared" si="90"/>
        <v>#REF!</v>
      </c>
      <c r="AZ128" s="261" t="e">
        <f t="shared" si="91"/>
        <v>#REF!</v>
      </c>
      <c r="BA128" s="261" t="e">
        <f t="shared" si="92"/>
        <v>#REF!</v>
      </c>
      <c r="BB128" s="261" t="e">
        <f t="shared" si="93"/>
        <v>#REF!</v>
      </c>
      <c r="BC128" s="261" t="e">
        <f t="shared" si="94"/>
        <v>#REF!</v>
      </c>
      <c r="BD128" s="261" t="e">
        <f t="shared" si="95"/>
        <v>#REF!</v>
      </c>
      <c r="BE128" s="261" t="e">
        <f>BC128+AV128+#REF!+AH128+AA128</f>
        <v>#REF!</v>
      </c>
      <c r="BF128" s="261" t="e">
        <f t="shared" si="96"/>
        <v>#REF!</v>
      </c>
      <c r="BG128" s="261" t="e">
        <f t="shared" si="97"/>
        <v>#REF!</v>
      </c>
    </row>
    <row r="129" spans="1:59" ht="15.75">
      <c r="A129" s="333">
        <v>10</v>
      </c>
      <c r="B129" s="333" t="s">
        <v>1607</v>
      </c>
      <c r="C129" s="256">
        <v>30</v>
      </c>
      <c r="D129" s="322" t="s">
        <v>63</v>
      </c>
      <c r="E129" s="256" t="s">
        <v>9</v>
      </c>
      <c r="F129" s="425">
        <f t="array" ref="F129">MAX((IF(MNU_CODIGO_ALIMENTO_ENTREGA=CONCATENATE($C129,"_","P_"),MNU_GRAMAJE_REQUERIDO_TIPOA,"")))</f>
        <v>30</v>
      </c>
      <c r="G129" s="257">
        <f t="shared" si="98"/>
        <v>99328</v>
      </c>
      <c r="H129" s="257">
        <f t="shared" si="99"/>
        <v>0</v>
      </c>
      <c r="I129" s="257">
        <f t="shared" si="100"/>
        <v>99328</v>
      </c>
      <c r="J129" s="258">
        <f t="shared" si="101"/>
        <v>32976896</v>
      </c>
      <c r="K129" s="258">
        <f t="shared" si="102"/>
        <v>0</v>
      </c>
      <c r="L129" s="258">
        <f t="shared" si="103"/>
        <v>32976896</v>
      </c>
      <c r="M129" s="426">
        <f t="array" ref="M129">MAX((IF(MNU_CODIGO_ALIMENTO_ENTREGA=CONCATENATE($C129,"_","P_"),MNU_GRAMAJE_REQUERIDO_TIPOB,"")))</f>
        <v>30</v>
      </c>
      <c r="N129" s="343">
        <f t="shared" si="104"/>
        <v>130512</v>
      </c>
      <c r="O129" s="343">
        <f t="shared" si="105"/>
        <v>0</v>
      </c>
      <c r="P129" s="343">
        <f t="shared" si="106"/>
        <v>130512</v>
      </c>
      <c r="Q129" s="344">
        <f t="shared" si="107"/>
        <v>43329984</v>
      </c>
      <c r="R129" s="344">
        <f t="shared" si="108"/>
        <v>0</v>
      </c>
      <c r="S129" s="344">
        <f t="shared" si="109"/>
        <v>43329984</v>
      </c>
      <c r="T129" s="348">
        <f t="array" ref="T129">MAX((IF(MNU_CODIGO_ALIMENTO_ENTREGA=CONCATENATE($C129,"_","P_"),MNU_GRAMAJE_REQUERIDO_TIPOC,"")))</f>
        <v>30</v>
      </c>
      <c r="U129" s="257">
        <f t="shared" si="110"/>
        <v>140304</v>
      </c>
      <c r="V129" s="257">
        <f t="shared" si="111"/>
        <v>0</v>
      </c>
      <c r="W129" s="257">
        <f t="shared" si="112"/>
        <v>140304</v>
      </c>
      <c r="X129" s="258">
        <f t="shared" si="113"/>
        <v>46580928</v>
      </c>
      <c r="Y129" s="258">
        <f t="shared" si="114"/>
        <v>0</v>
      </c>
      <c r="Z129" s="258">
        <f t="shared" si="115"/>
        <v>46580928</v>
      </c>
      <c r="AA129" s="256">
        <f t="array" ref="AA129">MAX((IF(MNU_CODIGO_ALIMENTO_ENTREGA=CONCATENATE($C129,"_","P_"),MNU_GRAMAJE_REQUERIDO_TIPOM,"")))</f>
        <v>30</v>
      </c>
      <c r="AB129" s="259">
        <f t="shared" si="116"/>
        <v>0</v>
      </c>
      <c r="AC129" s="259">
        <v>0</v>
      </c>
      <c r="AD129" s="259">
        <f t="shared" si="117"/>
        <v>0</v>
      </c>
      <c r="AE129" s="260">
        <f t="shared" si="118"/>
        <v>0</v>
      </c>
      <c r="AF129" s="260">
        <v>0</v>
      </c>
      <c r="AG129" s="260">
        <f t="shared" si="119"/>
        <v>0</v>
      </c>
      <c r="AH129" s="348">
        <f t="array" ref="AH129">MAX((IF(MNU_CODIGO_ALIMENTO_ENTREGA=CONCATENATE($C129,"_","P_"),MNU_GRAMAJE_REQUERIDO_TIPOH,"")))</f>
        <v>30</v>
      </c>
      <c r="AI129" s="257">
        <f t="shared" si="120"/>
        <v>0</v>
      </c>
      <c r="AJ129" s="257">
        <v>0</v>
      </c>
      <c r="AK129" s="257">
        <f t="shared" si="121"/>
        <v>0</v>
      </c>
      <c r="AL129" s="258">
        <f t="shared" si="122"/>
        <v>0</v>
      </c>
      <c r="AM129" s="258">
        <v>0</v>
      </c>
      <c r="AN129" s="258">
        <f t="shared" si="123"/>
        <v>0</v>
      </c>
      <c r="AO129" s="451">
        <f t="shared" si="124"/>
        <v>370144</v>
      </c>
      <c r="AP129" s="450">
        <f t="shared" si="125"/>
        <v>122887808</v>
      </c>
      <c r="AQ129" s="261" t="e">
        <f>#REF!+AH129+AA129+T129+M129</f>
        <v>#REF!</v>
      </c>
      <c r="AR129" s="261">
        <f t="shared" si="84"/>
        <v>123158624</v>
      </c>
      <c r="AS129" s="261" t="e">
        <f t="shared" si="85"/>
        <v>#REF!</v>
      </c>
      <c r="AT129" s="261">
        <f t="shared" si="86"/>
        <v>123429440</v>
      </c>
      <c r="AU129" s="261" t="e">
        <f t="shared" si="87"/>
        <v>#REF!</v>
      </c>
      <c r="AV129" s="261">
        <f t="shared" si="88"/>
        <v>123429440</v>
      </c>
      <c r="AW129" s="261" t="e">
        <f t="shared" si="89"/>
        <v>#REF!</v>
      </c>
      <c r="AX129" s="261" t="e">
        <f>AV129+#REF!+AH129+AA129+T129</f>
        <v>#REF!</v>
      </c>
      <c r="AY129" s="261" t="e">
        <f t="shared" si="90"/>
        <v>#REF!</v>
      </c>
      <c r="AZ129" s="261" t="e">
        <f t="shared" si="91"/>
        <v>#REF!</v>
      </c>
      <c r="BA129" s="261" t="e">
        <f t="shared" si="92"/>
        <v>#REF!</v>
      </c>
      <c r="BB129" s="261" t="e">
        <f t="shared" si="93"/>
        <v>#REF!</v>
      </c>
      <c r="BC129" s="261" t="e">
        <f t="shared" si="94"/>
        <v>#REF!</v>
      </c>
      <c r="BD129" s="261" t="e">
        <f t="shared" si="95"/>
        <v>#REF!</v>
      </c>
      <c r="BE129" s="261" t="e">
        <f>BC129+AV129+#REF!+AH129+AA129</f>
        <v>#REF!</v>
      </c>
      <c r="BF129" s="261" t="e">
        <f t="shared" si="96"/>
        <v>#REF!</v>
      </c>
      <c r="BG129" s="261" t="e">
        <f t="shared" si="97"/>
        <v>#REF!</v>
      </c>
    </row>
    <row r="130" spans="1:59" ht="15.75">
      <c r="A130" s="333">
        <v>10</v>
      </c>
      <c r="B130" s="333" t="s">
        <v>1607</v>
      </c>
      <c r="C130" s="256">
        <v>45</v>
      </c>
      <c r="D130" s="322" t="s">
        <v>10</v>
      </c>
      <c r="E130" s="256" t="s">
        <v>9</v>
      </c>
      <c r="F130" s="425">
        <f t="array" ref="F130">MAX((IF(MNU_CODIGO_ALIMENTO_ENTREGA=CONCATENATE($C130,"_","P_"),MNU_GRAMAJE_REQUERIDO_TIPOA,"")))</f>
        <v>20</v>
      </c>
      <c r="G130" s="257">
        <f t="shared" si="98"/>
        <v>99328</v>
      </c>
      <c r="H130" s="257">
        <f t="shared" si="99"/>
        <v>13620</v>
      </c>
      <c r="I130" s="257">
        <f t="shared" si="100"/>
        <v>112948</v>
      </c>
      <c r="J130" s="258">
        <f t="shared" si="101"/>
        <v>19766272</v>
      </c>
      <c r="K130" s="258">
        <f t="shared" si="102"/>
        <v>2710380</v>
      </c>
      <c r="L130" s="258">
        <f t="shared" si="103"/>
        <v>22476652</v>
      </c>
      <c r="M130" s="426">
        <f t="array" ref="M130">MAX((IF(MNU_CODIGO_ALIMENTO_ENTREGA=CONCATENATE($C130,"_","P_"),MNU_GRAMAJE_REQUERIDO_TIPOB,"")))</f>
        <v>30</v>
      </c>
      <c r="N130" s="343">
        <f t="shared" si="104"/>
        <v>130512</v>
      </c>
      <c r="O130" s="343">
        <f t="shared" si="105"/>
        <v>16020</v>
      </c>
      <c r="P130" s="343">
        <f t="shared" si="106"/>
        <v>146532</v>
      </c>
      <c r="Q130" s="344">
        <f t="shared" si="107"/>
        <v>38892576</v>
      </c>
      <c r="R130" s="344">
        <f t="shared" si="108"/>
        <v>4773960</v>
      </c>
      <c r="S130" s="344">
        <f t="shared" si="109"/>
        <v>43666536</v>
      </c>
      <c r="T130" s="348">
        <f t="array" ref="T130">MAX((IF(MNU_CODIGO_ALIMENTO_ENTREGA=CONCATENATE($C130,"_","P_"),MNU_GRAMAJE_REQUERIDO_TIPOC,"")))</f>
        <v>60</v>
      </c>
      <c r="U130" s="257">
        <f t="shared" si="110"/>
        <v>140304</v>
      </c>
      <c r="V130" s="257">
        <f t="shared" si="111"/>
        <v>17540</v>
      </c>
      <c r="W130" s="257">
        <f t="shared" si="112"/>
        <v>157844</v>
      </c>
      <c r="X130" s="258">
        <f t="shared" si="113"/>
        <v>83761488</v>
      </c>
      <c r="Y130" s="258">
        <f t="shared" si="114"/>
        <v>10471380</v>
      </c>
      <c r="Z130" s="258">
        <f t="shared" si="115"/>
        <v>94232868</v>
      </c>
      <c r="AA130" s="256">
        <f t="array" ref="AA130">MAX((IF(MNU_CODIGO_ALIMENTO_ENTREGA=CONCATENATE($C130,"_","P_"),MNU_GRAMAJE_REQUERIDO_TIPOM,"")))</f>
        <v>30</v>
      </c>
      <c r="AB130" s="259">
        <f t="shared" si="116"/>
        <v>0</v>
      </c>
      <c r="AC130" s="259">
        <v>0</v>
      </c>
      <c r="AD130" s="259">
        <f t="shared" si="117"/>
        <v>0</v>
      </c>
      <c r="AE130" s="260">
        <f t="shared" si="118"/>
        <v>0</v>
      </c>
      <c r="AF130" s="260">
        <v>0</v>
      </c>
      <c r="AG130" s="260">
        <f t="shared" si="119"/>
        <v>0</v>
      </c>
      <c r="AH130" s="348">
        <f t="array" ref="AH130">MAX((IF(MNU_CODIGO_ALIMENTO_ENTREGA=CONCATENATE($C130,"_","P_"),MNU_GRAMAJE_REQUERIDO_TIPOH,"")))</f>
        <v>60</v>
      </c>
      <c r="AI130" s="257">
        <f t="shared" si="120"/>
        <v>0</v>
      </c>
      <c r="AJ130" s="257">
        <v>0</v>
      </c>
      <c r="AK130" s="257">
        <f t="shared" si="121"/>
        <v>0</v>
      </c>
      <c r="AL130" s="258">
        <f t="shared" si="122"/>
        <v>0</v>
      </c>
      <c r="AM130" s="258">
        <v>0</v>
      </c>
      <c r="AN130" s="258">
        <f t="shared" si="123"/>
        <v>0</v>
      </c>
      <c r="AO130" s="451">
        <f t="shared" si="124"/>
        <v>417324</v>
      </c>
      <c r="AP130" s="450">
        <f t="shared" si="125"/>
        <v>160376056</v>
      </c>
      <c r="AQ130" s="261" t="e">
        <f>#REF!+AH130+AA130+T130+M130</f>
        <v>#REF!</v>
      </c>
      <c r="AR130" s="261">
        <f t="shared" si="84"/>
        <v>160646872</v>
      </c>
      <c r="AS130" s="261" t="e">
        <f t="shared" si="85"/>
        <v>#REF!</v>
      </c>
      <c r="AT130" s="261">
        <f t="shared" si="86"/>
        <v>160951248</v>
      </c>
      <c r="AU130" s="261" t="e">
        <f t="shared" si="87"/>
        <v>#REF!</v>
      </c>
      <c r="AV130" s="261">
        <f t="shared" si="88"/>
        <v>176196588</v>
      </c>
      <c r="AW130" s="261" t="e">
        <f t="shared" si="89"/>
        <v>#REF!</v>
      </c>
      <c r="AX130" s="261" t="e">
        <f>AV130+#REF!+AH130+AA130+T130</f>
        <v>#REF!</v>
      </c>
      <c r="AY130" s="261" t="e">
        <f t="shared" si="90"/>
        <v>#REF!</v>
      </c>
      <c r="AZ130" s="261" t="e">
        <f t="shared" si="91"/>
        <v>#REF!</v>
      </c>
      <c r="BA130" s="261" t="e">
        <f t="shared" si="92"/>
        <v>#REF!</v>
      </c>
      <c r="BB130" s="261" t="e">
        <f t="shared" si="93"/>
        <v>#REF!</v>
      </c>
      <c r="BC130" s="261" t="e">
        <f t="shared" si="94"/>
        <v>#REF!</v>
      </c>
      <c r="BD130" s="261" t="e">
        <f t="shared" si="95"/>
        <v>#REF!</v>
      </c>
      <c r="BE130" s="261" t="e">
        <f>BC130+AV130+#REF!+AH130+AA130</f>
        <v>#REF!</v>
      </c>
      <c r="BF130" s="261" t="e">
        <f t="shared" si="96"/>
        <v>#REF!</v>
      </c>
      <c r="BG130" s="261" t="e">
        <f t="shared" si="97"/>
        <v>#REF!</v>
      </c>
    </row>
    <row r="131" spans="1:59" ht="15.75">
      <c r="A131" s="333">
        <v>10</v>
      </c>
      <c r="B131" s="333" t="s">
        <v>1607</v>
      </c>
      <c r="C131" s="256">
        <v>50</v>
      </c>
      <c r="D131" s="322" t="s">
        <v>65</v>
      </c>
      <c r="E131" s="256" t="s">
        <v>9</v>
      </c>
      <c r="F131" s="425">
        <f t="array" ref="F131">MAX((IF(MNU_CODIGO_ALIMENTO_ENTREGA=CONCATENATE($C131,"_","P_"),MNU_GRAMAJE_REQUERIDO_TIPOA,"")))</f>
        <v>30</v>
      </c>
      <c r="G131" s="257">
        <f t="shared" si="98"/>
        <v>105536</v>
      </c>
      <c r="H131" s="257">
        <f t="shared" si="99"/>
        <v>0</v>
      </c>
      <c r="I131" s="257">
        <f t="shared" si="100"/>
        <v>105536</v>
      </c>
      <c r="J131" s="258">
        <f t="shared" si="101"/>
        <v>33877056</v>
      </c>
      <c r="K131" s="258">
        <f t="shared" si="102"/>
        <v>0</v>
      </c>
      <c r="L131" s="258">
        <f t="shared" si="103"/>
        <v>33877056</v>
      </c>
      <c r="M131" s="426">
        <f t="array" ref="M131">MAX((IF(MNU_CODIGO_ALIMENTO_ENTREGA=CONCATENATE($C131,"_","P_"),MNU_GRAMAJE_REQUERIDO_TIPOB,"")))</f>
        <v>40</v>
      </c>
      <c r="N131" s="343">
        <f t="shared" si="104"/>
        <v>138669</v>
      </c>
      <c r="O131" s="343">
        <f t="shared" si="105"/>
        <v>0</v>
      </c>
      <c r="P131" s="343">
        <f t="shared" si="106"/>
        <v>138669</v>
      </c>
      <c r="Q131" s="344">
        <f t="shared" si="107"/>
        <v>59350332</v>
      </c>
      <c r="R131" s="344">
        <f t="shared" si="108"/>
        <v>0</v>
      </c>
      <c r="S131" s="344">
        <f t="shared" si="109"/>
        <v>59350332</v>
      </c>
      <c r="T131" s="348">
        <f t="array" ref="T131">MAX((IF(MNU_CODIGO_ALIMENTO_ENTREGA=CONCATENATE($C131,"_","P_"),MNU_GRAMAJE_REQUERIDO_TIPOC,"")))</f>
        <v>80</v>
      </c>
      <c r="U131" s="257">
        <f t="shared" si="110"/>
        <v>149073</v>
      </c>
      <c r="V131" s="257">
        <f t="shared" si="111"/>
        <v>0</v>
      </c>
      <c r="W131" s="257">
        <f t="shared" si="112"/>
        <v>149073</v>
      </c>
      <c r="X131" s="258">
        <f t="shared" si="113"/>
        <v>127457415</v>
      </c>
      <c r="Y131" s="258">
        <f t="shared" si="114"/>
        <v>0</v>
      </c>
      <c r="Z131" s="258">
        <f t="shared" si="115"/>
        <v>127457415</v>
      </c>
      <c r="AA131" s="256">
        <f t="array" ref="AA131">MAX((IF(MNU_CODIGO_ALIMENTO_ENTREGA=CONCATENATE($C131,"_","P_"),MNU_GRAMAJE_REQUERIDO_TIPOM,"")))</f>
        <v>40</v>
      </c>
      <c r="AB131" s="259">
        <f t="shared" si="116"/>
        <v>0</v>
      </c>
      <c r="AC131" s="259">
        <v>0</v>
      </c>
      <c r="AD131" s="259">
        <f t="shared" si="117"/>
        <v>0</v>
      </c>
      <c r="AE131" s="260">
        <f t="shared" si="118"/>
        <v>0</v>
      </c>
      <c r="AF131" s="260">
        <v>0</v>
      </c>
      <c r="AG131" s="260">
        <f t="shared" si="119"/>
        <v>0</v>
      </c>
      <c r="AH131" s="348">
        <f t="array" ref="AH131">MAX((IF(MNU_CODIGO_ALIMENTO_ENTREGA=CONCATENATE($C131,"_","P_"),MNU_GRAMAJE_REQUERIDO_TIPOH,"")))</f>
        <v>80</v>
      </c>
      <c r="AI131" s="257">
        <f t="shared" si="120"/>
        <v>0</v>
      </c>
      <c r="AJ131" s="257">
        <v>0</v>
      </c>
      <c r="AK131" s="257">
        <f t="shared" si="121"/>
        <v>0</v>
      </c>
      <c r="AL131" s="258">
        <f t="shared" si="122"/>
        <v>0</v>
      </c>
      <c r="AM131" s="258">
        <v>0</v>
      </c>
      <c r="AN131" s="258">
        <f t="shared" si="123"/>
        <v>0</v>
      </c>
      <c r="AO131" s="451">
        <f t="shared" si="124"/>
        <v>393278</v>
      </c>
      <c r="AP131" s="450">
        <f t="shared" si="125"/>
        <v>220684803</v>
      </c>
      <c r="AQ131" s="261" t="e">
        <f>#REF!+AH131+AA131+T131+M131</f>
        <v>#REF!</v>
      </c>
      <c r="AR131" s="261">
        <f t="shared" si="84"/>
        <v>220972545</v>
      </c>
      <c r="AS131" s="261" t="e">
        <f t="shared" si="85"/>
        <v>#REF!</v>
      </c>
      <c r="AT131" s="261">
        <f t="shared" si="86"/>
        <v>221260287</v>
      </c>
      <c r="AU131" s="261" t="e">
        <f t="shared" si="87"/>
        <v>#REF!</v>
      </c>
      <c r="AV131" s="261">
        <f t="shared" si="88"/>
        <v>221260287</v>
      </c>
      <c r="AW131" s="261" t="e">
        <f t="shared" si="89"/>
        <v>#REF!</v>
      </c>
      <c r="AX131" s="261" t="e">
        <f>AV131+#REF!+AH131+AA131+T131</f>
        <v>#REF!</v>
      </c>
      <c r="AY131" s="261" t="e">
        <f t="shared" si="90"/>
        <v>#REF!</v>
      </c>
      <c r="AZ131" s="261" t="e">
        <f t="shared" si="91"/>
        <v>#REF!</v>
      </c>
      <c r="BA131" s="261" t="e">
        <f t="shared" si="92"/>
        <v>#REF!</v>
      </c>
      <c r="BB131" s="261" t="e">
        <f t="shared" si="93"/>
        <v>#REF!</v>
      </c>
      <c r="BC131" s="261" t="e">
        <f t="shared" si="94"/>
        <v>#REF!</v>
      </c>
      <c r="BD131" s="261" t="e">
        <f t="shared" si="95"/>
        <v>#REF!</v>
      </c>
      <c r="BE131" s="261" t="e">
        <f>BC131+AV131+#REF!+AH131+AA131</f>
        <v>#REF!</v>
      </c>
      <c r="BF131" s="261" t="e">
        <f t="shared" si="96"/>
        <v>#REF!</v>
      </c>
      <c r="BG131" s="261" t="e">
        <f t="shared" si="97"/>
        <v>#REF!</v>
      </c>
    </row>
    <row r="132" spans="1:59" ht="15.75">
      <c r="A132" s="333">
        <v>10</v>
      </c>
      <c r="B132" s="333" t="s">
        <v>1607</v>
      </c>
      <c r="C132" s="256">
        <v>61</v>
      </c>
      <c r="D132" s="322" t="s">
        <v>13</v>
      </c>
      <c r="E132" s="256" t="s">
        <v>9</v>
      </c>
      <c r="F132" s="425">
        <f t="array" ref="F132">MAX((IF(MNU_CODIGO_ALIMENTO_ENTREGA=CONCATENATE($C132,"_","P_"),MNU_GRAMAJE_REQUERIDO_TIPOA,"")))</f>
        <v>20</v>
      </c>
      <c r="G132" s="257">
        <f t="shared" si="98"/>
        <v>99328</v>
      </c>
      <c r="H132" s="257">
        <f t="shared" si="99"/>
        <v>13620</v>
      </c>
      <c r="I132" s="257">
        <f t="shared" si="100"/>
        <v>112948</v>
      </c>
      <c r="J132" s="258">
        <f t="shared" si="101"/>
        <v>23143424</v>
      </c>
      <c r="K132" s="258">
        <f t="shared" si="102"/>
        <v>3173460</v>
      </c>
      <c r="L132" s="258">
        <f t="shared" si="103"/>
        <v>26316884</v>
      </c>
      <c r="M132" s="426">
        <f t="array" ref="M132">MAX((IF(MNU_CODIGO_ALIMENTO_ENTREGA=CONCATENATE($C132,"_","P_"),MNU_GRAMAJE_REQUERIDO_TIPOB,"")))</f>
        <v>30</v>
      </c>
      <c r="N132" s="343">
        <f t="shared" si="104"/>
        <v>130512</v>
      </c>
      <c r="O132" s="343">
        <f t="shared" si="105"/>
        <v>16020</v>
      </c>
      <c r="P132" s="343">
        <f t="shared" si="106"/>
        <v>146532</v>
      </c>
      <c r="Q132" s="344">
        <f t="shared" si="107"/>
        <v>45809712</v>
      </c>
      <c r="R132" s="344">
        <f t="shared" si="108"/>
        <v>5623020</v>
      </c>
      <c r="S132" s="344">
        <f t="shared" si="109"/>
        <v>51432732</v>
      </c>
      <c r="T132" s="348">
        <f t="array" ref="T132">MAX((IF(MNU_CODIGO_ALIMENTO_ENTREGA=CONCATENATE($C132,"_","P_"),MNU_GRAMAJE_REQUERIDO_TIPOC,"")))</f>
        <v>70</v>
      </c>
      <c r="U132" s="257">
        <f t="shared" si="110"/>
        <v>140304</v>
      </c>
      <c r="V132" s="257">
        <f t="shared" si="111"/>
        <v>17540</v>
      </c>
      <c r="W132" s="257">
        <f t="shared" si="112"/>
        <v>157844</v>
      </c>
      <c r="X132" s="258">
        <f t="shared" si="113"/>
        <v>114768672</v>
      </c>
      <c r="Y132" s="258">
        <f t="shared" si="114"/>
        <v>14347720</v>
      </c>
      <c r="Z132" s="258">
        <f t="shared" si="115"/>
        <v>129116392</v>
      </c>
      <c r="AA132" s="256">
        <f t="array" ref="AA132">MAX((IF(MNU_CODIGO_ALIMENTO_ENTREGA=CONCATENATE($C132,"_","P_"),MNU_GRAMAJE_REQUERIDO_TIPOM,"")))</f>
        <v>30</v>
      </c>
      <c r="AB132" s="259">
        <f t="shared" si="116"/>
        <v>0</v>
      </c>
      <c r="AC132" s="259">
        <v>0</v>
      </c>
      <c r="AD132" s="259">
        <f t="shared" si="117"/>
        <v>0</v>
      </c>
      <c r="AE132" s="260">
        <f t="shared" si="118"/>
        <v>0</v>
      </c>
      <c r="AF132" s="260">
        <v>0</v>
      </c>
      <c r="AG132" s="260">
        <f t="shared" si="119"/>
        <v>0</v>
      </c>
      <c r="AH132" s="348">
        <f t="array" ref="AH132">MAX((IF(MNU_CODIGO_ALIMENTO_ENTREGA=CONCATENATE($C132,"_","P_"),MNU_GRAMAJE_REQUERIDO_TIPOH,"")))</f>
        <v>70</v>
      </c>
      <c r="AI132" s="257">
        <f t="shared" si="120"/>
        <v>0</v>
      </c>
      <c r="AJ132" s="257">
        <v>0</v>
      </c>
      <c r="AK132" s="257">
        <f t="shared" si="121"/>
        <v>0</v>
      </c>
      <c r="AL132" s="258">
        <f t="shared" si="122"/>
        <v>0</v>
      </c>
      <c r="AM132" s="258">
        <v>0</v>
      </c>
      <c r="AN132" s="258">
        <f t="shared" si="123"/>
        <v>0</v>
      </c>
      <c r="AO132" s="451">
        <f t="shared" si="124"/>
        <v>417324</v>
      </c>
      <c r="AP132" s="450">
        <f t="shared" si="125"/>
        <v>206866008</v>
      </c>
      <c r="AQ132" s="261" t="e">
        <f>#REF!+AH132+AA132+T132+M132</f>
        <v>#REF!</v>
      </c>
      <c r="AR132" s="261">
        <f t="shared" si="84"/>
        <v>207136824</v>
      </c>
      <c r="AS132" s="261" t="e">
        <f t="shared" si="85"/>
        <v>#REF!</v>
      </c>
      <c r="AT132" s="261">
        <f t="shared" si="86"/>
        <v>207441200</v>
      </c>
      <c r="AU132" s="261" t="e">
        <f t="shared" si="87"/>
        <v>#REF!</v>
      </c>
      <c r="AV132" s="261">
        <f t="shared" si="88"/>
        <v>227411940</v>
      </c>
      <c r="AW132" s="261" t="e">
        <f t="shared" si="89"/>
        <v>#REF!</v>
      </c>
      <c r="AX132" s="261" t="e">
        <f>AV132+#REF!+AH132+AA132+T132</f>
        <v>#REF!</v>
      </c>
      <c r="AY132" s="261" t="e">
        <f t="shared" si="90"/>
        <v>#REF!</v>
      </c>
      <c r="AZ132" s="261" t="e">
        <f t="shared" si="91"/>
        <v>#REF!</v>
      </c>
      <c r="BA132" s="261" t="e">
        <f t="shared" si="92"/>
        <v>#REF!</v>
      </c>
      <c r="BB132" s="261" t="e">
        <f t="shared" si="93"/>
        <v>#REF!</v>
      </c>
      <c r="BC132" s="261" t="e">
        <f t="shared" si="94"/>
        <v>#REF!</v>
      </c>
      <c r="BD132" s="261" t="e">
        <f t="shared" si="95"/>
        <v>#REF!</v>
      </c>
      <c r="BE132" s="261" t="e">
        <f>BC132+AV132+#REF!+AH132+AA132</f>
        <v>#REF!</v>
      </c>
      <c r="BF132" s="261" t="e">
        <f t="shared" si="96"/>
        <v>#REF!</v>
      </c>
      <c r="BG132" s="261" t="e">
        <f t="shared" si="97"/>
        <v>#REF!</v>
      </c>
    </row>
    <row r="133" spans="1:59" ht="15.75">
      <c r="A133" s="333">
        <v>10</v>
      </c>
      <c r="B133" s="333" t="s">
        <v>1607</v>
      </c>
      <c r="C133" s="256">
        <v>62</v>
      </c>
      <c r="D133" s="322" t="s">
        <v>68</v>
      </c>
      <c r="E133" s="256" t="s">
        <v>9</v>
      </c>
      <c r="F133" s="425">
        <f t="array" ref="F133">MAX((IF(MNU_CODIGO_ALIMENTO_ENTREGA=CONCATENATE($C133,"_","P_"),MNU_GRAMAJE_REQUERIDO_TIPOA,"")))</f>
        <v>50</v>
      </c>
      <c r="G133" s="257">
        <f t="shared" si="98"/>
        <v>31040</v>
      </c>
      <c r="H133" s="257">
        <f t="shared" si="99"/>
        <v>0</v>
      </c>
      <c r="I133" s="257">
        <f t="shared" si="100"/>
        <v>31040</v>
      </c>
      <c r="J133" s="258">
        <f t="shared" si="101"/>
        <v>19400000</v>
      </c>
      <c r="K133" s="258">
        <f t="shared" si="102"/>
        <v>0</v>
      </c>
      <c r="L133" s="258">
        <f t="shared" si="103"/>
        <v>19400000</v>
      </c>
      <c r="M133" s="426">
        <f t="array" ref="M133">MAX((IF(MNU_CODIGO_ALIMENTO_ENTREGA=CONCATENATE($C133,"_","P_"),MNU_GRAMAJE_REQUERIDO_TIPOB,"")))</f>
        <v>50</v>
      </c>
      <c r="N133" s="343">
        <f t="shared" si="104"/>
        <v>40785</v>
      </c>
      <c r="O133" s="343">
        <f t="shared" si="105"/>
        <v>0</v>
      </c>
      <c r="P133" s="343">
        <f t="shared" si="106"/>
        <v>40785</v>
      </c>
      <c r="Q133" s="344">
        <f t="shared" si="107"/>
        <v>25490625</v>
      </c>
      <c r="R133" s="344">
        <f t="shared" si="108"/>
        <v>0</v>
      </c>
      <c r="S133" s="344">
        <f t="shared" si="109"/>
        <v>25490625</v>
      </c>
      <c r="T133" s="348">
        <f t="array" ref="T133">MAX((IF(MNU_CODIGO_ALIMENTO_ENTREGA=CONCATENATE($C133,"_","P_"),MNU_GRAMAJE_REQUERIDO_TIPOC,"")))</f>
        <v>50</v>
      </c>
      <c r="U133" s="257">
        <f t="shared" si="110"/>
        <v>43845</v>
      </c>
      <c r="V133" s="257">
        <f t="shared" si="111"/>
        <v>0</v>
      </c>
      <c r="W133" s="257">
        <f t="shared" si="112"/>
        <v>43845</v>
      </c>
      <c r="X133" s="258">
        <f t="shared" si="113"/>
        <v>27403125</v>
      </c>
      <c r="Y133" s="258">
        <f t="shared" si="114"/>
        <v>0</v>
      </c>
      <c r="Z133" s="258">
        <f t="shared" si="115"/>
        <v>27403125</v>
      </c>
      <c r="AA133" s="256">
        <f t="array" ref="AA133">MAX((IF(MNU_CODIGO_ALIMENTO_ENTREGA=CONCATENATE($C133,"_","P_"),MNU_GRAMAJE_REQUERIDO_TIPOM,"")))</f>
        <v>50</v>
      </c>
      <c r="AB133" s="259">
        <f t="shared" si="116"/>
        <v>0</v>
      </c>
      <c r="AC133" s="259">
        <v>0</v>
      </c>
      <c r="AD133" s="259">
        <f t="shared" si="117"/>
        <v>0</v>
      </c>
      <c r="AE133" s="260">
        <f t="shared" si="118"/>
        <v>0</v>
      </c>
      <c r="AF133" s="260">
        <v>0</v>
      </c>
      <c r="AG133" s="260">
        <f t="shared" si="119"/>
        <v>0</v>
      </c>
      <c r="AH133" s="348">
        <f t="array" ref="AH133">MAX((IF(MNU_CODIGO_ALIMENTO_ENTREGA=CONCATENATE($C133,"_","P_"),MNU_GRAMAJE_REQUERIDO_TIPOH,"")))</f>
        <v>50</v>
      </c>
      <c r="AI133" s="257">
        <f t="shared" si="120"/>
        <v>0</v>
      </c>
      <c r="AJ133" s="257">
        <v>0</v>
      </c>
      <c r="AK133" s="257">
        <f t="shared" si="121"/>
        <v>0</v>
      </c>
      <c r="AL133" s="258">
        <f t="shared" si="122"/>
        <v>0</v>
      </c>
      <c r="AM133" s="258">
        <v>0</v>
      </c>
      <c r="AN133" s="258">
        <f t="shared" si="123"/>
        <v>0</v>
      </c>
      <c r="AO133" s="451">
        <f t="shared" si="124"/>
        <v>115670</v>
      </c>
      <c r="AP133" s="450">
        <f t="shared" si="125"/>
        <v>72293750</v>
      </c>
      <c r="AQ133" s="261" t="e">
        <f>#REF!+AH133+AA133+T133+M133</f>
        <v>#REF!</v>
      </c>
      <c r="AR133" s="261">
        <f t="shared" si="84"/>
        <v>72378380</v>
      </c>
      <c r="AS133" s="261" t="e">
        <f t="shared" si="85"/>
        <v>#REF!</v>
      </c>
      <c r="AT133" s="261">
        <f t="shared" si="86"/>
        <v>72463010</v>
      </c>
      <c r="AU133" s="261" t="e">
        <f t="shared" si="87"/>
        <v>#REF!</v>
      </c>
      <c r="AV133" s="261">
        <f t="shared" si="88"/>
        <v>72463010</v>
      </c>
      <c r="AW133" s="261" t="e">
        <f t="shared" si="89"/>
        <v>#REF!</v>
      </c>
      <c r="AX133" s="261" t="e">
        <f>AV133+#REF!+AH133+AA133+T133</f>
        <v>#REF!</v>
      </c>
      <c r="AY133" s="261" t="e">
        <f t="shared" si="90"/>
        <v>#REF!</v>
      </c>
      <c r="AZ133" s="261" t="e">
        <f t="shared" si="91"/>
        <v>#REF!</v>
      </c>
      <c r="BA133" s="261" t="e">
        <f t="shared" si="92"/>
        <v>#REF!</v>
      </c>
      <c r="BB133" s="261" t="e">
        <f t="shared" si="93"/>
        <v>#REF!</v>
      </c>
      <c r="BC133" s="261" t="e">
        <f t="shared" si="94"/>
        <v>#REF!</v>
      </c>
      <c r="BD133" s="261" t="e">
        <f t="shared" si="95"/>
        <v>#REF!</v>
      </c>
      <c r="BE133" s="261" t="e">
        <f>BC133+AV133+#REF!+AH133+AA133</f>
        <v>#REF!</v>
      </c>
      <c r="BF133" s="261" t="e">
        <f t="shared" si="96"/>
        <v>#REF!</v>
      </c>
      <c r="BG133" s="261" t="e">
        <f t="shared" si="97"/>
        <v>#REF!</v>
      </c>
    </row>
    <row r="134" spans="1:59" ht="15.75">
      <c r="A134" s="333">
        <v>11</v>
      </c>
      <c r="B134" s="333" t="s">
        <v>1607</v>
      </c>
      <c r="C134" s="256">
        <v>1</v>
      </c>
      <c r="D134" s="322" t="s">
        <v>16</v>
      </c>
      <c r="E134" s="256" t="s">
        <v>9</v>
      </c>
      <c r="F134" s="425">
        <f t="array" ref="F134">MAX((IF(MNU_CODIGO_ALIMENTO_ENTREGA=CONCATENATE($C134,"_","P_"),MNU_GRAMAJE_REQUERIDO_TIPOA,"")))</f>
        <v>30</v>
      </c>
      <c r="G134" s="257">
        <f t="shared" si="98"/>
        <v>94815</v>
      </c>
      <c r="H134" s="257">
        <f t="shared" si="99"/>
        <v>0</v>
      </c>
      <c r="I134" s="257">
        <f t="shared" si="100"/>
        <v>94815</v>
      </c>
      <c r="J134" s="258">
        <f t="shared" si="101"/>
        <v>76610520</v>
      </c>
      <c r="K134" s="258">
        <f t="shared" si="102"/>
        <v>0</v>
      </c>
      <c r="L134" s="258">
        <f t="shared" si="103"/>
        <v>76610520</v>
      </c>
      <c r="M134" s="426">
        <f t="array" ref="M134">MAX((IF(MNU_CODIGO_ALIMENTO_ENTREGA=CONCATENATE($C134,"_","P_"),MNU_GRAMAJE_REQUERIDO_TIPOB,"")))</f>
        <v>40</v>
      </c>
      <c r="N134" s="343">
        <f t="shared" si="104"/>
        <v>132915</v>
      </c>
      <c r="O134" s="343">
        <f t="shared" si="105"/>
        <v>0</v>
      </c>
      <c r="P134" s="343">
        <f t="shared" si="106"/>
        <v>132915</v>
      </c>
      <c r="Q134" s="344">
        <f t="shared" si="107"/>
        <v>143282370</v>
      </c>
      <c r="R134" s="344">
        <f t="shared" si="108"/>
        <v>0</v>
      </c>
      <c r="S134" s="344">
        <f t="shared" si="109"/>
        <v>143282370</v>
      </c>
      <c r="T134" s="348">
        <f t="array" ref="T134">MAX((IF(MNU_CODIGO_ALIMENTO_ENTREGA=CONCATENATE($C134,"_","P_"),MNU_GRAMAJE_REQUERIDO_TIPOC,"")))</f>
        <v>60</v>
      </c>
      <c r="U134" s="257">
        <f t="shared" si="110"/>
        <v>139605</v>
      </c>
      <c r="V134" s="257">
        <f t="shared" si="111"/>
        <v>0</v>
      </c>
      <c r="W134" s="257">
        <f t="shared" si="112"/>
        <v>139605</v>
      </c>
      <c r="X134" s="258">
        <f t="shared" si="113"/>
        <v>225601680</v>
      </c>
      <c r="Y134" s="258">
        <f t="shared" si="114"/>
        <v>0</v>
      </c>
      <c r="Z134" s="258">
        <f t="shared" si="115"/>
        <v>225601680</v>
      </c>
      <c r="AA134" s="256">
        <f t="array" ref="AA134">MAX((IF(MNU_CODIGO_ALIMENTO_ENTREGA=CONCATENATE($C134,"_","P_"),MNU_GRAMAJE_REQUERIDO_TIPOM,"")))</f>
        <v>40</v>
      </c>
      <c r="AB134" s="259">
        <f t="shared" si="116"/>
        <v>7890</v>
      </c>
      <c r="AC134" s="259">
        <v>0</v>
      </c>
      <c r="AD134" s="259">
        <f t="shared" si="117"/>
        <v>7890</v>
      </c>
      <c r="AE134" s="260">
        <f t="shared" si="118"/>
        <v>8505420</v>
      </c>
      <c r="AF134" s="260">
        <v>0</v>
      </c>
      <c r="AG134" s="260">
        <f t="shared" si="119"/>
        <v>8505420</v>
      </c>
      <c r="AH134" s="348">
        <f t="array" ref="AH134">MAX((IF(MNU_CODIGO_ALIMENTO_ENTREGA=CONCATENATE($C134,"_","P_"),MNU_GRAMAJE_REQUERIDO_TIPOH,"")))</f>
        <v>60</v>
      </c>
      <c r="AI134" s="257">
        <f t="shared" si="120"/>
        <v>8490</v>
      </c>
      <c r="AJ134" s="257">
        <v>0</v>
      </c>
      <c r="AK134" s="257">
        <f t="shared" si="121"/>
        <v>8490</v>
      </c>
      <c r="AL134" s="258">
        <f t="shared" si="122"/>
        <v>13719840</v>
      </c>
      <c r="AM134" s="258">
        <v>0</v>
      </c>
      <c r="AN134" s="258">
        <f t="shared" si="123"/>
        <v>13719840</v>
      </c>
      <c r="AO134" s="451">
        <f t="shared" si="124"/>
        <v>383715</v>
      </c>
      <c r="AP134" s="450">
        <f t="shared" si="125"/>
        <v>467719830</v>
      </c>
      <c r="AQ134" s="261" t="e">
        <f>#REF!+AH134+AA134+T134+M134</f>
        <v>#REF!</v>
      </c>
      <c r="AR134" s="261">
        <f t="shared" si="84"/>
        <v>468008730</v>
      </c>
      <c r="AS134" s="261" t="e">
        <f t="shared" si="85"/>
        <v>#REF!</v>
      </c>
      <c r="AT134" s="261">
        <f t="shared" si="86"/>
        <v>468297630</v>
      </c>
      <c r="AU134" s="261" t="e">
        <f t="shared" si="87"/>
        <v>#REF!</v>
      </c>
      <c r="AV134" s="261">
        <f t="shared" si="88"/>
        <v>468297630</v>
      </c>
      <c r="AW134" s="261" t="e">
        <f t="shared" si="89"/>
        <v>#REF!</v>
      </c>
      <c r="AX134" s="261" t="e">
        <f>AV134+#REF!+AH134+AA134+T134</f>
        <v>#REF!</v>
      </c>
      <c r="AY134" s="261" t="e">
        <f t="shared" si="90"/>
        <v>#REF!</v>
      </c>
      <c r="AZ134" s="261" t="e">
        <f t="shared" si="91"/>
        <v>#REF!</v>
      </c>
      <c r="BA134" s="261" t="e">
        <f t="shared" si="92"/>
        <v>#REF!</v>
      </c>
      <c r="BB134" s="261" t="e">
        <f t="shared" si="93"/>
        <v>#REF!</v>
      </c>
      <c r="BC134" s="261" t="e">
        <f t="shared" si="94"/>
        <v>#REF!</v>
      </c>
      <c r="BD134" s="261" t="e">
        <f t="shared" si="95"/>
        <v>#REF!</v>
      </c>
      <c r="BE134" s="261" t="e">
        <f>BC134+AV134+#REF!+AH134+AA134</f>
        <v>#REF!</v>
      </c>
      <c r="BF134" s="261" t="e">
        <f t="shared" si="96"/>
        <v>#REF!</v>
      </c>
      <c r="BG134" s="261" t="e">
        <f t="shared" si="97"/>
        <v>#REF!</v>
      </c>
    </row>
    <row r="135" spans="1:59" ht="15.75">
      <c r="A135" s="333">
        <v>11</v>
      </c>
      <c r="B135" s="333" t="s">
        <v>1607</v>
      </c>
      <c r="C135" s="256">
        <v>3</v>
      </c>
      <c r="D135" s="322" t="s">
        <v>12</v>
      </c>
      <c r="E135" s="256" t="s">
        <v>9</v>
      </c>
      <c r="F135" s="425">
        <f t="array" ref="F135">MAX((IF(MNU_CODIGO_ALIMENTO_ENTREGA=CONCATENATE($C135,"_","P_"),MNU_GRAMAJE_REQUERIDO_TIPOA,"")))</f>
        <v>50</v>
      </c>
      <c r="G135" s="257">
        <f t="shared" si="98"/>
        <v>107457</v>
      </c>
      <c r="H135" s="257">
        <f t="shared" si="99"/>
        <v>5795</v>
      </c>
      <c r="I135" s="257">
        <f t="shared" si="100"/>
        <v>113252</v>
      </c>
      <c r="J135" s="258">
        <f t="shared" si="101"/>
        <v>54265785</v>
      </c>
      <c r="K135" s="258">
        <f t="shared" si="102"/>
        <v>2926475</v>
      </c>
      <c r="L135" s="258">
        <f t="shared" si="103"/>
        <v>57192260</v>
      </c>
      <c r="M135" s="426">
        <f t="array" ref="M135">MAX((IF(MNU_CODIGO_ALIMENTO_ENTREGA=CONCATENATE($C135,"_","P_"),MNU_GRAMAJE_REQUERIDO_TIPOB,"")))</f>
        <v>50</v>
      </c>
      <c r="N135" s="343">
        <f t="shared" si="104"/>
        <v>150637</v>
      </c>
      <c r="O135" s="343">
        <f t="shared" si="105"/>
        <v>1425</v>
      </c>
      <c r="P135" s="343">
        <f t="shared" si="106"/>
        <v>152062</v>
      </c>
      <c r="Q135" s="344">
        <f t="shared" si="107"/>
        <v>76071685</v>
      </c>
      <c r="R135" s="344">
        <f t="shared" si="108"/>
        <v>719625</v>
      </c>
      <c r="S135" s="344">
        <f t="shared" si="109"/>
        <v>76791310</v>
      </c>
      <c r="T135" s="348">
        <f t="array" ref="T135">MAX((IF(MNU_CODIGO_ALIMENTO_ENTREGA=CONCATENATE($C135,"_","P_"),MNU_GRAMAJE_REQUERIDO_TIPOC,"")))</f>
        <v>80</v>
      </c>
      <c r="U135" s="257">
        <f t="shared" si="110"/>
        <v>158219</v>
      </c>
      <c r="V135" s="257">
        <f t="shared" si="111"/>
        <v>31027</v>
      </c>
      <c r="W135" s="257">
        <f t="shared" si="112"/>
        <v>189246</v>
      </c>
      <c r="X135" s="258">
        <f t="shared" si="113"/>
        <v>120721097</v>
      </c>
      <c r="Y135" s="258">
        <f t="shared" si="114"/>
        <v>23673601</v>
      </c>
      <c r="Z135" s="258">
        <f t="shared" si="115"/>
        <v>144394698</v>
      </c>
      <c r="AA135" s="256">
        <f t="array" ref="AA135">MAX((IF(MNU_CODIGO_ALIMENTO_ENTREGA=CONCATENATE($C135,"_","P_"),MNU_GRAMAJE_REQUERIDO_TIPOM,"")))</f>
        <v>50</v>
      </c>
      <c r="AB135" s="259">
        <f t="shared" si="116"/>
        <v>8942</v>
      </c>
      <c r="AC135" s="259">
        <v>0</v>
      </c>
      <c r="AD135" s="259">
        <f t="shared" si="117"/>
        <v>8942</v>
      </c>
      <c r="AE135" s="260">
        <f t="shared" si="118"/>
        <v>4515710</v>
      </c>
      <c r="AF135" s="260">
        <v>0</v>
      </c>
      <c r="AG135" s="260">
        <f t="shared" si="119"/>
        <v>4515710</v>
      </c>
      <c r="AH135" s="348">
        <f t="array" ref="AH135">MAX((IF(MNU_CODIGO_ALIMENTO_ENTREGA=CONCATENATE($C135,"_","P_"),MNU_GRAMAJE_REQUERIDO_TIPOH,"")))</f>
        <v>80</v>
      </c>
      <c r="AI135" s="257">
        <f t="shared" si="120"/>
        <v>9622</v>
      </c>
      <c r="AJ135" s="257">
        <v>0</v>
      </c>
      <c r="AK135" s="257">
        <f t="shared" si="121"/>
        <v>9622</v>
      </c>
      <c r="AL135" s="258">
        <f t="shared" si="122"/>
        <v>7341586</v>
      </c>
      <c r="AM135" s="258">
        <v>0</v>
      </c>
      <c r="AN135" s="258">
        <f t="shared" si="123"/>
        <v>7341586</v>
      </c>
      <c r="AO135" s="451">
        <f t="shared" si="124"/>
        <v>473124</v>
      </c>
      <c r="AP135" s="450">
        <f t="shared" si="125"/>
        <v>290235564</v>
      </c>
      <c r="AQ135" s="261" t="e">
        <f>#REF!+AH135+AA135+T135+M135</f>
        <v>#REF!</v>
      </c>
      <c r="AR135" s="261">
        <f t="shared" si="84"/>
        <v>290562984</v>
      </c>
      <c r="AS135" s="261" t="e">
        <f t="shared" si="85"/>
        <v>#REF!</v>
      </c>
      <c r="AT135" s="261">
        <f t="shared" si="86"/>
        <v>290922856</v>
      </c>
      <c r="AU135" s="261" t="e">
        <f t="shared" si="87"/>
        <v>#REF!</v>
      </c>
      <c r="AV135" s="261">
        <f t="shared" si="88"/>
        <v>315316082</v>
      </c>
      <c r="AW135" s="261" t="e">
        <f t="shared" si="89"/>
        <v>#REF!</v>
      </c>
      <c r="AX135" s="261" t="e">
        <f>AV135+#REF!+AH135+AA135+T135</f>
        <v>#REF!</v>
      </c>
      <c r="AY135" s="261" t="e">
        <f t="shared" si="90"/>
        <v>#REF!</v>
      </c>
      <c r="AZ135" s="261" t="e">
        <f t="shared" si="91"/>
        <v>#REF!</v>
      </c>
      <c r="BA135" s="261" t="e">
        <f t="shared" si="92"/>
        <v>#REF!</v>
      </c>
      <c r="BB135" s="261" t="e">
        <f t="shared" si="93"/>
        <v>#REF!</v>
      </c>
      <c r="BC135" s="261" t="e">
        <f t="shared" si="94"/>
        <v>#REF!</v>
      </c>
      <c r="BD135" s="261" t="e">
        <f t="shared" si="95"/>
        <v>#REF!</v>
      </c>
      <c r="BE135" s="261" t="e">
        <f>BC135+AV135+#REF!+AH135+AA135</f>
        <v>#REF!</v>
      </c>
      <c r="BF135" s="261" t="e">
        <f t="shared" si="96"/>
        <v>#REF!</v>
      </c>
      <c r="BG135" s="261" t="e">
        <f t="shared" si="97"/>
        <v>#REF!</v>
      </c>
    </row>
    <row r="136" spans="1:59" ht="15.75">
      <c r="A136" s="333">
        <v>11</v>
      </c>
      <c r="B136" s="333" t="s">
        <v>1607</v>
      </c>
      <c r="C136" s="256">
        <v>15</v>
      </c>
      <c r="D136" s="322" t="s">
        <v>66</v>
      </c>
      <c r="E136" s="256" t="s">
        <v>9</v>
      </c>
      <c r="F136" s="425">
        <f t="array" ref="F136">MAX((IF(MNU_CODIGO_ALIMENTO_ENTREGA=CONCATENATE($C136,"_","P_"),MNU_GRAMAJE_REQUERIDO_TIPOA,"")))</f>
        <v>50</v>
      </c>
      <c r="G136" s="257">
        <f t="shared" si="98"/>
        <v>107457</v>
      </c>
      <c r="H136" s="257">
        <f t="shared" si="99"/>
        <v>3355</v>
      </c>
      <c r="I136" s="257">
        <f t="shared" si="100"/>
        <v>110812</v>
      </c>
      <c r="J136" s="258">
        <f t="shared" si="101"/>
        <v>72318561</v>
      </c>
      <c r="K136" s="258">
        <f t="shared" si="102"/>
        <v>2257915</v>
      </c>
      <c r="L136" s="258">
        <f t="shared" si="103"/>
        <v>74576476</v>
      </c>
      <c r="M136" s="426">
        <f t="array" ref="M136">MAX((IF(MNU_CODIGO_ALIMENTO_ENTREGA=CONCATENATE($C136,"_","P_"),MNU_GRAMAJE_REQUERIDO_TIPOB,"")))</f>
        <v>50</v>
      </c>
      <c r="N136" s="343">
        <f t="shared" si="104"/>
        <v>150637</v>
      </c>
      <c r="O136" s="343">
        <f t="shared" si="105"/>
        <v>825</v>
      </c>
      <c r="P136" s="343">
        <f t="shared" si="106"/>
        <v>151462</v>
      </c>
      <c r="Q136" s="344">
        <f t="shared" si="107"/>
        <v>101378701</v>
      </c>
      <c r="R136" s="344">
        <f t="shared" si="108"/>
        <v>555225</v>
      </c>
      <c r="S136" s="344">
        <f t="shared" si="109"/>
        <v>101933926</v>
      </c>
      <c r="T136" s="348">
        <f t="array" ref="T136">MAX((IF(MNU_CODIGO_ALIMENTO_ENTREGA=CONCATENATE($C136,"_","P_"),MNU_GRAMAJE_REQUERIDO_TIPOC,"")))</f>
        <v>80</v>
      </c>
      <c r="U136" s="257">
        <f t="shared" si="110"/>
        <v>158219</v>
      </c>
      <c r="V136" s="257">
        <f t="shared" si="111"/>
        <v>17963</v>
      </c>
      <c r="W136" s="257">
        <f t="shared" si="112"/>
        <v>176182</v>
      </c>
      <c r="X136" s="258">
        <f t="shared" si="113"/>
        <v>170243644</v>
      </c>
      <c r="Y136" s="258">
        <f t="shared" si="114"/>
        <v>19328188</v>
      </c>
      <c r="Z136" s="258">
        <f t="shared" si="115"/>
        <v>189571832</v>
      </c>
      <c r="AA136" s="256">
        <f t="array" ref="AA136">MAX((IF(MNU_CODIGO_ALIMENTO_ENTREGA=CONCATENATE($C136,"_","P_"),MNU_GRAMAJE_REQUERIDO_TIPOM,"")))</f>
        <v>50</v>
      </c>
      <c r="AB136" s="259">
        <f t="shared" si="116"/>
        <v>8942</v>
      </c>
      <c r="AC136" s="259">
        <v>0</v>
      </c>
      <c r="AD136" s="259">
        <f t="shared" si="117"/>
        <v>8942</v>
      </c>
      <c r="AE136" s="260">
        <f t="shared" si="118"/>
        <v>6017966</v>
      </c>
      <c r="AF136" s="260">
        <v>0</v>
      </c>
      <c r="AG136" s="260">
        <f t="shared" si="119"/>
        <v>6017966</v>
      </c>
      <c r="AH136" s="348">
        <f t="array" ref="AH136">MAX((IF(MNU_CODIGO_ALIMENTO_ENTREGA=CONCATENATE($C136,"_","P_"),MNU_GRAMAJE_REQUERIDO_TIPOH,"")))</f>
        <v>80</v>
      </c>
      <c r="AI136" s="257">
        <f t="shared" si="120"/>
        <v>9622</v>
      </c>
      <c r="AJ136" s="257">
        <v>0</v>
      </c>
      <c r="AK136" s="257">
        <f t="shared" si="121"/>
        <v>9622</v>
      </c>
      <c r="AL136" s="258">
        <f t="shared" si="122"/>
        <v>10353272</v>
      </c>
      <c r="AM136" s="258">
        <v>0</v>
      </c>
      <c r="AN136" s="258">
        <f t="shared" si="123"/>
        <v>10353272</v>
      </c>
      <c r="AO136" s="451">
        <f t="shared" si="124"/>
        <v>457020</v>
      </c>
      <c r="AP136" s="450">
        <f t="shared" si="125"/>
        <v>382453472</v>
      </c>
      <c r="AQ136" s="261" t="e">
        <f>#REF!+AH136+AA136+T136+M136</f>
        <v>#REF!</v>
      </c>
      <c r="AR136" s="261">
        <f t="shared" si="84"/>
        <v>382780892</v>
      </c>
      <c r="AS136" s="261" t="e">
        <f t="shared" si="85"/>
        <v>#REF!</v>
      </c>
      <c r="AT136" s="261">
        <f t="shared" si="86"/>
        <v>383127100</v>
      </c>
      <c r="AU136" s="261" t="e">
        <f t="shared" si="87"/>
        <v>#REF!</v>
      </c>
      <c r="AV136" s="261">
        <f t="shared" si="88"/>
        <v>403010513</v>
      </c>
      <c r="AW136" s="261" t="e">
        <f t="shared" si="89"/>
        <v>#REF!</v>
      </c>
      <c r="AX136" s="261" t="e">
        <f>AV136+#REF!+AH136+AA136+T136</f>
        <v>#REF!</v>
      </c>
      <c r="AY136" s="261" t="e">
        <f t="shared" si="90"/>
        <v>#REF!</v>
      </c>
      <c r="AZ136" s="261" t="e">
        <f t="shared" si="91"/>
        <v>#REF!</v>
      </c>
      <c r="BA136" s="261" t="e">
        <f t="shared" si="92"/>
        <v>#REF!</v>
      </c>
      <c r="BB136" s="261" t="e">
        <f t="shared" si="93"/>
        <v>#REF!</v>
      </c>
      <c r="BC136" s="261" t="e">
        <f t="shared" si="94"/>
        <v>#REF!</v>
      </c>
      <c r="BD136" s="261" t="e">
        <f t="shared" si="95"/>
        <v>#REF!</v>
      </c>
      <c r="BE136" s="261" t="e">
        <f>BC136+AV136+#REF!+AH136+AA136</f>
        <v>#REF!</v>
      </c>
      <c r="BF136" s="261" t="e">
        <f t="shared" si="96"/>
        <v>#REF!</v>
      </c>
      <c r="BG136" s="261" t="e">
        <f t="shared" si="97"/>
        <v>#REF!</v>
      </c>
    </row>
    <row r="137" spans="1:59" ht="15.75">
      <c r="A137" s="333">
        <v>11</v>
      </c>
      <c r="B137" s="333" t="s">
        <v>1607</v>
      </c>
      <c r="C137" s="256">
        <v>24</v>
      </c>
      <c r="D137" s="322" t="s">
        <v>61</v>
      </c>
      <c r="E137" s="256" t="s">
        <v>9</v>
      </c>
      <c r="F137" s="425">
        <f t="array" ref="F137">MAX((IF(MNU_CODIGO_ALIMENTO_ENTREGA=CONCATENATE($C137,"_","P_"),MNU_GRAMAJE_REQUERIDO_TIPOA,"")))</f>
        <v>20</v>
      </c>
      <c r="G137" s="257">
        <f t="shared" si="98"/>
        <v>107457</v>
      </c>
      <c r="H137" s="257">
        <f t="shared" si="99"/>
        <v>3355</v>
      </c>
      <c r="I137" s="257">
        <f t="shared" si="100"/>
        <v>110812</v>
      </c>
      <c r="J137" s="258">
        <f t="shared" si="101"/>
        <v>13754496</v>
      </c>
      <c r="K137" s="258">
        <f t="shared" si="102"/>
        <v>429440</v>
      </c>
      <c r="L137" s="258">
        <f t="shared" si="103"/>
        <v>14183936</v>
      </c>
      <c r="M137" s="426">
        <f t="array" ref="M137">MAX((IF(MNU_CODIGO_ALIMENTO_ENTREGA=CONCATENATE($C137,"_","P_"),MNU_GRAMAJE_REQUERIDO_TIPOB,"")))</f>
        <v>30</v>
      </c>
      <c r="N137" s="343">
        <f t="shared" si="104"/>
        <v>150637</v>
      </c>
      <c r="O137" s="343">
        <f t="shared" si="105"/>
        <v>825</v>
      </c>
      <c r="P137" s="343">
        <f t="shared" si="106"/>
        <v>151462</v>
      </c>
      <c r="Q137" s="344">
        <f t="shared" si="107"/>
        <v>30127400</v>
      </c>
      <c r="R137" s="344">
        <f t="shared" si="108"/>
        <v>165000</v>
      </c>
      <c r="S137" s="344">
        <f t="shared" si="109"/>
        <v>30292400</v>
      </c>
      <c r="T137" s="348">
        <f t="array" ref="T137">MAX((IF(MNU_CODIGO_ALIMENTO_ENTREGA=CONCATENATE($C137,"_","P_"),MNU_GRAMAJE_REQUERIDO_TIPOC,"")))</f>
        <v>60</v>
      </c>
      <c r="U137" s="257">
        <f t="shared" si="110"/>
        <v>158219</v>
      </c>
      <c r="V137" s="257">
        <f t="shared" si="111"/>
        <v>17963</v>
      </c>
      <c r="W137" s="257">
        <f t="shared" si="112"/>
        <v>176182</v>
      </c>
      <c r="X137" s="258">
        <f t="shared" si="113"/>
        <v>60914315</v>
      </c>
      <c r="Y137" s="258">
        <f t="shared" si="114"/>
        <v>6915755</v>
      </c>
      <c r="Z137" s="258">
        <f t="shared" si="115"/>
        <v>67830070</v>
      </c>
      <c r="AA137" s="256">
        <f t="array" ref="AA137">MAX((IF(MNU_CODIGO_ALIMENTO_ENTREGA=CONCATENATE($C137,"_","P_"),MNU_GRAMAJE_REQUERIDO_TIPOM,"")))</f>
        <v>30</v>
      </c>
      <c r="AB137" s="259">
        <f t="shared" si="116"/>
        <v>8942</v>
      </c>
      <c r="AC137" s="259">
        <v>0</v>
      </c>
      <c r="AD137" s="259">
        <f t="shared" si="117"/>
        <v>8942</v>
      </c>
      <c r="AE137" s="260">
        <f t="shared" si="118"/>
        <v>1788400</v>
      </c>
      <c r="AF137" s="260">
        <v>0</v>
      </c>
      <c r="AG137" s="260">
        <f t="shared" si="119"/>
        <v>1788400</v>
      </c>
      <c r="AH137" s="348">
        <f t="array" ref="AH137">MAX((IF(MNU_CODIGO_ALIMENTO_ENTREGA=CONCATENATE($C137,"_","P_"),MNU_GRAMAJE_REQUERIDO_TIPOH,"")))</f>
        <v>60</v>
      </c>
      <c r="AI137" s="257">
        <f t="shared" si="120"/>
        <v>9622</v>
      </c>
      <c r="AJ137" s="257">
        <v>0</v>
      </c>
      <c r="AK137" s="257">
        <f t="shared" si="121"/>
        <v>9622</v>
      </c>
      <c r="AL137" s="258">
        <f t="shared" si="122"/>
        <v>3704470</v>
      </c>
      <c r="AM137" s="258">
        <v>0</v>
      </c>
      <c r="AN137" s="258">
        <f t="shared" si="123"/>
        <v>3704470</v>
      </c>
      <c r="AO137" s="451">
        <f t="shared" si="124"/>
        <v>457020</v>
      </c>
      <c r="AP137" s="450">
        <f t="shared" si="125"/>
        <v>117799276</v>
      </c>
      <c r="AQ137" s="261" t="e">
        <f>#REF!+AH137+AA137+T137+M137</f>
        <v>#REF!</v>
      </c>
      <c r="AR137" s="261">
        <f t="shared" si="84"/>
        <v>118126696</v>
      </c>
      <c r="AS137" s="261" t="e">
        <f t="shared" si="85"/>
        <v>#REF!</v>
      </c>
      <c r="AT137" s="261">
        <f t="shared" si="86"/>
        <v>118472904</v>
      </c>
      <c r="AU137" s="261" t="e">
        <f t="shared" si="87"/>
        <v>#REF!</v>
      </c>
      <c r="AV137" s="261">
        <f t="shared" si="88"/>
        <v>125553659</v>
      </c>
      <c r="AW137" s="261" t="e">
        <f t="shared" si="89"/>
        <v>#REF!</v>
      </c>
      <c r="AX137" s="261" t="e">
        <f>AV137+#REF!+AH137+AA137+T137</f>
        <v>#REF!</v>
      </c>
      <c r="AY137" s="261" t="e">
        <f t="shared" si="90"/>
        <v>#REF!</v>
      </c>
      <c r="AZ137" s="261" t="e">
        <f t="shared" si="91"/>
        <v>#REF!</v>
      </c>
      <c r="BA137" s="261" t="e">
        <f t="shared" si="92"/>
        <v>#REF!</v>
      </c>
      <c r="BB137" s="261" t="e">
        <f t="shared" si="93"/>
        <v>#REF!</v>
      </c>
      <c r="BC137" s="261" t="e">
        <f t="shared" si="94"/>
        <v>#REF!</v>
      </c>
      <c r="BD137" s="261" t="e">
        <f t="shared" si="95"/>
        <v>#REF!</v>
      </c>
      <c r="BE137" s="261" t="e">
        <f>BC137+AV137+#REF!+AH137+AA137</f>
        <v>#REF!</v>
      </c>
      <c r="BF137" s="261" t="e">
        <f t="shared" si="96"/>
        <v>#REF!</v>
      </c>
      <c r="BG137" s="261" t="e">
        <f t="shared" si="97"/>
        <v>#REF!</v>
      </c>
    </row>
    <row r="138" spans="1:59" ht="15.75">
      <c r="A138" s="333">
        <v>11</v>
      </c>
      <c r="B138" s="333" t="s">
        <v>1607</v>
      </c>
      <c r="C138" s="256">
        <v>25</v>
      </c>
      <c r="D138" s="322" t="s">
        <v>64</v>
      </c>
      <c r="E138" s="256" t="s">
        <v>9</v>
      </c>
      <c r="F138" s="425">
        <f t="array" ref="F138">MAX((IF(MNU_CODIGO_ALIMENTO_ENTREGA=CONCATENATE($C138,"_","P_"),MNU_GRAMAJE_REQUERIDO_TIPOA,"")))</f>
        <v>40</v>
      </c>
      <c r="G138" s="257">
        <f t="shared" si="98"/>
        <v>107457</v>
      </c>
      <c r="H138" s="257">
        <f t="shared" si="99"/>
        <v>6710</v>
      </c>
      <c r="I138" s="257">
        <f t="shared" si="100"/>
        <v>114167</v>
      </c>
      <c r="J138" s="258">
        <f t="shared" si="101"/>
        <v>27508992</v>
      </c>
      <c r="K138" s="258">
        <f t="shared" si="102"/>
        <v>1717760</v>
      </c>
      <c r="L138" s="258">
        <f t="shared" si="103"/>
        <v>29226752</v>
      </c>
      <c r="M138" s="426">
        <f t="array" ref="M138">MAX((IF(MNU_CODIGO_ALIMENTO_ENTREGA=CONCATENATE($C138,"_","P_"),MNU_GRAMAJE_REQUERIDO_TIPOB,"")))</f>
        <v>40</v>
      </c>
      <c r="N138" s="343">
        <f t="shared" si="104"/>
        <v>150637</v>
      </c>
      <c r="O138" s="343">
        <f t="shared" si="105"/>
        <v>1650</v>
      </c>
      <c r="P138" s="343">
        <f t="shared" si="106"/>
        <v>152287</v>
      </c>
      <c r="Q138" s="344">
        <f t="shared" si="107"/>
        <v>38563072</v>
      </c>
      <c r="R138" s="344">
        <f t="shared" si="108"/>
        <v>422400</v>
      </c>
      <c r="S138" s="344">
        <f t="shared" si="109"/>
        <v>38985472</v>
      </c>
      <c r="T138" s="348">
        <f t="array" ref="T138">MAX((IF(MNU_CODIGO_ALIMENTO_ENTREGA=CONCATENATE($C138,"_","P_"),MNU_GRAMAJE_REQUERIDO_TIPOC,"")))</f>
        <v>60</v>
      </c>
      <c r="U138" s="257">
        <f t="shared" si="110"/>
        <v>158219</v>
      </c>
      <c r="V138" s="257">
        <f t="shared" si="111"/>
        <v>35926</v>
      </c>
      <c r="W138" s="257">
        <f t="shared" si="112"/>
        <v>194145</v>
      </c>
      <c r="X138" s="258">
        <f t="shared" si="113"/>
        <v>60756096</v>
      </c>
      <c r="Y138" s="258">
        <f t="shared" si="114"/>
        <v>13795584</v>
      </c>
      <c r="Z138" s="258">
        <f t="shared" si="115"/>
        <v>74551680</v>
      </c>
      <c r="AA138" s="256">
        <f t="array" ref="AA138">MAX((IF(MNU_CODIGO_ALIMENTO_ENTREGA=CONCATENATE($C138,"_","P_"),MNU_GRAMAJE_REQUERIDO_TIPOM,"")))</f>
        <v>40</v>
      </c>
      <c r="AB138" s="259">
        <f t="shared" si="116"/>
        <v>8942</v>
      </c>
      <c r="AC138" s="259">
        <v>0</v>
      </c>
      <c r="AD138" s="259">
        <f t="shared" si="117"/>
        <v>8942</v>
      </c>
      <c r="AE138" s="260">
        <f t="shared" si="118"/>
        <v>2289152</v>
      </c>
      <c r="AF138" s="260">
        <v>0</v>
      </c>
      <c r="AG138" s="260">
        <f t="shared" si="119"/>
        <v>2289152</v>
      </c>
      <c r="AH138" s="348">
        <f t="array" ref="AH138">MAX((IF(MNU_CODIGO_ALIMENTO_ENTREGA=CONCATENATE($C138,"_","P_"),MNU_GRAMAJE_REQUERIDO_TIPOH,"")))</f>
        <v>60</v>
      </c>
      <c r="AI138" s="257">
        <f t="shared" si="120"/>
        <v>9622</v>
      </c>
      <c r="AJ138" s="257">
        <v>0</v>
      </c>
      <c r="AK138" s="257">
        <f t="shared" si="121"/>
        <v>9622</v>
      </c>
      <c r="AL138" s="258">
        <f t="shared" si="122"/>
        <v>3694848</v>
      </c>
      <c r="AM138" s="258">
        <v>0</v>
      </c>
      <c r="AN138" s="258">
        <f t="shared" si="123"/>
        <v>3694848</v>
      </c>
      <c r="AO138" s="451">
        <f t="shared" si="124"/>
        <v>479163</v>
      </c>
      <c r="AP138" s="450">
        <f t="shared" si="125"/>
        <v>148747904</v>
      </c>
      <c r="AQ138" s="261" t="e">
        <f>#REF!+AH138+AA138+T138+M138</f>
        <v>#REF!</v>
      </c>
      <c r="AR138" s="261">
        <f t="shared" si="84"/>
        <v>149075324</v>
      </c>
      <c r="AS138" s="261" t="e">
        <f t="shared" si="85"/>
        <v>#REF!</v>
      </c>
      <c r="AT138" s="261">
        <f t="shared" si="86"/>
        <v>149440320</v>
      </c>
      <c r="AU138" s="261" t="e">
        <f t="shared" si="87"/>
        <v>#REF!</v>
      </c>
      <c r="AV138" s="261">
        <f t="shared" si="88"/>
        <v>163658304</v>
      </c>
      <c r="AW138" s="261" t="e">
        <f t="shared" si="89"/>
        <v>#REF!</v>
      </c>
      <c r="AX138" s="261" t="e">
        <f>AV138+#REF!+AH138+AA138+T138</f>
        <v>#REF!</v>
      </c>
      <c r="AY138" s="261" t="e">
        <f t="shared" si="90"/>
        <v>#REF!</v>
      </c>
      <c r="AZ138" s="261" t="e">
        <f t="shared" si="91"/>
        <v>#REF!</v>
      </c>
      <c r="BA138" s="261" t="e">
        <f t="shared" si="92"/>
        <v>#REF!</v>
      </c>
      <c r="BB138" s="261" t="e">
        <f t="shared" si="93"/>
        <v>#REF!</v>
      </c>
      <c r="BC138" s="261" t="e">
        <f t="shared" si="94"/>
        <v>#REF!</v>
      </c>
      <c r="BD138" s="261" t="e">
        <f t="shared" si="95"/>
        <v>#REF!</v>
      </c>
      <c r="BE138" s="261" t="e">
        <f>BC138+AV138+#REF!+AH138+AA138</f>
        <v>#REF!</v>
      </c>
      <c r="BF138" s="261" t="e">
        <f t="shared" si="96"/>
        <v>#REF!</v>
      </c>
      <c r="BG138" s="261" t="e">
        <f t="shared" si="97"/>
        <v>#REF!</v>
      </c>
    </row>
    <row r="139" spans="1:59" ht="15.75">
      <c r="A139" s="333">
        <v>11</v>
      </c>
      <c r="B139" s="333" t="s">
        <v>1607</v>
      </c>
      <c r="C139" s="256">
        <v>26</v>
      </c>
      <c r="D139" s="322" t="s">
        <v>69</v>
      </c>
      <c r="E139" s="256" t="s">
        <v>9</v>
      </c>
      <c r="F139" s="425">
        <f t="array" ref="F139">MAX((IF(MNU_CODIGO_ALIMENTO_ENTREGA=CONCATENATE($C139,"_","P_"),MNU_GRAMAJE_REQUERIDO_TIPOA,"")))</f>
        <v>30</v>
      </c>
      <c r="G139" s="257">
        <f t="shared" si="98"/>
        <v>37926</v>
      </c>
      <c r="H139" s="257">
        <f t="shared" si="99"/>
        <v>0</v>
      </c>
      <c r="I139" s="257">
        <f t="shared" si="100"/>
        <v>37926</v>
      </c>
      <c r="J139" s="258">
        <f t="shared" si="101"/>
        <v>6485346</v>
      </c>
      <c r="K139" s="258">
        <f t="shared" si="102"/>
        <v>0</v>
      </c>
      <c r="L139" s="258">
        <f t="shared" si="103"/>
        <v>6485346</v>
      </c>
      <c r="M139" s="426">
        <f t="array" ref="M139">MAX((IF(MNU_CODIGO_ALIMENTO_ENTREGA=CONCATENATE($C139,"_","P_"),MNU_GRAMAJE_REQUERIDO_TIPOB,"")))</f>
        <v>30</v>
      </c>
      <c r="N139" s="343">
        <f t="shared" si="104"/>
        <v>53166</v>
      </c>
      <c r="O139" s="343">
        <f t="shared" si="105"/>
        <v>0</v>
      </c>
      <c r="P139" s="343">
        <f t="shared" si="106"/>
        <v>53166</v>
      </c>
      <c r="Q139" s="344">
        <f t="shared" si="107"/>
        <v>9091386</v>
      </c>
      <c r="R139" s="344">
        <f t="shared" si="108"/>
        <v>0</v>
      </c>
      <c r="S139" s="344">
        <f t="shared" si="109"/>
        <v>9091386</v>
      </c>
      <c r="T139" s="348">
        <f t="array" ref="T139">MAX((IF(MNU_CODIGO_ALIMENTO_ENTREGA=CONCATENATE($C139,"_","P_"),MNU_GRAMAJE_REQUERIDO_TIPOC,"")))</f>
        <v>30</v>
      </c>
      <c r="U139" s="257">
        <f t="shared" si="110"/>
        <v>55842</v>
      </c>
      <c r="V139" s="257">
        <f t="shared" si="111"/>
        <v>0</v>
      </c>
      <c r="W139" s="257">
        <f t="shared" si="112"/>
        <v>55842</v>
      </c>
      <c r="X139" s="258">
        <f t="shared" si="113"/>
        <v>9548982</v>
      </c>
      <c r="Y139" s="258">
        <f t="shared" si="114"/>
        <v>0</v>
      </c>
      <c r="Z139" s="258">
        <f t="shared" si="115"/>
        <v>9548982</v>
      </c>
      <c r="AA139" s="256">
        <f t="array" ref="AA139">MAX((IF(MNU_CODIGO_ALIMENTO_ENTREGA=CONCATENATE($C139,"_","P_"),MNU_GRAMAJE_REQUERIDO_TIPOM,"")))</f>
        <v>30</v>
      </c>
      <c r="AB139" s="259">
        <f t="shared" si="116"/>
        <v>3156</v>
      </c>
      <c r="AC139" s="259">
        <v>0</v>
      </c>
      <c r="AD139" s="259">
        <f t="shared" si="117"/>
        <v>3156</v>
      </c>
      <c r="AE139" s="260">
        <f t="shared" si="118"/>
        <v>539676</v>
      </c>
      <c r="AF139" s="260">
        <v>0</v>
      </c>
      <c r="AG139" s="260">
        <f t="shared" si="119"/>
        <v>539676</v>
      </c>
      <c r="AH139" s="348">
        <f t="array" ref="AH139">MAX((IF(MNU_CODIGO_ALIMENTO_ENTREGA=CONCATENATE($C139,"_","P_"),MNU_GRAMAJE_REQUERIDO_TIPOH,"")))</f>
        <v>30</v>
      </c>
      <c r="AI139" s="257">
        <f t="shared" si="120"/>
        <v>3396</v>
      </c>
      <c r="AJ139" s="257">
        <v>0</v>
      </c>
      <c r="AK139" s="257">
        <f t="shared" si="121"/>
        <v>3396</v>
      </c>
      <c r="AL139" s="258">
        <f t="shared" si="122"/>
        <v>580716</v>
      </c>
      <c r="AM139" s="258">
        <v>0</v>
      </c>
      <c r="AN139" s="258">
        <f t="shared" si="123"/>
        <v>580716</v>
      </c>
      <c r="AO139" s="451">
        <f t="shared" si="124"/>
        <v>153486</v>
      </c>
      <c r="AP139" s="450">
        <f t="shared" si="125"/>
        <v>26246106</v>
      </c>
      <c r="AQ139" s="261" t="e">
        <f>#REF!+AH139+AA139+T139+M139</f>
        <v>#REF!</v>
      </c>
      <c r="AR139" s="261">
        <f t="shared" si="84"/>
        <v>26361666</v>
      </c>
      <c r="AS139" s="261" t="e">
        <f t="shared" si="85"/>
        <v>#REF!</v>
      </c>
      <c r="AT139" s="261">
        <f t="shared" si="86"/>
        <v>26477226</v>
      </c>
      <c r="AU139" s="261" t="e">
        <f t="shared" si="87"/>
        <v>#REF!</v>
      </c>
      <c r="AV139" s="261">
        <f t="shared" si="88"/>
        <v>26477226</v>
      </c>
      <c r="AW139" s="261" t="e">
        <f t="shared" si="89"/>
        <v>#REF!</v>
      </c>
      <c r="AX139" s="261" t="e">
        <f>AV139+#REF!+AH139+AA139+T139</f>
        <v>#REF!</v>
      </c>
      <c r="AY139" s="261" t="e">
        <f t="shared" si="90"/>
        <v>#REF!</v>
      </c>
      <c r="AZ139" s="261" t="e">
        <f t="shared" si="91"/>
        <v>#REF!</v>
      </c>
      <c r="BA139" s="261" t="e">
        <f t="shared" si="92"/>
        <v>#REF!</v>
      </c>
      <c r="BB139" s="261" t="e">
        <f t="shared" si="93"/>
        <v>#REF!</v>
      </c>
      <c r="BC139" s="261" t="e">
        <f t="shared" si="94"/>
        <v>#REF!</v>
      </c>
      <c r="BD139" s="261" t="e">
        <f t="shared" si="95"/>
        <v>#REF!</v>
      </c>
      <c r="BE139" s="261" t="e">
        <f>BC139+AV139+#REF!+AH139+AA139</f>
        <v>#REF!</v>
      </c>
      <c r="BF139" s="261" t="e">
        <f t="shared" si="96"/>
        <v>#REF!</v>
      </c>
      <c r="BG139" s="261" t="e">
        <f t="shared" si="97"/>
        <v>#REF!</v>
      </c>
    </row>
    <row r="140" spans="1:59" ht="27">
      <c r="A140" s="333">
        <v>11</v>
      </c>
      <c r="B140" s="333" t="s">
        <v>1607</v>
      </c>
      <c r="C140" s="256">
        <v>28</v>
      </c>
      <c r="D140" s="322" t="s">
        <v>67</v>
      </c>
      <c r="E140" s="256" t="s">
        <v>9</v>
      </c>
      <c r="F140" s="425">
        <f t="array" ref="F140">MAX((IF(MNU_CODIGO_ALIMENTO_ENTREGA=CONCATENATE($C140,"_","P_"),MNU_GRAMAJE_REQUERIDO_TIPOA,"")))</f>
        <v>30</v>
      </c>
      <c r="G140" s="257">
        <f t="shared" si="98"/>
        <v>37926</v>
      </c>
      <c r="H140" s="257">
        <f t="shared" si="99"/>
        <v>5795</v>
      </c>
      <c r="I140" s="257">
        <f t="shared" si="100"/>
        <v>43721</v>
      </c>
      <c r="J140" s="258">
        <f t="shared" si="101"/>
        <v>8571276</v>
      </c>
      <c r="K140" s="258">
        <f t="shared" si="102"/>
        <v>1309670</v>
      </c>
      <c r="L140" s="258">
        <f t="shared" si="103"/>
        <v>9880946</v>
      </c>
      <c r="M140" s="426">
        <f t="array" ref="M140">MAX((IF(MNU_CODIGO_ALIMENTO_ENTREGA=CONCATENATE($C140,"_","P_"),MNU_GRAMAJE_REQUERIDO_TIPOB,"")))</f>
        <v>40</v>
      </c>
      <c r="N140" s="343">
        <f t="shared" si="104"/>
        <v>53166</v>
      </c>
      <c r="O140" s="343">
        <f t="shared" si="105"/>
        <v>1425</v>
      </c>
      <c r="P140" s="343">
        <f t="shared" si="106"/>
        <v>54591</v>
      </c>
      <c r="Q140" s="344">
        <f t="shared" si="107"/>
        <v>16002966</v>
      </c>
      <c r="R140" s="344">
        <f t="shared" si="108"/>
        <v>428925</v>
      </c>
      <c r="S140" s="344">
        <f t="shared" si="109"/>
        <v>16431891</v>
      </c>
      <c r="T140" s="348">
        <f t="array" ref="T140">MAX((IF(MNU_CODIGO_ALIMENTO_ENTREGA=CONCATENATE($C140,"_","P_"),MNU_GRAMAJE_REQUERIDO_TIPOC,"")))</f>
        <v>60</v>
      </c>
      <c r="U140" s="257">
        <f t="shared" si="110"/>
        <v>55842</v>
      </c>
      <c r="V140" s="257">
        <f t="shared" si="111"/>
        <v>31027</v>
      </c>
      <c r="W140" s="257">
        <f t="shared" si="112"/>
        <v>86869</v>
      </c>
      <c r="X140" s="258">
        <f t="shared" si="113"/>
        <v>25184742</v>
      </c>
      <c r="Y140" s="258">
        <f t="shared" si="114"/>
        <v>13993177</v>
      </c>
      <c r="Z140" s="258">
        <f t="shared" si="115"/>
        <v>39177919</v>
      </c>
      <c r="AA140" s="256">
        <f t="array" ref="AA140">MAX((IF(MNU_CODIGO_ALIMENTO_ENTREGA=CONCATENATE($C140,"_","P_"),MNU_GRAMAJE_REQUERIDO_TIPOM,"")))</f>
        <v>40</v>
      </c>
      <c r="AB140" s="259">
        <f t="shared" si="116"/>
        <v>3156</v>
      </c>
      <c r="AC140" s="259">
        <v>0</v>
      </c>
      <c r="AD140" s="259">
        <f t="shared" si="117"/>
        <v>3156</v>
      </c>
      <c r="AE140" s="260">
        <f t="shared" si="118"/>
        <v>949956</v>
      </c>
      <c r="AF140" s="260">
        <v>0</v>
      </c>
      <c r="AG140" s="260">
        <f t="shared" si="119"/>
        <v>949956</v>
      </c>
      <c r="AH140" s="348">
        <f t="array" ref="AH140">MAX((IF(MNU_CODIGO_ALIMENTO_ENTREGA=CONCATENATE($C140,"_","P_"),MNU_GRAMAJE_REQUERIDO_TIPOH,"")))</f>
        <v>60</v>
      </c>
      <c r="AI140" s="257">
        <f t="shared" si="120"/>
        <v>3396</v>
      </c>
      <c r="AJ140" s="257">
        <v>0</v>
      </c>
      <c r="AK140" s="257">
        <f t="shared" si="121"/>
        <v>3396</v>
      </c>
      <c r="AL140" s="258">
        <f t="shared" si="122"/>
        <v>1531596</v>
      </c>
      <c r="AM140" s="258">
        <v>0</v>
      </c>
      <c r="AN140" s="258">
        <f t="shared" si="123"/>
        <v>1531596</v>
      </c>
      <c r="AO140" s="451">
        <f t="shared" si="124"/>
        <v>191733</v>
      </c>
      <c r="AP140" s="450">
        <f t="shared" si="125"/>
        <v>67972308</v>
      </c>
      <c r="AQ140" s="261" t="e">
        <f>#REF!+AH140+AA140+T140+M140</f>
        <v>#REF!</v>
      </c>
      <c r="AR140" s="261">
        <f t="shared" si="84"/>
        <v>68087868</v>
      </c>
      <c r="AS140" s="261" t="e">
        <f t="shared" si="85"/>
        <v>#REF!</v>
      </c>
      <c r="AT140" s="261">
        <f t="shared" si="86"/>
        <v>68235880</v>
      </c>
      <c r="AU140" s="261" t="e">
        <f t="shared" si="87"/>
        <v>#REF!</v>
      </c>
      <c r="AV140" s="261">
        <f t="shared" si="88"/>
        <v>82657982</v>
      </c>
      <c r="AW140" s="261" t="e">
        <f t="shared" si="89"/>
        <v>#REF!</v>
      </c>
      <c r="AX140" s="261" t="e">
        <f>AV140+#REF!+AH140+AA140+T140</f>
        <v>#REF!</v>
      </c>
      <c r="AY140" s="261" t="e">
        <f t="shared" si="90"/>
        <v>#REF!</v>
      </c>
      <c r="AZ140" s="261" t="e">
        <f t="shared" si="91"/>
        <v>#REF!</v>
      </c>
      <c r="BA140" s="261" t="e">
        <f t="shared" si="92"/>
        <v>#REF!</v>
      </c>
      <c r="BB140" s="261" t="e">
        <f t="shared" si="93"/>
        <v>#REF!</v>
      </c>
      <c r="BC140" s="261" t="e">
        <f t="shared" si="94"/>
        <v>#REF!</v>
      </c>
      <c r="BD140" s="261" t="e">
        <f t="shared" si="95"/>
        <v>#REF!</v>
      </c>
      <c r="BE140" s="261" t="e">
        <f>BC140+AV140+#REF!+AH140+AA140</f>
        <v>#REF!</v>
      </c>
      <c r="BF140" s="261" t="e">
        <f t="shared" si="96"/>
        <v>#REF!</v>
      </c>
      <c r="BG140" s="261" t="e">
        <f t="shared" si="97"/>
        <v>#REF!</v>
      </c>
    </row>
    <row r="141" spans="1:59" ht="15.75">
      <c r="A141" s="333">
        <v>11</v>
      </c>
      <c r="B141" s="333" t="s">
        <v>1607</v>
      </c>
      <c r="C141" s="256">
        <v>30</v>
      </c>
      <c r="D141" s="322" t="s">
        <v>63</v>
      </c>
      <c r="E141" s="256" t="s">
        <v>9</v>
      </c>
      <c r="F141" s="425">
        <f t="array" ref="F141">MAX((IF(MNU_CODIGO_ALIMENTO_ENTREGA=CONCATENATE($C141,"_","P_"),MNU_GRAMAJE_REQUERIDO_TIPOA,"")))</f>
        <v>30</v>
      </c>
      <c r="G141" s="257">
        <f t="shared" si="98"/>
        <v>101136</v>
      </c>
      <c r="H141" s="257">
        <f t="shared" si="99"/>
        <v>0</v>
      </c>
      <c r="I141" s="257">
        <f t="shared" si="100"/>
        <v>101136</v>
      </c>
      <c r="J141" s="258">
        <f t="shared" si="101"/>
        <v>33577152</v>
      </c>
      <c r="K141" s="258">
        <f t="shared" si="102"/>
        <v>0</v>
      </c>
      <c r="L141" s="258">
        <f t="shared" si="103"/>
        <v>33577152</v>
      </c>
      <c r="M141" s="426">
        <f t="array" ref="M141">MAX((IF(MNU_CODIGO_ALIMENTO_ENTREGA=CONCATENATE($C141,"_","P_"),MNU_GRAMAJE_REQUERIDO_TIPOB,"")))</f>
        <v>30</v>
      </c>
      <c r="N141" s="343">
        <f t="shared" si="104"/>
        <v>141776</v>
      </c>
      <c r="O141" s="343">
        <f t="shared" si="105"/>
        <v>0</v>
      </c>
      <c r="P141" s="343">
        <f t="shared" si="106"/>
        <v>141776</v>
      </c>
      <c r="Q141" s="344">
        <f t="shared" si="107"/>
        <v>47069632</v>
      </c>
      <c r="R141" s="344">
        <f t="shared" si="108"/>
        <v>0</v>
      </c>
      <c r="S141" s="344">
        <f t="shared" si="109"/>
        <v>47069632</v>
      </c>
      <c r="T141" s="348">
        <f t="array" ref="T141">MAX((IF(MNU_CODIGO_ALIMENTO_ENTREGA=CONCATENATE($C141,"_","P_"),MNU_GRAMAJE_REQUERIDO_TIPOC,"")))</f>
        <v>30</v>
      </c>
      <c r="U141" s="257">
        <f t="shared" si="110"/>
        <v>148912</v>
      </c>
      <c r="V141" s="257">
        <f t="shared" si="111"/>
        <v>0</v>
      </c>
      <c r="W141" s="257">
        <f t="shared" si="112"/>
        <v>148912</v>
      </c>
      <c r="X141" s="258">
        <f t="shared" si="113"/>
        <v>49438784</v>
      </c>
      <c r="Y141" s="258">
        <f t="shared" si="114"/>
        <v>0</v>
      </c>
      <c r="Z141" s="258">
        <f t="shared" si="115"/>
        <v>49438784</v>
      </c>
      <c r="AA141" s="256">
        <f t="array" ref="AA141">MAX((IF(MNU_CODIGO_ALIMENTO_ENTREGA=CONCATENATE($C141,"_","P_"),MNU_GRAMAJE_REQUERIDO_TIPOM,"")))</f>
        <v>30</v>
      </c>
      <c r="AB141" s="259">
        <f t="shared" si="116"/>
        <v>8416</v>
      </c>
      <c r="AC141" s="259">
        <v>0</v>
      </c>
      <c r="AD141" s="259">
        <f t="shared" si="117"/>
        <v>8416</v>
      </c>
      <c r="AE141" s="260">
        <f t="shared" si="118"/>
        <v>2794112</v>
      </c>
      <c r="AF141" s="260">
        <v>0</v>
      </c>
      <c r="AG141" s="260">
        <f t="shared" si="119"/>
        <v>2794112</v>
      </c>
      <c r="AH141" s="348">
        <f t="array" ref="AH141">MAX((IF(MNU_CODIGO_ALIMENTO_ENTREGA=CONCATENATE($C141,"_","P_"),MNU_GRAMAJE_REQUERIDO_TIPOH,"")))</f>
        <v>30</v>
      </c>
      <c r="AI141" s="257">
        <f t="shared" si="120"/>
        <v>9056</v>
      </c>
      <c r="AJ141" s="257">
        <v>0</v>
      </c>
      <c r="AK141" s="257">
        <f t="shared" si="121"/>
        <v>9056</v>
      </c>
      <c r="AL141" s="258">
        <f t="shared" si="122"/>
        <v>3006592</v>
      </c>
      <c r="AM141" s="258">
        <v>0</v>
      </c>
      <c r="AN141" s="258">
        <f t="shared" si="123"/>
        <v>3006592</v>
      </c>
      <c r="AO141" s="451">
        <f t="shared" si="124"/>
        <v>409296</v>
      </c>
      <c r="AP141" s="450">
        <f t="shared" si="125"/>
        <v>135886272</v>
      </c>
      <c r="AQ141" s="261" t="e">
        <f>#REF!+AH141+AA141+T141+M141</f>
        <v>#REF!</v>
      </c>
      <c r="AR141" s="261">
        <f t="shared" si="84"/>
        <v>136194432</v>
      </c>
      <c r="AS141" s="261" t="e">
        <f t="shared" si="85"/>
        <v>#REF!</v>
      </c>
      <c r="AT141" s="261">
        <f t="shared" si="86"/>
        <v>136502592</v>
      </c>
      <c r="AU141" s="261" t="e">
        <f t="shared" si="87"/>
        <v>#REF!</v>
      </c>
      <c r="AV141" s="261">
        <f t="shared" si="88"/>
        <v>136502592</v>
      </c>
      <c r="AW141" s="261" t="e">
        <f t="shared" si="89"/>
        <v>#REF!</v>
      </c>
      <c r="AX141" s="261" t="e">
        <f>AV141+#REF!+AH141+AA141+T141</f>
        <v>#REF!</v>
      </c>
      <c r="AY141" s="261" t="e">
        <f t="shared" si="90"/>
        <v>#REF!</v>
      </c>
      <c r="AZ141" s="261" t="e">
        <f t="shared" si="91"/>
        <v>#REF!</v>
      </c>
      <c r="BA141" s="261" t="e">
        <f t="shared" si="92"/>
        <v>#REF!</v>
      </c>
      <c r="BB141" s="261" t="e">
        <f t="shared" si="93"/>
        <v>#REF!</v>
      </c>
      <c r="BC141" s="261" t="e">
        <f t="shared" si="94"/>
        <v>#REF!</v>
      </c>
      <c r="BD141" s="261" t="e">
        <f t="shared" si="95"/>
        <v>#REF!</v>
      </c>
      <c r="BE141" s="261" t="e">
        <f>BC141+AV141+#REF!+AH141+AA141</f>
        <v>#REF!</v>
      </c>
      <c r="BF141" s="261" t="e">
        <f t="shared" si="96"/>
        <v>#REF!</v>
      </c>
      <c r="BG141" s="261" t="e">
        <f t="shared" si="97"/>
        <v>#REF!</v>
      </c>
    </row>
    <row r="142" spans="1:59" ht="15.75">
      <c r="A142" s="333">
        <v>11</v>
      </c>
      <c r="B142" s="333" t="s">
        <v>1607</v>
      </c>
      <c r="C142" s="256">
        <v>45</v>
      </c>
      <c r="D142" s="322" t="s">
        <v>10</v>
      </c>
      <c r="E142" s="256" t="s">
        <v>9</v>
      </c>
      <c r="F142" s="425">
        <f t="array" ref="F142">MAX((IF(MNU_CODIGO_ALIMENTO_ENTREGA=CONCATENATE($C142,"_","P_"),MNU_GRAMAJE_REQUERIDO_TIPOA,"")))</f>
        <v>20</v>
      </c>
      <c r="G142" s="257">
        <f t="shared" si="98"/>
        <v>101136</v>
      </c>
      <c r="H142" s="257">
        <f t="shared" si="99"/>
        <v>6100</v>
      </c>
      <c r="I142" s="257">
        <f t="shared" si="100"/>
        <v>107236</v>
      </c>
      <c r="J142" s="258">
        <f t="shared" si="101"/>
        <v>20126064</v>
      </c>
      <c r="K142" s="258">
        <f t="shared" si="102"/>
        <v>1213900</v>
      </c>
      <c r="L142" s="258">
        <f t="shared" si="103"/>
        <v>21339964</v>
      </c>
      <c r="M142" s="426">
        <f t="array" ref="M142">MAX((IF(MNU_CODIGO_ALIMENTO_ENTREGA=CONCATENATE($C142,"_","P_"),MNU_GRAMAJE_REQUERIDO_TIPOB,"")))</f>
        <v>30</v>
      </c>
      <c r="N142" s="343">
        <f t="shared" si="104"/>
        <v>141776</v>
      </c>
      <c r="O142" s="343">
        <f t="shared" si="105"/>
        <v>1500</v>
      </c>
      <c r="P142" s="343">
        <f t="shared" si="106"/>
        <v>143276</v>
      </c>
      <c r="Q142" s="344">
        <f t="shared" si="107"/>
        <v>42249248</v>
      </c>
      <c r="R142" s="344">
        <f t="shared" si="108"/>
        <v>447000</v>
      </c>
      <c r="S142" s="344">
        <f t="shared" si="109"/>
        <v>42696248</v>
      </c>
      <c r="T142" s="348">
        <f t="array" ref="T142">MAX((IF(MNU_CODIGO_ALIMENTO_ENTREGA=CONCATENATE($C142,"_","P_"),MNU_GRAMAJE_REQUERIDO_TIPOC,"")))</f>
        <v>60</v>
      </c>
      <c r="U142" s="257">
        <f t="shared" si="110"/>
        <v>148912</v>
      </c>
      <c r="V142" s="257">
        <f t="shared" si="111"/>
        <v>32660</v>
      </c>
      <c r="W142" s="257">
        <f t="shared" si="112"/>
        <v>181572</v>
      </c>
      <c r="X142" s="258">
        <f t="shared" si="113"/>
        <v>88900464</v>
      </c>
      <c r="Y142" s="258">
        <f t="shared" si="114"/>
        <v>19498020</v>
      </c>
      <c r="Z142" s="258">
        <f t="shared" si="115"/>
        <v>108398484</v>
      </c>
      <c r="AA142" s="256">
        <f t="array" ref="AA142">MAX((IF(MNU_CODIGO_ALIMENTO_ENTREGA=CONCATENATE($C142,"_","P_"),MNU_GRAMAJE_REQUERIDO_TIPOM,"")))</f>
        <v>30</v>
      </c>
      <c r="AB142" s="259">
        <f t="shared" si="116"/>
        <v>8416</v>
      </c>
      <c r="AC142" s="259">
        <v>0</v>
      </c>
      <c r="AD142" s="259">
        <f t="shared" si="117"/>
        <v>8416</v>
      </c>
      <c r="AE142" s="260">
        <f t="shared" si="118"/>
        <v>2507968</v>
      </c>
      <c r="AF142" s="260">
        <v>0</v>
      </c>
      <c r="AG142" s="260">
        <f t="shared" si="119"/>
        <v>2507968</v>
      </c>
      <c r="AH142" s="348">
        <f t="array" ref="AH142">MAX((IF(MNU_CODIGO_ALIMENTO_ENTREGA=CONCATENATE($C142,"_","P_"),MNU_GRAMAJE_REQUERIDO_TIPOH,"")))</f>
        <v>60</v>
      </c>
      <c r="AI142" s="257">
        <f t="shared" si="120"/>
        <v>9056</v>
      </c>
      <c r="AJ142" s="257">
        <v>0</v>
      </c>
      <c r="AK142" s="257">
        <f t="shared" si="121"/>
        <v>9056</v>
      </c>
      <c r="AL142" s="258">
        <f t="shared" si="122"/>
        <v>5406432</v>
      </c>
      <c r="AM142" s="258">
        <v>0</v>
      </c>
      <c r="AN142" s="258">
        <f t="shared" si="123"/>
        <v>5406432</v>
      </c>
      <c r="AO142" s="451">
        <f t="shared" si="124"/>
        <v>449556</v>
      </c>
      <c r="AP142" s="450">
        <f t="shared" si="125"/>
        <v>180349096</v>
      </c>
      <c r="AQ142" s="261" t="e">
        <f>#REF!+AH142+AA142+T142+M142</f>
        <v>#REF!</v>
      </c>
      <c r="AR142" s="261">
        <f t="shared" si="84"/>
        <v>180657256</v>
      </c>
      <c r="AS142" s="261" t="e">
        <f t="shared" si="85"/>
        <v>#REF!</v>
      </c>
      <c r="AT142" s="261">
        <f t="shared" si="86"/>
        <v>180999576</v>
      </c>
      <c r="AU142" s="261" t="e">
        <f t="shared" si="87"/>
        <v>#REF!</v>
      </c>
      <c r="AV142" s="261">
        <f t="shared" si="88"/>
        <v>200944596</v>
      </c>
      <c r="AW142" s="261" t="e">
        <f t="shared" si="89"/>
        <v>#REF!</v>
      </c>
      <c r="AX142" s="261" t="e">
        <f>AV142+#REF!+AH142+AA142+T142</f>
        <v>#REF!</v>
      </c>
      <c r="AY142" s="261" t="e">
        <f t="shared" si="90"/>
        <v>#REF!</v>
      </c>
      <c r="AZ142" s="261" t="e">
        <f t="shared" si="91"/>
        <v>#REF!</v>
      </c>
      <c r="BA142" s="261" t="e">
        <f t="shared" si="92"/>
        <v>#REF!</v>
      </c>
      <c r="BB142" s="261" t="e">
        <f t="shared" si="93"/>
        <v>#REF!</v>
      </c>
      <c r="BC142" s="261" t="e">
        <f t="shared" si="94"/>
        <v>#REF!</v>
      </c>
      <c r="BD142" s="261" t="e">
        <f t="shared" si="95"/>
        <v>#REF!</v>
      </c>
      <c r="BE142" s="261" t="e">
        <f>BC142+AV142+#REF!+AH142+AA142</f>
        <v>#REF!</v>
      </c>
      <c r="BF142" s="261" t="e">
        <f t="shared" si="96"/>
        <v>#REF!</v>
      </c>
      <c r="BG142" s="261" t="e">
        <f t="shared" si="97"/>
        <v>#REF!</v>
      </c>
    </row>
    <row r="143" spans="1:59" ht="15.75">
      <c r="A143" s="333">
        <v>11</v>
      </c>
      <c r="B143" s="333" t="s">
        <v>1607</v>
      </c>
      <c r="C143" s="256">
        <v>50</v>
      </c>
      <c r="D143" s="322" t="s">
        <v>65</v>
      </c>
      <c r="E143" s="256" t="s">
        <v>9</v>
      </c>
      <c r="F143" s="425">
        <f t="array" ref="F143">MAX((IF(MNU_CODIGO_ALIMENTO_ENTREGA=CONCATENATE($C143,"_","P_"),MNU_GRAMAJE_REQUERIDO_TIPOA,"")))</f>
        <v>30</v>
      </c>
      <c r="G143" s="257">
        <f t="shared" si="98"/>
        <v>107457</v>
      </c>
      <c r="H143" s="257">
        <f t="shared" si="99"/>
        <v>0</v>
      </c>
      <c r="I143" s="257">
        <f t="shared" si="100"/>
        <v>107457</v>
      </c>
      <c r="J143" s="258">
        <f t="shared" si="101"/>
        <v>34493697</v>
      </c>
      <c r="K143" s="258">
        <f t="shared" si="102"/>
        <v>0</v>
      </c>
      <c r="L143" s="258">
        <f t="shared" si="103"/>
        <v>34493697</v>
      </c>
      <c r="M143" s="426">
        <f t="array" ref="M143">MAX((IF(MNU_CODIGO_ALIMENTO_ENTREGA=CONCATENATE($C143,"_","P_"),MNU_GRAMAJE_REQUERIDO_TIPOB,"")))</f>
        <v>40</v>
      </c>
      <c r="N143" s="343">
        <f t="shared" si="104"/>
        <v>150637</v>
      </c>
      <c r="O143" s="343">
        <f t="shared" si="105"/>
        <v>0</v>
      </c>
      <c r="P143" s="343">
        <f t="shared" si="106"/>
        <v>150637</v>
      </c>
      <c r="Q143" s="344">
        <f t="shared" si="107"/>
        <v>64472636</v>
      </c>
      <c r="R143" s="344">
        <f t="shared" si="108"/>
        <v>0</v>
      </c>
      <c r="S143" s="344">
        <f t="shared" si="109"/>
        <v>64472636</v>
      </c>
      <c r="T143" s="348">
        <f t="array" ref="T143">MAX((IF(MNU_CODIGO_ALIMENTO_ENTREGA=CONCATENATE($C143,"_","P_"),MNU_GRAMAJE_REQUERIDO_TIPOC,"")))</f>
        <v>80</v>
      </c>
      <c r="U143" s="257">
        <f t="shared" si="110"/>
        <v>158219</v>
      </c>
      <c r="V143" s="257">
        <f t="shared" si="111"/>
        <v>0</v>
      </c>
      <c r="W143" s="257">
        <f t="shared" si="112"/>
        <v>158219</v>
      </c>
      <c r="X143" s="258">
        <f t="shared" si="113"/>
        <v>135277245</v>
      </c>
      <c r="Y143" s="258">
        <f t="shared" si="114"/>
        <v>0</v>
      </c>
      <c r="Z143" s="258">
        <f t="shared" si="115"/>
        <v>135277245</v>
      </c>
      <c r="AA143" s="256">
        <f t="array" ref="AA143">MAX((IF(MNU_CODIGO_ALIMENTO_ENTREGA=CONCATENATE($C143,"_","P_"),MNU_GRAMAJE_REQUERIDO_TIPOM,"")))</f>
        <v>40</v>
      </c>
      <c r="AB143" s="259">
        <f t="shared" si="116"/>
        <v>8942</v>
      </c>
      <c r="AC143" s="259">
        <v>0</v>
      </c>
      <c r="AD143" s="259">
        <f t="shared" si="117"/>
        <v>8942</v>
      </c>
      <c r="AE143" s="260">
        <f t="shared" si="118"/>
        <v>3827176</v>
      </c>
      <c r="AF143" s="260">
        <v>0</v>
      </c>
      <c r="AG143" s="260">
        <f t="shared" si="119"/>
        <v>3827176</v>
      </c>
      <c r="AH143" s="348">
        <f t="array" ref="AH143">MAX((IF(MNU_CODIGO_ALIMENTO_ENTREGA=CONCATENATE($C143,"_","P_"),MNU_GRAMAJE_REQUERIDO_TIPOH,"")))</f>
        <v>80</v>
      </c>
      <c r="AI143" s="257">
        <f t="shared" si="120"/>
        <v>9622</v>
      </c>
      <c r="AJ143" s="257">
        <v>0</v>
      </c>
      <c r="AK143" s="257">
        <f t="shared" si="121"/>
        <v>9622</v>
      </c>
      <c r="AL143" s="258">
        <f t="shared" si="122"/>
        <v>8226810</v>
      </c>
      <c r="AM143" s="258">
        <v>0</v>
      </c>
      <c r="AN143" s="258">
        <f t="shared" si="123"/>
        <v>8226810</v>
      </c>
      <c r="AO143" s="451">
        <f t="shared" si="124"/>
        <v>434877</v>
      </c>
      <c r="AP143" s="450">
        <f t="shared" si="125"/>
        <v>246297564</v>
      </c>
      <c r="AQ143" s="261" t="e">
        <f>#REF!+AH143+AA143+T143+M143</f>
        <v>#REF!</v>
      </c>
      <c r="AR143" s="261">
        <f t="shared" si="84"/>
        <v>246624984</v>
      </c>
      <c r="AS143" s="261" t="e">
        <f t="shared" si="85"/>
        <v>#REF!</v>
      </c>
      <c r="AT143" s="261">
        <f t="shared" si="86"/>
        <v>246952404</v>
      </c>
      <c r="AU143" s="261" t="e">
        <f t="shared" si="87"/>
        <v>#REF!</v>
      </c>
      <c r="AV143" s="261">
        <f t="shared" si="88"/>
        <v>246952404</v>
      </c>
      <c r="AW143" s="261" t="e">
        <f t="shared" si="89"/>
        <v>#REF!</v>
      </c>
      <c r="AX143" s="261" t="e">
        <f>AV143+#REF!+AH143+AA143+T143</f>
        <v>#REF!</v>
      </c>
      <c r="AY143" s="261" t="e">
        <f t="shared" si="90"/>
        <v>#REF!</v>
      </c>
      <c r="AZ143" s="261" t="e">
        <f t="shared" si="91"/>
        <v>#REF!</v>
      </c>
      <c r="BA143" s="261" t="e">
        <f t="shared" si="92"/>
        <v>#REF!</v>
      </c>
      <c r="BB143" s="261" t="e">
        <f t="shared" si="93"/>
        <v>#REF!</v>
      </c>
      <c r="BC143" s="261" t="e">
        <f t="shared" si="94"/>
        <v>#REF!</v>
      </c>
      <c r="BD143" s="261" t="e">
        <f t="shared" si="95"/>
        <v>#REF!</v>
      </c>
      <c r="BE143" s="261" t="e">
        <f>BC143+AV143+#REF!+AH143+AA143</f>
        <v>#REF!</v>
      </c>
      <c r="BF143" s="261" t="e">
        <f t="shared" si="96"/>
        <v>#REF!</v>
      </c>
      <c r="BG143" s="261" t="e">
        <f t="shared" si="97"/>
        <v>#REF!</v>
      </c>
    </row>
    <row r="144" spans="1:59" ht="15.75">
      <c r="A144" s="333">
        <v>11</v>
      </c>
      <c r="B144" s="333" t="s">
        <v>1607</v>
      </c>
      <c r="C144" s="256">
        <v>61</v>
      </c>
      <c r="D144" s="322" t="s">
        <v>13</v>
      </c>
      <c r="E144" s="256" t="s">
        <v>9</v>
      </c>
      <c r="F144" s="425">
        <f t="array" ref="F144">MAX((IF(MNU_CODIGO_ALIMENTO_ENTREGA=CONCATENATE($C144,"_","P_"),MNU_GRAMAJE_REQUERIDO_TIPOA,"")))</f>
        <v>20</v>
      </c>
      <c r="G144" s="257">
        <f t="shared" si="98"/>
        <v>101136</v>
      </c>
      <c r="H144" s="257">
        <f t="shared" si="99"/>
        <v>6100</v>
      </c>
      <c r="I144" s="257">
        <f t="shared" si="100"/>
        <v>107236</v>
      </c>
      <c r="J144" s="258">
        <f t="shared" si="101"/>
        <v>23564688</v>
      </c>
      <c r="K144" s="258">
        <f t="shared" si="102"/>
        <v>1421300</v>
      </c>
      <c r="L144" s="258">
        <f t="shared" si="103"/>
        <v>24985988</v>
      </c>
      <c r="M144" s="426">
        <f t="array" ref="M144">MAX((IF(MNU_CODIGO_ALIMENTO_ENTREGA=CONCATENATE($C144,"_","P_"),MNU_GRAMAJE_REQUERIDO_TIPOB,"")))</f>
        <v>30</v>
      </c>
      <c r="N144" s="343">
        <f t="shared" si="104"/>
        <v>141776</v>
      </c>
      <c r="O144" s="343">
        <f t="shared" si="105"/>
        <v>1500</v>
      </c>
      <c r="P144" s="343">
        <f t="shared" si="106"/>
        <v>143276</v>
      </c>
      <c r="Q144" s="344">
        <f t="shared" si="107"/>
        <v>49763376</v>
      </c>
      <c r="R144" s="344">
        <f t="shared" si="108"/>
        <v>526500</v>
      </c>
      <c r="S144" s="344">
        <f t="shared" si="109"/>
        <v>50289876</v>
      </c>
      <c r="T144" s="348">
        <f t="array" ref="T144">MAX((IF(MNU_CODIGO_ALIMENTO_ENTREGA=CONCATENATE($C144,"_","P_"),MNU_GRAMAJE_REQUERIDO_TIPOC,"")))</f>
        <v>70</v>
      </c>
      <c r="U144" s="257">
        <f t="shared" si="110"/>
        <v>148912</v>
      </c>
      <c r="V144" s="257">
        <f t="shared" si="111"/>
        <v>32660</v>
      </c>
      <c r="W144" s="257">
        <f t="shared" si="112"/>
        <v>181572</v>
      </c>
      <c r="X144" s="258">
        <f t="shared" si="113"/>
        <v>121810016</v>
      </c>
      <c r="Y144" s="258">
        <f t="shared" si="114"/>
        <v>26715880</v>
      </c>
      <c r="Z144" s="258">
        <f t="shared" si="115"/>
        <v>148525896</v>
      </c>
      <c r="AA144" s="256">
        <f t="array" ref="AA144">MAX((IF(MNU_CODIGO_ALIMENTO_ENTREGA=CONCATENATE($C144,"_","P_"),MNU_GRAMAJE_REQUERIDO_TIPOM,"")))</f>
        <v>30</v>
      </c>
      <c r="AB144" s="259">
        <f t="shared" si="116"/>
        <v>8416</v>
      </c>
      <c r="AC144" s="259">
        <v>0</v>
      </c>
      <c r="AD144" s="259">
        <f t="shared" si="117"/>
        <v>8416</v>
      </c>
      <c r="AE144" s="260">
        <f t="shared" si="118"/>
        <v>2954016</v>
      </c>
      <c r="AF144" s="260">
        <v>0</v>
      </c>
      <c r="AG144" s="260">
        <f t="shared" si="119"/>
        <v>2954016</v>
      </c>
      <c r="AH144" s="348">
        <f t="array" ref="AH144">MAX((IF(MNU_CODIGO_ALIMENTO_ENTREGA=CONCATENATE($C144,"_","P_"),MNU_GRAMAJE_REQUERIDO_TIPOH,"")))</f>
        <v>70</v>
      </c>
      <c r="AI144" s="257">
        <f t="shared" si="120"/>
        <v>9056</v>
      </c>
      <c r="AJ144" s="257">
        <v>0</v>
      </c>
      <c r="AK144" s="257">
        <f t="shared" si="121"/>
        <v>9056</v>
      </c>
      <c r="AL144" s="258">
        <f t="shared" si="122"/>
        <v>7407808</v>
      </c>
      <c r="AM144" s="258">
        <v>0</v>
      </c>
      <c r="AN144" s="258">
        <f t="shared" si="123"/>
        <v>7407808</v>
      </c>
      <c r="AO144" s="451">
        <f t="shared" si="124"/>
        <v>449556</v>
      </c>
      <c r="AP144" s="450">
        <f t="shared" si="125"/>
        <v>234163584</v>
      </c>
      <c r="AQ144" s="261" t="e">
        <f>#REF!+AH144+AA144+T144+M144</f>
        <v>#REF!</v>
      </c>
      <c r="AR144" s="261">
        <f t="shared" si="84"/>
        <v>234471744</v>
      </c>
      <c r="AS144" s="261" t="e">
        <f t="shared" si="85"/>
        <v>#REF!</v>
      </c>
      <c r="AT144" s="261">
        <f t="shared" si="86"/>
        <v>234814064</v>
      </c>
      <c r="AU144" s="261" t="e">
        <f t="shared" si="87"/>
        <v>#REF!</v>
      </c>
      <c r="AV144" s="261">
        <f t="shared" si="88"/>
        <v>262056444</v>
      </c>
      <c r="AW144" s="261" t="e">
        <f t="shared" si="89"/>
        <v>#REF!</v>
      </c>
      <c r="AX144" s="261" t="e">
        <f>AV144+#REF!+AH144+AA144+T144</f>
        <v>#REF!</v>
      </c>
      <c r="AY144" s="261" t="e">
        <f t="shared" si="90"/>
        <v>#REF!</v>
      </c>
      <c r="AZ144" s="261" t="e">
        <f t="shared" si="91"/>
        <v>#REF!</v>
      </c>
      <c r="BA144" s="261" t="e">
        <f t="shared" si="92"/>
        <v>#REF!</v>
      </c>
      <c r="BB144" s="261" t="e">
        <f t="shared" si="93"/>
        <v>#REF!</v>
      </c>
      <c r="BC144" s="261" t="e">
        <f t="shared" si="94"/>
        <v>#REF!</v>
      </c>
      <c r="BD144" s="261" t="e">
        <f t="shared" si="95"/>
        <v>#REF!</v>
      </c>
      <c r="BE144" s="261" t="e">
        <f>BC144+AV144+#REF!+AH144+AA144</f>
        <v>#REF!</v>
      </c>
      <c r="BF144" s="261" t="e">
        <f t="shared" si="96"/>
        <v>#REF!</v>
      </c>
      <c r="BG144" s="261" t="e">
        <f t="shared" si="97"/>
        <v>#REF!</v>
      </c>
    </row>
    <row r="145" spans="1:59" ht="15.75">
      <c r="A145" s="333">
        <v>11</v>
      </c>
      <c r="B145" s="333" t="s">
        <v>1607</v>
      </c>
      <c r="C145" s="256">
        <v>62</v>
      </c>
      <c r="D145" s="322" t="s">
        <v>68</v>
      </c>
      <c r="E145" s="256" t="s">
        <v>9</v>
      </c>
      <c r="F145" s="425">
        <f t="array" ref="F145">MAX((IF(MNU_CODIGO_ALIMENTO_ENTREGA=CONCATENATE($C145,"_","P_"),MNU_GRAMAJE_REQUERIDO_TIPOA,"")))</f>
        <v>50</v>
      </c>
      <c r="G145" s="257">
        <f t="shared" si="98"/>
        <v>31605</v>
      </c>
      <c r="H145" s="257">
        <f t="shared" si="99"/>
        <v>0</v>
      </c>
      <c r="I145" s="257">
        <f t="shared" si="100"/>
        <v>31605</v>
      </c>
      <c r="J145" s="258">
        <f t="shared" si="101"/>
        <v>19753125</v>
      </c>
      <c r="K145" s="258">
        <f t="shared" si="102"/>
        <v>0</v>
      </c>
      <c r="L145" s="258">
        <f t="shared" si="103"/>
        <v>19753125</v>
      </c>
      <c r="M145" s="426">
        <f t="array" ref="M145">MAX((IF(MNU_CODIGO_ALIMENTO_ENTREGA=CONCATENATE($C145,"_","P_"),MNU_GRAMAJE_REQUERIDO_TIPOB,"")))</f>
        <v>50</v>
      </c>
      <c r="N145" s="343">
        <f t="shared" si="104"/>
        <v>44305</v>
      </c>
      <c r="O145" s="343">
        <f t="shared" si="105"/>
        <v>0</v>
      </c>
      <c r="P145" s="343">
        <f t="shared" si="106"/>
        <v>44305</v>
      </c>
      <c r="Q145" s="344">
        <f t="shared" si="107"/>
        <v>27690625</v>
      </c>
      <c r="R145" s="344">
        <f t="shared" si="108"/>
        <v>0</v>
      </c>
      <c r="S145" s="344">
        <f t="shared" si="109"/>
        <v>27690625</v>
      </c>
      <c r="T145" s="348">
        <f t="array" ref="T145">MAX((IF(MNU_CODIGO_ALIMENTO_ENTREGA=CONCATENATE($C145,"_","P_"),MNU_GRAMAJE_REQUERIDO_TIPOC,"")))</f>
        <v>50</v>
      </c>
      <c r="U145" s="257">
        <f t="shared" si="110"/>
        <v>46535</v>
      </c>
      <c r="V145" s="257">
        <f t="shared" si="111"/>
        <v>0</v>
      </c>
      <c r="W145" s="257">
        <f t="shared" si="112"/>
        <v>46535</v>
      </c>
      <c r="X145" s="258">
        <f t="shared" si="113"/>
        <v>29084375</v>
      </c>
      <c r="Y145" s="258">
        <f t="shared" si="114"/>
        <v>0</v>
      </c>
      <c r="Z145" s="258">
        <f t="shared" si="115"/>
        <v>29084375</v>
      </c>
      <c r="AA145" s="256">
        <f t="array" ref="AA145">MAX((IF(MNU_CODIGO_ALIMENTO_ENTREGA=CONCATENATE($C145,"_","P_"),MNU_GRAMAJE_REQUERIDO_TIPOM,"")))</f>
        <v>50</v>
      </c>
      <c r="AB145" s="259">
        <f t="shared" si="116"/>
        <v>2630</v>
      </c>
      <c r="AC145" s="259">
        <v>0</v>
      </c>
      <c r="AD145" s="259">
        <f t="shared" si="117"/>
        <v>2630</v>
      </c>
      <c r="AE145" s="260">
        <f t="shared" si="118"/>
        <v>1643750</v>
      </c>
      <c r="AF145" s="260">
        <v>0</v>
      </c>
      <c r="AG145" s="260">
        <f t="shared" si="119"/>
        <v>1643750</v>
      </c>
      <c r="AH145" s="348">
        <f t="array" ref="AH145">MAX((IF(MNU_CODIGO_ALIMENTO_ENTREGA=CONCATENATE($C145,"_","P_"),MNU_GRAMAJE_REQUERIDO_TIPOH,"")))</f>
        <v>50</v>
      </c>
      <c r="AI145" s="257">
        <f t="shared" si="120"/>
        <v>2830</v>
      </c>
      <c r="AJ145" s="257">
        <v>0</v>
      </c>
      <c r="AK145" s="257">
        <f t="shared" si="121"/>
        <v>2830</v>
      </c>
      <c r="AL145" s="258">
        <f t="shared" si="122"/>
        <v>1768750</v>
      </c>
      <c r="AM145" s="258">
        <v>0</v>
      </c>
      <c r="AN145" s="258">
        <f t="shared" si="123"/>
        <v>1768750</v>
      </c>
      <c r="AO145" s="451">
        <f t="shared" si="124"/>
        <v>127905</v>
      </c>
      <c r="AP145" s="450">
        <f t="shared" si="125"/>
        <v>79940625</v>
      </c>
      <c r="AQ145" s="261" t="e">
        <f>#REF!+AH145+AA145+T145+M145</f>
        <v>#REF!</v>
      </c>
      <c r="AR145" s="261">
        <f t="shared" si="84"/>
        <v>80036925</v>
      </c>
      <c r="AS145" s="261" t="e">
        <f t="shared" si="85"/>
        <v>#REF!</v>
      </c>
      <c r="AT145" s="261">
        <f t="shared" si="86"/>
        <v>80133225</v>
      </c>
      <c r="AU145" s="261" t="e">
        <f t="shared" si="87"/>
        <v>#REF!</v>
      </c>
      <c r="AV145" s="261">
        <f t="shared" si="88"/>
        <v>80133225</v>
      </c>
      <c r="AW145" s="261" t="e">
        <f t="shared" si="89"/>
        <v>#REF!</v>
      </c>
      <c r="AX145" s="261" t="e">
        <f>AV145+#REF!+AH145+AA145+T145</f>
        <v>#REF!</v>
      </c>
      <c r="AY145" s="261" t="e">
        <f t="shared" si="90"/>
        <v>#REF!</v>
      </c>
      <c r="AZ145" s="261" t="e">
        <f t="shared" si="91"/>
        <v>#REF!</v>
      </c>
      <c r="BA145" s="261" t="e">
        <f t="shared" si="92"/>
        <v>#REF!</v>
      </c>
      <c r="BB145" s="261" t="e">
        <f t="shared" si="93"/>
        <v>#REF!</v>
      </c>
      <c r="BC145" s="261" t="e">
        <f t="shared" si="94"/>
        <v>#REF!</v>
      </c>
      <c r="BD145" s="261" t="e">
        <f t="shared" si="95"/>
        <v>#REF!</v>
      </c>
      <c r="BE145" s="261" t="e">
        <f>BC145+AV145+#REF!+AH145+AA145</f>
        <v>#REF!</v>
      </c>
      <c r="BF145" s="261" t="e">
        <f t="shared" si="96"/>
        <v>#REF!</v>
      </c>
      <c r="BG145" s="261" t="e">
        <f t="shared" si="97"/>
        <v>#REF!</v>
      </c>
    </row>
    <row r="146" spans="1:59" ht="15.75">
      <c r="A146" s="333">
        <v>12</v>
      </c>
      <c r="B146" s="333" t="s">
        <v>1607</v>
      </c>
      <c r="C146" s="256">
        <v>1</v>
      </c>
      <c r="D146" s="322" t="s">
        <v>16</v>
      </c>
      <c r="E146" s="256" t="s">
        <v>9</v>
      </c>
      <c r="F146" s="425">
        <f t="array" ref="F146">MAX((IF(MNU_CODIGO_ALIMENTO_ENTREGA=CONCATENATE($C146,"_","P_"),MNU_GRAMAJE_REQUERIDO_TIPOA,"")))</f>
        <v>30</v>
      </c>
      <c r="G146" s="257">
        <f t="shared" si="98"/>
        <v>84705</v>
      </c>
      <c r="H146" s="257">
        <f t="shared" si="99"/>
        <v>0</v>
      </c>
      <c r="I146" s="257">
        <f t="shared" si="100"/>
        <v>84705</v>
      </c>
      <c r="J146" s="258">
        <f t="shared" si="101"/>
        <v>68441640</v>
      </c>
      <c r="K146" s="258">
        <f t="shared" si="102"/>
        <v>0</v>
      </c>
      <c r="L146" s="258">
        <f t="shared" si="103"/>
        <v>68441640</v>
      </c>
      <c r="M146" s="426">
        <f t="array" ref="M146">MAX((IF(MNU_CODIGO_ALIMENTO_ENTREGA=CONCATENATE($C146,"_","P_"),MNU_GRAMAJE_REQUERIDO_TIPOB,"")))</f>
        <v>40</v>
      </c>
      <c r="N146" s="343">
        <f t="shared" si="104"/>
        <v>134760</v>
      </c>
      <c r="O146" s="343">
        <f t="shared" si="105"/>
        <v>0</v>
      </c>
      <c r="P146" s="343">
        <f t="shared" si="106"/>
        <v>134760</v>
      </c>
      <c r="Q146" s="344">
        <f t="shared" si="107"/>
        <v>145271280</v>
      </c>
      <c r="R146" s="344">
        <f t="shared" si="108"/>
        <v>0</v>
      </c>
      <c r="S146" s="344">
        <f t="shared" si="109"/>
        <v>145271280</v>
      </c>
      <c r="T146" s="348">
        <f t="array" ref="T146">MAX((IF(MNU_CODIGO_ALIMENTO_ENTREGA=CONCATENATE($C146,"_","P_"),MNU_GRAMAJE_REQUERIDO_TIPOC,"")))</f>
        <v>60</v>
      </c>
      <c r="U146" s="257">
        <f t="shared" si="110"/>
        <v>163755</v>
      </c>
      <c r="V146" s="257">
        <f t="shared" si="111"/>
        <v>0</v>
      </c>
      <c r="W146" s="257">
        <f t="shared" si="112"/>
        <v>163755</v>
      </c>
      <c r="X146" s="258">
        <f t="shared" si="113"/>
        <v>264628080</v>
      </c>
      <c r="Y146" s="258">
        <f t="shared" si="114"/>
        <v>0</v>
      </c>
      <c r="Z146" s="258">
        <f t="shared" si="115"/>
        <v>264628080</v>
      </c>
      <c r="AA146" s="256">
        <f t="array" ref="AA146">MAX((IF(MNU_CODIGO_ALIMENTO_ENTREGA=CONCATENATE($C146,"_","P_"),MNU_GRAMAJE_REQUERIDO_TIPOM,"")))</f>
        <v>40</v>
      </c>
      <c r="AB146" s="259">
        <f t="shared" si="116"/>
        <v>2415</v>
      </c>
      <c r="AC146" s="259">
        <v>0</v>
      </c>
      <c r="AD146" s="259">
        <f t="shared" si="117"/>
        <v>2415</v>
      </c>
      <c r="AE146" s="260">
        <f t="shared" si="118"/>
        <v>2603370</v>
      </c>
      <c r="AF146" s="260">
        <v>0</v>
      </c>
      <c r="AG146" s="260">
        <f t="shared" si="119"/>
        <v>2603370</v>
      </c>
      <c r="AH146" s="348">
        <f t="array" ref="AH146">MAX((IF(MNU_CODIGO_ALIMENTO_ENTREGA=CONCATENATE($C146,"_","P_"),MNU_GRAMAJE_REQUERIDO_TIPOH,"")))</f>
        <v>60</v>
      </c>
      <c r="AI146" s="257">
        <f t="shared" si="120"/>
        <v>4335</v>
      </c>
      <c r="AJ146" s="257">
        <v>0</v>
      </c>
      <c r="AK146" s="257">
        <f t="shared" si="121"/>
        <v>4335</v>
      </c>
      <c r="AL146" s="258">
        <f t="shared" si="122"/>
        <v>7005360</v>
      </c>
      <c r="AM146" s="258">
        <v>0</v>
      </c>
      <c r="AN146" s="258">
        <f t="shared" si="123"/>
        <v>7005360</v>
      </c>
      <c r="AO146" s="451">
        <f t="shared" si="124"/>
        <v>389970</v>
      </c>
      <c r="AP146" s="450">
        <f t="shared" si="125"/>
        <v>487949730</v>
      </c>
      <c r="AQ146" s="261" t="e">
        <f>#REF!+AH146+AA146+T146+M146</f>
        <v>#REF!</v>
      </c>
      <c r="AR146" s="261">
        <f t="shared" si="84"/>
        <v>488254995</v>
      </c>
      <c r="AS146" s="261" t="e">
        <f t="shared" si="85"/>
        <v>#REF!</v>
      </c>
      <c r="AT146" s="261">
        <f t="shared" si="86"/>
        <v>488560260</v>
      </c>
      <c r="AU146" s="261" t="e">
        <f t="shared" si="87"/>
        <v>#REF!</v>
      </c>
      <c r="AV146" s="261">
        <f t="shared" si="88"/>
        <v>488560260</v>
      </c>
      <c r="AW146" s="261" t="e">
        <f t="shared" si="89"/>
        <v>#REF!</v>
      </c>
      <c r="AX146" s="261" t="e">
        <f>AV146+#REF!+AH146+AA146+T146</f>
        <v>#REF!</v>
      </c>
      <c r="AY146" s="261" t="e">
        <f t="shared" si="90"/>
        <v>#REF!</v>
      </c>
      <c r="AZ146" s="261" t="e">
        <f t="shared" si="91"/>
        <v>#REF!</v>
      </c>
      <c r="BA146" s="261" t="e">
        <f t="shared" si="92"/>
        <v>#REF!</v>
      </c>
      <c r="BB146" s="261" t="e">
        <f t="shared" si="93"/>
        <v>#REF!</v>
      </c>
      <c r="BC146" s="261" t="e">
        <f t="shared" si="94"/>
        <v>#REF!</v>
      </c>
      <c r="BD146" s="261" t="e">
        <f t="shared" si="95"/>
        <v>#REF!</v>
      </c>
      <c r="BE146" s="261" t="e">
        <f>BC146+AV146+#REF!+AH146+AA146</f>
        <v>#REF!</v>
      </c>
      <c r="BF146" s="261" t="e">
        <f t="shared" si="96"/>
        <v>#REF!</v>
      </c>
      <c r="BG146" s="261" t="e">
        <f t="shared" si="97"/>
        <v>#REF!</v>
      </c>
    </row>
    <row r="147" spans="1:59" ht="15.75">
      <c r="A147" s="333">
        <v>12</v>
      </c>
      <c r="B147" s="333" t="s">
        <v>1607</v>
      </c>
      <c r="C147" s="256">
        <v>3</v>
      </c>
      <c r="D147" s="322" t="s">
        <v>12</v>
      </c>
      <c r="E147" s="256" t="s">
        <v>9</v>
      </c>
      <c r="F147" s="425">
        <f t="array" ref="F147">MAX((IF(MNU_CODIGO_ALIMENTO_ENTREGA=CONCATENATE($C147,"_","P_"),MNU_GRAMAJE_REQUERIDO_TIPOA,"")))</f>
        <v>50</v>
      </c>
      <c r="G147" s="257">
        <f t="shared" si="98"/>
        <v>95999</v>
      </c>
      <c r="H147" s="257">
        <f t="shared" si="99"/>
        <v>8740</v>
      </c>
      <c r="I147" s="257">
        <f t="shared" si="100"/>
        <v>104739</v>
      </c>
      <c r="J147" s="258">
        <f t="shared" si="101"/>
        <v>48479495</v>
      </c>
      <c r="K147" s="258">
        <f t="shared" si="102"/>
        <v>4413700</v>
      </c>
      <c r="L147" s="258">
        <f t="shared" si="103"/>
        <v>52893195</v>
      </c>
      <c r="M147" s="426">
        <f t="array" ref="M147">MAX((IF(MNU_CODIGO_ALIMENTO_ENTREGA=CONCATENATE($C147,"_","P_"),MNU_GRAMAJE_REQUERIDO_TIPOB,"")))</f>
        <v>50</v>
      </c>
      <c r="N147" s="343">
        <f t="shared" si="104"/>
        <v>152728</v>
      </c>
      <c r="O147" s="343">
        <f t="shared" si="105"/>
        <v>0</v>
      </c>
      <c r="P147" s="343">
        <f t="shared" si="106"/>
        <v>152728</v>
      </c>
      <c r="Q147" s="344">
        <f t="shared" si="107"/>
        <v>77127640</v>
      </c>
      <c r="R147" s="344">
        <f t="shared" si="108"/>
        <v>0</v>
      </c>
      <c r="S147" s="344">
        <f t="shared" si="109"/>
        <v>77127640</v>
      </c>
      <c r="T147" s="348">
        <f t="array" ref="T147">MAX((IF(MNU_CODIGO_ALIMENTO_ENTREGA=CONCATENATE($C147,"_","P_"),MNU_GRAMAJE_REQUERIDO_TIPOC,"")))</f>
        <v>80</v>
      </c>
      <c r="U147" s="257">
        <f t="shared" si="110"/>
        <v>185589</v>
      </c>
      <c r="V147" s="257">
        <f t="shared" si="111"/>
        <v>6403</v>
      </c>
      <c r="W147" s="257">
        <f t="shared" si="112"/>
        <v>191992</v>
      </c>
      <c r="X147" s="258">
        <f t="shared" si="113"/>
        <v>141604407</v>
      </c>
      <c r="Y147" s="258">
        <f t="shared" si="114"/>
        <v>4885489</v>
      </c>
      <c r="Z147" s="258">
        <f t="shared" si="115"/>
        <v>146489896</v>
      </c>
      <c r="AA147" s="256">
        <f t="array" ref="AA147">MAX((IF(MNU_CODIGO_ALIMENTO_ENTREGA=CONCATENATE($C147,"_","P_"),MNU_GRAMAJE_REQUERIDO_TIPOM,"")))</f>
        <v>50</v>
      </c>
      <c r="AB147" s="259">
        <f t="shared" si="116"/>
        <v>2737</v>
      </c>
      <c r="AC147" s="259">
        <v>0</v>
      </c>
      <c r="AD147" s="259">
        <f t="shared" si="117"/>
        <v>2737</v>
      </c>
      <c r="AE147" s="260">
        <f t="shared" si="118"/>
        <v>1382185</v>
      </c>
      <c r="AF147" s="260">
        <v>0</v>
      </c>
      <c r="AG147" s="260">
        <f t="shared" si="119"/>
        <v>1382185</v>
      </c>
      <c r="AH147" s="348">
        <f t="array" ref="AH147">MAX((IF(MNU_CODIGO_ALIMENTO_ENTREGA=CONCATENATE($C147,"_","P_"),MNU_GRAMAJE_REQUERIDO_TIPOH,"")))</f>
        <v>80</v>
      </c>
      <c r="AI147" s="257">
        <f t="shared" si="120"/>
        <v>4913</v>
      </c>
      <c r="AJ147" s="257">
        <v>0</v>
      </c>
      <c r="AK147" s="257">
        <f t="shared" si="121"/>
        <v>4913</v>
      </c>
      <c r="AL147" s="258">
        <f t="shared" si="122"/>
        <v>3748619</v>
      </c>
      <c r="AM147" s="258">
        <v>0</v>
      </c>
      <c r="AN147" s="258">
        <f t="shared" si="123"/>
        <v>3748619</v>
      </c>
      <c r="AO147" s="451">
        <f t="shared" si="124"/>
        <v>457109</v>
      </c>
      <c r="AP147" s="450">
        <f t="shared" si="125"/>
        <v>281641535</v>
      </c>
      <c r="AQ147" s="261" t="e">
        <f>#REF!+AH147+AA147+T147+M147</f>
        <v>#REF!</v>
      </c>
      <c r="AR147" s="261">
        <f t="shared" si="84"/>
        <v>281987502</v>
      </c>
      <c r="AS147" s="261" t="e">
        <f t="shared" si="85"/>
        <v>#REF!</v>
      </c>
      <c r="AT147" s="261">
        <f t="shared" si="86"/>
        <v>282339872</v>
      </c>
      <c r="AU147" s="261" t="e">
        <f t="shared" si="87"/>
        <v>#REF!</v>
      </c>
      <c r="AV147" s="261">
        <f t="shared" si="88"/>
        <v>287225361</v>
      </c>
      <c r="AW147" s="261" t="e">
        <f t="shared" si="89"/>
        <v>#REF!</v>
      </c>
      <c r="AX147" s="261" t="e">
        <f>AV147+#REF!+AH147+AA147+T147</f>
        <v>#REF!</v>
      </c>
      <c r="AY147" s="261" t="e">
        <f t="shared" si="90"/>
        <v>#REF!</v>
      </c>
      <c r="AZ147" s="261" t="e">
        <f t="shared" si="91"/>
        <v>#REF!</v>
      </c>
      <c r="BA147" s="261" t="e">
        <f t="shared" si="92"/>
        <v>#REF!</v>
      </c>
      <c r="BB147" s="261" t="e">
        <f t="shared" si="93"/>
        <v>#REF!</v>
      </c>
      <c r="BC147" s="261" t="e">
        <f t="shared" si="94"/>
        <v>#REF!</v>
      </c>
      <c r="BD147" s="261" t="e">
        <f t="shared" si="95"/>
        <v>#REF!</v>
      </c>
      <c r="BE147" s="261" t="e">
        <f>BC147+AV147+#REF!+AH147+AA147</f>
        <v>#REF!</v>
      </c>
      <c r="BF147" s="261" t="e">
        <f t="shared" si="96"/>
        <v>#REF!</v>
      </c>
      <c r="BG147" s="261" t="e">
        <f t="shared" si="97"/>
        <v>#REF!</v>
      </c>
    </row>
    <row r="148" spans="1:59" ht="15.75">
      <c r="A148" s="333">
        <v>12</v>
      </c>
      <c r="B148" s="333" t="s">
        <v>1607</v>
      </c>
      <c r="C148" s="256">
        <v>15</v>
      </c>
      <c r="D148" s="322" t="s">
        <v>66</v>
      </c>
      <c r="E148" s="256" t="s">
        <v>9</v>
      </c>
      <c r="F148" s="425">
        <f t="array" ref="F148">MAX((IF(MNU_CODIGO_ALIMENTO_ENTREGA=CONCATENATE($C148,"_","P_"),MNU_GRAMAJE_REQUERIDO_TIPOA,"")))</f>
        <v>50</v>
      </c>
      <c r="G148" s="257">
        <f t="shared" si="98"/>
        <v>95999</v>
      </c>
      <c r="H148" s="257">
        <f t="shared" si="99"/>
        <v>5060</v>
      </c>
      <c r="I148" s="257">
        <f t="shared" si="100"/>
        <v>101059</v>
      </c>
      <c r="J148" s="258">
        <f t="shared" si="101"/>
        <v>64607327</v>
      </c>
      <c r="K148" s="258">
        <f t="shared" si="102"/>
        <v>3405380</v>
      </c>
      <c r="L148" s="258">
        <f t="shared" si="103"/>
        <v>68012707</v>
      </c>
      <c r="M148" s="426">
        <f t="array" ref="M148">MAX((IF(MNU_CODIGO_ALIMENTO_ENTREGA=CONCATENATE($C148,"_","P_"),MNU_GRAMAJE_REQUERIDO_TIPOB,"")))</f>
        <v>50</v>
      </c>
      <c r="N148" s="343">
        <f t="shared" si="104"/>
        <v>152728</v>
      </c>
      <c r="O148" s="343">
        <f t="shared" si="105"/>
        <v>0</v>
      </c>
      <c r="P148" s="343">
        <f t="shared" si="106"/>
        <v>152728</v>
      </c>
      <c r="Q148" s="344">
        <f t="shared" si="107"/>
        <v>102785944</v>
      </c>
      <c r="R148" s="344">
        <f t="shared" si="108"/>
        <v>0</v>
      </c>
      <c r="S148" s="344">
        <f t="shared" si="109"/>
        <v>102785944</v>
      </c>
      <c r="T148" s="348">
        <f t="array" ref="T148">MAX((IF(MNU_CODIGO_ALIMENTO_ENTREGA=CONCATENATE($C148,"_","P_"),MNU_GRAMAJE_REQUERIDO_TIPOC,"")))</f>
        <v>80</v>
      </c>
      <c r="U148" s="257">
        <f t="shared" si="110"/>
        <v>185589</v>
      </c>
      <c r="V148" s="257">
        <f t="shared" si="111"/>
        <v>3707</v>
      </c>
      <c r="W148" s="257">
        <f t="shared" si="112"/>
        <v>189296</v>
      </c>
      <c r="X148" s="258">
        <f t="shared" si="113"/>
        <v>199693764</v>
      </c>
      <c r="Y148" s="258">
        <f t="shared" si="114"/>
        <v>3988732</v>
      </c>
      <c r="Z148" s="258">
        <f t="shared" si="115"/>
        <v>203682496</v>
      </c>
      <c r="AA148" s="256">
        <f t="array" ref="AA148">MAX((IF(MNU_CODIGO_ALIMENTO_ENTREGA=CONCATENATE($C148,"_","P_"),MNU_GRAMAJE_REQUERIDO_TIPOM,"")))</f>
        <v>50</v>
      </c>
      <c r="AB148" s="259">
        <f t="shared" si="116"/>
        <v>2737</v>
      </c>
      <c r="AC148" s="259">
        <v>0</v>
      </c>
      <c r="AD148" s="259">
        <f t="shared" si="117"/>
        <v>2737</v>
      </c>
      <c r="AE148" s="260">
        <f t="shared" si="118"/>
        <v>1842001</v>
      </c>
      <c r="AF148" s="260">
        <v>0</v>
      </c>
      <c r="AG148" s="260">
        <f t="shared" si="119"/>
        <v>1842001</v>
      </c>
      <c r="AH148" s="348">
        <f t="array" ref="AH148">MAX((IF(MNU_CODIGO_ALIMENTO_ENTREGA=CONCATENATE($C148,"_","P_"),MNU_GRAMAJE_REQUERIDO_TIPOH,"")))</f>
        <v>80</v>
      </c>
      <c r="AI148" s="257">
        <f t="shared" si="120"/>
        <v>4913</v>
      </c>
      <c r="AJ148" s="257">
        <v>0</v>
      </c>
      <c r="AK148" s="257">
        <f t="shared" si="121"/>
        <v>4913</v>
      </c>
      <c r="AL148" s="258">
        <f t="shared" si="122"/>
        <v>5286388</v>
      </c>
      <c r="AM148" s="258">
        <v>0</v>
      </c>
      <c r="AN148" s="258">
        <f t="shared" si="123"/>
        <v>5286388</v>
      </c>
      <c r="AO148" s="451">
        <f t="shared" si="124"/>
        <v>450733</v>
      </c>
      <c r="AP148" s="450">
        <f t="shared" si="125"/>
        <v>381609536</v>
      </c>
      <c r="AQ148" s="261" t="e">
        <f>#REF!+AH148+AA148+T148+M148</f>
        <v>#REF!</v>
      </c>
      <c r="AR148" s="261">
        <f t="shared" si="84"/>
        <v>381955503</v>
      </c>
      <c r="AS148" s="261" t="e">
        <f t="shared" si="85"/>
        <v>#REF!</v>
      </c>
      <c r="AT148" s="261">
        <f t="shared" si="86"/>
        <v>382305177</v>
      </c>
      <c r="AU148" s="261" t="e">
        <f t="shared" si="87"/>
        <v>#REF!</v>
      </c>
      <c r="AV148" s="261">
        <f t="shared" si="88"/>
        <v>386293909</v>
      </c>
      <c r="AW148" s="261" t="e">
        <f t="shared" si="89"/>
        <v>#REF!</v>
      </c>
      <c r="AX148" s="261" t="e">
        <f>AV148+#REF!+AH148+AA148+T148</f>
        <v>#REF!</v>
      </c>
      <c r="AY148" s="261" t="e">
        <f t="shared" si="90"/>
        <v>#REF!</v>
      </c>
      <c r="AZ148" s="261" t="e">
        <f t="shared" si="91"/>
        <v>#REF!</v>
      </c>
      <c r="BA148" s="261" t="e">
        <f t="shared" si="92"/>
        <v>#REF!</v>
      </c>
      <c r="BB148" s="261" t="e">
        <f t="shared" si="93"/>
        <v>#REF!</v>
      </c>
      <c r="BC148" s="261" t="e">
        <f t="shared" si="94"/>
        <v>#REF!</v>
      </c>
      <c r="BD148" s="261" t="e">
        <f t="shared" si="95"/>
        <v>#REF!</v>
      </c>
      <c r="BE148" s="261" t="e">
        <f>BC148+AV148+#REF!+AH148+AA148</f>
        <v>#REF!</v>
      </c>
      <c r="BF148" s="261" t="e">
        <f t="shared" si="96"/>
        <v>#REF!</v>
      </c>
      <c r="BG148" s="261" t="e">
        <f t="shared" si="97"/>
        <v>#REF!</v>
      </c>
    </row>
    <row r="149" spans="1:59" ht="15.75">
      <c r="A149" s="333">
        <v>12</v>
      </c>
      <c r="B149" s="333" t="s">
        <v>1607</v>
      </c>
      <c r="C149" s="256">
        <v>24</v>
      </c>
      <c r="D149" s="322" t="s">
        <v>61</v>
      </c>
      <c r="E149" s="256" t="s">
        <v>9</v>
      </c>
      <c r="F149" s="425">
        <f t="array" ref="F149">MAX((IF(MNU_CODIGO_ALIMENTO_ENTREGA=CONCATENATE($C149,"_","P_"),MNU_GRAMAJE_REQUERIDO_TIPOA,"")))</f>
        <v>20</v>
      </c>
      <c r="G149" s="257">
        <f t="shared" si="98"/>
        <v>95999</v>
      </c>
      <c r="H149" s="257">
        <f t="shared" si="99"/>
        <v>5060</v>
      </c>
      <c r="I149" s="257">
        <f t="shared" si="100"/>
        <v>101059</v>
      </c>
      <c r="J149" s="258">
        <f t="shared" si="101"/>
        <v>12287872</v>
      </c>
      <c r="K149" s="258">
        <f t="shared" si="102"/>
        <v>647680</v>
      </c>
      <c r="L149" s="258">
        <f t="shared" si="103"/>
        <v>12935552</v>
      </c>
      <c r="M149" s="426">
        <f t="array" ref="M149">MAX((IF(MNU_CODIGO_ALIMENTO_ENTREGA=CONCATENATE($C149,"_","P_"),MNU_GRAMAJE_REQUERIDO_TIPOB,"")))</f>
        <v>30</v>
      </c>
      <c r="N149" s="343">
        <f t="shared" si="104"/>
        <v>152728</v>
      </c>
      <c r="O149" s="343">
        <f t="shared" si="105"/>
        <v>0</v>
      </c>
      <c r="P149" s="343">
        <f t="shared" si="106"/>
        <v>152728</v>
      </c>
      <c r="Q149" s="344">
        <f t="shared" si="107"/>
        <v>30545600</v>
      </c>
      <c r="R149" s="344">
        <f t="shared" si="108"/>
        <v>0</v>
      </c>
      <c r="S149" s="344">
        <f t="shared" si="109"/>
        <v>30545600</v>
      </c>
      <c r="T149" s="348">
        <f t="array" ref="T149">MAX((IF(MNU_CODIGO_ALIMENTO_ENTREGA=CONCATENATE($C149,"_","P_"),MNU_GRAMAJE_REQUERIDO_TIPOC,"")))</f>
        <v>60</v>
      </c>
      <c r="U149" s="257">
        <f t="shared" si="110"/>
        <v>185589</v>
      </c>
      <c r="V149" s="257">
        <f t="shared" si="111"/>
        <v>3707</v>
      </c>
      <c r="W149" s="257">
        <f t="shared" si="112"/>
        <v>189296</v>
      </c>
      <c r="X149" s="258">
        <f t="shared" si="113"/>
        <v>71451765</v>
      </c>
      <c r="Y149" s="258">
        <f t="shared" si="114"/>
        <v>1427195</v>
      </c>
      <c r="Z149" s="258">
        <f t="shared" si="115"/>
        <v>72878960</v>
      </c>
      <c r="AA149" s="256">
        <f t="array" ref="AA149">MAX((IF(MNU_CODIGO_ALIMENTO_ENTREGA=CONCATENATE($C149,"_","P_"),MNU_GRAMAJE_REQUERIDO_TIPOM,"")))</f>
        <v>30</v>
      </c>
      <c r="AB149" s="259">
        <f t="shared" si="116"/>
        <v>2737</v>
      </c>
      <c r="AC149" s="259">
        <v>0</v>
      </c>
      <c r="AD149" s="259">
        <f t="shared" si="117"/>
        <v>2737</v>
      </c>
      <c r="AE149" s="260">
        <f t="shared" si="118"/>
        <v>547400</v>
      </c>
      <c r="AF149" s="260">
        <v>0</v>
      </c>
      <c r="AG149" s="260">
        <f t="shared" si="119"/>
        <v>547400</v>
      </c>
      <c r="AH149" s="348">
        <f t="array" ref="AH149">MAX((IF(MNU_CODIGO_ALIMENTO_ENTREGA=CONCATENATE($C149,"_","P_"),MNU_GRAMAJE_REQUERIDO_TIPOH,"")))</f>
        <v>60</v>
      </c>
      <c r="AI149" s="257">
        <f t="shared" si="120"/>
        <v>4913</v>
      </c>
      <c r="AJ149" s="257">
        <v>0</v>
      </c>
      <c r="AK149" s="257">
        <f t="shared" si="121"/>
        <v>4913</v>
      </c>
      <c r="AL149" s="258">
        <f t="shared" si="122"/>
        <v>1891505</v>
      </c>
      <c r="AM149" s="258">
        <v>0</v>
      </c>
      <c r="AN149" s="258">
        <f t="shared" si="123"/>
        <v>1891505</v>
      </c>
      <c r="AO149" s="451">
        <f t="shared" si="124"/>
        <v>450733</v>
      </c>
      <c r="AP149" s="450">
        <f t="shared" si="125"/>
        <v>118799017</v>
      </c>
      <c r="AQ149" s="261" t="e">
        <f>#REF!+AH149+AA149+T149+M149</f>
        <v>#REF!</v>
      </c>
      <c r="AR149" s="261">
        <f t="shared" si="84"/>
        <v>119144984</v>
      </c>
      <c r="AS149" s="261" t="e">
        <f t="shared" si="85"/>
        <v>#REF!</v>
      </c>
      <c r="AT149" s="261">
        <f t="shared" si="86"/>
        <v>119494658</v>
      </c>
      <c r="AU149" s="261" t="e">
        <f t="shared" si="87"/>
        <v>#REF!</v>
      </c>
      <c r="AV149" s="261">
        <f t="shared" si="88"/>
        <v>120921853</v>
      </c>
      <c r="AW149" s="261" t="e">
        <f t="shared" si="89"/>
        <v>#REF!</v>
      </c>
      <c r="AX149" s="261" t="e">
        <f>AV149+#REF!+AH149+AA149+T149</f>
        <v>#REF!</v>
      </c>
      <c r="AY149" s="261" t="e">
        <f t="shared" si="90"/>
        <v>#REF!</v>
      </c>
      <c r="AZ149" s="261" t="e">
        <f t="shared" si="91"/>
        <v>#REF!</v>
      </c>
      <c r="BA149" s="261" t="e">
        <f t="shared" si="92"/>
        <v>#REF!</v>
      </c>
      <c r="BB149" s="261" t="e">
        <f t="shared" si="93"/>
        <v>#REF!</v>
      </c>
      <c r="BC149" s="261" t="e">
        <f t="shared" si="94"/>
        <v>#REF!</v>
      </c>
      <c r="BD149" s="261" t="e">
        <f t="shared" si="95"/>
        <v>#REF!</v>
      </c>
      <c r="BE149" s="261" t="e">
        <f>BC149+AV149+#REF!+AH149+AA149</f>
        <v>#REF!</v>
      </c>
      <c r="BF149" s="261" t="e">
        <f t="shared" si="96"/>
        <v>#REF!</v>
      </c>
      <c r="BG149" s="261" t="e">
        <f t="shared" si="97"/>
        <v>#REF!</v>
      </c>
    </row>
    <row r="150" spans="1:59" ht="15.75">
      <c r="A150" s="333">
        <v>12</v>
      </c>
      <c r="B150" s="333" t="s">
        <v>1607</v>
      </c>
      <c r="C150" s="256">
        <v>25</v>
      </c>
      <c r="D150" s="322" t="s">
        <v>64</v>
      </c>
      <c r="E150" s="256" t="s">
        <v>9</v>
      </c>
      <c r="F150" s="425">
        <f t="array" ref="F150">MAX((IF(MNU_CODIGO_ALIMENTO_ENTREGA=CONCATENATE($C150,"_","P_"),MNU_GRAMAJE_REQUERIDO_TIPOA,"")))</f>
        <v>40</v>
      </c>
      <c r="G150" s="257">
        <f t="shared" si="98"/>
        <v>95999</v>
      </c>
      <c r="H150" s="257">
        <f t="shared" si="99"/>
        <v>10120</v>
      </c>
      <c r="I150" s="257">
        <f t="shared" si="100"/>
        <v>106119</v>
      </c>
      <c r="J150" s="258">
        <f t="shared" si="101"/>
        <v>24575744</v>
      </c>
      <c r="K150" s="258">
        <f t="shared" si="102"/>
        <v>2590720</v>
      </c>
      <c r="L150" s="258">
        <f t="shared" si="103"/>
        <v>27166464</v>
      </c>
      <c r="M150" s="426">
        <f t="array" ref="M150">MAX((IF(MNU_CODIGO_ALIMENTO_ENTREGA=CONCATENATE($C150,"_","P_"),MNU_GRAMAJE_REQUERIDO_TIPOB,"")))</f>
        <v>40</v>
      </c>
      <c r="N150" s="343">
        <f t="shared" si="104"/>
        <v>152728</v>
      </c>
      <c r="O150" s="343">
        <f t="shared" si="105"/>
        <v>0</v>
      </c>
      <c r="P150" s="343">
        <f t="shared" si="106"/>
        <v>152728</v>
      </c>
      <c r="Q150" s="344">
        <f t="shared" si="107"/>
        <v>39098368</v>
      </c>
      <c r="R150" s="344">
        <f t="shared" si="108"/>
        <v>0</v>
      </c>
      <c r="S150" s="344">
        <f t="shared" si="109"/>
        <v>39098368</v>
      </c>
      <c r="T150" s="348">
        <f t="array" ref="T150">MAX((IF(MNU_CODIGO_ALIMENTO_ENTREGA=CONCATENATE($C150,"_","P_"),MNU_GRAMAJE_REQUERIDO_TIPOC,"")))</f>
        <v>60</v>
      </c>
      <c r="U150" s="257">
        <f t="shared" si="110"/>
        <v>185589</v>
      </c>
      <c r="V150" s="257">
        <f t="shared" si="111"/>
        <v>7414</v>
      </c>
      <c r="W150" s="257">
        <f t="shared" si="112"/>
        <v>193003</v>
      </c>
      <c r="X150" s="258">
        <f t="shared" si="113"/>
        <v>71266176</v>
      </c>
      <c r="Y150" s="258">
        <f t="shared" si="114"/>
        <v>2846976</v>
      </c>
      <c r="Z150" s="258">
        <f t="shared" si="115"/>
        <v>74113152</v>
      </c>
      <c r="AA150" s="256">
        <f t="array" ref="AA150">MAX((IF(MNU_CODIGO_ALIMENTO_ENTREGA=CONCATENATE($C150,"_","P_"),MNU_GRAMAJE_REQUERIDO_TIPOM,"")))</f>
        <v>40</v>
      </c>
      <c r="AB150" s="259">
        <f t="shared" si="116"/>
        <v>2737</v>
      </c>
      <c r="AC150" s="259">
        <v>0</v>
      </c>
      <c r="AD150" s="259">
        <f t="shared" si="117"/>
        <v>2737</v>
      </c>
      <c r="AE150" s="260">
        <f t="shared" si="118"/>
        <v>700672</v>
      </c>
      <c r="AF150" s="260">
        <v>0</v>
      </c>
      <c r="AG150" s="260">
        <f t="shared" si="119"/>
        <v>700672</v>
      </c>
      <c r="AH150" s="348">
        <f t="array" ref="AH150">MAX((IF(MNU_CODIGO_ALIMENTO_ENTREGA=CONCATENATE($C150,"_","P_"),MNU_GRAMAJE_REQUERIDO_TIPOH,"")))</f>
        <v>60</v>
      </c>
      <c r="AI150" s="257">
        <f t="shared" si="120"/>
        <v>4913</v>
      </c>
      <c r="AJ150" s="257">
        <v>0</v>
      </c>
      <c r="AK150" s="257">
        <f t="shared" si="121"/>
        <v>4913</v>
      </c>
      <c r="AL150" s="258">
        <f t="shared" si="122"/>
        <v>1886592</v>
      </c>
      <c r="AM150" s="258">
        <v>0</v>
      </c>
      <c r="AN150" s="258">
        <f t="shared" si="123"/>
        <v>1886592</v>
      </c>
      <c r="AO150" s="451">
        <f t="shared" si="124"/>
        <v>459500</v>
      </c>
      <c r="AP150" s="450">
        <f t="shared" si="125"/>
        <v>142965248</v>
      </c>
      <c r="AQ150" s="261" t="e">
        <f>#REF!+AH150+AA150+T150+M150</f>
        <v>#REF!</v>
      </c>
      <c r="AR150" s="261">
        <f t="shared" si="84"/>
        <v>143311215</v>
      </c>
      <c r="AS150" s="261" t="e">
        <f t="shared" si="85"/>
        <v>#REF!</v>
      </c>
      <c r="AT150" s="261">
        <f t="shared" si="86"/>
        <v>143664596</v>
      </c>
      <c r="AU150" s="261" t="e">
        <f t="shared" si="87"/>
        <v>#REF!</v>
      </c>
      <c r="AV150" s="261">
        <f t="shared" si="88"/>
        <v>146511572</v>
      </c>
      <c r="AW150" s="261" t="e">
        <f t="shared" si="89"/>
        <v>#REF!</v>
      </c>
      <c r="AX150" s="261" t="e">
        <f>AV150+#REF!+AH150+AA150+T150</f>
        <v>#REF!</v>
      </c>
      <c r="AY150" s="261" t="e">
        <f t="shared" si="90"/>
        <v>#REF!</v>
      </c>
      <c r="AZ150" s="261" t="e">
        <f t="shared" si="91"/>
        <v>#REF!</v>
      </c>
      <c r="BA150" s="261" t="e">
        <f t="shared" si="92"/>
        <v>#REF!</v>
      </c>
      <c r="BB150" s="261" t="e">
        <f t="shared" si="93"/>
        <v>#REF!</v>
      </c>
      <c r="BC150" s="261" t="e">
        <f t="shared" si="94"/>
        <v>#REF!</v>
      </c>
      <c r="BD150" s="261" t="e">
        <f t="shared" si="95"/>
        <v>#REF!</v>
      </c>
      <c r="BE150" s="261" t="e">
        <f>BC150+AV150+#REF!+AH150+AA150</f>
        <v>#REF!</v>
      </c>
      <c r="BF150" s="261" t="e">
        <f t="shared" si="96"/>
        <v>#REF!</v>
      </c>
      <c r="BG150" s="261" t="e">
        <f t="shared" si="97"/>
        <v>#REF!</v>
      </c>
    </row>
    <row r="151" spans="1:59" ht="15.75">
      <c r="A151" s="333">
        <v>12</v>
      </c>
      <c r="B151" s="333" t="s">
        <v>1607</v>
      </c>
      <c r="C151" s="256">
        <v>26</v>
      </c>
      <c r="D151" s="322" t="s">
        <v>69</v>
      </c>
      <c r="E151" s="256" t="s">
        <v>9</v>
      </c>
      <c r="F151" s="425">
        <f t="array" ref="F151">MAX((IF(MNU_CODIGO_ALIMENTO_ENTREGA=CONCATENATE($C151,"_","P_"),MNU_GRAMAJE_REQUERIDO_TIPOA,"")))</f>
        <v>30</v>
      </c>
      <c r="G151" s="257">
        <f t="shared" si="98"/>
        <v>33882</v>
      </c>
      <c r="H151" s="257">
        <f t="shared" si="99"/>
        <v>0</v>
      </c>
      <c r="I151" s="257">
        <f t="shared" si="100"/>
        <v>33882</v>
      </c>
      <c r="J151" s="258">
        <f t="shared" si="101"/>
        <v>5793822</v>
      </c>
      <c r="K151" s="258">
        <f t="shared" si="102"/>
        <v>0</v>
      </c>
      <c r="L151" s="258">
        <f t="shared" si="103"/>
        <v>5793822</v>
      </c>
      <c r="M151" s="426">
        <f t="array" ref="M151">MAX((IF(MNU_CODIGO_ALIMENTO_ENTREGA=CONCATENATE($C151,"_","P_"),MNU_GRAMAJE_REQUERIDO_TIPOB,"")))</f>
        <v>30</v>
      </c>
      <c r="N151" s="343">
        <f t="shared" si="104"/>
        <v>53904</v>
      </c>
      <c r="O151" s="343">
        <f t="shared" si="105"/>
        <v>0</v>
      </c>
      <c r="P151" s="343">
        <f t="shared" si="106"/>
        <v>53904</v>
      </c>
      <c r="Q151" s="344">
        <f t="shared" si="107"/>
        <v>9217584</v>
      </c>
      <c r="R151" s="344">
        <f t="shared" si="108"/>
        <v>0</v>
      </c>
      <c r="S151" s="344">
        <f t="shared" si="109"/>
        <v>9217584</v>
      </c>
      <c r="T151" s="348">
        <f t="array" ref="T151">MAX((IF(MNU_CODIGO_ALIMENTO_ENTREGA=CONCATENATE($C151,"_","P_"),MNU_GRAMAJE_REQUERIDO_TIPOC,"")))</f>
        <v>30</v>
      </c>
      <c r="U151" s="257">
        <f t="shared" si="110"/>
        <v>65502</v>
      </c>
      <c r="V151" s="257">
        <f t="shared" si="111"/>
        <v>0</v>
      </c>
      <c r="W151" s="257">
        <f t="shared" si="112"/>
        <v>65502</v>
      </c>
      <c r="X151" s="258">
        <f t="shared" si="113"/>
        <v>11200842</v>
      </c>
      <c r="Y151" s="258">
        <f t="shared" si="114"/>
        <v>0</v>
      </c>
      <c r="Z151" s="258">
        <f t="shared" si="115"/>
        <v>11200842</v>
      </c>
      <c r="AA151" s="256">
        <f t="array" ref="AA151">MAX((IF(MNU_CODIGO_ALIMENTO_ENTREGA=CONCATENATE($C151,"_","P_"),MNU_GRAMAJE_REQUERIDO_TIPOM,"")))</f>
        <v>30</v>
      </c>
      <c r="AB151" s="259">
        <f t="shared" si="116"/>
        <v>966</v>
      </c>
      <c r="AC151" s="259">
        <v>0</v>
      </c>
      <c r="AD151" s="259">
        <f t="shared" si="117"/>
        <v>966</v>
      </c>
      <c r="AE151" s="260">
        <f t="shared" si="118"/>
        <v>165186</v>
      </c>
      <c r="AF151" s="260">
        <v>0</v>
      </c>
      <c r="AG151" s="260">
        <f t="shared" si="119"/>
        <v>165186</v>
      </c>
      <c r="AH151" s="348">
        <f t="array" ref="AH151">MAX((IF(MNU_CODIGO_ALIMENTO_ENTREGA=CONCATENATE($C151,"_","P_"),MNU_GRAMAJE_REQUERIDO_TIPOH,"")))</f>
        <v>30</v>
      </c>
      <c r="AI151" s="257">
        <f t="shared" si="120"/>
        <v>1734</v>
      </c>
      <c r="AJ151" s="257">
        <v>0</v>
      </c>
      <c r="AK151" s="257">
        <f t="shared" si="121"/>
        <v>1734</v>
      </c>
      <c r="AL151" s="258">
        <f t="shared" si="122"/>
        <v>296514</v>
      </c>
      <c r="AM151" s="258">
        <v>0</v>
      </c>
      <c r="AN151" s="258">
        <f t="shared" si="123"/>
        <v>296514</v>
      </c>
      <c r="AO151" s="451">
        <f t="shared" si="124"/>
        <v>155988</v>
      </c>
      <c r="AP151" s="450">
        <f t="shared" si="125"/>
        <v>26673948</v>
      </c>
      <c r="AQ151" s="261" t="e">
        <f>#REF!+AH151+AA151+T151+M151</f>
        <v>#REF!</v>
      </c>
      <c r="AR151" s="261">
        <f t="shared" si="84"/>
        <v>26796054</v>
      </c>
      <c r="AS151" s="261" t="e">
        <f t="shared" si="85"/>
        <v>#REF!</v>
      </c>
      <c r="AT151" s="261">
        <f t="shared" si="86"/>
        <v>26918160</v>
      </c>
      <c r="AU151" s="261" t="e">
        <f t="shared" si="87"/>
        <v>#REF!</v>
      </c>
      <c r="AV151" s="261">
        <f t="shared" si="88"/>
        <v>26918160</v>
      </c>
      <c r="AW151" s="261" t="e">
        <f t="shared" si="89"/>
        <v>#REF!</v>
      </c>
      <c r="AX151" s="261" t="e">
        <f>AV151+#REF!+AH151+AA151+T151</f>
        <v>#REF!</v>
      </c>
      <c r="AY151" s="261" t="e">
        <f t="shared" si="90"/>
        <v>#REF!</v>
      </c>
      <c r="AZ151" s="261" t="e">
        <f t="shared" si="91"/>
        <v>#REF!</v>
      </c>
      <c r="BA151" s="261" t="e">
        <f t="shared" si="92"/>
        <v>#REF!</v>
      </c>
      <c r="BB151" s="261" t="e">
        <f t="shared" si="93"/>
        <v>#REF!</v>
      </c>
      <c r="BC151" s="261" t="e">
        <f t="shared" si="94"/>
        <v>#REF!</v>
      </c>
      <c r="BD151" s="261" t="e">
        <f t="shared" si="95"/>
        <v>#REF!</v>
      </c>
      <c r="BE151" s="261" t="e">
        <f>BC151+AV151+#REF!+AH151+AA151</f>
        <v>#REF!</v>
      </c>
      <c r="BF151" s="261" t="e">
        <f t="shared" si="96"/>
        <v>#REF!</v>
      </c>
      <c r="BG151" s="261" t="e">
        <f t="shared" si="97"/>
        <v>#REF!</v>
      </c>
    </row>
    <row r="152" spans="1:59" ht="27">
      <c r="A152" s="333">
        <v>12</v>
      </c>
      <c r="B152" s="333" t="s">
        <v>1607</v>
      </c>
      <c r="C152" s="256">
        <v>28</v>
      </c>
      <c r="D152" s="322" t="s">
        <v>67</v>
      </c>
      <c r="E152" s="256" t="s">
        <v>9</v>
      </c>
      <c r="F152" s="425">
        <f t="array" ref="F152">MAX((IF(MNU_CODIGO_ALIMENTO_ENTREGA=CONCATENATE($C152,"_","P_"),MNU_GRAMAJE_REQUERIDO_TIPOA,"")))</f>
        <v>30</v>
      </c>
      <c r="G152" s="257">
        <f t="shared" si="98"/>
        <v>33882</v>
      </c>
      <c r="H152" s="257">
        <f t="shared" si="99"/>
        <v>8740</v>
      </c>
      <c r="I152" s="257">
        <f t="shared" si="100"/>
        <v>42622</v>
      </c>
      <c r="J152" s="258">
        <f t="shared" si="101"/>
        <v>7657332</v>
      </c>
      <c r="K152" s="258">
        <f t="shared" si="102"/>
        <v>1975240</v>
      </c>
      <c r="L152" s="258">
        <f t="shared" si="103"/>
        <v>9632572</v>
      </c>
      <c r="M152" s="426">
        <f t="array" ref="M152">MAX((IF(MNU_CODIGO_ALIMENTO_ENTREGA=CONCATENATE($C152,"_","P_"),MNU_GRAMAJE_REQUERIDO_TIPOB,"")))</f>
        <v>40</v>
      </c>
      <c r="N152" s="343">
        <f t="shared" si="104"/>
        <v>53904</v>
      </c>
      <c r="O152" s="343">
        <f t="shared" si="105"/>
        <v>0</v>
      </c>
      <c r="P152" s="343">
        <f t="shared" si="106"/>
        <v>53904</v>
      </c>
      <c r="Q152" s="344">
        <f t="shared" si="107"/>
        <v>16225104</v>
      </c>
      <c r="R152" s="344">
        <f t="shared" si="108"/>
        <v>0</v>
      </c>
      <c r="S152" s="344">
        <f t="shared" si="109"/>
        <v>16225104</v>
      </c>
      <c r="T152" s="348">
        <f t="array" ref="T152">MAX((IF(MNU_CODIGO_ALIMENTO_ENTREGA=CONCATENATE($C152,"_","P_"),MNU_GRAMAJE_REQUERIDO_TIPOC,"")))</f>
        <v>60</v>
      </c>
      <c r="U152" s="257">
        <f t="shared" si="110"/>
        <v>65502</v>
      </c>
      <c r="V152" s="257">
        <f t="shared" si="111"/>
        <v>6403</v>
      </c>
      <c r="W152" s="257">
        <f t="shared" si="112"/>
        <v>71905</v>
      </c>
      <c r="X152" s="258">
        <f t="shared" si="113"/>
        <v>29541402</v>
      </c>
      <c r="Y152" s="258">
        <f t="shared" si="114"/>
        <v>2887753</v>
      </c>
      <c r="Z152" s="258">
        <f t="shared" si="115"/>
        <v>32429155</v>
      </c>
      <c r="AA152" s="256">
        <f t="array" ref="AA152">MAX((IF(MNU_CODIGO_ALIMENTO_ENTREGA=CONCATENATE($C152,"_","P_"),MNU_GRAMAJE_REQUERIDO_TIPOM,"")))</f>
        <v>40</v>
      </c>
      <c r="AB152" s="259">
        <f t="shared" si="116"/>
        <v>966</v>
      </c>
      <c r="AC152" s="259">
        <v>0</v>
      </c>
      <c r="AD152" s="259">
        <f t="shared" si="117"/>
        <v>966</v>
      </c>
      <c r="AE152" s="260">
        <f t="shared" si="118"/>
        <v>290766</v>
      </c>
      <c r="AF152" s="260">
        <v>0</v>
      </c>
      <c r="AG152" s="260">
        <f t="shared" si="119"/>
        <v>290766</v>
      </c>
      <c r="AH152" s="348">
        <f t="array" ref="AH152">MAX((IF(MNU_CODIGO_ALIMENTO_ENTREGA=CONCATENATE($C152,"_","P_"),MNU_GRAMAJE_REQUERIDO_TIPOH,"")))</f>
        <v>60</v>
      </c>
      <c r="AI152" s="257">
        <f t="shared" si="120"/>
        <v>1734</v>
      </c>
      <c r="AJ152" s="257">
        <v>0</v>
      </c>
      <c r="AK152" s="257">
        <f t="shared" si="121"/>
        <v>1734</v>
      </c>
      <c r="AL152" s="258">
        <f t="shared" si="122"/>
        <v>782034</v>
      </c>
      <c r="AM152" s="258">
        <v>0</v>
      </c>
      <c r="AN152" s="258">
        <f t="shared" si="123"/>
        <v>782034</v>
      </c>
      <c r="AO152" s="451">
        <f t="shared" si="124"/>
        <v>171131</v>
      </c>
      <c r="AP152" s="450">
        <f t="shared" si="125"/>
        <v>59359631</v>
      </c>
      <c r="AQ152" s="261" t="e">
        <f>#REF!+AH152+AA152+T152+M152</f>
        <v>#REF!</v>
      </c>
      <c r="AR152" s="261">
        <f t="shared" si="84"/>
        <v>59481737</v>
      </c>
      <c r="AS152" s="261" t="e">
        <f t="shared" si="85"/>
        <v>#REF!</v>
      </c>
      <c r="AT152" s="261">
        <f t="shared" si="86"/>
        <v>59610246</v>
      </c>
      <c r="AU152" s="261" t="e">
        <f t="shared" si="87"/>
        <v>#REF!</v>
      </c>
      <c r="AV152" s="261">
        <f t="shared" si="88"/>
        <v>62497999</v>
      </c>
      <c r="AW152" s="261" t="e">
        <f t="shared" si="89"/>
        <v>#REF!</v>
      </c>
      <c r="AX152" s="261" t="e">
        <f>AV152+#REF!+AH152+AA152+T152</f>
        <v>#REF!</v>
      </c>
      <c r="AY152" s="261" t="e">
        <f t="shared" si="90"/>
        <v>#REF!</v>
      </c>
      <c r="AZ152" s="261" t="e">
        <f t="shared" si="91"/>
        <v>#REF!</v>
      </c>
      <c r="BA152" s="261" t="e">
        <f t="shared" si="92"/>
        <v>#REF!</v>
      </c>
      <c r="BB152" s="261" t="e">
        <f t="shared" si="93"/>
        <v>#REF!</v>
      </c>
      <c r="BC152" s="261" t="e">
        <f t="shared" si="94"/>
        <v>#REF!</v>
      </c>
      <c r="BD152" s="261" t="e">
        <f t="shared" si="95"/>
        <v>#REF!</v>
      </c>
      <c r="BE152" s="261" t="e">
        <f>BC152+AV152+#REF!+AH152+AA152</f>
        <v>#REF!</v>
      </c>
      <c r="BF152" s="261" t="e">
        <f t="shared" si="96"/>
        <v>#REF!</v>
      </c>
      <c r="BG152" s="261" t="e">
        <f t="shared" si="97"/>
        <v>#REF!</v>
      </c>
    </row>
    <row r="153" spans="1:59" ht="15.75">
      <c r="A153" s="333">
        <v>12</v>
      </c>
      <c r="B153" s="333" t="s">
        <v>1607</v>
      </c>
      <c r="C153" s="256">
        <v>30</v>
      </c>
      <c r="D153" s="322" t="s">
        <v>63</v>
      </c>
      <c r="E153" s="256" t="s">
        <v>9</v>
      </c>
      <c r="F153" s="425">
        <f t="array" ref="F153">MAX((IF(MNU_CODIGO_ALIMENTO_ENTREGA=CONCATENATE($C153,"_","P_"),MNU_GRAMAJE_REQUERIDO_TIPOA,"")))</f>
        <v>30</v>
      </c>
      <c r="G153" s="257">
        <f t="shared" si="98"/>
        <v>90352</v>
      </c>
      <c r="H153" s="257">
        <f t="shared" si="99"/>
        <v>0</v>
      </c>
      <c r="I153" s="257">
        <f t="shared" si="100"/>
        <v>90352</v>
      </c>
      <c r="J153" s="258">
        <f t="shared" si="101"/>
        <v>29996864</v>
      </c>
      <c r="K153" s="258">
        <f t="shared" si="102"/>
        <v>0</v>
      </c>
      <c r="L153" s="258">
        <f t="shared" si="103"/>
        <v>29996864</v>
      </c>
      <c r="M153" s="426">
        <f t="array" ref="M153">MAX((IF(MNU_CODIGO_ALIMENTO_ENTREGA=CONCATENATE($C153,"_","P_"),MNU_GRAMAJE_REQUERIDO_TIPOB,"")))</f>
        <v>30</v>
      </c>
      <c r="N153" s="343">
        <f t="shared" si="104"/>
        <v>143744</v>
      </c>
      <c r="O153" s="343">
        <f t="shared" si="105"/>
        <v>0</v>
      </c>
      <c r="P153" s="343">
        <f t="shared" si="106"/>
        <v>143744</v>
      </c>
      <c r="Q153" s="344">
        <f t="shared" si="107"/>
        <v>47723008</v>
      </c>
      <c r="R153" s="344">
        <f t="shared" si="108"/>
        <v>0</v>
      </c>
      <c r="S153" s="344">
        <f t="shared" si="109"/>
        <v>47723008</v>
      </c>
      <c r="T153" s="348">
        <f t="array" ref="T153">MAX((IF(MNU_CODIGO_ALIMENTO_ENTREGA=CONCATENATE($C153,"_","P_"),MNU_GRAMAJE_REQUERIDO_TIPOC,"")))</f>
        <v>30</v>
      </c>
      <c r="U153" s="257">
        <f t="shared" si="110"/>
        <v>174672</v>
      </c>
      <c r="V153" s="257">
        <f t="shared" si="111"/>
        <v>0</v>
      </c>
      <c r="W153" s="257">
        <f t="shared" si="112"/>
        <v>174672</v>
      </c>
      <c r="X153" s="258">
        <f t="shared" si="113"/>
        <v>57991104</v>
      </c>
      <c r="Y153" s="258">
        <f t="shared" si="114"/>
        <v>0</v>
      </c>
      <c r="Z153" s="258">
        <f t="shared" si="115"/>
        <v>57991104</v>
      </c>
      <c r="AA153" s="256">
        <f t="array" ref="AA153">MAX((IF(MNU_CODIGO_ALIMENTO_ENTREGA=CONCATENATE($C153,"_","P_"),MNU_GRAMAJE_REQUERIDO_TIPOM,"")))</f>
        <v>30</v>
      </c>
      <c r="AB153" s="259">
        <f t="shared" si="116"/>
        <v>2576</v>
      </c>
      <c r="AC153" s="259">
        <v>0</v>
      </c>
      <c r="AD153" s="259">
        <f t="shared" si="117"/>
        <v>2576</v>
      </c>
      <c r="AE153" s="260">
        <f t="shared" si="118"/>
        <v>855232</v>
      </c>
      <c r="AF153" s="260">
        <v>0</v>
      </c>
      <c r="AG153" s="260">
        <f t="shared" si="119"/>
        <v>855232</v>
      </c>
      <c r="AH153" s="348">
        <f t="array" ref="AH153">MAX((IF(MNU_CODIGO_ALIMENTO_ENTREGA=CONCATENATE($C153,"_","P_"),MNU_GRAMAJE_REQUERIDO_TIPOH,"")))</f>
        <v>30</v>
      </c>
      <c r="AI153" s="257">
        <f t="shared" si="120"/>
        <v>4624</v>
      </c>
      <c r="AJ153" s="257">
        <v>0</v>
      </c>
      <c r="AK153" s="257">
        <f t="shared" si="121"/>
        <v>4624</v>
      </c>
      <c r="AL153" s="258">
        <f t="shared" si="122"/>
        <v>1535168</v>
      </c>
      <c r="AM153" s="258">
        <v>0</v>
      </c>
      <c r="AN153" s="258">
        <f t="shared" si="123"/>
        <v>1535168</v>
      </c>
      <c r="AO153" s="451">
        <f t="shared" si="124"/>
        <v>415968</v>
      </c>
      <c r="AP153" s="450">
        <f t="shared" si="125"/>
        <v>138101376</v>
      </c>
      <c r="AQ153" s="261" t="e">
        <f>#REF!+AH153+AA153+T153+M153</f>
        <v>#REF!</v>
      </c>
      <c r="AR153" s="261">
        <f t="shared" si="84"/>
        <v>138426992</v>
      </c>
      <c r="AS153" s="261" t="e">
        <f t="shared" si="85"/>
        <v>#REF!</v>
      </c>
      <c r="AT153" s="261">
        <f t="shared" si="86"/>
        <v>138752608</v>
      </c>
      <c r="AU153" s="261" t="e">
        <f t="shared" si="87"/>
        <v>#REF!</v>
      </c>
      <c r="AV153" s="261">
        <f t="shared" si="88"/>
        <v>138752608</v>
      </c>
      <c r="AW153" s="261" t="e">
        <f t="shared" si="89"/>
        <v>#REF!</v>
      </c>
      <c r="AX153" s="261" t="e">
        <f>AV153+#REF!+AH153+AA153+T153</f>
        <v>#REF!</v>
      </c>
      <c r="AY153" s="261" t="e">
        <f t="shared" si="90"/>
        <v>#REF!</v>
      </c>
      <c r="AZ153" s="261" t="e">
        <f t="shared" si="91"/>
        <v>#REF!</v>
      </c>
      <c r="BA153" s="261" t="e">
        <f t="shared" si="92"/>
        <v>#REF!</v>
      </c>
      <c r="BB153" s="261" t="e">
        <f t="shared" si="93"/>
        <v>#REF!</v>
      </c>
      <c r="BC153" s="261" t="e">
        <f t="shared" si="94"/>
        <v>#REF!</v>
      </c>
      <c r="BD153" s="261" t="e">
        <f t="shared" si="95"/>
        <v>#REF!</v>
      </c>
      <c r="BE153" s="261" t="e">
        <f>BC153+AV153+#REF!+AH153+AA153</f>
        <v>#REF!</v>
      </c>
      <c r="BF153" s="261" t="e">
        <f t="shared" si="96"/>
        <v>#REF!</v>
      </c>
      <c r="BG153" s="261" t="e">
        <f t="shared" si="97"/>
        <v>#REF!</v>
      </c>
    </row>
    <row r="154" spans="1:59" ht="15.75">
      <c r="A154" s="333">
        <v>12</v>
      </c>
      <c r="B154" s="333" t="s">
        <v>1607</v>
      </c>
      <c r="C154" s="256">
        <v>45</v>
      </c>
      <c r="D154" s="322" t="s">
        <v>10</v>
      </c>
      <c r="E154" s="256" t="s">
        <v>9</v>
      </c>
      <c r="F154" s="425">
        <f t="array" ref="F154">MAX((IF(MNU_CODIGO_ALIMENTO_ENTREGA=CONCATENATE($C154,"_","P_"),MNU_GRAMAJE_REQUERIDO_TIPOA,"")))</f>
        <v>20</v>
      </c>
      <c r="G154" s="257">
        <f t="shared" si="98"/>
        <v>90352</v>
      </c>
      <c r="H154" s="257">
        <f t="shared" si="99"/>
        <v>9200</v>
      </c>
      <c r="I154" s="257">
        <f t="shared" si="100"/>
        <v>99552</v>
      </c>
      <c r="J154" s="258">
        <f t="shared" si="101"/>
        <v>17980048</v>
      </c>
      <c r="K154" s="258">
        <f t="shared" si="102"/>
        <v>1830800</v>
      </c>
      <c r="L154" s="258">
        <f t="shared" si="103"/>
        <v>19810848</v>
      </c>
      <c r="M154" s="426">
        <f t="array" ref="M154">MAX((IF(MNU_CODIGO_ALIMENTO_ENTREGA=CONCATENATE($C154,"_","P_"),MNU_GRAMAJE_REQUERIDO_TIPOB,"")))</f>
        <v>30</v>
      </c>
      <c r="N154" s="343">
        <f t="shared" si="104"/>
        <v>143744</v>
      </c>
      <c r="O154" s="343">
        <f t="shared" si="105"/>
        <v>0</v>
      </c>
      <c r="P154" s="343">
        <f t="shared" si="106"/>
        <v>143744</v>
      </c>
      <c r="Q154" s="344">
        <f t="shared" si="107"/>
        <v>42835712</v>
      </c>
      <c r="R154" s="344">
        <f t="shared" si="108"/>
        <v>0</v>
      </c>
      <c r="S154" s="344">
        <f t="shared" si="109"/>
        <v>42835712</v>
      </c>
      <c r="T154" s="348">
        <f t="array" ref="T154">MAX((IF(MNU_CODIGO_ALIMENTO_ENTREGA=CONCATENATE($C154,"_","P_"),MNU_GRAMAJE_REQUERIDO_TIPOC,"")))</f>
        <v>60</v>
      </c>
      <c r="U154" s="257">
        <f t="shared" si="110"/>
        <v>174672</v>
      </c>
      <c r="V154" s="257">
        <f t="shared" si="111"/>
        <v>6740</v>
      </c>
      <c r="W154" s="257">
        <f t="shared" si="112"/>
        <v>181412</v>
      </c>
      <c r="X154" s="258">
        <f t="shared" si="113"/>
        <v>104279184</v>
      </c>
      <c r="Y154" s="258">
        <f t="shared" si="114"/>
        <v>4023780</v>
      </c>
      <c r="Z154" s="258">
        <f t="shared" si="115"/>
        <v>108302964</v>
      </c>
      <c r="AA154" s="256">
        <f t="array" ref="AA154">MAX((IF(MNU_CODIGO_ALIMENTO_ENTREGA=CONCATENATE($C154,"_","P_"),MNU_GRAMAJE_REQUERIDO_TIPOM,"")))</f>
        <v>30</v>
      </c>
      <c r="AB154" s="259">
        <f t="shared" si="116"/>
        <v>2576</v>
      </c>
      <c r="AC154" s="259">
        <v>0</v>
      </c>
      <c r="AD154" s="259">
        <f t="shared" si="117"/>
        <v>2576</v>
      </c>
      <c r="AE154" s="260">
        <f t="shared" si="118"/>
        <v>767648</v>
      </c>
      <c r="AF154" s="260">
        <v>0</v>
      </c>
      <c r="AG154" s="260">
        <f t="shared" si="119"/>
        <v>767648</v>
      </c>
      <c r="AH154" s="348">
        <f t="array" ref="AH154">MAX((IF(MNU_CODIGO_ALIMENTO_ENTREGA=CONCATENATE($C154,"_","P_"),MNU_GRAMAJE_REQUERIDO_TIPOH,"")))</f>
        <v>60</v>
      </c>
      <c r="AI154" s="257">
        <f t="shared" si="120"/>
        <v>4624</v>
      </c>
      <c r="AJ154" s="257">
        <v>0</v>
      </c>
      <c r="AK154" s="257">
        <f t="shared" si="121"/>
        <v>4624</v>
      </c>
      <c r="AL154" s="258">
        <f t="shared" si="122"/>
        <v>2760528</v>
      </c>
      <c r="AM154" s="258">
        <v>0</v>
      </c>
      <c r="AN154" s="258">
        <f t="shared" si="123"/>
        <v>2760528</v>
      </c>
      <c r="AO154" s="451">
        <f t="shared" si="124"/>
        <v>431908</v>
      </c>
      <c r="AP154" s="450">
        <f t="shared" si="125"/>
        <v>174477700</v>
      </c>
      <c r="AQ154" s="261" t="e">
        <f>#REF!+AH154+AA154+T154+M154</f>
        <v>#REF!</v>
      </c>
      <c r="AR154" s="261">
        <f t="shared" si="84"/>
        <v>174803316</v>
      </c>
      <c r="AS154" s="261" t="e">
        <f t="shared" si="85"/>
        <v>#REF!</v>
      </c>
      <c r="AT154" s="261">
        <f t="shared" si="86"/>
        <v>175135672</v>
      </c>
      <c r="AU154" s="261" t="e">
        <f t="shared" si="87"/>
        <v>#REF!</v>
      </c>
      <c r="AV154" s="261">
        <f t="shared" si="88"/>
        <v>179159452</v>
      </c>
      <c r="AW154" s="261" t="e">
        <f t="shared" si="89"/>
        <v>#REF!</v>
      </c>
      <c r="AX154" s="261" t="e">
        <f>AV154+#REF!+AH154+AA154+T154</f>
        <v>#REF!</v>
      </c>
      <c r="AY154" s="261" t="e">
        <f t="shared" si="90"/>
        <v>#REF!</v>
      </c>
      <c r="AZ154" s="261" t="e">
        <f t="shared" si="91"/>
        <v>#REF!</v>
      </c>
      <c r="BA154" s="261" t="e">
        <f t="shared" si="92"/>
        <v>#REF!</v>
      </c>
      <c r="BB154" s="261" t="e">
        <f t="shared" si="93"/>
        <v>#REF!</v>
      </c>
      <c r="BC154" s="261" t="e">
        <f t="shared" si="94"/>
        <v>#REF!</v>
      </c>
      <c r="BD154" s="261" t="e">
        <f t="shared" si="95"/>
        <v>#REF!</v>
      </c>
      <c r="BE154" s="261" t="e">
        <f>BC154+AV154+#REF!+AH154+AA154</f>
        <v>#REF!</v>
      </c>
      <c r="BF154" s="261" t="e">
        <f t="shared" si="96"/>
        <v>#REF!</v>
      </c>
      <c r="BG154" s="261" t="e">
        <f t="shared" si="97"/>
        <v>#REF!</v>
      </c>
    </row>
    <row r="155" spans="1:59" ht="15.75">
      <c r="A155" s="333">
        <v>12</v>
      </c>
      <c r="B155" s="333" t="s">
        <v>1607</v>
      </c>
      <c r="C155" s="256">
        <v>50</v>
      </c>
      <c r="D155" s="322" t="s">
        <v>65</v>
      </c>
      <c r="E155" s="256" t="s">
        <v>9</v>
      </c>
      <c r="F155" s="425">
        <f t="array" ref="F155">MAX((IF(MNU_CODIGO_ALIMENTO_ENTREGA=CONCATENATE($C155,"_","P_"),MNU_GRAMAJE_REQUERIDO_TIPOA,"")))</f>
        <v>30</v>
      </c>
      <c r="G155" s="257">
        <f t="shared" si="98"/>
        <v>95999</v>
      </c>
      <c r="H155" s="257">
        <f t="shared" si="99"/>
        <v>0</v>
      </c>
      <c r="I155" s="257">
        <f t="shared" si="100"/>
        <v>95999</v>
      </c>
      <c r="J155" s="258">
        <f t="shared" si="101"/>
        <v>30815679</v>
      </c>
      <c r="K155" s="258">
        <f t="shared" si="102"/>
        <v>0</v>
      </c>
      <c r="L155" s="258">
        <f t="shared" si="103"/>
        <v>30815679</v>
      </c>
      <c r="M155" s="426">
        <f t="array" ref="M155">MAX((IF(MNU_CODIGO_ALIMENTO_ENTREGA=CONCATENATE($C155,"_","P_"),MNU_GRAMAJE_REQUERIDO_TIPOB,"")))</f>
        <v>40</v>
      </c>
      <c r="N155" s="343">
        <f t="shared" si="104"/>
        <v>152728</v>
      </c>
      <c r="O155" s="343">
        <f t="shared" si="105"/>
        <v>0</v>
      </c>
      <c r="P155" s="343">
        <f t="shared" si="106"/>
        <v>152728</v>
      </c>
      <c r="Q155" s="344">
        <f t="shared" si="107"/>
        <v>65367584</v>
      </c>
      <c r="R155" s="344">
        <f t="shared" si="108"/>
        <v>0</v>
      </c>
      <c r="S155" s="344">
        <f t="shared" si="109"/>
        <v>65367584</v>
      </c>
      <c r="T155" s="348">
        <f t="array" ref="T155">MAX((IF(MNU_CODIGO_ALIMENTO_ENTREGA=CONCATENATE($C155,"_","P_"),MNU_GRAMAJE_REQUERIDO_TIPOC,"")))</f>
        <v>80</v>
      </c>
      <c r="U155" s="257">
        <f t="shared" si="110"/>
        <v>185589</v>
      </c>
      <c r="V155" s="257">
        <f t="shared" si="111"/>
        <v>0</v>
      </c>
      <c r="W155" s="257">
        <f t="shared" si="112"/>
        <v>185589</v>
      </c>
      <c r="X155" s="258">
        <f t="shared" si="113"/>
        <v>158678595</v>
      </c>
      <c r="Y155" s="258">
        <f t="shared" si="114"/>
        <v>0</v>
      </c>
      <c r="Z155" s="258">
        <f t="shared" si="115"/>
        <v>158678595</v>
      </c>
      <c r="AA155" s="256">
        <f t="array" ref="AA155">MAX((IF(MNU_CODIGO_ALIMENTO_ENTREGA=CONCATENATE($C155,"_","P_"),MNU_GRAMAJE_REQUERIDO_TIPOM,"")))</f>
        <v>40</v>
      </c>
      <c r="AB155" s="259">
        <f t="shared" si="116"/>
        <v>2737</v>
      </c>
      <c r="AC155" s="259">
        <v>0</v>
      </c>
      <c r="AD155" s="259">
        <f t="shared" si="117"/>
        <v>2737</v>
      </c>
      <c r="AE155" s="260">
        <f t="shared" si="118"/>
        <v>1171436</v>
      </c>
      <c r="AF155" s="260">
        <v>0</v>
      </c>
      <c r="AG155" s="260">
        <f t="shared" si="119"/>
        <v>1171436</v>
      </c>
      <c r="AH155" s="348">
        <f t="array" ref="AH155">MAX((IF(MNU_CODIGO_ALIMENTO_ENTREGA=CONCATENATE($C155,"_","P_"),MNU_GRAMAJE_REQUERIDO_TIPOH,"")))</f>
        <v>80</v>
      </c>
      <c r="AI155" s="257">
        <f t="shared" si="120"/>
        <v>4913</v>
      </c>
      <c r="AJ155" s="257">
        <v>0</v>
      </c>
      <c r="AK155" s="257">
        <f t="shared" si="121"/>
        <v>4913</v>
      </c>
      <c r="AL155" s="258">
        <f t="shared" si="122"/>
        <v>4200615</v>
      </c>
      <c r="AM155" s="258">
        <v>0</v>
      </c>
      <c r="AN155" s="258">
        <f t="shared" si="123"/>
        <v>4200615</v>
      </c>
      <c r="AO155" s="451">
        <f t="shared" si="124"/>
        <v>441966</v>
      </c>
      <c r="AP155" s="450">
        <f t="shared" si="125"/>
        <v>260233909</v>
      </c>
      <c r="AQ155" s="261" t="e">
        <f>#REF!+AH155+AA155+T155+M155</f>
        <v>#REF!</v>
      </c>
      <c r="AR155" s="261">
        <f t="shared" si="84"/>
        <v>260579876</v>
      </c>
      <c r="AS155" s="261" t="e">
        <f t="shared" si="85"/>
        <v>#REF!</v>
      </c>
      <c r="AT155" s="261">
        <f t="shared" si="86"/>
        <v>260925843</v>
      </c>
      <c r="AU155" s="261" t="e">
        <f t="shared" si="87"/>
        <v>#REF!</v>
      </c>
      <c r="AV155" s="261">
        <f t="shared" si="88"/>
        <v>260925843</v>
      </c>
      <c r="AW155" s="261" t="e">
        <f t="shared" si="89"/>
        <v>#REF!</v>
      </c>
      <c r="AX155" s="261" t="e">
        <f>AV155+#REF!+AH155+AA155+T155</f>
        <v>#REF!</v>
      </c>
      <c r="AY155" s="261" t="e">
        <f t="shared" si="90"/>
        <v>#REF!</v>
      </c>
      <c r="AZ155" s="261" t="e">
        <f t="shared" si="91"/>
        <v>#REF!</v>
      </c>
      <c r="BA155" s="261" t="e">
        <f t="shared" si="92"/>
        <v>#REF!</v>
      </c>
      <c r="BB155" s="261" t="e">
        <f t="shared" si="93"/>
        <v>#REF!</v>
      </c>
      <c r="BC155" s="261" t="e">
        <f t="shared" si="94"/>
        <v>#REF!</v>
      </c>
      <c r="BD155" s="261" t="e">
        <f t="shared" si="95"/>
        <v>#REF!</v>
      </c>
      <c r="BE155" s="261" t="e">
        <f>BC155+AV155+#REF!+AH155+AA155</f>
        <v>#REF!</v>
      </c>
      <c r="BF155" s="261" t="e">
        <f t="shared" si="96"/>
        <v>#REF!</v>
      </c>
      <c r="BG155" s="261" t="e">
        <f t="shared" si="97"/>
        <v>#REF!</v>
      </c>
    </row>
    <row r="156" spans="1:59" ht="15.75">
      <c r="A156" s="333">
        <v>12</v>
      </c>
      <c r="B156" s="333" t="s">
        <v>1607</v>
      </c>
      <c r="C156" s="256">
        <v>61</v>
      </c>
      <c r="D156" s="322" t="s">
        <v>13</v>
      </c>
      <c r="E156" s="256" t="s">
        <v>9</v>
      </c>
      <c r="F156" s="425">
        <f t="array" ref="F156">MAX((IF(MNU_CODIGO_ALIMENTO_ENTREGA=CONCATENATE($C156,"_","P_"),MNU_GRAMAJE_REQUERIDO_TIPOA,"")))</f>
        <v>20</v>
      </c>
      <c r="G156" s="257">
        <f t="shared" si="98"/>
        <v>90352</v>
      </c>
      <c r="H156" s="257">
        <f t="shared" si="99"/>
        <v>9200</v>
      </c>
      <c r="I156" s="257">
        <f t="shared" si="100"/>
        <v>99552</v>
      </c>
      <c r="J156" s="258">
        <f t="shared" si="101"/>
        <v>21052016</v>
      </c>
      <c r="K156" s="258">
        <f t="shared" si="102"/>
        <v>2143600</v>
      </c>
      <c r="L156" s="258">
        <f t="shared" si="103"/>
        <v>23195616</v>
      </c>
      <c r="M156" s="426">
        <f t="array" ref="M156">MAX((IF(MNU_CODIGO_ALIMENTO_ENTREGA=CONCATENATE($C156,"_","P_"),MNU_GRAMAJE_REQUERIDO_TIPOB,"")))</f>
        <v>30</v>
      </c>
      <c r="N156" s="343">
        <f t="shared" si="104"/>
        <v>143744</v>
      </c>
      <c r="O156" s="343">
        <f t="shared" si="105"/>
        <v>0</v>
      </c>
      <c r="P156" s="343">
        <f t="shared" si="106"/>
        <v>143744</v>
      </c>
      <c r="Q156" s="344">
        <f t="shared" si="107"/>
        <v>50454144</v>
      </c>
      <c r="R156" s="344">
        <f t="shared" si="108"/>
        <v>0</v>
      </c>
      <c r="S156" s="344">
        <f t="shared" si="109"/>
        <v>50454144</v>
      </c>
      <c r="T156" s="348">
        <f t="array" ref="T156">MAX((IF(MNU_CODIGO_ALIMENTO_ENTREGA=CONCATENATE($C156,"_","P_"),MNU_GRAMAJE_REQUERIDO_TIPOC,"")))</f>
        <v>70</v>
      </c>
      <c r="U156" s="257">
        <f t="shared" si="110"/>
        <v>174672</v>
      </c>
      <c r="V156" s="257">
        <f t="shared" si="111"/>
        <v>6740</v>
      </c>
      <c r="W156" s="257">
        <f t="shared" si="112"/>
        <v>181412</v>
      </c>
      <c r="X156" s="258">
        <f t="shared" si="113"/>
        <v>142881696</v>
      </c>
      <c r="Y156" s="258">
        <f t="shared" si="114"/>
        <v>5513320</v>
      </c>
      <c r="Z156" s="258">
        <f t="shared" si="115"/>
        <v>148395016</v>
      </c>
      <c r="AA156" s="256">
        <f t="array" ref="AA156">MAX((IF(MNU_CODIGO_ALIMENTO_ENTREGA=CONCATENATE($C156,"_","P_"),MNU_GRAMAJE_REQUERIDO_TIPOM,"")))</f>
        <v>30</v>
      </c>
      <c r="AB156" s="259">
        <f t="shared" si="116"/>
        <v>2576</v>
      </c>
      <c r="AC156" s="259">
        <v>0</v>
      </c>
      <c r="AD156" s="259">
        <f t="shared" si="117"/>
        <v>2576</v>
      </c>
      <c r="AE156" s="260">
        <f t="shared" si="118"/>
        <v>904176</v>
      </c>
      <c r="AF156" s="260">
        <v>0</v>
      </c>
      <c r="AG156" s="260">
        <f t="shared" si="119"/>
        <v>904176</v>
      </c>
      <c r="AH156" s="348">
        <f t="array" ref="AH156">MAX((IF(MNU_CODIGO_ALIMENTO_ENTREGA=CONCATENATE($C156,"_","P_"),MNU_GRAMAJE_REQUERIDO_TIPOH,"")))</f>
        <v>70</v>
      </c>
      <c r="AI156" s="257">
        <f t="shared" si="120"/>
        <v>4624</v>
      </c>
      <c r="AJ156" s="257">
        <v>0</v>
      </c>
      <c r="AK156" s="257">
        <f t="shared" si="121"/>
        <v>4624</v>
      </c>
      <c r="AL156" s="258">
        <f t="shared" si="122"/>
        <v>3782432</v>
      </c>
      <c r="AM156" s="258">
        <v>0</v>
      </c>
      <c r="AN156" s="258">
        <f t="shared" si="123"/>
        <v>3782432</v>
      </c>
      <c r="AO156" s="451">
        <f t="shared" si="124"/>
        <v>431908</v>
      </c>
      <c r="AP156" s="450">
        <f t="shared" si="125"/>
        <v>226731384</v>
      </c>
      <c r="AQ156" s="261" t="e">
        <f>#REF!+AH156+AA156+T156+M156</f>
        <v>#REF!</v>
      </c>
      <c r="AR156" s="261">
        <f t="shared" si="84"/>
        <v>227057000</v>
      </c>
      <c r="AS156" s="261" t="e">
        <f t="shared" si="85"/>
        <v>#REF!</v>
      </c>
      <c r="AT156" s="261">
        <f t="shared" si="86"/>
        <v>227389356</v>
      </c>
      <c r="AU156" s="261" t="e">
        <f t="shared" si="87"/>
        <v>#REF!</v>
      </c>
      <c r="AV156" s="261">
        <f t="shared" si="88"/>
        <v>232902676</v>
      </c>
      <c r="AW156" s="261" t="e">
        <f t="shared" si="89"/>
        <v>#REF!</v>
      </c>
      <c r="AX156" s="261" t="e">
        <f>AV156+#REF!+AH156+AA156+T156</f>
        <v>#REF!</v>
      </c>
      <c r="AY156" s="261" t="e">
        <f t="shared" si="90"/>
        <v>#REF!</v>
      </c>
      <c r="AZ156" s="261" t="e">
        <f t="shared" si="91"/>
        <v>#REF!</v>
      </c>
      <c r="BA156" s="261" t="e">
        <f t="shared" si="92"/>
        <v>#REF!</v>
      </c>
      <c r="BB156" s="261" t="e">
        <f t="shared" si="93"/>
        <v>#REF!</v>
      </c>
      <c r="BC156" s="261" t="e">
        <f t="shared" si="94"/>
        <v>#REF!</v>
      </c>
      <c r="BD156" s="261" t="e">
        <f t="shared" si="95"/>
        <v>#REF!</v>
      </c>
      <c r="BE156" s="261" t="e">
        <f>BC156+AV156+#REF!+AH156+AA156</f>
        <v>#REF!</v>
      </c>
      <c r="BF156" s="261" t="e">
        <f t="shared" si="96"/>
        <v>#REF!</v>
      </c>
      <c r="BG156" s="261" t="e">
        <f t="shared" si="97"/>
        <v>#REF!</v>
      </c>
    </row>
    <row r="157" spans="1:59" ht="15.75">
      <c r="A157" s="333">
        <v>12</v>
      </c>
      <c r="B157" s="333" t="s">
        <v>1607</v>
      </c>
      <c r="C157" s="256">
        <v>62</v>
      </c>
      <c r="D157" s="322" t="s">
        <v>68</v>
      </c>
      <c r="E157" s="256" t="s">
        <v>9</v>
      </c>
      <c r="F157" s="425">
        <f t="array" ref="F157">MAX((IF(MNU_CODIGO_ALIMENTO_ENTREGA=CONCATENATE($C157,"_","P_"),MNU_GRAMAJE_REQUERIDO_TIPOA,"")))</f>
        <v>50</v>
      </c>
      <c r="G157" s="257">
        <f t="shared" si="98"/>
        <v>28235</v>
      </c>
      <c r="H157" s="257">
        <f t="shared" si="99"/>
        <v>0</v>
      </c>
      <c r="I157" s="257">
        <f t="shared" si="100"/>
        <v>28235</v>
      </c>
      <c r="J157" s="258">
        <f t="shared" si="101"/>
        <v>17646875</v>
      </c>
      <c r="K157" s="258">
        <f t="shared" si="102"/>
        <v>0</v>
      </c>
      <c r="L157" s="258">
        <f t="shared" si="103"/>
        <v>17646875</v>
      </c>
      <c r="M157" s="426">
        <f t="array" ref="M157">MAX((IF(MNU_CODIGO_ALIMENTO_ENTREGA=CONCATENATE($C157,"_","P_"),MNU_GRAMAJE_REQUERIDO_TIPOB,"")))</f>
        <v>50</v>
      </c>
      <c r="N157" s="343">
        <f t="shared" si="104"/>
        <v>44920</v>
      </c>
      <c r="O157" s="343">
        <f t="shared" si="105"/>
        <v>0</v>
      </c>
      <c r="P157" s="343">
        <f t="shared" si="106"/>
        <v>44920</v>
      </c>
      <c r="Q157" s="344">
        <f t="shared" si="107"/>
        <v>28075000</v>
      </c>
      <c r="R157" s="344">
        <f t="shared" si="108"/>
        <v>0</v>
      </c>
      <c r="S157" s="344">
        <f t="shared" si="109"/>
        <v>28075000</v>
      </c>
      <c r="T157" s="348">
        <f t="array" ref="T157">MAX((IF(MNU_CODIGO_ALIMENTO_ENTREGA=CONCATENATE($C157,"_","P_"),MNU_GRAMAJE_REQUERIDO_TIPOC,"")))</f>
        <v>50</v>
      </c>
      <c r="U157" s="257">
        <f t="shared" si="110"/>
        <v>54585</v>
      </c>
      <c r="V157" s="257">
        <f t="shared" si="111"/>
        <v>0</v>
      </c>
      <c r="W157" s="257">
        <f t="shared" si="112"/>
        <v>54585</v>
      </c>
      <c r="X157" s="258">
        <f t="shared" si="113"/>
        <v>34115625</v>
      </c>
      <c r="Y157" s="258">
        <f t="shared" si="114"/>
        <v>0</v>
      </c>
      <c r="Z157" s="258">
        <f t="shared" si="115"/>
        <v>34115625</v>
      </c>
      <c r="AA157" s="256">
        <f t="array" ref="AA157">MAX((IF(MNU_CODIGO_ALIMENTO_ENTREGA=CONCATENATE($C157,"_","P_"),MNU_GRAMAJE_REQUERIDO_TIPOM,"")))</f>
        <v>50</v>
      </c>
      <c r="AB157" s="259">
        <f t="shared" si="116"/>
        <v>805</v>
      </c>
      <c r="AC157" s="259">
        <v>0</v>
      </c>
      <c r="AD157" s="259">
        <f t="shared" si="117"/>
        <v>805</v>
      </c>
      <c r="AE157" s="260">
        <f t="shared" si="118"/>
        <v>503125</v>
      </c>
      <c r="AF157" s="260">
        <v>0</v>
      </c>
      <c r="AG157" s="260">
        <f t="shared" si="119"/>
        <v>503125</v>
      </c>
      <c r="AH157" s="348">
        <f t="array" ref="AH157">MAX((IF(MNU_CODIGO_ALIMENTO_ENTREGA=CONCATENATE($C157,"_","P_"),MNU_GRAMAJE_REQUERIDO_TIPOH,"")))</f>
        <v>50</v>
      </c>
      <c r="AI157" s="257">
        <f t="shared" si="120"/>
        <v>1445</v>
      </c>
      <c r="AJ157" s="257">
        <v>0</v>
      </c>
      <c r="AK157" s="257">
        <f t="shared" si="121"/>
        <v>1445</v>
      </c>
      <c r="AL157" s="258">
        <f t="shared" si="122"/>
        <v>903125</v>
      </c>
      <c r="AM157" s="258">
        <v>0</v>
      </c>
      <c r="AN157" s="258">
        <f t="shared" si="123"/>
        <v>903125</v>
      </c>
      <c r="AO157" s="451">
        <f t="shared" si="124"/>
        <v>129990</v>
      </c>
      <c r="AP157" s="450">
        <f t="shared" si="125"/>
        <v>81243750</v>
      </c>
      <c r="AQ157" s="261" t="e">
        <f>#REF!+AH157+AA157+T157+M157</f>
        <v>#REF!</v>
      </c>
      <c r="AR157" s="261">
        <f t="shared" si="84"/>
        <v>81345505</v>
      </c>
      <c r="AS157" s="261" t="e">
        <f t="shared" si="85"/>
        <v>#REF!</v>
      </c>
      <c r="AT157" s="261">
        <f t="shared" si="86"/>
        <v>81447260</v>
      </c>
      <c r="AU157" s="261" t="e">
        <f t="shared" si="87"/>
        <v>#REF!</v>
      </c>
      <c r="AV157" s="261">
        <f t="shared" si="88"/>
        <v>81447260</v>
      </c>
      <c r="AW157" s="261" t="e">
        <f t="shared" si="89"/>
        <v>#REF!</v>
      </c>
      <c r="AX157" s="261" t="e">
        <f>AV157+#REF!+AH157+AA157+T157</f>
        <v>#REF!</v>
      </c>
      <c r="AY157" s="261" t="e">
        <f t="shared" si="90"/>
        <v>#REF!</v>
      </c>
      <c r="AZ157" s="261" t="e">
        <f t="shared" si="91"/>
        <v>#REF!</v>
      </c>
      <c r="BA157" s="261" t="e">
        <f t="shared" si="92"/>
        <v>#REF!</v>
      </c>
      <c r="BB157" s="261" t="e">
        <f t="shared" si="93"/>
        <v>#REF!</v>
      </c>
      <c r="BC157" s="261" t="e">
        <f t="shared" si="94"/>
        <v>#REF!</v>
      </c>
      <c r="BD157" s="261" t="e">
        <f t="shared" si="95"/>
        <v>#REF!</v>
      </c>
      <c r="BE157" s="261" t="e">
        <f>BC157+AV157+#REF!+AH157+AA157</f>
        <v>#REF!</v>
      </c>
      <c r="BF157" s="261" t="e">
        <f t="shared" si="96"/>
        <v>#REF!</v>
      </c>
      <c r="BG157" s="261" t="e">
        <f t="shared" si="97"/>
        <v>#REF!</v>
      </c>
    </row>
    <row r="158" spans="1:59" ht="15.75">
      <c r="A158" s="333">
        <v>13</v>
      </c>
      <c r="B158" s="333" t="s">
        <v>1607</v>
      </c>
      <c r="C158" s="256">
        <v>1</v>
      </c>
      <c r="D158" s="322" t="s">
        <v>16</v>
      </c>
      <c r="E158" s="256" t="s">
        <v>9</v>
      </c>
      <c r="F158" s="425">
        <f t="array" ref="F158">MAX((IF(MNU_CODIGO_ALIMENTO_ENTREGA=CONCATENATE($C158,"_","P_"),MNU_GRAMAJE_REQUERIDO_TIPOA,"")))</f>
        <v>30</v>
      </c>
      <c r="G158" s="257">
        <f t="shared" si="98"/>
        <v>77430</v>
      </c>
      <c r="H158" s="257">
        <f t="shared" si="99"/>
        <v>0</v>
      </c>
      <c r="I158" s="257">
        <f t="shared" si="100"/>
        <v>77430</v>
      </c>
      <c r="J158" s="258">
        <f t="shared" si="101"/>
        <v>62563440</v>
      </c>
      <c r="K158" s="258">
        <f t="shared" si="102"/>
        <v>0</v>
      </c>
      <c r="L158" s="258">
        <f t="shared" si="103"/>
        <v>62563440</v>
      </c>
      <c r="M158" s="426">
        <f t="array" ref="M158">MAX((IF(MNU_CODIGO_ALIMENTO_ENTREGA=CONCATENATE($C158,"_","P_"),MNU_GRAMAJE_REQUERIDO_TIPOB,"")))</f>
        <v>40</v>
      </c>
      <c r="N158" s="343">
        <f t="shared" si="104"/>
        <v>112590</v>
      </c>
      <c r="O158" s="343">
        <f t="shared" si="105"/>
        <v>0</v>
      </c>
      <c r="P158" s="343">
        <f t="shared" si="106"/>
        <v>112590</v>
      </c>
      <c r="Q158" s="344">
        <f t="shared" si="107"/>
        <v>121372020</v>
      </c>
      <c r="R158" s="344">
        <f t="shared" si="108"/>
        <v>0</v>
      </c>
      <c r="S158" s="344">
        <f t="shared" si="109"/>
        <v>121372020</v>
      </c>
      <c r="T158" s="348">
        <f t="array" ref="T158">MAX((IF(MNU_CODIGO_ALIMENTO_ENTREGA=CONCATENATE($C158,"_","P_"),MNU_GRAMAJE_REQUERIDO_TIPOC,"")))</f>
        <v>60</v>
      </c>
      <c r="U158" s="257">
        <f t="shared" si="110"/>
        <v>150810</v>
      </c>
      <c r="V158" s="257">
        <f t="shared" si="111"/>
        <v>0</v>
      </c>
      <c r="W158" s="257">
        <f t="shared" si="112"/>
        <v>150810</v>
      </c>
      <c r="X158" s="258">
        <f t="shared" si="113"/>
        <v>243708960</v>
      </c>
      <c r="Y158" s="258">
        <f t="shared" si="114"/>
        <v>0</v>
      </c>
      <c r="Z158" s="258">
        <f t="shared" si="115"/>
        <v>243708960</v>
      </c>
      <c r="AA158" s="256">
        <f t="array" ref="AA158">MAX((IF(MNU_CODIGO_ALIMENTO_ENTREGA=CONCATENATE($C158,"_","P_"),MNU_GRAMAJE_REQUERIDO_TIPOM,"")))</f>
        <v>40</v>
      </c>
      <c r="AB158" s="259">
        <f t="shared" si="116"/>
        <v>3405</v>
      </c>
      <c r="AC158" s="259">
        <v>0</v>
      </c>
      <c r="AD158" s="259">
        <f t="shared" si="117"/>
        <v>3405</v>
      </c>
      <c r="AE158" s="260">
        <f t="shared" si="118"/>
        <v>3670590</v>
      </c>
      <c r="AF158" s="260">
        <v>0</v>
      </c>
      <c r="AG158" s="260">
        <f t="shared" si="119"/>
        <v>3670590</v>
      </c>
      <c r="AH158" s="348">
        <f t="array" ref="AH158">MAX((IF(MNU_CODIGO_ALIMENTO_ENTREGA=CONCATENATE($C158,"_","P_"),MNU_GRAMAJE_REQUERIDO_TIPOH,"")))</f>
        <v>60</v>
      </c>
      <c r="AI158" s="257">
        <f t="shared" si="120"/>
        <v>4215</v>
      </c>
      <c r="AJ158" s="257">
        <v>0</v>
      </c>
      <c r="AK158" s="257">
        <f t="shared" si="121"/>
        <v>4215</v>
      </c>
      <c r="AL158" s="258">
        <f t="shared" si="122"/>
        <v>6811440</v>
      </c>
      <c r="AM158" s="258">
        <v>0</v>
      </c>
      <c r="AN158" s="258">
        <f t="shared" si="123"/>
        <v>6811440</v>
      </c>
      <c r="AO158" s="451">
        <f t="shared" si="124"/>
        <v>348450</v>
      </c>
      <c r="AP158" s="450">
        <f t="shared" si="125"/>
        <v>438126450</v>
      </c>
      <c r="AQ158" s="261" t="e">
        <f>#REF!+AH158+AA158+T158+M158</f>
        <v>#REF!</v>
      </c>
      <c r="AR158" s="261">
        <f t="shared" si="84"/>
        <v>438397470</v>
      </c>
      <c r="AS158" s="261" t="e">
        <f t="shared" si="85"/>
        <v>#REF!</v>
      </c>
      <c r="AT158" s="261">
        <f t="shared" si="86"/>
        <v>438668490</v>
      </c>
      <c r="AU158" s="261" t="e">
        <f t="shared" si="87"/>
        <v>#REF!</v>
      </c>
      <c r="AV158" s="261">
        <f t="shared" si="88"/>
        <v>438668490</v>
      </c>
      <c r="AW158" s="261" t="e">
        <f t="shared" si="89"/>
        <v>#REF!</v>
      </c>
      <c r="AX158" s="261" t="e">
        <f>AV158+#REF!+AH158+AA158+T158</f>
        <v>#REF!</v>
      </c>
      <c r="AY158" s="261" t="e">
        <f t="shared" si="90"/>
        <v>#REF!</v>
      </c>
      <c r="AZ158" s="261" t="e">
        <f t="shared" si="91"/>
        <v>#REF!</v>
      </c>
      <c r="BA158" s="261" t="e">
        <f t="shared" si="92"/>
        <v>#REF!</v>
      </c>
      <c r="BB158" s="261" t="e">
        <f t="shared" si="93"/>
        <v>#REF!</v>
      </c>
      <c r="BC158" s="261" t="e">
        <f t="shared" si="94"/>
        <v>#REF!</v>
      </c>
      <c r="BD158" s="261" t="e">
        <f t="shared" si="95"/>
        <v>#REF!</v>
      </c>
      <c r="BE158" s="261" t="e">
        <f>BC158+AV158+#REF!+AH158+AA158</f>
        <v>#REF!</v>
      </c>
      <c r="BF158" s="261" t="e">
        <f t="shared" si="96"/>
        <v>#REF!</v>
      </c>
      <c r="BG158" s="261" t="e">
        <f t="shared" si="97"/>
        <v>#REF!</v>
      </c>
    </row>
    <row r="159" spans="1:59" ht="15.75">
      <c r="A159" s="333">
        <v>13</v>
      </c>
      <c r="B159" s="333" t="s">
        <v>1607</v>
      </c>
      <c r="C159" s="256">
        <v>3</v>
      </c>
      <c r="D159" s="322" t="s">
        <v>12</v>
      </c>
      <c r="E159" s="256" t="s">
        <v>9</v>
      </c>
      <c r="F159" s="425">
        <f t="array" ref="F159">MAX((IF(MNU_CODIGO_ALIMENTO_ENTREGA=CONCATENATE($C159,"_","P_"),MNU_GRAMAJE_REQUERIDO_TIPOA,"")))</f>
        <v>50</v>
      </c>
      <c r="G159" s="257">
        <f t="shared" si="98"/>
        <v>87754</v>
      </c>
      <c r="H159" s="257">
        <f t="shared" si="99"/>
        <v>6194</v>
      </c>
      <c r="I159" s="257">
        <f t="shared" si="100"/>
        <v>93948</v>
      </c>
      <c r="J159" s="258">
        <f t="shared" si="101"/>
        <v>44315770</v>
      </c>
      <c r="K159" s="258">
        <f t="shared" si="102"/>
        <v>3127970</v>
      </c>
      <c r="L159" s="258">
        <f t="shared" si="103"/>
        <v>47443740</v>
      </c>
      <c r="M159" s="426">
        <f t="array" ref="M159">MAX((IF(MNU_CODIGO_ALIMENTO_ENTREGA=CONCATENATE($C159,"_","P_"),MNU_GRAMAJE_REQUERIDO_TIPOB,"")))</f>
        <v>50</v>
      </c>
      <c r="N159" s="343">
        <f t="shared" si="104"/>
        <v>127602</v>
      </c>
      <c r="O159" s="343">
        <f t="shared" si="105"/>
        <v>18430</v>
      </c>
      <c r="P159" s="343">
        <f t="shared" si="106"/>
        <v>146032</v>
      </c>
      <c r="Q159" s="344">
        <f t="shared" si="107"/>
        <v>64439010</v>
      </c>
      <c r="R159" s="344">
        <f t="shared" si="108"/>
        <v>9307150</v>
      </c>
      <c r="S159" s="344">
        <f t="shared" si="109"/>
        <v>73746160</v>
      </c>
      <c r="T159" s="348">
        <f t="array" ref="T159">MAX((IF(MNU_CODIGO_ALIMENTO_ENTREGA=CONCATENATE($C159,"_","P_"),MNU_GRAMAJE_REQUERIDO_TIPOC,"")))</f>
        <v>80</v>
      </c>
      <c r="U159" s="257">
        <f t="shared" si="110"/>
        <v>170918</v>
      </c>
      <c r="V159" s="257">
        <f t="shared" si="111"/>
        <v>30267</v>
      </c>
      <c r="W159" s="257">
        <f t="shared" si="112"/>
        <v>201185</v>
      </c>
      <c r="X159" s="258">
        <f t="shared" si="113"/>
        <v>130410434</v>
      </c>
      <c r="Y159" s="258">
        <f t="shared" si="114"/>
        <v>23093721</v>
      </c>
      <c r="Z159" s="258">
        <f t="shared" si="115"/>
        <v>153504155</v>
      </c>
      <c r="AA159" s="256">
        <f t="array" ref="AA159">MAX((IF(MNU_CODIGO_ALIMENTO_ENTREGA=CONCATENATE($C159,"_","P_"),MNU_GRAMAJE_REQUERIDO_TIPOM,"")))</f>
        <v>50</v>
      </c>
      <c r="AB159" s="259">
        <f t="shared" si="116"/>
        <v>3859</v>
      </c>
      <c r="AC159" s="259">
        <v>0</v>
      </c>
      <c r="AD159" s="259">
        <f t="shared" si="117"/>
        <v>3859</v>
      </c>
      <c r="AE159" s="260">
        <f t="shared" si="118"/>
        <v>1948795</v>
      </c>
      <c r="AF159" s="260">
        <v>0</v>
      </c>
      <c r="AG159" s="260">
        <f t="shared" si="119"/>
        <v>1948795</v>
      </c>
      <c r="AH159" s="348">
        <f t="array" ref="AH159">MAX((IF(MNU_CODIGO_ALIMENTO_ENTREGA=CONCATENATE($C159,"_","P_"),MNU_GRAMAJE_REQUERIDO_TIPOH,"")))</f>
        <v>80</v>
      </c>
      <c r="AI159" s="257">
        <f t="shared" si="120"/>
        <v>4777</v>
      </c>
      <c r="AJ159" s="257">
        <v>0</v>
      </c>
      <c r="AK159" s="257">
        <f t="shared" si="121"/>
        <v>4777</v>
      </c>
      <c r="AL159" s="258">
        <f t="shared" si="122"/>
        <v>3644851</v>
      </c>
      <c r="AM159" s="258">
        <v>0</v>
      </c>
      <c r="AN159" s="258">
        <f t="shared" si="123"/>
        <v>3644851</v>
      </c>
      <c r="AO159" s="451">
        <f t="shared" si="124"/>
        <v>449801</v>
      </c>
      <c r="AP159" s="450">
        <f t="shared" si="125"/>
        <v>280287701</v>
      </c>
      <c r="AQ159" s="261" t="e">
        <f>#REF!+AH159+AA159+T159+M159</f>
        <v>#REF!</v>
      </c>
      <c r="AR159" s="261">
        <f t="shared" si="84"/>
        <v>280594857</v>
      </c>
      <c r="AS159" s="261" t="e">
        <f t="shared" si="85"/>
        <v>#REF!</v>
      </c>
      <c r="AT159" s="261">
        <f t="shared" si="86"/>
        <v>280950710</v>
      </c>
      <c r="AU159" s="261" t="e">
        <f t="shared" si="87"/>
        <v>#REF!</v>
      </c>
      <c r="AV159" s="261">
        <f t="shared" si="88"/>
        <v>313351581</v>
      </c>
      <c r="AW159" s="261" t="e">
        <f t="shared" si="89"/>
        <v>#REF!</v>
      </c>
      <c r="AX159" s="261" t="e">
        <f>AV159+#REF!+AH159+AA159+T159</f>
        <v>#REF!</v>
      </c>
      <c r="AY159" s="261" t="e">
        <f t="shared" si="90"/>
        <v>#REF!</v>
      </c>
      <c r="AZ159" s="261" t="e">
        <f t="shared" si="91"/>
        <v>#REF!</v>
      </c>
      <c r="BA159" s="261" t="e">
        <f t="shared" si="92"/>
        <v>#REF!</v>
      </c>
      <c r="BB159" s="261" t="e">
        <f t="shared" si="93"/>
        <v>#REF!</v>
      </c>
      <c r="BC159" s="261" t="e">
        <f t="shared" si="94"/>
        <v>#REF!</v>
      </c>
      <c r="BD159" s="261" t="e">
        <f t="shared" si="95"/>
        <v>#REF!</v>
      </c>
      <c r="BE159" s="261" t="e">
        <f>BC159+AV159+#REF!+AH159+AA159</f>
        <v>#REF!</v>
      </c>
      <c r="BF159" s="261" t="e">
        <f t="shared" si="96"/>
        <v>#REF!</v>
      </c>
      <c r="BG159" s="261" t="e">
        <f t="shared" si="97"/>
        <v>#REF!</v>
      </c>
    </row>
    <row r="160" spans="1:59" ht="15.75">
      <c r="A160" s="333">
        <v>13</v>
      </c>
      <c r="B160" s="333" t="s">
        <v>1607</v>
      </c>
      <c r="C160" s="256">
        <v>15</v>
      </c>
      <c r="D160" s="322" t="s">
        <v>66</v>
      </c>
      <c r="E160" s="256" t="s">
        <v>9</v>
      </c>
      <c r="F160" s="425">
        <f t="array" ref="F160">MAX((IF(MNU_CODIGO_ALIMENTO_ENTREGA=CONCATENATE($C160,"_","P_"),MNU_GRAMAJE_REQUERIDO_TIPOA,"")))</f>
        <v>50</v>
      </c>
      <c r="G160" s="257">
        <f t="shared" si="98"/>
        <v>87754</v>
      </c>
      <c r="H160" s="257">
        <f t="shared" si="99"/>
        <v>3586</v>
      </c>
      <c r="I160" s="257">
        <f t="shared" si="100"/>
        <v>91340</v>
      </c>
      <c r="J160" s="258">
        <f t="shared" si="101"/>
        <v>59058442</v>
      </c>
      <c r="K160" s="258">
        <f t="shared" si="102"/>
        <v>2413378</v>
      </c>
      <c r="L160" s="258">
        <f t="shared" si="103"/>
        <v>61471820</v>
      </c>
      <c r="M160" s="426">
        <f t="array" ref="M160">MAX((IF(MNU_CODIGO_ALIMENTO_ENTREGA=CONCATENATE($C160,"_","P_"),MNU_GRAMAJE_REQUERIDO_TIPOB,"")))</f>
        <v>50</v>
      </c>
      <c r="N160" s="343">
        <f t="shared" si="104"/>
        <v>127602</v>
      </c>
      <c r="O160" s="343">
        <f t="shared" si="105"/>
        <v>10670</v>
      </c>
      <c r="P160" s="343">
        <f t="shared" si="106"/>
        <v>138272</v>
      </c>
      <c r="Q160" s="344">
        <f t="shared" si="107"/>
        <v>85876146</v>
      </c>
      <c r="R160" s="344">
        <f t="shared" si="108"/>
        <v>7180910</v>
      </c>
      <c r="S160" s="344">
        <f t="shared" si="109"/>
        <v>93057056</v>
      </c>
      <c r="T160" s="348">
        <f t="array" ref="T160">MAX((IF(MNU_CODIGO_ALIMENTO_ENTREGA=CONCATENATE($C160,"_","P_"),MNU_GRAMAJE_REQUERIDO_TIPOC,"")))</f>
        <v>80</v>
      </c>
      <c r="U160" s="257">
        <f t="shared" si="110"/>
        <v>170918</v>
      </c>
      <c r="V160" s="257">
        <f t="shared" si="111"/>
        <v>17523</v>
      </c>
      <c r="W160" s="257">
        <f t="shared" si="112"/>
        <v>188441</v>
      </c>
      <c r="X160" s="258">
        <f t="shared" si="113"/>
        <v>183907768</v>
      </c>
      <c r="Y160" s="258">
        <f t="shared" si="114"/>
        <v>18854748</v>
      </c>
      <c r="Z160" s="258">
        <f t="shared" si="115"/>
        <v>202762516</v>
      </c>
      <c r="AA160" s="256">
        <f t="array" ref="AA160">MAX((IF(MNU_CODIGO_ALIMENTO_ENTREGA=CONCATENATE($C160,"_","P_"),MNU_GRAMAJE_REQUERIDO_TIPOM,"")))</f>
        <v>50</v>
      </c>
      <c r="AB160" s="259">
        <f t="shared" si="116"/>
        <v>3859</v>
      </c>
      <c r="AC160" s="259">
        <v>0</v>
      </c>
      <c r="AD160" s="259">
        <f t="shared" si="117"/>
        <v>3859</v>
      </c>
      <c r="AE160" s="260">
        <f t="shared" si="118"/>
        <v>2597107</v>
      </c>
      <c r="AF160" s="260">
        <v>0</v>
      </c>
      <c r="AG160" s="260">
        <f t="shared" si="119"/>
        <v>2597107</v>
      </c>
      <c r="AH160" s="348">
        <f t="array" ref="AH160">MAX((IF(MNU_CODIGO_ALIMENTO_ENTREGA=CONCATENATE($C160,"_","P_"),MNU_GRAMAJE_REQUERIDO_TIPOH,"")))</f>
        <v>80</v>
      </c>
      <c r="AI160" s="257">
        <f t="shared" si="120"/>
        <v>4777</v>
      </c>
      <c r="AJ160" s="257">
        <v>0</v>
      </c>
      <c r="AK160" s="257">
        <f t="shared" si="121"/>
        <v>4777</v>
      </c>
      <c r="AL160" s="258">
        <f t="shared" si="122"/>
        <v>5140052</v>
      </c>
      <c r="AM160" s="258">
        <v>0</v>
      </c>
      <c r="AN160" s="258">
        <f t="shared" si="123"/>
        <v>5140052</v>
      </c>
      <c r="AO160" s="451">
        <f t="shared" si="124"/>
        <v>426689</v>
      </c>
      <c r="AP160" s="450">
        <f t="shared" si="125"/>
        <v>365028551</v>
      </c>
      <c r="AQ160" s="261" t="e">
        <f>#REF!+AH160+AA160+T160+M160</f>
        <v>#REF!</v>
      </c>
      <c r="AR160" s="261">
        <f t="shared" si="84"/>
        <v>365335707</v>
      </c>
      <c r="AS160" s="261" t="e">
        <f t="shared" si="85"/>
        <v>#REF!</v>
      </c>
      <c r="AT160" s="261">
        <f t="shared" si="86"/>
        <v>365671056</v>
      </c>
      <c r="AU160" s="261" t="e">
        <f t="shared" si="87"/>
        <v>#REF!</v>
      </c>
      <c r="AV160" s="261">
        <f t="shared" si="88"/>
        <v>391706714</v>
      </c>
      <c r="AW160" s="261" t="e">
        <f t="shared" si="89"/>
        <v>#REF!</v>
      </c>
      <c r="AX160" s="261" t="e">
        <f>AV160+#REF!+AH160+AA160+T160</f>
        <v>#REF!</v>
      </c>
      <c r="AY160" s="261" t="e">
        <f t="shared" si="90"/>
        <v>#REF!</v>
      </c>
      <c r="AZ160" s="261" t="e">
        <f t="shared" si="91"/>
        <v>#REF!</v>
      </c>
      <c r="BA160" s="261" t="e">
        <f t="shared" si="92"/>
        <v>#REF!</v>
      </c>
      <c r="BB160" s="261" t="e">
        <f t="shared" si="93"/>
        <v>#REF!</v>
      </c>
      <c r="BC160" s="261" t="e">
        <f t="shared" si="94"/>
        <v>#REF!</v>
      </c>
      <c r="BD160" s="261" t="e">
        <f t="shared" si="95"/>
        <v>#REF!</v>
      </c>
      <c r="BE160" s="261" t="e">
        <f>BC160+AV160+#REF!+AH160+AA160</f>
        <v>#REF!</v>
      </c>
      <c r="BF160" s="261" t="e">
        <f t="shared" si="96"/>
        <v>#REF!</v>
      </c>
      <c r="BG160" s="261" t="e">
        <f t="shared" si="97"/>
        <v>#REF!</v>
      </c>
    </row>
    <row r="161" spans="1:59" ht="15.75">
      <c r="A161" s="333">
        <v>13</v>
      </c>
      <c r="B161" s="333" t="s">
        <v>1607</v>
      </c>
      <c r="C161" s="256">
        <v>24</v>
      </c>
      <c r="D161" s="322" t="s">
        <v>61</v>
      </c>
      <c r="E161" s="256" t="s">
        <v>9</v>
      </c>
      <c r="F161" s="425">
        <f t="array" ref="F161">MAX((IF(MNU_CODIGO_ALIMENTO_ENTREGA=CONCATENATE($C161,"_","P_"),MNU_GRAMAJE_REQUERIDO_TIPOA,"")))</f>
        <v>20</v>
      </c>
      <c r="G161" s="257">
        <f t="shared" si="98"/>
        <v>87754</v>
      </c>
      <c r="H161" s="257">
        <f t="shared" si="99"/>
        <v>3586</v>
      </c>
      <c r="I161" s="257">
        <f t="shared" si="100"/>
        <v>91340</v>
      </c>
      <c r="J161" s="258">
        <f t="shared" si="101"/>
        <v>11232512</v>
      </c>
      <c r="K161" s="258">
        <f t="shared" si="102"/>
        <v>459008</v>
      </c>
      <c r="L161" s="258">
        <f t="shared" si="103"/>
        <v>11691520</v>
      </c>
      <c r="M161" s="426">
        <f t="array" ref="M161">MAX((IF(MNU_CODIGO_ALIMENTO_ENTREGA=CONCATENATE($C161,"_","P_"),MNU_GRAMAJE_REQUERIDO_TIPOB,"")))</f>
        <v>30</v>
      </c>
      <c r="N161" s="343">
        <f t="shared" si="104"/>
        <v>127602</v>
      </c>
      <c r="O161" s="343">
        <f t="shared" si="105"/>
        <v>10670</v>
      </c>
      <c r="P161" s="343">
        <f t="shared" si="106"/>
        <v>138272</v>
      </c>
      <c r="Q161" s="344">
        <f t="shared" si="107"/>
        <v>25520400</v>
      </c>
      <c r="R161" s="344">
        <f t="shared" si="108"/>
        <v>2134000</v>
      </c>
      <c r="S161" s="344">
        <f t="shared" si="109"/>
        <v>27654400</v>
      </c>
      <c r="T161" s="348">
        <f t="array" ref="T161">MAX((IF(MNU_CODIGO_ALIMENTO_ENTREGA=CONCATENATE($C161,"_","P_"),MNU_GRAMAJE_REQUERIDO_TIPOC,"")))</f>
        <v>60</v>
      </c>
      <c r="U161" s="257">
        <f t="shared" si="110"/>
        <v>170918</v>
      </c>
      <c r="V161" s="257">
        <f t="shared" si="111"/>
        <v>17523</v>
      </c>
      <c r="W161" s="257">
        <f t="shared" si="112"/>
        <v>188441</v>
      </c>
      <c r="X161" s="258">
        <f t="shared" si="113"/>
        <v>65803430</v>
      </c>
      <c r="Y161" s="258">
        <f t="shared" si="114"/>
        <v>6746355</v>
      </c>
      <c r="Z161" s="258">
        <f t="shared" si="115"/>
        <v>72549785</v>
      </c>
      <c r="AA161" s="256">
        <f t="array" ref="AA161">MAX((IF(MNU_CODIGO_ALIMENTO_ENTREGA=CONCATENATE($C161,"_","P_"),MNU_GRAMAJE_REQUERIDO_TIPOM,"")))</f>
        <v>30</v>
      </c>
      <c r="AB161" s="259">
        <f t="shared" si="116"/>
        <v>3859</v>
      </c>
      <c r="AC161" s="259">
        <v>0</v>
      </c>
      <c r="AD161" s="259">
        <f t="shared" si="117"/>
        <v>3859</v>
      </c>
      <c r="AE161" s="260">
        <f t="shared" si="118"/>
        <v>771800</v>
      </c>
      <c r="AF161" s="260">
        <v>0</v>
      </c>
      <c r="AG161" s="260">
        <f t="shared" si="119"/>
        <v>771800</v>
      </c>
      <c r="AH161" s="348">
        <f t="array" ref="AH161">MAX((IF(MNU_CODIGO_ALIMENTO_ENTREGA=CONCATENATE($C161,"_","P_"),MNU_GRAMAJE_REQUERIDO_TIPOH,"")))</f>
        <v>60</v>
      </c>
      <c r="AI161" s="257">
        <f t="shared" si="120"/>
        <v>4777</v>
      </c>
      <c r="AJ161" s="257">
        <v>0</v>
      </c>
      <c r="AK161" s="257">
        <f t="shared" si="121"/>
        <v>4777</v>
      </c>
      <c r="AL161" s="258">
        <f t="shared" si="122"/>
        <v>1839145</v>
      </c>
      <c r="AM161" s="258">
        <v>0</v>
      </c>
      <c r="AN161" s="258">
        <f t="shared" si="123"/>
        <v>1839145</v>
      </c>
      <c r="AO161" s="451">
        <f t="shared" si="124"/>
        <v>426689</v>
      </c>
      <c r="AP161" s="450">
        <f t="shared" si="125"/>
        <v>114506650</v>
      </c>
      <c r="AQ161" s="261" t="e">
        <f>#REF!+AH161+AA161+T161+M161</f>
        <v>#REF!</v>
      </c>
      <c r="AR161" s="261">
        <f t="shared" si="84"/>
        <v>114813806</v>
      </c>
      <c r="AS161" s="261" t="e">
        <f t="shared" si="85"/>
        <v>#REF!</v>
      </c>
      <c r="AT161" s="261">
        <f t="shared" si="86"/>
        <v>115149155</v>
      </c>
      <c r="AU161" s="261" t="e">
        <f t="shared" si="87"/>
        <v>#REF!</v>
      </c>
      <c r="AV161" s="261">
        <f t="shared" si="88"/>
        <v>124029510</v>
      </c>
      <c r="AW161" s="261" t="e">
        <f t="shared" si="89"/>
        <v>#REF!</v>
      </c>
      <c r="AX161" s="261" t="e">
        <f>AV161+#REF!+AH161+AA161+T161</f>
        <v>#REF!</v>
      </c>
      <c r="AY161" s="261" t="e">
        <f t="shared" si="90"/>
        <v>#REF!</v>
      </c>
      <c r="AZ161" s="261" t="e">
        <f t="shared" si="91"/>
        <v>#REF!</v>
      </c>
      <c r="BA161" s="261" t="e">
        <f t="shared" si="92"/>
        <v>#REF!</v>
      </c>
      <c r="BB161" s="261" t="e">
        <f t="shared" si="93"/>
        <v>#REF!</v>
      </c>
      <c r="BC161" s="261" t="e">
        <f t="shared" si="94"/>
        <v>#REF!</v>
      </c>
      <c r="BD161" s="261" t="e">
        <f t="shared" si="95"/>
        <v>#REF!</v>
      </c>
      <c r="BE161" s="261" t="e">
        <f>BC161+AV161+#REF!+AH161+AA161</f>
        <v>#REF!</v>
      </c>
      <c r="BF161" s="261" t="e">
        <f t="shared" si="96"/>
        <v>#REF!</v>
      </c>
      <c r="BG161" s="261" t="e">
        <f t="shared" si="97"/>
        <v>#REF!</v>
      </c>
    </row>
    <row r="162" spans="1:59" ht="15.75">
      <c r="A162" s="333">
        <v>13</v>
      </c>
      <c r="B162" s="333" t="s">
        <v>1607</v>
      </c>
      <c r="C162" s="256">
        <v>25</v>
      </c>
      <c r="D162" s="322" t="s">
        <v>64</v>
      </c>
      <c r="E162" s="256" t="s">
        <v>9</v>
      </c>
      <c r="F162" s="425">
        <f t="array" ref="F162">MAX((IF(MNU_CODIGO_ALIMENTO_ENTREGA=CONCATENATE($C162,"_","P_"),MNU_GRAMAJE_REQUERIDO_TIPOA,"")))</f>
        <v>40</v>
      </c>
      <c r="G162" s="257">
        <f t="shared" si="98"/>
        <v>87754</v>
      </c>
      <c r="H162" s="257">
        <f t="shared" si="99"/>
        <v>7172</v>
      </c>
      <c r="I162" s="257">
        <f t="shared" si="100"/>
        <v>94926</v>
      </c>
      <c r="J162" s="258">
        <f t="shared" si="101"/>
        <v>22465024</v>
      </c>
      <c r="K162" s="258">
        <f t="shared" si="102"/>
        <v>1836032</v>
      </c>
      <c r="L162" s="258">
        <f t="shared" si="103"/>
        <v>24301056</v>
      </c>
      <c r="M162" s="426">
        <f t="array" ref="M162">MAX((IF(MNU_CODIGO_ALIMENTO_ENTREGA=CONCATENATE($C162,"_","P_"),MNU_GRAMAJE_REQUERIDO_TIPOB,"")))</f>
        <v>40</v>
      </c>
      <c r="N162" s="343">
        <f t="shared" si="104"/>
        <v>127602</v>
      </c>
      <c r="O162" s="343">
        <f t="shared" si="105"/>
        <v>21340</v>
      </c>
      <c r="P162" s="343">
        <f t="shared" si="106"/>
        <v>148942</v>
      </c>
      <c r="Q162" s="344">
        <f t="shared" si="107"/>
        <v>32666112</v>
      </c>
      <c r="R162" s="344">
        <f t="shared" si="108"/>
        <v>5463040</v>
      </c>
      <c r="S162" s="344">
        <f t="shared" si="109"/>
        <v>38129152</v>
      </c>
      <c r="T162" s="348">
        <f t="array" ref="T162">MAX((IF(MNU_CODIGO_ALIMENTO_ENTREGA=CONCATENATE($C162,"_","P_"),MNU_GRAMAJE_REQUERIDO_TIPOC,"")))</f>
        <v>60</v>
      </c>
      <c r="U162" s="257">
        <f t="shared" si="110"/>
        <v>170918</v>
      </c>
      <c r="V162" s="257">
        <f t="shared" si="111"/>
        <v>35046</v>
      </c>
      <c r="W162" s="257">
        <f t="shared" si="112"/>
        <v>205964</v>
      </c>
      <c r="X162" s="258">
        <f t="shared" si="113"/>
        <v>65632512</v>
      </c>
      <c r="Y162" s="258">
        <f t="shared" si="114"/>
        <v>13457664</v>
      </c>
      <c r="Z162" s="258">
        <f t="shared" si="115"/>
        <v>79090176</v>
      </c>
      <c r="AA162" s="256">
        <f t="array" ref="AA162">MAX((IF(MNU_CODIGO_ALIMENTO_ENTREGA=CONCATENATE($C162,"_","P_"),MNU_GRAMAJE_REQUERIDO_TIPOM,"")))</f>
        <v>40</v>
      </c>
      <c r="AB162" s="259">
        <f t="shared" si="116"/>
        <v>3859</v>
      </c>
      <c r="AC162" s="259">
        <v>0</v>
      </c>
      <c r="AD162" s="259">
        <f t="shared" si="117"/>
        <v>3859</v>
      </c>
      <c r="AE162" s="260">
        <f t="shared" si="118"/>
        <v>987904</v>
      </c>
      <c r="AF162" s="260">
        <v>0</v>
      </c>
      <c r="AG162" s="260">
        <f t="shared" si="119"/>
        <v>987904</v>
      </c>
      <c r="AH162" s="348">
        <f t="array" ref="AH162">MAX((IF(MNU_CODIGO_ALIMENTO_ENTREGA=CONCATENATE($C162,"_","P_"),MNU_GRAMAJE_REQUERIDO_TIPOH,"")))</f>
        <v>60</v>
      </c>
      <c r="AI162" s="257">
        <f t="shared" si="120"/>
        <v>4777</v>
      </c>
      <c r="AJ162" s="257">
        <v>0</v>
      </c>
      <c r="AK162" s="257">
        <f t="shared" si="121"/>
        <v>4777</v>
      </c>
      <c r="AL162" s="258">
        <f t="shared" si="122"/>
        <v>1834368</v>
      </c>
      <c r="AM162" s="258">
        <v>0</v>
      </c>
      <c r="AN162" s="258">
        <f t="shared" si="123"/>
        <v>1834368</v>
      </c>
      <c r="AO162" s="451">
        <f t="shared" si="124"/>
        <v>458468</v>
      </c>
      <c r="AP162" s="450">
        <f t="shared" si="125"/>
        <v>144342656</v>
      </c>
      <c r="AQ162" s="261" t="e">
        <f>#REF!+AH162+AA162+T162+M162</f>
        <v>#REF!</v>
      </c>
      <c r="AR162" s="261">
        <f t="shared" si="84"/>
        <v>144649812</v>
      </c>
      <c r="AS162" s="261" t="e">
        <f t="shared" si="85"/>
        <v>#REF!</v>
      </c>
      <c r="AT162" s="261">
        <f t="shared" si="86"/>
        <v>145013354</v>
      </c>
      <c r="AU162" s="261" t="e">
        <f t="shared" si="87"/>
        <v>#REF!</v>
      </c>
      <c r="AV162" s="261">
        <f t="shared" si="88"/>
        <v>163934058</v>
      </c>
      <c r="AW162" s="261" t="e">
        <f t="shared" si="89"/>
        <v>#REF!</v>
      </c>
      <c r="AX162" s="261" t="e">
        <f>AV162+#REF!+AH162+AA162+T162</f>
        <v>#REF!</v>
      </c>
      <c r="AY162" s="261" t="e">
        <f t="shared" si="90"/>
        <v>#REF!</v>
      </c>
      <c r="AZ162" s="261" t="e">
        <f t="shared" si="91"/>
        <v>#REF!</v>
      </c>
      <c r="BA162" s="261" t="e">
        <f t="shared" si="92"/>
        <v>#REF!</v>
      </c>
      <c r="BB162" s="261" t="e">
        <f t="shared" si="93"/>
        <v>#REF!</v>
      </c>
      <c r="BC162" s="261" t="e">
        <f t="shared" si="94"/>
        <v>#REF!</v>
      </c>
      <c r="BD162" s="261" t="e">
        <f t="shared" si="95"/>
        <v>#REF!</v>
      </c>
      <c r="BE162" s="261" t="e">
        <f>BC162+AV162+#REF!+AH162+AA162</f>
        <v>#REF!</v>
      </c>
      <c r="BF162" s="261" t="e">
        <f t="shared" si="96"/>
        <v>#REF!</v>
      </c>
      <c r="BG162" s="261" t="e">
        <f t="shared" si="97"/>
        <v>#REF!</v>
      </c>
    </row>
    <row r="163" spans="1:59" ht="15.75">
      <c r="A163" s="333">
        <v>13</v>
      </c>
      <c r="B163" s="333" t="s">
        <v>1607</v>
      </c>
      <c r="C163" s="256">
        <v>26</v>
      </c>
      <c r="D163" s="322" t="s">
        <v>69</v>
      </c>
      <c r="E163" s="256" t="s">
        <v>9</v>
      </c>
      <c r="F163" s="425">
        <f t="array" ref="F163">MAX((IF(MNU_CODIGO_ALIMENTO_ENTREGA=CONCATENATE($C163,"_","P_"),MNU_GRAMAJE_REQUERIDO_TIPOA,"")))</f>
        <v>30</v>
      </c>
      <c r="G163" s="257">
        <f t="shared" si="98"/>
        <v>30972</v>
      </c>
      <c r="H163" s="257">
        <f t="shared" si="99"/>
        <v>0</v>
      </c>
      <c r="I163" s="257">
        <f t="shared" si="100"/>
        <v>30972</v>
      </c>
      <c r="J163" s="258">
        <f t="shared" si="101"/>
        <v>5296212</v>
      </c>
      <c r="K163" s="258">
        <f t="shared" si="102"/>
        <v>0</v>
      </c>
      <c r="L163" s="258">
        <f t="shared" si="103"/>
        <v>5296212</v>
      </c>
      <c r="M163" s="426">
        <f t="array" ref="M163">MAX((IF(MNU_CODIGO_ALIMENTO_ENTREGA=CONCATENATE($C163,"_","P_"),MNU_GRAMAJE_REQUERIDO_TIPOB,"")))</f>
        <v>30</v>
      </c>
      <c r="N163" s="343">
        <f t="shared" si="104"/>
        <v>45036</v>
      </c>
      <c r="O163" s="343">
        <f t="shared" si="105"/>
        <v>0</v>
      </c>
      <c r="P163" s="343">
        <f t="shared" si="106"/>
        <v>45036</v>
      </c>
      <c r="Q163" s="344">
        <f t="shared" si="107"/>
        <v>7701156</v>
      </c>
      <c r="R163" s="344">
        <f t="shared" si="108"/>
        <v>0</v>
      </c>
      <c r="S163" s="344">
        <f t="shared" si="109"/>
        <v>7701156</v>
      </c>
      <c r="T163" s="348">
        <f t="array" ref="T163">MAX((IF(MNU_CODIGO_ALIMENTO_ENTREGA=CONCATENATE($C163,"_","P_"),MNU_GRAMAJE_REQUERIDO_TIPOC,"")))</f>
        <v>30</v>
      </c>
      <c r="U163" s="257">
        <f t="shared" si="110"/>
        <v>60324</v>
      </c>
      <c r="V163" s="257">
        <f t="shared" si="111"/>
        <v>0</v>
      </c>
      <c r="W163" s="257">
        <f t="shared" si="112"/>
        <v>60324</v>
      </c>
      <c r="X163" s="258">
        <f t="shared" si="113"/>
        <v>10315404</v>
      </c>
      <c r="Y163" s="258">
        <f t="shared" si="114"/>
        <v>0</v>
      </c>
      <c r="Z163" s="258">
        <f t="shared" si="115"/>
        <v>10315404</v>
      </c>
      <c r="AA163" s="256">
        <f t="array" ref="AA163">MAX((IF(MNU_CODIGO_ALIMENTO_ENTREGA=CONCATENATE($C163,"_","P_"),MNU_GRAMAJE_REQUERIDO_TIPOM,"")))</f>
        <v>30</v>
      </c>
      <c r="AB163" s="259">
        <f t="shared" si="116"/>
        <v>1362</v>
      </c>
      <c r="AC163" s="259">
        <v>0</v>
      </c>
      <c r="AD163" s="259">
        <f t="shared" si="117"/>
        <v>1362</v>
      </c>
      <c r="AE163" s="260">
        <f t="shared" si="118"/>
        <v>232902</v>
      </c>
      <c r="AF163" s="260">
        <v>0</v>
      </c>
      <c r="AG163" s="260">
        <f t="shared" si="119"/>
        <v>232902</v>
      </c>
      <c r="AH163" s="348">
        <f t="array" ref="AH163">MAX((IF(MNU_CODIGO_ALIMENTO_ENTREGA=CONCATENATE($C163,"_","P_"),MNU_GRAMAJE_REQUERIDO_TIPOH,"")))</f>
        <v>30</v>
      </c>
      <c r="AI163" s="257">
        <f t="shared" si="120"/>
        <v>1686</v>
      </c>
      <c r="AJ163" s="257">
        <v>0</v>
      </c>
      <c r="AK163" s="257">
        <f t="shared" si="121"/>
        <v>1686</v>
      </c>
      <c r="AL163" s="258">
        <f t="shared" si="122"/>
        <v>288306</v>
      </c>
      <c r="AM163" s="258">
        <v>0</v>
      </c>
      <c r="AN163" s="258">
        <f t="shared" si="123"/>
        <v>288306</v>
      </c>
      <c r="AO163" s="451">
        <f t="shared" si="124"/>
        <v>139380</v>
      </c>
      <c r="AP163" s="450">
        <f t="shared" si="125"/>
        <v>23833980</v>
      </c>
      <c r="AQ163" s="261" t="e">
        <f>#REF!+AH163+AA163+T163+M163</f>
        <v>#REF!</v>
      </c>
      <c r="AR163" s="261">
        <f t="shared" si="84"/>
        <v>23942388</v>
      </c>
      <c r="AS163" s="261" t="e">
        <f t="shared" si="85"/>
        <v>#REF!</v>
      </c>
      <c r="AT163" s="261">
        <f t="shared" si="86"/>
        <v>24050796</v>
      </c>
      <c r="AU163" s="261" t="e">
        <f t="shared" si="87"/>
        <v>#REF!</v>
      </c>
      <c r="AV163" s="261">
        <f t="shared" si="88"/>
        <v>24050796</v>
      </c>
      <c r="AW163" s="261" t="e">
        <f t="shared" si="89"/>
        <v>#REF!</v>
      </c>
      <c r="AX163" s="261" t="e">
        <f>AV163+#REF!+AH163+AA163+T163</f>
        <v>#REF!</v>
      </c>
      <c r="AY163" s="261" t="e">
        <f t="shared" si="90"/>
        <v>#REF!</v>
      </c>
      <c r="AZ163" s="261" t="e">
        <f t="shared" si="91"/>
        <v>#REF!</v>
      </c>
      <c r="BA163" s="261" t="e">
        <f t="shared" si="92"/>
        <v>#REF!</v>
      </c>
      <c r="BB163" s="261" t="e">
        <f t="shared" si="93"/>
        <v>#REF!</v>
      </c>
      <c r="BC163" s="261" t="e">
        <f t="shared" si="94"/>
        <v>#REF!</v>
      </c>
      <c r="BD163" s="261" t="e">
        <f t="shared" si="95"/>
        <v>#REF!</v>
      </c>
      <c r="BE163" s="261" t="e">
        <f>BC163+AV163+#REF!+AH163+AA163</f>
        <v>#REF!</v>
      </c>
      <c r="BF163" s="261" t="e">
        <f t="shared" si="96"/>
        <v>#REF!</v>
      </c>
      <c r="BG163" s="261" t="e">
        <f t="shared" si="97"/>
        <v>#REF!</v>
      </c>
    </row>
    <row r="164" spans="1:59" ht="27">
      <c r="A164" s="333">
        <v>13</v>
      </c>
      <c r="B164" s="333" t="s">
        <v>1607</v>
      </c>
      <c r="C164" s="256">
        <v>28</v>
      </c>
      <c r="D164" s="322" t="s">
        <v>67</v>
      </c>
      <c r="E164" s="256" t="s">
        <v>9</v>
      </c>
      <c r="F164" s="425">
        <f t="array" ref="F164">MAX((IF(MNU_CODIGO_ALIMENTO_ENTREGA=CONCATENATE($C164,"_","P_"),MNU_GRAMAJE_REQUERIDO_TIPOA,"")))</f>
        <v>30</v>
      </c>
      <c r="G164" s="257">
        <f t="shared" si="98"/>
        <v>30972</v>
      </c>
      <c r="H164" s="257">
        <f t="shared" si="99"/>
        <v>6194</v>
      </c>
      <c r="I164" s="257">
        <f t="shared" si="100"/>
        <v>37166</v>
      </c>
      <c r="J164" s="258">
        <f t="shared" si="101"/>
        <v>6999672</v>
      </c>
      <c r="K164" s="258">
        <f t="shared" si="102"/>
        <v>1399844</v>
      </c>
      <c r="L164" s="258">
        <f t="shared" si="103"/>
        <v>8399516</v>
      </c>
      <c r="M164" s="426">
        <f t="array" ref="M164">MAX((IF(MNU_CODIGO_ALIMENTO_ENTREGA=CONCATENATE($C164,"_","P_"),MNU_GRAMAJE_REQUERIDO_TIPOB,"")))</f>
        <v>40</v>
      </c>
      <c r="N164" s="343">
        <f t="shared" si="104"/>
        <v>45036</v>
      </c>
      <c r="O164" s="343">
        <f t="shared" si="105"/>
        <v>18430</v>
      </c>
      <c r="P164" s="343">
        <f t="shared" si="106"/>
        <v>63466</v>
      </c>
      <c r="Q164" s="344">
        <f t="shared" si="107"/>
        <v>13555836</v>
      </c>
      <c r="R164" s="344">
        <f t="shared" si="108"/>
        <v>5547430</v>
      </c>
      <c r="S164" s="344">
        <f t="shared" si="109"/>
        <v>19103266</v>
      </c>
      <c r="T164" s="348">
        <f t="array" ref="T164">MAX((IF(MNU_CODIGO_ALIMENTO_ENTREGA=CONCATENATE($C164,"_","P_"),MNU_GRAMAJE_REQUERIDO_TIPOC,"")))</f>
        <v>60</v>
      </c>
      <c r="U164" s="257">
        <f t="shared" si="110"/>
        <v>60324</v>
      </c>
      <c r="V164" s="257">
        <f t="shared" si="111"/>
        <v>30267</v>
      </c>
      <c r="W164" s="257">
        <f t="shared" si="112"/>
        <v>90591</v>
      </c>
      <c r="X164" s="258">
        <f t="shared" si="113"/>
        <v>27206124</v>
      </c>
      <c r="Y164" s="258">
        <f t="shared" si="114"/>
        <v>13650417</v>
      </c>
      <c r="Z164" s="258">
        <f t="shared" si="115"/>
        <v>40856541</v>
      </c>
      <c r="AA164" s="256">
        <f t="array" ref="AA164">MAX((IF(MNU_CODIGO_ALIMENTO_ENTREGA=CONCATENATE($C164,"_","P_"),MNU_GRAMAJE_REQUERIDO_TIPOM,"")))</f>
        <v>40</v>
      </c>
      <c r="AB164" s="259">
        <f t="shared" si="116"/>
        <v>1362</v>
      </c>
      <c r="AC164" s="259">
        <v>0</v>
      </c>
      <c r="AD164" s="259">
        <f t="shared" si="117"/>
        <v>1362</v>
      </c>
      <c r="AE164" s="260">
        <f t="shared" si="118"/>
        <v>409962</v>
      </c>
      <c r="AF164" s="260">
        <v>0</v>
      </c>
      <c r="AG164" s="260">
        <f t="shared" si="119"/>
        <v>409962</v>
      </c>
      <c r="AH164" s="348">
        <f t="array" ref="AH164">MAX((IF(MNU_CODIGO_ALIMENTO_ENTREGA=CONCATENATE($C164,"_","P_"),MNU_GRAMAJE_REQUERIDO_TIPOH,"")))</f>
        <v>60</v>
      </c>
      <c r="AI164" s="257">
        <f t="shared" si="120"/>
        <v>1686</v>
      </c>
      <c r="AJ164" s="257">
        <v>0</v>
      </c>
      <c r="AK164" s="257">
        <f t="shared" si="121"/>
        <v>1686</v>
      </c>
      <c r="AL164" s="258">
        <f t="shared" si="122"/>
        <v>760386</v>
      </c>
      <c r="AM164" s="258">
        <v>0</v>
      </c>
      <c r="AN164" s="258">
        <f t="shared" si="123"/>
        <v>760386</v>
      </c>
      <c r="AO164" s="451">
        <f t="shared" si="124"/>
        <v>194271</v>
      </c>
      <c r="AP164" s="450">
        <f t="shared" si="125"/>
        <v>69529671</v>
      </c>
      <c r="AQ164" s="261" t="e">
        <f>#REF!+AH164+AA164+T164+M164</f>
        <v>#REF!</v>
      </c>
      <c r="AR164" s="261">
        <f t="shared" si="84"/>
        <v>69638079</v>
      </c>
      <c r="AS164" s="261" t="e">
        <f t="shared" si="85"/>
        <v>#REF!</v>
      </c>
      <c r="AT164" s="261">
        <f t="shared" si="86"/>
        <v>69795184</v>
      </c>
      <c r="AU164" s="261" t="e">
        <f t="shared" si="87"/>
        <v>#REF!</v>
      </c>
      <c r="AV164" s="261">
        <f t="shared" si="88"/>
        <v>88993031</v>
      </c>
      <c r="AW164" s="261" t="e">
        <f t="shared" si="89"/>
        <v>#REF!</v>
      </c>
      <c r="AX164" s="261" t="e">
        <f>AV164+#REF!+AH164+AA164+T164</f>
        <v>#REF!</v>
      </c>
      <c r="AY164" s="261" t="e">
        <f t="shared" si="90"/>
        <v>#REF!</v>
      </c>
      <c r="AZ164" s="261" t="e">
        <f t="shared" si="91"/>
        <v>#REF!</v>
      </c>
      <c r="BA164" s="261" t="e">
        <f t="shared" si="92"/>
        <v>#REF!</v>
      </c>
      <c r="BB164" s="261" t="e">
        <f t="shared" si="93"/>
        <v>#REF!</v>
      </c>
      <c r="BC164" s="261" t="e">
        <f t="shared" si="94"/>
        <v>#REF!</v>
      </c>
      <c r="BD164" s="261" t="e">
        <f t="shared" si="95"/>
        <v>#REF!</v>
      </c>
      <c r="BE164" s="261" t="e">
        <f>BC164+AV164+#REF!+AH164+AA164</f>
        <v>#REF!</v>
      </c>
      <c r="BF164" s="261" t="e">
        <f t="shared" si="96"/>
        <v>#REF!</v>
      </c>
      <c r="BG164" s="261" t="e">
        <f t="shared" si="97"/>
        <v>#REF!</v>
      </c>
    </row>
    <row r="165" spans="1:59" ht="15.75">
      <c r="A165" s="333">
        <v>13</v>
      </c>
      <c r="B165" s="333" t="s">
        <v>1607</v>
      </c>
      <c r="C165" s="256">
        <v>30</v>
      </c>
      <c r="D165" s="322" t="s">
        <v>63</v>
      </c>
      <c r="E165" s="256" t="s">
        <v>9</v>
      </c>
      <c r="F165" s="425">
        <f t="array" ref="F165">MAX((IF(MNU_CODIGO_ALIMENTO_ENTREGA=CONCATENATE($C165,"_","P_"),MNU_GRAMAJE_REQUERIDO_TIPOA,"")))</f>
        <v>30</v>
      </c>
      <c r="G165" s="257">
        <f t="shared" si="98"/>
        <v>82592</v>
      </c>
      <c r="H165" s="257">
        <f t="shared" si="99"/>
        <v>0</v>
      </c>
      <c r="I165" s="257">
        <f t="shared" si="100"/>
        <v>82592</v>
      </c>
      <c r="J165" s="258">
        <f t="shared" si="101"/>
        <v>27420544</v>
      </c>
      <c r="K165" s="258">
        <f t="shared" si="102"/>
        <v>0</v>
      </c>
      <c r="L165" s="258">
        <f t="shared" si="103"/>
        <v>27420544</v>
      </c>
      <c r="M165" s="426">
        <f t="array" ref="M165">MAX((IF(MNU_CODIGO_ALIMENTO_ENTREGA=CONCATENATE($C165,"_","P_"),MNU_GRAMAJE_REQUERIDO_TIPOB,"")))</f>
        <v>30</v>
      </c>
      <c r="N165" s="343">
        <f t="shared" si="104"/>
        <v>120096</v>
      </c>
      <c r="O165" s="343">
        <f t="shared" si="105"/>
        <v>0</v>
      </c>
      <c r="P165" s="343">
        <f t="shared" si="106"/>
        <v>120096</v>
      </c>
      <c r="Q165" s="344">
        <f t="shared" si="107"/>
        <v>39871872</v>
      </c>
      <c r="R165" s="344">
        <f t="shared" si="108"/>
        <v>0</v>
      </c>
      <c r="S165" s="344">
        <f t="shared" si="109"/>
        <v>39871872</v>
      </c>
      <c r="T165" s="348">
        <f t="array" ref="T165">MAX((IF(MNU_CODIGO_ALIMENTO_ENTREGA=CONCATENATE($C165,"_","P_"),MNU_GRAMAJE_REQUERIDO_TIPOC,"")))</f>
        <v>30</v>
      </c>
      <c r="U165" s="257">
        <f t="shared" si="110"/>
        <v>160864</v>
      </c>
      <c r="V165" s="257">
        <f t="shared" si="111"/>
        <v>0</v>
      </c>
      <c r="W165" s="257">
        <f t="shared" si="112"/>
        <v>160864</v>
      </c>
      <c r="X165" s="258">
        <f t="shared" si="113"/>
        <v>53406848</v>
      </c>
      <c r="Y165" s="258">
        <f t="shared" si="114"/>
        <v>0</v>
      </c>
      <c r="Z165" s="258">
        <f t="shared" si="115"/>
        <v>53406848</v>
      </c>
      <c r="AA165" s="256">
        <f t="array" ref="AA165">MAX((IF(MNU_CODIGO_ALIMENTO_ENTREGA=CONCATENATE($C165,"_","P_"),MNU_GRAMAJE_REQUERIDO_TIPOM,"")))</f>
        <v>30</v>
      </c>
      <c r="AB165" s="259">
        <f t="shared" si="116"/>
        <v>3632</v>
      </c>
      <c r="AC165" s="259">
        <v>0</v>
      </c>
      <c r="AD165" s="259">
        <f t="shared" si="117"/>
        <v>3632</v>
      </c>
      <c r="AE165" s="260">
        <f t="shared" si="118"/>
        <v>1205824</v>
      </c>
      <c r="AF165" s="260">
        <v>0</v>
      </c>
      <c r="AG165" s="260">
        <f t="shared" si="119"/>
        <v>1205824</v>
      </c>
      <c r="AH165" s="348">
        <f t="array" ref="AH165">MAX((IF(MNU_CODIGO_ALIMENTO_ENTREGA=CONCATENATE($C165,"_","P_"),MNU_GRAMAJE_REQUERIDO_TIPOH,"")))</f>
        <v>30</v>
      </c>
      <c r="AI165" s="257">
        <f t="shared" si="120"/>
        <v>4496</v>
      </c>
      <c r="AJ165" s="257">
        <v>0</v>
      </c>
      <c r="AK165" s="257">
        <f t="shared" si="121"/>
        <v>4496</v>
      </c>
      <c r="AL165" s="258">
        <f t="shared" si="122"/>
        <v>1492672</v>
      </c>
      <c r="AM165" s="258">
        <v>0</v>
      </c>
      <c r="AN165" s="258">
        <f t="shared" si="123"/>
        <v>1492672</v>
      </c>
      <c r="AO165" s="451">
        <f t="shared" si="124"/>
        <v>371680</v>
      </c>
      <c r="AP165" s="450">
        <f t="shared" si="125"/>
        <v>123397760</v>
      </c>
      <c r="AQ165" s="261" t="e">
        <f>#REF!+AH165+AA165+T165+M165</f>
        <v>#REF!</v>
      </c>
      <c r="AR165" s="261">
        <f t="shared" si="84"/>
        <v>123686848</v>
      </c>
      <c r="AS165" s="261" t="e">
        <f t="shared" si="85"/>
        <v>#REF!</v>
      </c>
      <c r="AT165" s="261">
        <f t="shared" si="86"/>
        <v>123975936</v>
      </c>
      <c r="AU165" s="261" t="e">
        <f t="shared" si="87"/>
        <v>#REF!</v>
      </c>
      <c r="AV165" s="261">
        <f t="shared" si="88"/>
        <v>123975936</v>
      </c>
      <c r="AW165" s="261" t="e">
        <f t="shared" si="89"/>
        <v>#REF!</v>
      </c>
      <c r="AX165" s="261" t="e">
        <f>AV165+#REF!+AH165+AA165+T165</f>
        <v>#REF!</v>
      </c>
      <c r="AY165" s="261" t="e">
        <f t="shared" si="90"/>
        <v>#REF!</v>
      </c>
      <c r="AZ165" s="261" t="e">
        <f t="shared" si="91"/>
        <v>#REF!</v>
      </c>
      <c r="BA165" s="261" t="e">
        <f t="shared" si="92"/>
        <v>#REF!</v>
      </c>
      <c r="BB165" s="261" t="e">
        <f t="shared" si="93"/>
        <v>#REF!</v>
      </c>
      <c r="BC165" s="261" t="e">
        <f t="shared" si="94"/>
        <v>#REF!</v>
      </c>
      <c r="BD165" s="261" t="e">
        <f t="shared" si="95"/>
        <v>#REF!</v>
      </c>
      <c r="BE165" s="261" t="e">
        <f>BC165+AV165+#REF!+AH165+AA165</f>
        <v>#REF!</v>
      </c>
      <c r="BF165" s="261" t="e">
        <f t="shared" si="96"/>
        <v>#REF!</v>
      </c>
      <c r="BG165" s="261" t="e">
        <f t="shared" si="97"/>
        <v>#REF!</v>
      </c>
    </row>
    <row r="166" spans="1:59" ht="15.75">
      <c r="A166" s="333">
        <v>13</v>
      </c>
      <c r="B166" s="333" t="s">
        <v>1607</v>
      </c>
      <c r="C166" s="256">
        <v>45</v>
      </c>
      <c r="D166" s="322" t="s">
        <v>10</v>
      </c>
      <c r="E166" s="256" t="s">
        <v>9</v>
      </c>
      <c r="F166" s="425">
        <f t="array" ref="F166">MAX((IF(MNU_CODIGO_ALIMENTO_ENTREGA=CONCATENATE($C166,"_","P_"),MNU_GRAMAJE_REQUERIDO_TIPOA,"")))</f>
        <v>20</v>
      </c>
      <c r="G166" s="257">
        <f t="shared" si="98"/>
        <v>82592</v>
      </c>
      <c r="H166" s="257">
        <f t="shared" si="99"/>
        <v>6520</v>
      </c>
      <c r="I166" s="257">
        <f t="shared" si="100"/>
        <v>89112</v>
      </c>
      <c r="J166" s="258">
        <f t="shared" si="101"/>
        <v>16435808</v>
      </c>
      <c r="K166" s="258">
        <f t="shared" si="102"/>
        <v>1297480</v>
      </c>
      <c r="L166" s="258">
        <f t="shared" si="103"/>
        <v>17733288</v>
      </c>
      <c r="M166" s="426">
        <f t="array" ref="M166">MAX((IF(MNU_CODIGO_ALIMENTO_ENTREGA=CONCATENATE($C166,"_","P_"),MNU_GRAMAJE_REQUERIDO_TIPOB,"")))</f>
        <v>30</v>
      </c>
      <c r="N166" s="343">
        <f t="shared" si="104"/>
        <v>120096</v>
      </c>
      <c r="O166" s="343">
        <f t="shared" si="105"/>
        <v>19400</v>
      </c>
      <c r="P166" s="343">
        <f t="shared" si="106"/>
        <v>139496</v>
      </c>
      <c r="Q166" s="344">
        <f t="shared" si="107"/>
        <v>35788608</v>
      </c>
      <c r="R166" s="344">
        <f t="shared" si="108"/>
        <v>5781200</v>
      </c>
      <c r="S166" s="344">
        <f t="shared" si="109"/>
        <v>41569808</v>
      </c>
      <c r="T166" s="348">
        <f t="array" ref="T166">MAX((IF(MNU_CODIGO_ALIMENTO_ENTREGA=CONCATENATE($C166,"_","P_"),MNU_GRAMAJE_REQUERIDO_TIPOC,"")))</f>
        <v>60</v>
      </c>
      <c r="U166" s="257">
        <f t="shared" si="110"/>
        <v>160864</v>
      </c>
      <c r="V166" s="257">
        <f t="shared" si="111"/>
        <v>31860</v>
      </c>
      <c r="W166" s="257">
        <f t="shared" si="112"/>
        <v>192724</v>
      </c>
      <c r="X166" s="258">
        <f t="shared" si="113"/>
        <v>96035808</v>
      </c>
      <c r="Y166" s="258">
        <f t="shared" si="114"/>
        <v>19020420</v>
      </c>
      <c r="Z166" s="258">
        <f t="shared" si="115"/>
        <v>115056228</v>
      </c>
      <c r="AA166" s="256">
        <f t="array" ref="AA166">MAX((IF(MNU_CODIGO_ALIMENTO_ENTREGA=CONCATENATE($C166,"_","P_"),MNU_GRAMAJE_REQUERIDO_TIPOM,"")))</f>
        <v>30</v>
      </c>
      <c r="AB166" s="259">
        <f t="shared" si="116"/>
        <v>3632</v>
      </c>
      <c r="AC166" s="259">
        <v>0</v>
      </c>
      <c r="AD166" s="259">
        <f t="shared" si="117"/>
        <v>3632</v>
      </c>
      <c r="AE166" s="260">
        <f t="shared" si="118"/>
        <v>1082336</v>
      </c>
      <c r="AF166" s="260">
        <v>0</v>
      </c>
      <c r="AG166" s="260">
        <f t="shared" si="119"/>
        <v>1082336</v>
      </c>
      <c r="AH166" s="348">
        <f t="array" ref="AH166">MAX((IF(MNU_CODIGO_ALIMENTO_ENTREGA=CONCATENATE($C166,"_","P_"),MNU_GRAMAJE_REQUERIDO_TIPOH,"")))</f>
        <v>60</v>
      </c>
      <c r="AI166" s="257">
        <f t="shared" si="120"/>
        <v>4496</v>
      </c>
      <c r="AJ166" s="257">
        <v>0</v>
      </c>
      <c r="AK166" s="257">
        <f t="shared" si="121"/>
        <v>4496</v>
      </c>
      <c r="AL166" s="258">
        <f t="shared" si="122"/>
        <v>2684112</v>
      </c>
      <c r="AM166" s="258">
        <v>0</v>
      </c>
      <c r="AN166" s="258">
        <f t="shared" si="123"/>
        <v>2684112</v>
      </c>
      <c r="AO166" s="451">
        <f t="shared" si="124"/>
        <v>429460</v>
      </c>
      <c r="AP166" s="450">
        <f t="shared" si="125"/>
        <v>178125772</v>
      </c>
      <c r="AQ166" s="261" t="e">
        <f>#REF!+AH166+AA166+T166+M166</f>
        <v>#REF!</v>
      </c>
      <c r="AR166" s="261">
        <f t="shared" si="84"/>
        <v>178414860</v>
      </c>
      <c r="AS166" s="261" t="e">
        <f t="shared" si="85"/>
        <v>#REF!</v>
      </c>
      <c r="AT166" s="261">
        <f t="shared" si="86"/>
        <v>178755208</v>
      </c>
      <c r="AU166" s="261" t="e">
        <f t="shared" si="87"/>
        <v>#REF!</v>
      </c>
      <c r="AV166" s="261">
        <f t="shared" si="88"/>
        <v>203556828</v>
      </c>
      <c r="AW166" s="261" t="e">
        <f t="shared" si="89"/>
        <v>#REF!</v>
      </c>
      <c r="AX166" s="261" t="e">
        <f>AV166+#REF!+AH166+AA166+T166</f>
        <v>#REF!</v>
      </c>
      <c r="AY166" s="261" t="e">
        <f t="shared" si="90"/>
        <v>#REF!</v>
      </c>
      <c r="AZ166" s="261" t="e">
        <f t="shared" si="91"/>
        <v>#REF!</v>
      </c>
      <c r="BA166" s="261" t="e">
        <f t="shared" si="92"/>
        <v>#REF!</v>
      </c>
      <c r="BB166" s="261" t="e">
        <f t="shared" si="93"/>
        <v>#REF!</v>
      </c>
      <c r="BC166" s="261" t="e">
        <f t="shared" si="94"/>
        <v>#REF!</v>
      </c>
      <c r="BD166" s="261" t="e">
        <f t="shared" si="95"/>
        <v>#REF!</v>
      </c>
      <c r="BE166" s="261" t="e">
        <f>BC166+AV166+#REF!+AH166+AA166</f>
        <v>#REF!</v>
      </c>
      <c r="BF166" s="261" t="e">
        <f t="shared" si="96"/>
        <v>#REF!</v>
      </c>
      <c r="BG166" s="261" t="e">
        <f t="shared" si="97"/>
        <v>#REF!</v>
      </c>
    </row>
    <row r="167" spans="1:59" ht="15.75">
      <c r="A167" s="333">
        <v>13</v>
      </c>
      <c r="B167" s="333" t="s">
        <v>1607</v>
      </c>
      <c r="C167" s="256">
        <v>50</v>
      </c>
      <c r="D167" s="322" t="s">
        <v>65</v>
      </c>
      <c r="E167" s="256" t="s">
        <v>9</v>
      </c>
      <c r="F167" s="425">
        <f t="array" ref="F167">MAX((IF(MNU_CODIGO_ALIMENTO_ENTREGA=CONCATENATE($C167,"_","P_"),MNU_GRAMAJE_REQUERIDO_TIPOA,"")))</f>
        <v>30</v>
      </c>
      <c r="G167" s="257">
        <f t="shared" si="98"/>
        <v>87754</v>
      </c>
      <c r="H167" s="257">
        <f t="shared" si="99"/>
        <v>0</v>
      </c>
      <c r="I167" s="257">
        <f t="shared" si="100"/>
        <v>87754</v>
      </c>
      <c r="J167" s="258">
        <f t="shared" si="101"/>
        <v>28169034</v>
      </c>
      <c r="K167" s="258">
        <f t="shared" si="102"/>
        <v>0</v>
      </c>
      <c r="L167" s="258">
        <f t="shared" si="103"/>
        <v>28169034</v>
      </c>
      <c r="M167" s="426">
        <f t="array" ref="M167">MAX((IF(MNU_CODIGO_ALIMENTO_ENTREGA=CONCATENATE($C167,"_","P_"),MNU_GRAMAJE_REQUERIDO_TIPOB,"")))</f>
        <v>40</v>
      </c>
      <c r="N167" s="343">
        <f t="shared" si="104"/>
        <v>127602</v>
      </c>
      <c r="O167" s="343">
        <f t="shared" si="105"/>
        <v>0</v>
      </c>
      <c r="P167" s="343">
        <f t="shared" si="106"/>
        <v>127602</v>
      </c>
      <c r="Q167" s="344">
        <f t="shared" si="107"/>
        <v>54613656</v>
      </c>
      <c r="R167" s="344">
        <f t="shared" si="108"/>
        <v>0</v>
      </c>
      <c r="S167" s="344">
        <f t="shared" si="109"/>
        <v>54613656</v>
      </c>
      <c r="T167" s="348">
        <f t="array" ref="T167">MAX((IF(MNU_CODIGO_ALIMENTO_ENTREGA=CONCATENATE($C167,"_","P_"),MNU_GRAMAJE_REQUERIDO_TIPOC,"")))</f>
        <v>80</v>
      </c>
      <c r="U167" s="257">
        <f t="shared" si="110"/>
        <v>170918</v>
      </c>
      <c r="V167" s="257">
        <f t="shared" si="111"/>
        <v>0</v>
      </c>
      <c r="W167" s="257">
        <f t="shared" si="112"/>
        <v>170918</v>
      </c>
      <c r="X167" s="258">
        <f t="shared" si="113"/>
        <v>146134890</v>
      </c>
      <c r="Y167" s="258">
        <f t="shared" si="114"/>
        <v>0</v>
      </c>
      <c r="Z167" s="258">
        <f t="shared" si="115"/>
        <v>146134890</v>
      </c>
      <c r="AA167" s="256">
        <f t="array" ref="AA167">MAX((IF(MNU_CODIGO_ALIMENTO_ENTREGA=CONCATENATE($C167,"_","P_"),MNU_GRAMAJE_REQUERIDO_TIPOM,"")))</f>
        <v>40</v>
      </c>
      <c r="AB167" s="259">
        <f t="shared" si="116"/>
        <v>3859</v>
      </c>
      <c r="AC167" s="259">
        <v>0</v>
      </c>
      <c r="AD167" s="259">
        <f t="shared" si="117"/>
        <v>3859</v>
      </c>
      <c r="AE167" s="260">
        <f t="shared" si="118"/>
        <v>1651652</v>
      </c>
      <c r="AF167" s="260">
        <v>0</v>
      </c>
      <c r="AG167" s="260">
        <f t="shared" si="119"/>
        <v>1651652</v>
      </c>
      <c r="AH167" s="348">
        <f t="array" ref="AH167">MAX((IF(MNU_CODIGO_ALIMENTO_ENTREGA=CONCATENATE($C167,"_","P_"),MNU_GRAMAJE_REQUERIDO_TIPOH,"")))</f>
        <v>80</v>
      </c>
      <c r="AI167" s="257">
        <f t="shared" si="120"/>
        <v>4777</v>
      </c>
      <c r="AJ167" s="257">
        <v>0</v>
      </c>
      <c r="AK167" s="257">
        <f t="shared" si="121"/>
        <v>4777</v>
      </c>
      <c r="AL167" s="258">
        <f t="shared" si="122"/>
        <v>4084335</v>
      </c>
      <c r="AM167" s="258">
        <v>0</v>
      </c>
      <c r="AN167" s="258">
        <f t="shared" si="123"/>
        <v>4084335</v>
      </c>
      <c r="AO167" s="451">
        <f t="shared" si="124"/>
        <v>394910</v>
      </c>
      <c r="AP167" s="450">
        <f t="shared" si="125"/>
        <v>234653567</v>
      </c>
      <c r="AQ167" s="261" t="e">
        <f>#REF!+AH167+AA167+T167+M167</f>
        <v>#REF!</v>
      </c>
      <c r="AR167" s="261">
        <f t="shared" si="84"/>
        <v>234960723</v>
      </c>
      <c r="AS167" s="261" t="e">
        <f t="shared" si="85"/>
        <v>#REF!</v>
      </c>
      <c r="AT167" s="261">
        <f t="shared" si="86"/>
        <v>235267879</v>
      </c>
      <c r="AU167" s="261" t="e">
        <f t="shared" si="87"/>
        <v>#REF!</v>
      </c>
      <c r="AV167" s="261">
        <f t="shared" si="88"/>
        <v>235267879</v>
      </c>
      <c r="AW167" s="261" t="e">
        <f t="shared" si="89"/>
        <v>#REF!</v>
      </c>
      <c r="AX167" s="261" t="e">
        <f>AV167+#REF!+AH167+AA167+T167</f>
        <v>#REF!</v>
      </c>
      <c r="AY167" s="261" t="e">
        <f t="shared" si="90"/>
        <v>#REF!</v>
      </c>
      <c r="AZ167" s="261" t="e">
        <f t="shared" si="91"/>
        <v>#REF!</v>
      </c>
      <c r="BA167" s="261" t="e">
        <f t="shared" si="92"/>
        <v>#REF!</v>
      </c>
      <c r="BB167" s="261" t="e">
        <f t="shared" si="93"/>
        <v>#REF!</v>
      </c>
      <c r="BC167" s="261" t="e">
        <f t="shared" si="94"/>
        <v>#REF!</v>
      </c>
      <c r="BD167" s="261" t="e">
        <f t="shared" si="95"/>
        <v>#REF!</v>
      </c>
      <c r="BE167" s="261" t="e">
        <f>BC167+AV167+#REF!+AH167+AA167</f>
        <v>#REF!</v>
      </c>
      <c r="BF167" s="261" t="e">
        <f t="shared" si="96"/>
        <v>#REF!</v>
      </c>
      <c r="BG167" s="261" t="e">
        <f t="shared" si="97"/>
        <v>#REF!</v>
      </c>
    </row>
    <row r="168" spans="1:59" ht="15.75">
      <c r="A168" s="333">
        <v>13</v>
      </c>
      <c r="B168" s="333" t="s">
        <v>1607</v>
      </c>
      <c r="C168" s="256">
        <v>61</v>
      </c>
      <c r="D168" s="322" t="s">
        <v>13</v>
      </c>
      <c r="E168" s="256" t="s">
        <v>9</v>
      </c>
      <c r="F168" s="425">
        <f t="array" ref="F168">MAX((IF(MNU_CODIGO_ALIMENTO_ENTREGA=CONCATENATE($C168,"_","P_"),MNU_GRAMAJE_REQUERIDO_TIPOA,"")))</f>
        <v>20</v>
      </c>
      <c r="G168" s="257">
        <f t="shared" si="98"/>
        <v>82592</v>
      </c>
      <c r="H168" s="257">
        <f t="shared" si="99"/>
        <v>6520</v>
      </c>
      <c r="I168" s="257">
        <f t="shared" si="100"/>
        <v>89112</v>
      </c>
      <c r="J168" s="258">
        <f t="shared" si="101"/>
        <v>19243936</v>
      </c>
      <c r="K168" s="258">
        <f t="shared" si="102"/>
        <v>1519160</v>
      </c>
      <c r="L168" s="258">
        <f t="shared" si="103"/>
        <v>20763096</v>
      </c>
      <c r="M168" s="426">
        <f t="array" ref="M168">MAX((IF(MNU_CODIGO_ALIMENTO_ENTREGA=CONCATENATE($C168,"_","P_"),MNU_GRAMAJE_REQUERIDO_TIPOB,"")))</f>
        <v>30</v>
      </c>
      <c r="N168" s="343">
        <f t="shared" si="104"/>
        <v>120096</v>
      </c>
      <c r="O168" s="343">
        <f t="shared" si="105"/>
        <v>19400</v>
      </c>
      <c r="P168" s="343">
        <f t="shared" si="106"/>
        <v>139496</v>
      </c>
      <c r="Q168" s="344">
        <f t="shared" si="107"/>
        <v>42153696</v>
      </c>
      <c r="R168" s="344">
        <f t="shared" si="108"/>
        <v>6809400</v>
      </c>
      <c r="S168" s="344">
        <f t="shared" si="109"/>
        <v>48963096</v>
      </c>
      <c r="T168" s="348">
        <f t="array" ref="T168">MAX((IF(MNU_CODIGO_ALIMENTO_ENTREGA=CONCATENATE($C168,"_","P_"),MNU_GRAMAJE_REQUERIDO_TIPOC,"")))</f>
        <v>70</v>
      </c>
      <c r="U168" s="257">
        <f t="shared" si="110"/>
        <v>160864</v>
      </c>
      <c r="V168" s="257">
        <f t="shared" si="111"/>
        <v>31860</v>
      </c>
      <c r="W168" s="257">
        <f t="shared" si="112"/>
        <v>192724</v>
      </c>
      <c r="X168" s="258">
        <f t="shared" si="113"/>
        <v>131586752</v>
      </c>
      <c r="Y168" s="258">
        <f t="shared" si="114"/>
        <v>26061480</v>
      </c>
      <c r="Z168" s="258">
        <f t="shared" si="115"/>
        <v>157648232</v>
      </c>
      <c r="AA168" s="256">
        <f t="array" ref="AA168">MAX((IF(MNU_CODIGO_ALIMENTO_ENTREGA=CONCATENATE($C168,"_","P_"),MNU_GRAMAJE_REQUERIDO_TIPOM,"")))</f>
        <v>30</v>
      </c>
      <c r="AB168" s="259">
        <f t="shared" si="116"/>
        <v>3632</v>
      </c>
      <c r="AC168" s="259">
        <v>0</v>
      </c>
      <c r="AD168" s="259">
        <f t="shared" si="117"/>
        <v>3632</v>
      </c>
      <c r="AE168" s="260">
        <f t="shared" si="118"/>
        <v>1274832</v>
      </c>
      <c r="AF168" s="260">
        <v>0</v>
      </c>
      <c r="AG168" s="260">
        <f t="shared" si="119"/>
        <v>1274832</v>
      </c>
      <c r="AH168" s="348">
        <f t="array" ref="AH168">MAX((IF(MNU_CODIGO_ALIMENTO_ENTREGA=CONCATENATE($C168,"_","P_"),MNU_GRAMAJE_REQUERIDO_TIPOH,"")))</f>
        <v>70</v>
      </c>
      <c r="AI168" s="257">
        <f t="shared" si="120"/>
        <v>4496</v>
      </c>
      <c r="AJ168" s="257">
        <v>0</v>
      </c>
      <c r="AK168" s="257">
        <f t="shared" si="121"/>
        <v>4496</v>
      </c>
      <c r="AL168" s="258">
        <f t="shared" si="122"/>
        <v>3677728</v>
      </c>
      <c r="AM168" s="258">
        <v>0</v>
      </c>
      <c r="AN168" s="258">
        <f t="shared" si="123"/>
        <v>3677728</v>
      </c>
      <c r="AO168" s="451">
        <f t="shared" si="124"/>
        <v>429460</v>
      </c>
      <c r="AP168" s="450">
        <f t="shared" si="125"/>
        <v>232326984</v>
      </c>
      <c r="AQ168" s="261" t="e">
        <f>#REF!+AH168+AA168+T168+M168</f>
        <v>#REF!</v>
      </c>
      <c r="AR168" s="261">
        <f t="shared" si="84"/>
        <v>232616072</v>
      </c>
      <c r="AS168" s="261" t="e">
        <f t="shared" si="85"/>
        <v>#REF!</v>
      </c>
      <c r="AT168" s="261">
        <f t="shared" si="86"/>
        <v>232956420</v>
      </c>
      <c r="AU168" s="261" t="e">
        <f t="shared" si="87"/>
        <v>#REF!</v>
      </c>
      <c r="AV168" s="261">
        <f t="shared" si="88"/>
        <v>265827300</v>
      </c>
      <c r="AW168" s="261" t="e">
        <f t="shared" si="89"/>
        <v>#REF!</v>
      </c>
      <c r="AX168" s="261" t="e">
        <f>AV168+#REF!+AH168+AA168+T168</f>
        <v>#REF!</v>
      </c>
      <c r="AY168" s="261" t="e">
        <f t="shared" si="90"/>
        <v>#REF!</v>
      </c>
      <c r="AZ168" s="261" t="e">
        <f t="shared" si="91"/>
        <v>#REF!</v>
      </c>
      <c r="BA168" s="261" t="e">
        <f t="shared" si="92"/>
        <v>#REF!</v>
      </c>
      <c r="BB168" s="261" t="e">
        <f t="shared" si="93"/>
        <v>#REF!</v>
      </c>
      <c r="BC168" s="261" t="e">
        <f t="shared" si="94"/>
        <v>#REF!</v>
      </c>
      <c r="BD168" s="261" t="e">
        <f t="shared" si="95"/>
        <v>#REF!</v>
      </c>
      <c r="BE168" s="261" t="e">
        <f>BC168+AV168+#REF!+AH168+AA168</f>
        <v>#REF!</v>
      </c>
      <c r="BF168" s="261" t="e">
        <f t="shared" si="96"/>
        <v>#REF!</v>
      </c>
      <c r="BG168" s="261" t="e">
        <f t="shared" si="97"/>
        <v>#REF!</v>
      </c>
    </row>
    <row r="169" spans="1:59" ht="15.75">
      <c r="A169" s="333">
        <v>13</v>
      </c>
      <c r="B169" s="333" t="s">
        <v>1607</v>
      </c>
      <c r="C169" s="256">
        <v>62</v>
      </c>
      <c r="D169" s="322" t="s">
        <v>68</v>
      </c>
      <c r="E169" s="256" t="s">
        <v>9</v>
      </c>
      <c r="F169" s="425">
        <f t="array" ref="F169">MAX((IF(MNU_CODIGO_ALIMENTO_ENTREGA=CONCATENATE($C169,"_","P_"),MNU_GRAMAJE_REQUERIDO_TIPOA,"")))</f>
        <v>50</v>
      </c>
      <c r="G169" s="257">
        <f t="shared" si="98"/>
        <v>25810</v>
      </c>
      <c r="H169" s="257">
        <f t="shared" si="99"/>
        <v>0</v>
      </c>
      <c r="I169" s="257">
        <f t="shared" si="100"/>
        <v>25810</v>
      </c>
      <c r="J169" s="258">
        <f t="shared" si="101"/>
        <v>16131250</v>
      </c>
      <c r="K169" s="258">
        <f t="shared" si="102"/>
        <v>0</v>
      </c>
      <c r="L169" s="258">
        <f t="shared" si="103"/>
        <v>16131250</v>
      </c>
      <c r="M169" s="426">
        <f t="array" ref="M169">MAX((IF(MNU_CODIGO_ALIMENTO_ENTREGA=CONCATENATE($C169,"_","P_"),MNU_GRAMAJE_REQUERIDO_TIPOB,"")))</f>
        <v>50</v>
      </c>
      <c r="N169" s="343">
        <f t="shared" si="104"/>
        <v>37530</v>
      </c>
      <c r="O169" s="343">
        <f t="shared" si="105"/>
        <v>0</v>
      </c>
      <c r="P169" s="343">
        <f t="shared" si="106"/>
        <v>37530</v>
      </c>
      <c r="Q169" s="344">
        <f t="shared" si="107"/>
        <v>23456250</v>
      </c>
      <c r="R169" s="344">
        <f t="shared" si="108"/>
        <v>0</v>
      </c>
      <c r="S169" s="344">
        <f t="shared" si="109"/>
        <v>23456250</v>
      </c>
      <c r="T169" s="348">
        <f t="array" ref="T169">MAX((IF(MNU_CODIGO_ALIMENTO_ENTREGA=CONCATENATE($C169,"_","P_"),MNU_GRAMAJE_REQUERIDO_TIPOC,"")))</f>
        <v>50</v>
      </c>
      <c r="U169" s="257">
        <f t="shared" si="110"/>
        <v>50270</v>
      </c>
      <c r="V169" s="257">
        <f t="shared" si="111"/>
        <v>0</v>
      </c>
      <c r="W169" s="257">
        <f t="shared" si="112"/>
        <v>50270</v>
      </c>
      <c r="X169" s="258">
        <f t="shared" si="113"/>
        <v>31418750</v>
      </c>
      <c r="Y169" s="258">
        <f t="shared" si="114"/>
        <v>0</v>
      </c>
      <c r="Z169" s="258">
        <f t="shared" si="115"/>
        <v>31418750</v>
      </c>
      <c r="AA169" s="256">
        <f t="array" ref="AA169">MAX((IF(MNU_CODIGO_ALIMENTO_ENTREGA=CONCATENATE($C169,"_","P_"),MNU_GRAMAJE_REQUERIDO_TIPOM,"")))</f>
        <v>50</v>
      </c>
      <c r="AB169" s="259">
        <f t="shared" si="116"/>
        <v>1135</v>
      </c>
      <c r="AC169" s="259">
        <v>0</v>
      </c>
      <c r="AD169" s="259">
        <f t="shared" si="117"/>
        <v>1135</v>
      </c>
      <c r="AE169" s="260">
        <f t="shared" si="118"/>
        <v>709375</v>
      </c>
      <c r="AF169" s="260">
        <v>0</v>
      </c>
      <c r="AG169" s="260">
        <f t="shared" si="119"/>
        <v>709375</v>
      </c>
      <c r="AH169" s="348">
        <f t="array" ref="AH169">MAX((IF(MNU_CODIGO_ALIMENTO_ENTREGA=CONCATENATE($C169,"_","P_"),MNU_GRAMAJE_REQUERIDO_TIPOH,"")))</f>
        <v>50</v>
      </c>
      <c r="AI169" s="257">
        <f t="shared" si="120"/>
        <v>1405</v>
      </c>
      <c r="AJ169" s="257">
        <v>0</v>
      </c>
      <c r="AK169" s="257">
        <f t="shared" si="121"/>
        <v>1405</v>
      </c>
      <c r="AL169" s="258">
        <f t="shared" si="122"/>
        <v>878125</v>
      </c>
      <c r="AM169" s="258">
        <v>0</v>
      </c>
      <c r="AN169" s="258">
        <f t="shared" si="123"/>
        <v>878125</v>
      </c>
      <c r="AO169" s="451">
        <f t="shared" si="124"/>
        <v>116150</v>
      </c>
      <c r="AP169" s="450">
        <f t="shared" si="125"/>
        <v>72593750</v>
      </c>
      <c r="AQ169" s="261" t="e">
        <f>#REF!+AH169+AA169+T169+M169</f>
        <v>#REF!</v>
      </c>
      <c r="AR169" s="261">
        <f t="shared" si="84"/>
        <v>72684090</v>
      </c>
      <c r="AS169" s="261" t="e">
        <f t="shared" si="85"/>
        <v>#REF!</v>
      </c>
      <c r="AT169" s="261">
        <f t="shared" si="86"/>
        <v>72774430</v>
      </c>
      <c r="AU169" s="261" t="e">
        <f t="shared" si="87"/>
        <v>#REF!</v>
      </c>
      <c r="AV169" s="261">
        <f t="shared" si="88"/>
        <v>72774430</v>
      </c>
      <c r="AW169" s="261" t="e">
        <f t="shared" si="89"/>
        <v>#REF!</v>
      </c>
      <c r="AX169" s="261" t="e">
        <f>AV169+#REF!+AH169+AA169+T169</f>
        <v>#REF!</v>
      </c>
      <c r="AY169" s="261" t="e">
        <f t="shared" si="90"/>
        <v>#REF!</v>
      </c>
      <c r="AZ169" s="261" t="e">
        <f t="shared" si="91"/>
        <v>#REF!</v>
      </c>
      <c r="BA169" s="261" t="e">
        <f t="shared" si="92"/>
        <v>#REF!</v>
      </c>
      <c r="BB169" s="261" t="e">
        <f t="shared" si="93"/>
        <v>#REF!</v>
      </c>
      <c r="BC169" s="261" t="e">
        <f t="shared" si="94"/>
        <v>#REF!</v>
      </c>
      <c r="BD169" s="261" t="e">
        <f t="shared" si="95"/>
        <v>#REF!</v>
      </c>
      <c r="BE169" s="261" t="e">
        <f>BC169+AV169+#REF!+AH169+AA169</f>
        <v>#REF!</v>
      </c>
      <c r="BF169" s="261" t="e">
        <f t="shared" si="96"/>
        <v>#REF!</v>
      </c>
      <c r="BG169" s="261" t="e">
        <f t="shared" si="97"/>
        <v>#REF!</v>
      </c>
    </row>
    <row r="170" spans="1:59" ht="15.75">
      <c r="A170" s="333">
        <v>14</v>
      </c>
      <c r="B170" s="333" t="s">
        <v>1607</v>
      </c>
      <c r="C170" s="256">
        <v>1</v>
      </c>
      <c r="D170" s="322" t="s">
        <v>16</v>
      </c>
      <c r="E170" s="256" t="s">
        <v>9</v>
      </c>
      <c r="F170" s="425">
        <f t="array" ref="F170">MAX((IF(MNU_CODIGO_ALIMENTO_ENTREGA=CONCATENATE($C170,"_","P_"),MNU_GRAMAJE_REQUERIDO_TIPOA,"")))</f>
        <v>30</v>
      </c>
      <c r="G170" s="257">
        <f t="shared" si="98"/>
        <v>70185</v>
      </c>
      <c r="H170" s="257">
        <f t="shared" si="99"/>
        <v>0</v>
      </c>
      <c r="I170" s="257">
        <f t="shared" si="100"/>
        <v>70185</v>
      </c>
      <c r="J170" s="258">
        <f t="shared" si="101"/>
        <v>56709480</v>
      </c>
      <c r="K170" s="258">
        <f t="shared" si="102"/>
        <v>0</v>
      </c>
      <c r="L170" s="258">
        <f t="shared" si="103"/>
        <v>56709480</v>
      </c>
      <c r="M170" s="426">
        <f t="array" ref="M170">MAX((IF(MNU_CODIGO_ALIMENTO_ENTREGA=CONCATENATE($C170,"_","P_"),MNU_GRAMAJE_REQUERIDO_TIPOB,"")))</f>
        <v>40</v>
      </c>
      <c r="N170" s="343">
        <f t="shared" si="104"/>
        <v>94260</v>
      </c>
      <c r="O170" s="343">
        <f t="shared" si="105"/>
        <v>0</v>
      </c>
      <c r="P170" s="343">
        <f t="shared" si="106"/>
        <v>94260</v>
      </c>
      <c r="Q170" s="344">
        <f t="shared" si="107"/>
        <v>101612280</v>
      </c>
      <c r="R170" s="344">
        <f t="shared" si="108"/>
        <v>0</v>
      </c>
      <c r="S170" s="344">
        <f t="shared" si="109"/>
        <v>101612280</v>
      </c>
      <c r="T170" s="348">
        <f t="array" ref="T170">MAX((IF(MNU_CODIGO_ALIMENTO_ENTREGA=CONCATENATE($C170,"_","P_"),MNU_GRAMAJE_REQUERIDO_TIPOC,"")))</f>
        <v>60</v>
      </c>
      <c r="U170" s="257">
        <f t="shared" si="110"/>
        <v>100215</v>
      </c>
      <c r="V170" s="257">
        <f t="shared" si="111"/>
        <v>0</v>
      </c>
      <c r="W170" s="257">
        <f t="shared" si="112"/>
        <v>100215</v>
      </c>
      <c r="X170" s="258">
        <f t="shared" si="113"/>
        <v>161947440</v>
      </c>
      <c r="Y170" s="258">
        <f t="shared" si="114"/>
        <v>0</v>
      </c>
      <c r="Z170" s="258">
        <f t="shared" si="115"/>
        <v>161947440</v>
      </c>
      <c r="AA170" s="256">
        <f t="array" ref="AA170">MAX((IF(MNU_CODIGO_ALIMENTO_ENTREGA=CONCATENATE($C170,"_","P_"),MNU_GRAMAJE_REQUERIDO_TIPOM,"")))</f>
        <v>40</v>
      </c>
      <c r="AB170" s="259">
        <f t="shared" si="116"/>
        <v>6975</v>
      </c>
      <c r="AC170" s="259">
        <v>0</v>
      </c>
      <c r="AD170" s="259">
        <f t="shared" si="117"/>
        <v>6975</v>
      </c>
      <c r="AE170" s="260">
        <f t="shared" si="118"/>
        <v>7519050</v>
      </c>
      <c r="AF170" s="260">
        <v>0</v>
      </c>
      <c r="AG170" s="260">
        <f t="shared" si="119"/>
        <v>7519050</v>
      </c>
      <c r="AH170" s="348">
        <f t="array" ref="AH170">MAX((IF(MNU_CODIGO_ALIMENTO_ENTREGA=CONCATENATE($C170,"_","P_"),MNU_GRAMAJE_REQUERIDO_TIPOH,"")))</f>
        <v>60</v>
      </c>
      <c r="AI170" s="257">
        <f t="shared" si="120"/>
        <v>6000</v>
      </c>
      <c r="AJ170" s="257">
        <v>0</v>
      </c>
      <c r="AK170" s="257">
        <f t="shared" si="121"/>
        <v>6000</v>
      </c>
      <c r="AL170" s="258">
        <f t="shared" si="122"/>
        <v>9696000</v>
      </c>
      <c r="AM170" s="258">
        <v>0</v>
      </c>
      <c r="AN170" s="258">
        <f t="shared" si="123"/>
        <v>9696000</v>
      </c>
      <c r="AO170" s="451">
        <f t="shared" si="124"/>
        <v>277635</v>
      </c>
      <c r="AP170" s="450">
        <f t="shared" si="125"/>
        <v>337484250</v>
      </c>
      <c r="AQ170" s="261" t="e">
        <f>#REF!+AH170+AA170+T170+M170</f>
        <v>#REF!</v>
      </c>
      <c r="AR170" s="261">
        <f t="shared" si="84"/>
        <v>337691700</v>
      </c>
      <c r="AS170" s="261" t="e">
        <f t="shared" si="85"/>
        <v>#REF!</v>
      </c>
      <c r="AT170" s="261">
        <f t="shared" si="86"/>
        <v>337899150</v>
      </c>
      <c r="AU170" s="261" t="e">
        <f t="shared" si="87"/>
        <v>#REF!</v>
      </c>
      <c r="AV170" s="261">
        <f t="shared" si="88"/>
        <v>337899150</v>
      </c>
      <c r="AW170" s="261" t="e">
        <f t="shared" si="89"/>
        <v>#REF!</v>
      </c>
      <c r="AX170" s="261" t="e">
        <f>AV170+#REF!+AH170+AA170+T170</f>
        <v>#REF!</v>
      </c>
      <c r="AY170" s="261" t="e">
        <f t="shared" si="90"/>
        <v>#REF!</v>
      </c>
      <c r="AZ170" s="261" t="e">
        <f t="shared" si="91"/>
        <v>#REF!</v>
      </c>
      <c r="BA170" s="261" t="e">
        <f t="shared" si="92"/>
        <v>#REF!</v>
      </c>
      <c r="BB170" s="261" t="e">
        <f t="shared" si="93"/>
        <v>#REF!</v>
      </c>
      <c r="BC170" s="261" t="e">
        <f t="shared" si="94"/>
        <v>#REF!</v>
      </c>
      <c r="BD170" s="261" t="e">
        <f t="shared" si="95"/>
        <v>#REF!</v>
      </c>
      <c r="BE170" s="261" t="e">
        <f>BC170+AV170+#REF!+AH170+AA170</f>
        <v>#REF!</v>
      </c>
      <c r="BF170" s="261" t="e">
        <f t="shared" si="96"/>
        <v>#REF!</v>
      </c>
      <c r="BG170" s="261" t="e">
        <f t="shared" si="97"/>
        <v>#REF!</v>
      </c>
    </row>
    <row r="171" spans="1:59" ht="15.75">
      <c r="A171" s="333">
        <v>14</v>
      </c>
      <c r="B171" s="333" t="s">
        <v>1607</v>
      </c>
      <c r="C171" s="256">
        <v>3</v>
      </c>
      <c r="D171" s="322" t="s">
        <v>12</v>
      </c>
      <c r="E171" s="256" t="s">
        <v>9</v>
      </c>
      <c r="F171" s="425">
        <f t="array" ref="F171">MAX((IF(MNU_CODIGO_ALIMENTO_ENTREGA=CONCATENATE($C171,"_","P_"),MNU_GRAMAJE_REQUERIDO_TIPOA,"")))</f>
        <v>50</v>
      </c>
      <c r="G171" s="257">
        <f t="shared" si="98"/>
        <v>79543</v>
      </c>
      <c r="H171" s="257">
        <f t="shared" si="99"/>
        <v>18696</v>
      </c>
      <c r="I171" s="257">
        <f t="shared" si="100"/>
        <v>98239</v>
      </c>
      <c r="J171" s="258">
        <f t="shared" si="101"/>
        <v>40169215</v>
      </c>
      <c r="K171" s="258">
        <f t="shared" si="102"/>
        <v>9441480</v>
      </c>
      <c r="L171" s="258">
        <f t="shared" si="103"/>
        <v>49610695</v>
      </c>
      <c r="M171" s="426">
        <f t="array" ref="M171">MAX((IF(MNU_CODIGO_ALIMENTO_ENTREGA=CONCATENATE($C171,"_","P_"),MNU_GRAMAJE_REQUERIDO_TIPOB,"")))</f>
        <v>50</v>
      </c>
      <c r="N171" s="343">
        <f t="shared" si="104"/>
        <v>106828</v>
      </c>
      <c r="O171" s="343">
        <f t="shared" si="105"/>
        <v>26125</v>
      </c>
      <c r="P171" s="343">
        <f t="shared" si="106"/>
        <v>132953</v>
      </c>
      <c r="Q171" s="344">
        <f t="shared" si="107"/>
        <v>53948140</v>
      </c>
      <c r="R171" s="344">
        <f t="shared" si="108"/>
        <v>13193125</v>
      </c>
      <c r="S171" s="344">
        <f t="shared" si="109"/>
        <v>67141265</v>
      </c>
      <c r="T171" s="348">
        <f t="array" ref="T171">MAX((IF(MNU_CODIGO_ALIMENTO_ENTREGA=CONCATENATE($C171,"_","P_"),MNU_GRAMAJE_REQUERIDO_TIPOC,"")))</f>
        <v>80</v>
      </c>
      <c r="U171" s="257">
        <f t="shared" si="110"/>
        <v>113577</v>
      </c>
      <c r="V171" s="257">
        <f t="shared" si="111"/>
        <v>32509</v>
      </c>
      <c r="W171" s="257">
        <f t="shared" si="112"/>
        <v>146086</v>
      </c>
      <c r="X171" s="258">
        <f t="shared" si="113"/>
        <v>86659251</v>
      </c>
      <c r="Y171" s="258">
        <f t="shared" si="114"/>
        <v>24804367</v>
      </c>
      <c r="Z171" s="258">
        <f t="shared" si="115"/>
        <v>111463618</v>
      </c>
      <c r="AA171" s="256">
        <f t="array" ref="AA171">MAX((IF(MNU_CODIGO_ALIMENTO_ENTREGA=CONCATENATE($C171,"_","P_"),MNU_GRAMAJE_REQUERIDO_TIPOM,"")))</f>
        <v>50</v>
      </c>
      <c r="AB171" s="259">
        <f t="shared" si="116"/>
        <v>7905</v>
      </c>
      <c r="AC171" s="259">
        <v>0</v>
      </c>
      <c r="AD171" s="259">
        <f t="shared" si="117"/>
        <v>7905</v>
      </c>
      <c r="AE171" s="260">
        <f t="shared" si="118"/>
        <v>3992025</v>
      </c>
      <c r="AF171" s="260">
        <v>0</v>
      </c>
      <c r="AG171" s="260">
        <f t="shared" si="119"/>
        <v>3992025</v>
      </c>
      <c r="AH171" s="348">
        <f t="array" ref="AH171">MAX((IF(MNU_CODIGO_ALIMENTO_ENTREGA=CONCATENATE($C171,"_","P_"),MNU_GRAMAJE_REQUERIDO_TIPOH,"")))</f>
        <v>80</v>
      </c>
      <c r="AI171" s="257">
        <f t="shared" si="120"/>
        <v>6800</v>
      </c>
      <c r="AJ171" s="257">
        <v>0</v>
      </c>
      <c r="AK171" s="257">
        <f t="shared" si="121"/>
        <v>6800</v>
      </c>
      <c r="AL171" s="258">
        <f t="shared" si="122"/>
        <v>5188400</v>
      </c>
      <c r="AM171" s="258">
        <v>0</v>
      </c>
      <c r="AN171" s="258">
        <f t="shared" si="123"/>
        <v>5188400</v>
      </c>
      <c r="AO171" s="451">
        <f t="shared" si="124"/>
        <v>391983</v>
      </c>
      <c r="AP171" s="450">
        <f t="shared" si="125"/>
        <v>237396003</v>
      </c>
      <c r="AQ171" s="261" t="e">
        <f>#REF!+AH171+AA171+T171+M171</f>
        <v>#REF!</v>
      </c>
      <c r="AR171" s="261">
        <f t="shared" si="84"/>
        <v>237631113</v>
      </c>
      <c r="AS171" s="261" t="e">
        <f t="shared" si="85"/>
        <v>#REF!</v>
      </c>
      <c r="AT171" s="261">
        <f t="shared" si="86"/>
        <v>237924857</v>
      </c>
      <c r="AU171" s="261" t="e">
        <f t="shared" si="87"/>
        <v>#REF!</v>
      </c>
      <c r="AV171" s="261">
        <f t="shared" si="88"/>
        <v>275922349</v>
      </c>
      <c r="AW171" s="261" t="e">
        <f t="shared" si="89"/>
        <v>#REF!</v>
      </c>
      <c r="AX171" s="261" t="e">
        <f>AV171+#REF!+AH171+AA171+T171</f>
        <v>#REF!</v>
      </c>
      <c r="AY171" s="261" t="e">
        <f t="shared" si="90"/>
        <v>#REF!</v>
      </c>
      <c r="AZ171" s="261" t="e">
        <f t="shared" si="91"/>
        <v>#REF!</v>
      </c>
      <c r="BA171" s="261" t="e">
        <f t="shared" si="92"/>
        <v>#REF!</v>
      </c>
      <c r="BB171" s="261" t="e">
        <f t="shared" si="93"/>
        <v>#REF!</v>
      </c>
      <c r="BC171" s="261" t="e">
        <f t="shared" si="94"/>
        <v>#REF!</v>
      </c>
      <c r="BD171" s="261" t="e">
        <f t="shared" si="95"/>
        <v>#REF!</v>
      </c>
      <c r="BE171" s="261" t="e">
        <f>BC171+AV171+#REF!+AH171+AA171</f>
        <v>#REF!</v>
      </c>
      <c r="BF171" s="261" t="e">
        <f t="shared" si="96"/>
        <v>#REF!</v>
      </c>
      <c r="BG171" s="261" t="e">
        <f t="shared" si="97"/>
        <v>#REF!</v>
      </c>
    </row>
    <row r="172" spans="1:59" ht="15.75">
      <c r="A172" s="333">
        <v>14</v>
      </c>
      <c r="B172" s="333" t="s">
        <v>1607</v>
      </c>
      <c r="C172" s="256">
        <v>15</v>
      </c>
      <c r="D172" s="322" t="s">
        <v>66</v>
      </c>
      <c r="E172" s="256" t="s">
        <v>9</v>
      </c>
      <c r="F172" s="425">
        <f t="array" ref="F172">MAX((IF(MNU_CODIGO_ALIMENTO_ENTREGA=CONCATENATE($C172,"_","P_"),MNU_GRAMAJE_REQUERIDO_TIPOA,"")))</f>
        <v>50</v>
      </c>
      <c r="G172" s="257">
        <f t="shared" si="98"/>
        <v>79543</v>
      </c>
      <c r="H172" s="257">
        <f t="shared" si="99"/>
        <v>10824</v>
      </c>
      <c r="I172" s="257">
        <f t="shared" si="100"/>
        <v>90367</v>
      </c>
      <c r="J172" s="258">
        <f t="shared" si="101"/>
        <v>53532439</v>
      </c>
      <c r="K172" s="258">
        <f t="shared" si="102"/>
        <v>7284552</v>
      </c>
      <c r="L172" s="258">
        <f t="shared" si="103"/>
        <v>60816991</v>
      </c>
      <c r="M172" s="426">
        <f t="array" ref="M172">MAX((IF(MNU_CODIGO_ALIMENTO_ENTREGA=CONCATENATE($C172,"_","P_"),MNU_GRAMAJE_REQUERIDO_TIPOB,"")))</f>
        <v>50</v>
      </c>
      <c r="N172" s="343">
        <f t="shared" si="104"/>
        <v>106828</v>
      </c>
      <c r="O172" s="343">
        <f t="shared" si="105"/>
        <v>15125</v>
      </c>
      <c r="P172" s="343">
        <f t="shared" si="106"/>
        <v>121953</v>
      </c>
      <c r="Q172" s="344">
        <f t="shared" si="107"/>
        <v>71895244</v>
      </c>
      <c r="R172" s="344">
        <f t="shared" si="108"/>
        <v>10179125</v>
      </c>
      <c r="S172" s="344">
        <f t="shared" si="109"/>
        <v>82074369</v>
      </c>
      <c r="T172" s="348">
        <f t="array" ref="T172">MAX((IF(MNU_CODIGO_ALIMENTO_ENTREGA=CONCATENATE($C172,"_","P_"),MNU_GRAMAJE_REQUERIDO_TIPOC,"")))</f>
        <v>80</v>
      </c>
      <c r="U172" s="257">
        <f t="shared" si="110"/>
        <v>113577</v>
      </c>
      <c r="V172" s="257">
        <f t="shared" si="111"/>
        <v>18821</v>
      </c>
      <c r="W172" s="257">
        <f t="shared" si="112"/>
        <v>132398</v>
      </c>
      <c r="X172" s="258">
        <f t="shared" si="113"/>
        <v>122208852</v>
      </c>
      <c r="Y172" s="258">
        <f t="shared" si="114"/>
        <v>20251396</v>
      </c>
      <c r="Z172" s="258">
        <f t="shared" si="115"/>
        <v>142460248</v>
      </c>
      <c r="AA172" s="256">
        <f t="array" ref="AA172">MAX((IF(MNU_CODIGO_ALIMENTO_ENTREGA=CONCATENATE($C172,"_","P_"),MNU_GRAMAJE_REQUERIDO_TIPOM,"")))</f>
        <v>50</v>
      </c>
      <c r="AB172" s="259">
        <f t="shared" si="116"/>
        <v>7905</v>
      </c>
      <c r="AC172" s="259">
        <v>0</v>
      </c>
      <c r="AD172" s="259">
        <f t="shared" si="117"/>
        <v>7905</v>
      </c>
      <c r="AE172" s="260">
        <f t="shared" si="118"/>
        <v>5320065</v>
      </c>
      <c r="AF172" s="260">
        <v>0</v>
      </c>
      <c r="AG172" s="260">
        <f t="shared" si="119"/>
        <v>5320065</v>
      </c>
      <c r="AH172" s="348">
        <f t="array" ref="AH172">MAX((IF(MNU_CODIGO_ALIMENTO_ENTREGA=CONCATENATE($C172,"_","P_"),MNU_GRAMAJE_REQUERIDO_TIPOH,"")))</f>
        <v>80</v>
      </c>
      <c r="AI172" s="257">
        <f t="shared" si="120"/>
        <v>6800</v>
      </c>
      <c r="AJ172" s="257">
        <v>0</v>
      </c>
      <c r="AK172" s="257">
        <f t="shared" si="121"/>
        <v>6800</v>
      </c>
      <c r="AL172" s="258">
        <f t="shared" si="122"/>
        <v>7316800</v>
      </c>
      <c r="AM172" s="258">
        <v>0</v>
      </c>
      <c r="AN172" s="258">
        <f t="shared" si="123"/>
        <v>7316800</v>
      </c>
      <c r="AO172" s="451">
        <f t="shared" si="124"/>
        <v>359423</v>
      </c>
      <c r="AP172" s="450">
        <f t="shared" si="125"/>
        <v>297988473</v>
      </c>
      <c r="AQ172" s="261" t="e">
        <f>#REF!+AH172+AA172+T172+M172</f>
        <v>#REF!</v>
      </c>
      <c r="AR172" s="261">
        <f t="shared" si="84"/>
        <v>298223583</v>
      </c>
      <c r="AS172" s="261" t="e">
        <f t="shared" si="85"/>
        <v>#REF!</v>
      </c>
      <c r="AT172" s="261">
        <f t="shared" si="86"/>
        <v>298492639</v>
      </c>
      <c r="AU172" s="261" t="e">
        <f t="shared" si="87"/>
        <v>#REF!</v>
      </c>
      <c r="AV172" s="261">
        <f t="shared" si="88"/>
        <v>328923160</v>
      </c>
      <c r="AW172" s="261" t="e">
        <f t="shared" si="89"/>
        <v>#REF!</v>
      </c>
      <c r="AX172" s="261" t="e">
        <f>AV172+#REF!+AH172+AA172+T172</f>
        <v>#REF!</v>
      </c>
      <c r="AY172" s="261" t="e">
        <f t="shared" si="90"/>
        <v>#REF!</v>
      </c>
      <c r="AZ172" s="261" t="e">
        <f t="shared" si="91"/>
        <v>#REF!</v>
      </c>
      <c r="BA172" s="261" t="e">
        <f t="shared" si="92"/>
        <v>#REF!</v>
      </c>
      <c r="BB172" s="261" t="e">
        <f t="shared" si="93"/>
        <v>#REF!</v>
      </c>
      <c r="BC172" s="261" t="e">
        <f t="shared" si="94"/>
        <v>#REF!</v>
      </c>
      <c r="BD172" s="261" t="e">
        <f t="shared" si="95"/>
        <v>#REF!</v>
      </c>
      <c r="BE172" s="261" t="e">
        <f>BC172+AV172+#REF!+AH172+AA172</f>
        <v>#REF!</v>
      </c>
      <c r="BF172" s="261" t="e">
        <f t="shared" si="96"/>
        <v>#REF!</v>
      </c>
      <c r="BG172" s="261" t="e">
        <f t="shared" si="97"/>
        <v>#REF!</v>
      </c>
    </row>
    <row r="173" spans="1:59" ht="15.75">
      <c r="A173" s="333">
        <v>14</v>
      </c>
      <c r="B173" s="333" t="s">
        <v>1607</v>
      </c>
      <c r="C173" s="256">
        <v>24</v>
      </c>
      <c r="D173" s="322" t="s">
        <v>61</v>
      </c>
      <c r="E173" s="256" t="s">
        <v>9</v>
      </c>
      <c r="F173" s="425">
        <f t="array" ref="F173">MAX((IF(MNU_CODIGO_ALIMENTO_ENTREGA=CONCATENATE($C173,"_","P_"),MNU_GRAMAJE_REQUERIDO_TIPOA,"")))</f>
        <v>20</v>
      </c>
      <c r="G173" s="257">
        <f t="shared" si="98"/>
        <v>79543</v>
      </c>
      <c r="H173" s="257">
        <f t="shared" si="99"/>
        <v>10824</v>
      </c>
      <c r="I173" s="257">
        <f t="shared" si="100"/>
        <v>90367</v>
      </c>
      <c r="J173" s="258">
        <f t="shared" si="101"/>
        <v>10181504</v>
      </c>
      <c r="K173" s="258">
        <f t="shared" si="102"/>
        <v>1385472</v>
      </c>
      <c r="L173" s="258">
        <f t="shared" si="103"/>
        <v>11566976</v>
      </c>
      <c r="M173" s="426">
        <f t="array" ref="M173">MAX((IF(MNU_CODIGO_ALIMENTO_ENTREGA=CONCATENATE($C173,"_","P_"),MNU_GRAMAJE_REQUERIDO_TIPOB,"")))</f>
        <v>30</v>
      </c>
      <c r="N173" s="343">
        <f t="shared" si="104"/>
        <v>106828</v>
      </c>
      <c r="O173" s="343">
        <f t="shared" si="105"/>
        <v>15125</v>
      </c>
      <c r="P173" s="343">
        <f t="shared" si="106"/>
        <v>121953</v>
      </c>
      <c r="Q173" s="344">
        <f t="shared" si="107"/>
        <v>21365600</v>
      </c>
      <c r="R173" s="344">
        <f t="shared" si="108"/>
        <v>3025000</v>
      </c>
      <c r="S173" s="344">
        <f t="shared" si="109"/>
        <v>24390600</v>
      </c>
      <c r="T173" s="348">
        <f t="array" ref="T173">MAX((IF(MNU_CODIGO_ALIMENTO_ENTREGA=CONCATENATE($C173,"_","P_"),MNU_GRAMAJE_REQUERIDO_TIPOC,"")))</f>
        <v>60</v>
      </c>
      <c r="U173" s="257">
        <f t="shared" si="110"/>
        <v>113577</v>
      </c>
      <c r="V173" s="257">
        <f t="shared" si="111"/>
        <v>18821</v>
      </c>
      <c r="W173" s="257">
        <f t="shared" si="112"/>
        <v>132398</v>
      </c>
      <c r="X173" s="258">
        <f t="shared" si="113"/>
        <v>43727145</v>
      </c>
      <c r="Y173" s="258">
        <f t="shared" si="114"/>
        <v>7246085</v>
      </c>
      <c r="Z173" s="258">
        <f t="shared" si="115"/>
        <v>50973230</v>
      </c>
      <c r="AA173" s="256">
        <f t="array" ref="AA173">MAX((IF(MNU_CODIGO_ALIMENTO_ENTREGA=CONCATENATE($C173,"_","P_"),MNU_GRAMAJE_REQUERIDO_TIPOM,"")))</f>
        <v>30</v>
      </c>
      <c r="AB173" s="259">
        <f t="shared" si="116"/>
        <v>7905</v>
      </c>
      <c r="AC173" s="259">
        <v>0</v>
      </c>
      <c r="AD173" s="259">
        <f t="shared" si="117"/>
        <v>7905</v>
      </c>
      <c r="AE173" s="260">
        <f t="shared" si="118"/>
        <v>1581000</v>
      </c>
      <c r="AF173" s="260">
        <v>0</v>
      </c>
      <c r="AG173" s="260">
        <f t="shared" si="119"/>
        <v>1581000</v>
      </c>
      <c r="AH173" s="348">
        <f t="array" ref="AH173">MAX((IF(MNU_CODIGO_ALIMENTO_ENTREGA=CONCATENATE($C173,"_","P_"),MNU_GRAMAJE_REQUERIDO_TIPOH,"")))</f>
        <v>60</v>
      </c>
      <c r="AI173" s="257">
        <f t="shared" si="120"/>
        <v>6800</v>
      </c>
      <c r="AJ173" s="257">
        <v>0</v>
      </c>
      <c r="AK173" s="257">
        <f t="shared" si="121"/>
        <v>6800</v>
      </c>
      <c r="AL173" s="258">
        <f t="shared" si="122"/>
        <v>2618000</v>
      </c>
      <c r="AM173" s="258">
        <v>0</v>
      </c>
      <c r="AN173" s="258">
        <f t="shared" si="123"/>
        <v>2618000</v>
      </c>
      <c r="AO173" s="451">
        <f t="shared" si="124"/>
        <v>359423</v>
      </c>
      <c r="AP173" s="450">
        <f t="shared" si="125"/>
        <v>91129806</v>
      </c>
      <c r="AQ173" s="261" t="e">
        <f>#REF!+AH173+AA173+T173+M173</f>
        <v>#REF!</v>
      </c>
      <c r="AR173" s="261">
        <f t="shared" si="84"/>
        <v>91364916</v>
      </c>
      <c r="AS173" s="261" t="e">
        <f t="shared" si="85"/>
        <v>#REF!</v>
      </c>
      <c r="AT173" s="261">
        <f t="shared" si="86"/>
        <v>91633972</v>
      </c>
      <c r="AU173" s="261" t="e">
        <f t="shared" si="87"/>
        <v>#REF!</v>
      </c>
      <c r="AV173" s="261">
        <f t="shared" si="88"/>
        <v>101905057</v>
      </c>
      <c r="AW173" s="261" t="e">
        <f t="shared" si="89"/>
        <v>#REF!</v>
      </c>
      <c r="AX173" s="261" t="e">
        <f>AV173+#REF!+AH173+AA173+T173</f>
        <v>#REF!</v>
      </c>
      <c r="AY173" s="261" t="e">
        <f t="shared" si="90"/>
        <v>#REF!</v>
      </c>
      <c r="AZ173" s="261" t="e">
        <f t="shared" si="91"/>
        <v>#REF!</v>
      </c>
      <c r="BA173" s="261" t="e">
        <f t="shared" si="92"/>
        <v>#REF!</v>
      </c>
      <c r="BB173" s="261" t="e">
        <f t="shared" si="93"/>
        <v>#REF!</v>
      </c>
      <c r="BC173" s="261" t="e">
        <f t="shared" si="94"/>
        <v>#REF!</v>
      </c>
      <c r="BD173" s="261" t="e">
        <f t="shared" si="95"/>
        <v>#REF!</v>
      </c>
      <c r="BE173" s="261" t="e">
        <f>BC173+AV173+#REF!+AH173+AA173</f>
        <v>#REF!</v>
      </c>
      <c r="BF173" s="261" t="e">
        <f t="shared" si="96"/>
        <v>#REF!</v>
      </c>
      <c r="BG173" s="261" t="e">
        <f t="shared" si="97"/>
        <v>#REF!</v>
      </c>
    </row>
    <row r="174" spans="1:59" ht="15.75">
      <c r="A174" s="333">
        <v>14</v>
      </c>
      <c r="B174" s="333" t="s">
        <v>1607</v>
      </c>
      <c r="C174" s="256">
        <v>25</v>
      </c>
      <c r="D174" s="322" t="s">
        <v>64</v>
      </c>
      <c r="E174" s="256" t="s">
        <v>9</v>
      </c>
      <c r="F174" s="425">
        <f t="array" ref="F174">MAX((IF(MNU_CODIGO_ALIMENTO_ENTREGA=CONCATENATE($C174,"_","P_"),MNU_GRAMAJE_REQUERIDO_TIPOA,"")))</f>
        <v>40</v>
      </c>
      <c r="G174" s="257">
        <f t="shared" si="98"/>
        <v>79543</v>
      </c>
      <c r="H174" s="257">
        <f t="shared" si="99"/>
        <v>21648</v>
      </c>
      <c r="I174" s="257">
        <f t="shared" si="100"/>
        <v>101191</v>
      </c>
      <c r="J174" s="258">
        <f t="shared" si="101"/>
        <v>20363008</v>
      </c>
      <c r="K174" s="258">
        <f t="shared" si="102"/>
        <v>5541888</v>
      </c>
      <c r="L174" s="258">
        <f t="shared" si="103"/>
        <v>25904896</v>
      </c>
      <c r="M174" s="426">
        <f t="array" ref="M174">MAX((IF(MNU_CODIGO_ALIMENTO_ENTREGA=CONCATENATE($C174,"_","P_"),MNU_GRAMAJE_REQUERIDO_TIPOB,"")))</f>
        <v>40</v>
      </c>
      <c r="N174" s="343">
        <f t="shared" si="104"/>
        <v>106828</v>
      </c>
      <c r="O174" s="343">
        <f t="shared" si="105"/>
        <v>30250</v>
      </c>
      <c r="P174" s="343">
        <f t="shared" si="106"/>
        <v>137078</v>
      </c>
      <c r="Q174" s="344">
        <f t="shared" si="107"/>
        <v>27347968</v>
      </c>
      <c r="R174" s="344">
        <f t="shared" si="108"/>
        <v>7744000</v>
      </c>
      <c r="S174" s="344">
        <f t="shared" si="109"/>
        <v>35091968</v>
      </c>
      <c r="T174" s="348">
        <f t="array" ref="T174">MAX((IF(MNU_CODIGO_ALIMENTO_ENTREGA=CONCATENATE($C174,"_","P_"),MNU_GRAMAJE_REQUERIDO_TIPOC,"")))</f>
        <v>60</v>
      </c>
      <c r="U174" s="257">
        <f t="shared" si="110"/>
        <v>113577</v>
      </c>
      <c r="V174" s="257">
        <f t="shared" si="111"/>
        <v>37642</v>
      </c>
      <c r="W174" s="257">
        <f t="shared" si="112"/>
        <v>151219</v>
      </c>
      <c r="X174" s="258">
        <f t="shared" si="113"/>
        <v>43613568</v>
      </c>
      <c r="Y174" s="258">
        <f t="shared" si="114"/>
        <v>14454528</v>
      </c>
      <c r="Z174" s="258">
        <f t="shared" si="115"/>
        <v>58068096</v>
      </c>
      <c r="AA174" s="256">
        <f t="array" ref="AA174">MAX((IF(MNU_CODIGO_ALIMENTO_ENTREGA=CONCATENATE($C174,"_","P_"),MNU_GRAMAJE_REQUERIDO_TIPOM,"")))</f>
        <v>40</v>
      </c>
      <c r="AB174" s="259">
        <f t="shared" si="116"/>
        <v>7905</v>
      </c>
      <c r="AC174" s="259">
        <v>0</v>
      </c>
      <c r="AD174" s="259">
        <f t="shared" si="117"/>
        <v>7905</v>
      </c>
      <c r="AE174" s="260">
        <f t="shared" si="118"/>
        <v>2023680</v>
      </c>
      <c r="AF174" s="260">
        <v>0</v>
      </c>
      <c r="AG174" s="260">
        <f t="shared" si="119"/>
        <v>2023680</v>
      </c>
      <c r="AH174" s="348">
        <f t="array" ref="AH174">MAX((IF(MNU_CODIGO_ALIMENTO_ENTREGA=CONCATENATE($C174,"_","P_"),MNU_GRAMAJE_REQUERIDO_TIPOH,"")))</f>
        <v>60</v>
      </c>
      <c r="AI174" s="257">
        <f t="shared" si="120"/>
        <v>6800</v>
      </c>
      <c r="AJ174" s="257">
        <v>0</v>
      </c>
      <c r="AK174" s="257">
        <f t="shared" si="121"/>
        <v>6800</v>
      </c>
      <c r="AL174" s="258">
        <f t="shared" si="122"/>
        <v>2611200</v>
      </c>
      <c r="AM174" s="258">
        <v>0</v>
      </c>
      <c r="AN174" s="258">
        <f t="shared" si="123"/>
        <v>2611200</v>
      </c>
      <c r="AO174" s="451">
        <f t="shared" si="124"/>
        <v>404193</v>
      </c>
      <c r="AP174" s="450">
        <f t="shared" si="125"/>
        <v>123699840</v>
      </c>
      <c r="AQ174" s="261" t="e">
        <f>#REF!+AH174+AA174+T174+M174</f>
        <v>#REF!</v>
      </c>
      <c r="AR174" s="261">
        <f t="shared" si="84"/>
        <v>123934950</v>
      </c>
      <c r="AS174" s="261" t="e">
        <f t="shared" si="85"/>
        <v>#REF!</v>
      </c>
      <c r="AT174" s="261">
        <f t="shared" si="86"/>
        <v>124237952</v>
      </c>
      <c r="AU174" s="261" t="e">
        <f t="shared" si="87"/>
        <v>#REF!</v>
      </c>
      <c r="AV174" s="261">
        <f t="shared" si="88"/>
        <v>146436480</v>
      </c>
      <c r="AW174" s="261" t="e">
        <f t="shared" si="89"/>
        <v>#REF!</v>
      </c>
      <c r="AX174" s="261" t="e">
        <f>AV174+#REF!+AH174+AA174+T174</f>
        <v>#REF!</v>
      </c>
      <c r="AY174" s="261" t="e">
        <f t="shared" si="90"/>
        <v>#REF!</v>
      </c>
      <c r="AZ174" s="261" t="e">
        <f t="shared" si="91"/>
        <v>#REF!</v>
      </c>
      <c r="BA174" s="261" t="e">
        <f t="shared" si="92"/>
        <v>#REF!</v>
      </c>
      <c r="BB174" s="261" t="e">
        <f t="shared" si="93"/>
        <v>#REF!</v>
      </c>
      <c r="BC174" s="261" t="e">
        <f t="shared" si="94"/>
        <v>#REF!</v>
      </c>
      <c r="BD174" s="261" t="e">
        <f t="shared" si="95"/>
        <v>#REF!</v>
      </c>
      <c r="BE174" s="261" t="e">
        <f>BC174+AV174+#REF!+AH174+AA174</f>
        <v>#REF!</v>
      </c>
      <c r="BF174" s="261" t="e">
        <f t="shared" si="96"/>
        <v>#REF!</v>
      </c>
      <c r="BG174" s="261" t="e">
        <f t="shared" si="97"/>
        <v>#REF!</v>
      </c>
    </row>
    <row r="175" spans="1:59" ht="15.75">
      <c r="A175" s="333">
        <v>14</v>
      </c>
      <c r="B175" s="333" t="s">
        <v>1607</v>
      </c>
      <c r="C175" s="256">
        <v>26</v>
      </c>
      <c r="D175" s="322" t="s">
        <v>69</v>
      </c>
      <c r="E175" s="256" t="s">
        <v>9</v>
      </c>
      <c r="F175" s="425">
        <f t="array" ref="F175">MAX((IF(MNU_CODIGO_ALIMENTO_ENTREGA=CONCATENATE($C175,"_","P_"),MNU_GRAMAJE_REQUERIDO_TIPOA,"")))</f>
        <v>30</v>
      </c>
      <c r="G175" s="257">
        <f t="shared" si="98"/>
        <v>28074</v>
      </c>
      <c r="H175" s="257">
        <f t="shared" si="99"/>
        <v>0</v>
      </c>
      <c r="I175" s="257">
        <f t="shared" si="100"/>
        <v>28074</v>
      </c>
      <c r="J175" s="258">
        <f t="shared" si="101"/>
        <v>4800654</v>
      </c>
      <c r="K175" s="258">
        <f t="shared" si="102"/>
        <v>0</v>
      </c>
      <c r="L175" s="258">
        <f t="shared" si="103"/>
        <v>4800654</v>
      </c>
      <c r="M175" s="426">
        <f t="array" ref="M175">MAX((IF(MNU_CODIGO_ALIMENTO_ENTREGA=CONCATENATE($C175,"_","P_"),MNU_GRAMAJE_REQUERIDO_TIPOB,"")))</f>
        <v>30</v>
      </c>
      <c r="N175" s="343">
        <f t="shared" si="104"/>
        <v>37704</v>
      </c>
      <c r="O175" s="343">
        <f t="shared" si="105"/>
        <v>0</v>
      </c>
      <c r="P175" s="343">
        <f t="shared" si="106"/>
        <v>37704</v>
      </c>
      <c r="Q175" s="344">
        <f t="shared" si="107"/>
        <v>6447384</v>
      </c>
      <c r="R175" s="344">
        <f t="shared" si="108"/>
        <v>0</v>
      </c>
      <c r="S175" s="344">
        <f t="shared" si="109"/>
        <v>6447384</v>
      </c>
      <c r="T175" s="348">
        <f t="array" ref="T175">MAX((IF(MNU_CODIGO_ALIMENTO_ENTREGA=CONCATENATE($C175,"_","P_"),MNU_GRAMAJE_REQUERIDO_TIPOC,"")))</f>
        <v>30</v>
      </c>
      <c r="U175" s="257">
        <f t="shared" si="110"/>
        <v>40086</v>
      </c>
      <c r="V175" s="257">
        <f t="shared" si="111"/>
        <v>0</v>
      </c>
      <c r="W175" s="257">
        <f t="shared" si="112"/>
        <v>40086</v>
      </c>
      <c r="X175" s="258">
        <f t="shared" si="113"/>
        <v>6854706</v>
      </c>
      <c r="Y175" s="258">
        <f t="shared" si="114"/>
        <v>0</v>
      </c>
      <c r="Z175" s="258">
        <f t="shared" si="115"/>
        <v>6854706</v>
      </c>
      <c r="AA175" s="256">
        <f t="array" ref="AA175">MAX((IF(MNU_CODIGO_ALIMENTO_ENTREGA=CONCATENATE($C175,"_","P_"),MNU_GRAMAJE_REQUERIDO_TIPOM,"")))</f>
        <v>30</v>
      </c>
      <c r="AB175" s="259">
        <f t="shared" si="116"/>
        <v>2790</v>
      </c>
      <c r="AC175" s="259">
        <v>0</v>
      </c>
      <c r="AD175" s="259">
        <f t="shared" si="117"/>
        <v>2790</v>
      </c>
      <c r="AE175" s="260">
        <f t="shared" si="118"/>
        <v>477090</v>
      </c>
      <c r="AF175" s="260">
        <v>0</v>
      </c>
      <c r="AG175" s="260">
        <f t="shared" si="119"/>
        <v>477090</v>
      </c>
      <c r="AH175" s="348">
        <f t="array" ref="AH175">MAX((IF(MNU_CODIGO_ALIMENTO_ENTREGA=CONCATENATE($C175,"_","P_"),MNU_GRAMAJE_REQUERIDO_TIPOH,"")))</f>
        <v>30</v>
      </c>
      <c r="AI175" s="257">
        <f t="shared" si="120"/>
        <v>2400</v>
      </c>
      <c r="AJ175" s="257">
        <v>0</v>
      </c>
      <c r="AK175" s="257">
        <f t="shared" si="121"/>
        <v>2400</v>
      </c>
      <c r="AL175" s="258">
        <f t="shared" si="122"/>
        <v>410400</v>
      </c>
      <c r="AM175" s="258">
        <v>0</v>
      </c>
      <c r="AN175" s="258">
        <f t="shared" si="123"/>
        <v>410400</v>
      </c>
      <c r="AO175" s="451">
        <f t="shared" si="124"/>
        <v>111054</v>
      </c>
      <c r="AP175" s="450">
        <f t="shared" si="125"/>
        <v>18990234</v>
      </c>
      <c r="AQ175" s="261" t="e">
        <f>#REF!+AH175+AA175+T175+M175</f>
        <v>#REF!</v>
      </c>
      <c r="AR175" s="261">
        <f t="shared" ref="AR175:AR238" si="126">AP175+AI175+AB175+U175+N175</f>
        <v>19073214</v>
      </c>
      <c r="AS175" s="261" t="e">
        <f t="shared" ref="AS175:AS238" si="127">AQ175+AJ175+AC175+V175+O175</f>
        <v>#REF!</v>
      </c>
      <c r="AT175" s="261">
        <f t="shared" ref="AT175:AT238" si="128">AR175+AK175+AD175+W175+P175</f>
        <v>19156194</v>
      </c>
      <c r="AU175" s="261" t="e">
        <f t="shared" ref="AU175:AU238" si="129">AS175+AL175+AE175+X175+Q175</f>
        <v>#REF!</v>
      </c>
      <c r="AV175" s="261">
        <f t="shared" ref="AV175:AV238" si="130">AT175+AM175+AF175+Y175+R175</f>
        <v>19156194</v>
      </c>
      <c r="AW175" s="261" t="e">
        <f t="shared" ref="AW175:AW238" si="131">AU175+AN175+AG175+Z175+S175</f>
        <v>#REF!</v>
      </c>
      <c r="AX175" s="261" t="e">
        <f>AV175+#REF!+AH175+AA175+T175</f>
        <v>#REF!</v>
      </c>
      <c r="AY175" s="261" t="e">
        <f t="shared" ref="AY175:AY238" si="132">AW175+AP175+AI175+AB175+U175</f>
        <v>#REF!</v>
      </c>
      <c r="AZ175" s="261" t="e">
        <f t="shared" ref="AZ175:AZ238" si="133">AX175+AQ175+AJ175+AC175+V175</f>
        <v>#REF!</v>
      </c>
      <c r="BA175" s="261" t="e">
        <f t="shared" ref="BA175:BA238" si="134">AY175+AR175+AK175+AD175+W175</f>
        <v>#REF!</v>
      </c>
      <c r="BB175" s="261" t="e">
        <f t="shared" ref="BB175:BB238" si="135">AZ175+AS175+AL175+AE175+X175</f>
        <v>#REF!</v>
      </c>
      <c r="BC175" s="261" t="e">
        <f t="shared" ref="BC175:BC238" si="136">BA175+AT175+AM175+AF175+Y175</f>
        <v>#REF!</v>
      </c>
      <c r="BD175" s="261" t="e">
        <f t="shared" ref="BD175:BD238" si="137">BB175+AU175+AN175+AG175+Z175</f>
        <v>#REF!</v>
      </c>
      <c r="BE175" s="261" t="e">
        <f>BC175+AV175+#REF!+AH175+AA175</f>
        <v>#REF!</v>
      </c>
      <c r="BF175" s="261" t="e">
        <f t="shared" ref="BF175:BF238" si="138">BD175+AW175+AP175+AI175+AB175</f>
        <v>#REF!</v>
      </c>
      <c r="BG175" s="261" t="e">
        <f t="shared" ref="BG175:BG238" si="139">BE175+AX175+AQ175+AJ175+AC175</f>
        <v>#REF!</v>
      </c>
    </row>
    <row r="176" spans="1:59" ht="27">
      <c r="A176" s="333">
        <v>14</v>
      </c>
      <c r="B176" s="333" t="s">
        <v>1607</v>
      </c>
      <c r="C176" s="256">
        <v>28</v>
      </c>
      <c r="D176" s="322" t="s">
        <v>67</v>
      </c>
      <c r="E176" s="256" t="s">
        <v>9</v>
      </c>
      <c r="F176" s="425">
        <f t="array" ref="F176">MAX((IF(MNU_CODIGO_ALIMENTO_ENTREGA=CONCATENATE($C176,"_","P_"),MNU_GRAMAJE_REQUERIDO_TIPOA,"")))</f>
        <v>30</v>
      </c>
      <c r="G176" s="257">
        <f t="shared" si="98"/>
        <v>28074</v>
      </c>
      <c r="H176" s="257">
        <f t="shared" si="99"/>
        <v>18696</v>
      </c>
      <c r="I176" s="257">
        <f t="shared" si="100"/>
        <v>46770</v>
      </c>
      <c r="J176" s="258">
        <f t="shared" si="101"/>
        <v>6344724</v>
      </c>
      <c r="K176" s="258">
        <f t="shared" si="102"/>
        <v>4225296</v>
      </c>
      <c r="L176" s="258">
        <f t="shared" si="103"/>
        <v>10570020</v>
      </c>
      <c r="M176" s="426">
        <f t="array" ref="M176">MAX((IF(MNU_CODIGO_ALIMENTO_ENTREGA=CONCATENATE($C176,"_","P_"),MNU_GRAMAJE_REQUERIDO_TIPOB,"")))</f>
        <v>40</v>
      </c>
      <c r="N176" s="343">
        <f t="shared" si="104"/>
        <v>37704</v>
      </c>
      <c r="O176" s="343">
        <f t="shared" si="105"/>
        <v>26125</v>
      </c>
      <c r="P176" s="343">
        <f t="shared" si="106"/>
        <v>63829</v>
      </c>
      <c r="Q176" s="344">
        <f t="shared" si="107"/>
        <v>11348904</v>
      </c>
      <c r="R176" s="344">
        <f t="shared" si="108"/>
        <v>7863625</v>
      </c>
      <c r="S176" s="344">
        <f t="shared" si="109"/>
        <v>19212529</v>
      </c>
      <c r="T176" s="348">
        <f t="array" ref="T176">MAX((IF(MNU_CODIGO_ALIMENTO_ENTREGA=CONCATENATE($C176,"_","P_"),MNU_GRAMAJE_REQUERIDO_TIPOC,"")))</f>
        <v>60</v>
      </c>
      <c r="U176" s="257">
        <f t="shared" si="110"/>
        <v>40086</v>
      </c>
      <c r="V176" s="257">
        <f t="shared" si="111"/>
        <v>32509</v>
      </c>
      <c r="W176" s="257">
        <f t="shared" si="112"/>
        <v>72595</v>
      </c>
      <c r="X176" s="258">
        <f t="shared" si="113"/>
        <v>18078786</v>
      </c>
      <c r="Y176" s="258">
        <f t="shared" si="114"/>
        <v>14661559</v>
      </c>
      <c r="Z176" s="258">
        <f t="shared" si="115"/>
        <v>32740345</v>
      </c>
      <c r="AA176" s="256">
        <f t="array" ref="AA176">MAX((IF(MNU_CODIGO_ALIMENTO_ENTREGA=CONCATENATE($C176,"_","P_"),MNU_GRAMAJE_REQUERIDO_TIPOM,"")))</f>
        <v>40</v>
      </c>
      <c r="AB176" s="259">
        <f t="shared" si="116"/>
        <v>2790</v>
      </c>
      <c r="AC176" s="259">
        <v>0</v>
      </c>
      <c r="AD176" s="259">
        <f t="shared" si="117"/>
        <v>2790</v>
      </c>
      <c r="AE176" s="260">
        <f t="shared" si="118"/>
        <v>839790</v>
      </c>
      <c r="AF176" s="260">
        <v>0</v>
      </c>
      <c r="AG176" s="260">
        <f t="shared" si="119"/>
        <v>839790</v>
      </c>
      <c r="AH176" s="348">
        <f t="array" ref="AH176">MAX((IF(MNU_CODIGO_ALIMENTO_ENTREGA=CONCATENATE($C176,"_","P_"),MNU_GRAMAJE_REQUERIDO_TIPOH,"")))</f>
        <v>60</v>
      </c>
      <c r="AI176" s="257">
        <f t="shared" si="120"/>
        <v>2400</v>
      </c>
      <c r="AJ176" s="257">
        <v>0</v>
      </c>
      <c r="AK176" s="257">
        <f t="shared" si="121"/>
        <v>2400</v>
      </c>
      <c r="AL176" s="258">
        <f t="shared" si="122"/>
        <v>1082400</v>
      </c>
      <c r="AM176" s="258">
        <v>0</v>
      </c>
      <c r="AN176" s="258">
        <f t="shared" si="123"/>
        <v>1082400</v>
      </c>
      <c r="AO176" s="451">
        <f t="shared" si="124"/>
        <v>188384</v>
      </c>
      <c r="AP176" s="450">
        <f t="shared" si="125"/>
        <v>64445084</v>
      </c>
      <c r="AQ176" s="261" t="e">
        <f>#REF!+AH176+AA176+T176+M176</f>
        <v>#REF!</v>
      </c>
      <c r="AR176" s="261">
        <f t="shared" si="126"/>
        <v>64528064</v>
      </c>
      <c r="AS176" s="261" t="e">
        <f t="shared" si="127"/>
        <v>#REF!</v>
      </c>
      <c r="AT176" s="261">
        <f t="shared" si="128"/>
        <v>64669678</v>
      </c>
      <c r="AU176" s="261" t="e">
        <f t="shared" si="129"/>
        <v>#REF!</v>
      </c>
      <c r="AV176" s="261">
        <f t="shared" si="130"/>
        <v>87194862</v>
      </c>
      <c r="AW176" s="261" t="e">
        <f t="shared" si="131"/>
        <v>#REF!</v>
      </c>
      <c r="AX176" s="261" t="e">
        <f>AV176+#REF!+AH176+AA176+T176</f>
        <v>#REF!</v>
      </c>
      <c r="AY176" s="261" t="e">
        <f t="shared" si="132"/>
        <v>#REF!</v>
      </c>
      <c r="AZ176" s="261" t="e">
        <f t="shared" si="133"/>
        <v>#REF!</v>
      </c>
      <c r="BA176" s="261" t="e">
        <f t="shared" si="134"/>
        <v>#REF!</v>
      </c>
      <c r="BB176" s="261" t="e">
        <f t="shared" si="135"/>
        <v>#REF!</v>
      </c>
      <c r="BC176" s="261" t="e">
        <f t="shared" si="136"/>
        <v>#REF!</v>
      </c>
      <c r="BD176" s="261" t="e">
        <f t="shared" si="137"/>
        <v>#REF!</v>
      </c>
      <c r="BE176" s="261" t="e">
        <f>BC176+AV176+#REF!+AH176+AA176</f>
        <v>#REF!</v>
      </c>
      <c r="BF176" s="261" t="e">
        <f t="shared" si="138"/>
        <v>#REF!</v>
      </c>
      <c r="BG176" s="261" t="e">
        <f t="shared" si="139"/>
        <v>#REF!</v>
      </c>
    </row>
    <row r="177" spans="1:59" ht="15.75">
      <c r="A177" s="333">
        <v>14</v>
      </c>
      <c r="B177" s="333" t="s">
        <v>1607</v>
      </c>
      <c r="C177" s="256">
        <v>30</v>
      </c>
      <c r="D177" s="322" t="s">
        <v>63</v>
      </c>
      <c r="E177" s="256" t="s">
        <v>9</v>
      </c>
      <c r="F177" s="425">
        <f t="array" ref="F177">MAX((IF(MNU_CODIGO_ALIMENTO_ENTREGA=CONCATENATE($C177,"_","P_"),MNU_GRAMAJE_REQUERIDO_TIPOA,"")))</f>
        <v>30</v>
      </c>
      <c r="G177" s="257">
        <f t="shared" si="98"/>
        <v>74864</v>
      </c>
      <c r="H177" s="257">
        <f t="shared" si="99"/>
        <v>0</v>
      </c>
      <c r="I177" s="257">
        <f t="shared" si="100"/>
        <v>74864</v>
      </c>
      <c r="J177" s="258">
        <f t="shared" si="101"/>
        <v>24854848</v>
      </c>
      <c r="K177" s="258">
        <f t="shared" si="102"/>
        <v>0</v>
      </c>
      <c r="L177" s="258">
        <f t="shared" si="103"/>
        <v>24854848</v>
      </c>
      <c r="M177" s="426">
        <f t="array" ref="M177">MAX((IF(MNU_CODIGO_ALIMENTO_ENTREGA=CONCATENATE($C177,"_","P_"),MNU_GRAMAJE_REQUERIDO_TIPOB,"")))</f>
        <v>30</v>
      </c>
      <c r="N177" s="343">
        <f t="shared" si="104"/>
        <v>100544</v>
      </c>
      <c r="O177" s="343">
        <f t="shared" si="105"/>
        <v>0</v>
      </c>
      <c r="P177" s="343">
        <f t="shared" si="106"/>
        <v>100544</v>
      </c>
      <c r="Q177" s="344">
        <f t="shared" si="107"/>
        <v>33380608</v>
      </c>
      <c r="R177" s="344">
        <f t="shared" si="108"/>
        <v>0</v>
      </c>
      <c r="S177" s="344">
        <f t="shared" si="109"/>
        <v>33380608</v>
      </c>
      <c r="T177" s="348">
        <f t="array" ref="T177">MAX((IF(MNU_CODIGO_ALIMENTO_ENTREGA=CONCATENATE($C177,"_","P_"),MNU_GRAMAJE_REQUERIDO_TIPOC,"")))</f>
        <v>30</v>
      </c>
      <c r="U177" s="257">
        <f t="shared" si="110"/>
        <v>106896</v>
      </c>
      <c r="V177" s="257">
        <f t="shared" si="111"/>
        <v>0</v>
      </c>
      <c r="W177" s="257">
        <f t="shared" si="112"/>
        <v>106896</v>
      </c>
      <c r="X177" s="258">
        <f t="shared" si="113"/>
        <v>35489472</v>
      </c>
      <c r="Y177" s="258">
        <f t="shared" si="114"/>
        <v>0</v>
      </c>
      <c r="Z177" s="258">
        <f t="shared" si="115"/>
        <v>35489472</v>
      </c>
      <c r="AA177" s="256">
        <f t="array" ref="AA177">MAX((IF(MNU_CODIGO_ALIMENTO_ENTREGA=CONCATENATE($C177,"_","P_"),MNU_GRAMAJE_REQUERIDO_TIPOM,"")))</f>
        <v>30</v>
      </c>
      <c r="AB177" s="259">
        <f t="shared" si="116"/>
        <v>7440</v>
      </c>
      <c r="AC177" s="259">
        <v>0</v>
      </c>
      <c r="AD177" s="259">
        <f t="shared" si="117"/>
        <v>7440</v>
      </c>
      <c r="AE177" s="260">
        <f t="shared" si="118"/>
        <v>2470080</v>
      </c>
      <c r="AF177" s="260">
        <v>0</v>
      </c>
      <c r="AG177" s="260">
        <f t="shared" si="119"/>
        <v>2470080</v>
      </c>
      <c r="AH177" s="348">
        <f t="array" ref="AH177">MAX((IF(MNU_CODIGO_ALIMENTO_ENTREGA=CONCATENATE($C177,"_","P_"),MNU_GRAMAJE_REQUERIDO_TIPOH,"")))</f>
        <v>30</v>
      </c>
      <c r="AI177" s="257">
        <f t="shared" si="120"/>
        <v>6400</v>
      </c>
      <c r="AJ177" s="257">
        <v>0</v>
      </c>
      <c r="AK177" s="257">
        <f t="shared" si="121"/>
        <v>6400</v>
      </c>
      <c r="AL177" s="258">
        <f t="shared" si="122"/>
        <v>2124800</v>
      </c>
      <c r="AM177" s="258">
        <v>0</v>
      </c>
      <c r="AN177" s="258">
        <f t="shared" si="123"/>
        <v>2124800</v>
      </c>
      <c r="AO177" s="451">
        <f t="shared" si="124"/>
        <v>296144</v>
      </c>
      <c r="AP177" s="450">
        <f t="shared" si="125"/>
        <v>98319808</v>
      </c>
      <c r="AQ177" s="261" t="e">
        <f>#REF!+AH177+AA177+T177+M177</f>
        <v>#REF!</v>
      </c>
      <c r="AR177" s="261">
        <f t="shared" si="126"/>
        <v>98541088</v>
      </c>
      <c r="AS177" s="261" t="e">
        <f t="shared" si="127"/>
        <v>#REF!</v>
      </c>
      <c r="AT177" s="261">
        <f t="shared" si="128"/>
        <v>98762368</v>
      </c>
      <c r="AU177" s="261" t="e">
        <f t="shared" si="129"/>
        <v>#REF!</v>
      </c>
      <c r="AV177" s="261">
        <f t="shared" si="130"/>
        <v>98762368</v>
      </c>
      <c r="AW177" s="261" t="e">
        <f t="shared" si="131"/>
        <v>#REF!</v>
      </c>
      <c r="AX177" s="261" t="e">
        <f>AV177+#REF!+AH177+AA177+T177</f>
        <v>#REF!</v>
      </c>
      <c r="AY177" s="261" t="e">
        <f t="shared" si="132"/>
        <v>#REF!</v>
      </c>
      <c r="AZ177" s="261" t="e">
        <f t="shared" si="133"/>
        <v>#REF!</v>
      </c>
      <c r="BA177" s="261" t="e">
        <f t="shared" si="134"/>
        <v>#REF!</v>
      </c>
      <c r="BB177" s="261" t="e">
        <f t="shared" si="135"/>
        <v>#REF!</v>
      </c>
      <c r="BC177" s="261" t="e">
        <f t="shared" si="136"/>
        <v>#REF!</v>
      </c>
      <c r="BD177" s="261" t="e">
        <f t="shared" si="137"/>
        <v>#REF!</v>
      </c>
      <c r="BE177" s="261" t="e">
        <f>BC177+AV177+#REF!+AH177+AA177</f>
        <v>#REF!</v>
      </c>
      <c r="BF177" s="261" t="e">
        <f t="shared" si="138"/>
        <v>#REF!</v>
      </c>
      <c r="BG177" s="261" t="e">
        <f t="shared" si="139"/>
        <v>#REF!</v>
      </c>
    </row>
    <row r="178" spans="1:59" ht="15.75">
      <c r="A178" s="333">
        <v>14</v>
      </c>
      <c r="B178" s="333" t="s">
        <v>1607</v>
      </c>
      <c r="C178" s="256">
        <v>45</v>
      </c>
      <c r="D178" s="322" t="s">
        <v>10</v>
      </c>
      <c r="E178" s="256" t="s">
        <v>9</v>
      </c>
      <c r="F178" s="425">
        <f t="array" ref="F178">MAX((IF(MNU_CODIGO_ALIMENTO_ENTREGA=CONCATENATE($C178,"_","P_"),MNU_GRAMAJE_REQUERIDO_TIPOA,"")))</f>
        <v>20</v>
      </c>
      <c r="G178" s="257">
        <f t="shared" ref="G178:G241" si="140">SUMIF(COSTPE_G_ALIMENTO_GRUPO,CONCATENATE($C178,"_",$A178),COSTPE_G_VOLUMEN_TOTAL_TIPOA)</f>
        <v>74864</v>
      </c>
      <c r="H178" s="257">
        <f t="shared" ref="H178:H241" si="141">SUMIF(COSTSE_G_ALIMENTO_GRUPO,CONCATENATE($C178,"_",$A178),COSTSE_G_VOLUMEN_TOTAL_TIPOA)</f>
        <v>19680</v>
      </c>
      <c r="I178" s="257">
        <f t="shared" ref="I178:I241" si="142">G178+H178</f>
        <v>94544</v>
      </c>
      <c r="J178" s="258">
        <f t="shared" ref="J178:J241" si="143">SUMIF(COSTPE_G_ALIMENTO_GRUPO,CONCATENATE($C178,"_",$A178),COSTPE_G_VALOR_TOTAL_TIPOA)</f>
        <v>14897936</v>
      </c>
      <c r="K178" s="258">
        <f t="shared" ref="K178:K241" si="144">SUMIF(COSTSE_G_ALIMENTO_GRUPO,CONCATENATE($C178,"_",$A178),COSTSE_G_VALOR_TOTAL_TIPOA)</f>
        <v>3916320</v>
      </c>
      <c r="L178" s="258">
        <f t="shared" ref="L178:L241" si="145">J178+K178</f>
        <v>18814256</v>
      </c>
      <c r="M178" s="426">
        <f t="array" ref="M178">MAX((IF(MNU_CODIGO_ALIMENTO_ENTREGA=CONCATENATE($C178,"_","P_"),MNU_GRAMAJE_REQUERIDO_TIPOB,"")))</f>
        <v>30</v>
      </c>
      <c r="N178" s="343">
        <f t="shared" ref="N178:N241" si="146">SUMIF(COSTPE_G_ALIMENTO_GRUPO,CONCATENATE($C178,"_",$A178),COSTPE_G_VOLUMEN_TOTAL_TIPOB)</f>
        <v>100544</v>
      </c>
      <c r="O178" s="343">
        <f t="shared" ref="O178:O241" si="147">SUMIF(COSTSE_G_ALIMENTO_GRUPO,CONCATENATE($C178,"_",$A178),COSTSE_G_VOLUMEN_TOTAL_TIPOB)</f>
        <v>27500</v>
      </c>
      <c r="P178" s="343">
        <f t="shared" ref="P178:P241" si="148">N178+O178</f>
        <v>128044</v>
      </c>
      <c r="Q178" s="344">
        <f t="shared" ref="Q178:Q241" si="149">SUMIF(COSTPE_G_ALIMENTO_GRUPO,CONCATENATE($C178,"_",$A178),COSTPE_G_VALOR_TOTAL_TIPOB)</f>
        <v>29962112</v>
      </c>
      <c r="R178" s="344">
        <f t="shared" ref="R178:R241" si="150">SUMIF(COSTSE_G_ALIMENTO_GRUPO,CONCATENATE($C178,"_",$A178),COSTSE_G_VALOR_TOTAL_TIPOB)</f>
        <v>8195000</v>
      </c>
      <c r="S178" s="344">
        <f t="shared" ref="S178:S241" si="151">Q178+R178</f>
        <v>38157112</v>
      </c>
      <c r="T178" s="348">
        <f t="array" ref="T178">MAX((IF(MNU_CODIGO_ALIMENTO_ENTREGA=CONCATENATE($C178,"_","P_"),MNU_GRAMAJE_REQUERIDO_TIPOC,"")))</f>
        <v>60</v>
      </c>
      <c r="U178" s="257">
        <f t="shared" ref="U178:U241" si="152">SUMIF(COSTPE_G_ALIMENTO_GRUPO,CONCATENATE($C178,"_",$A178),COSTPE_G_VOLUMEN_TOTAL_TIPOC)</f>
        <v>106896</v>
      </c>
      <c r="V178" s="257">
        <f t="shared" ref="V178:V241" si="153">SUMIF(COSTSE_G_ALIMENTO_GRUPO,CONCATENATE($C178,"_",$A178),COSTSE_G_VOLUMEN_TOTAL_TIPOC)</f>
        <v>34220</v>
      </c>
      <c r="W178" s="257">
        <f t="shared" ref="W178:W241" si="154">U178+V178</f>
        <v>141116</v>
      </c>
      <c r="X178" s="258">
        <f t="shared" ref="X178:X241" si="155">SUMIF(COSTPE_G_ALIMENTO_GRUPO,CONCATENATE($C178,"_",$A178),COSTPE_G_VALOR_TOTAL_TIPOC)</f>
        <v>63816912</v>
      </c>
      <c r="Y178" s="258">
        <f t="shared" ref="Y178:Y241" si="156">SUMIF(COSTSE_G_ALIMENTO_GRUPO,CONCATENATE($C178,"_",$A178),COSTSE_G_VALOR_TOTAL_TIPOC)</f>
        <v>20429340</v>
      </c>
      <c r="Z178" s="258">
        <f t="shared" ref="Z178:Z241" si="157">X178+Y178</f>
        <v>84246252</v>
      </c>
      <c r="AA178" s="256">
        <f t="array" ref="AA178">MAX((IF(MNU_CODIGO_ALIMENTO_ENTREGA=CONCATENATE($C178,"_","P_"),MNU_GRAMAJE_REQUERIDO_TIPOM,"")))</f>
        <v>30</v>
      </c>
      <c r="AB178" s="259">
        <f t="shared" ref="AB178:AB241" si="158">SUMIF(COSTPE_G_ALIMENTO_GRUPO,CONCATENATE($C178,"_",$A178),COSTPE_G_VOLUMEN_TOTAL_TIPOM)</f>
        <v>7440</v>
      </c>
      <c r="AC178" s="259">
        <v>0</v>
      </c>
      <c r="AD178" s="259">
        <f t="shared" ref="AD178:AD241" si="159">AB178+AC178</f>
        <v>7440</v>
      </c>
      <c r="AE178" s="260">
        <f t="shared" ref="AE178:AE241" si="160">SUMIF(COSTPE_G_ALIMENTO_GRUPO,CONCATENATE($C178,"_",$A178),COSTPE_G_VALOR_TOTAL_TIPOM)</f>
        <v>2217120</v>
      </c>
      <c r="AF178" s="260">
        <v>0</v>
      </c>
      <c r="AG178" s="260">
        <f t="shared" ref="AG178:AG241" si="161">AE178+AF178</f>
        <v>2217120</v>
      </c>
      <c r="AH178" s="348">
        <f t="array" ref="AH178">MAX((IF(MNU_CODIGO_ALIMENTO_ENTREGA=CONCATENATE($C178,"_","P_"),MNU_GRAMAJE_REQUERIDO_TIPOH,"")))</f>
        <v>60</v>
      </c>
      <c r="AI178" s="257">
        <f t="shared" ref="AI178:AI241" si="162">SUMIF(COSTPE_G_ALIMENTO_GRUPO,CONCATENATE($C178,"_",$A178),COSTPE_G_VOLUMEN_TOTAL_TIPOH)</f>
        <v>6400</v>
      </c>
      <c r="AJ178" s="257">
        <v>0</v>
      </c>
      <c r="AK178" s="257">
        <f t="shared" ref="AK178:AK241" si="163">AI178+AJ178</f>
        <v>6400</v>
      </c>
      <c r="AL178" s="258">
        <f t="shared" ref="AL178:AL241" si="164">SUMIF(COSTPE_G_ALIMENTO_GRUPO,CONCATENATE($C178,"_",$A178),COSTPE_G_VALOR_TOTAL_TIPOH)</f>
        <v>3820800</v>
      </c>
      <c r="AM178" s="258">
        <v>0</v>
      </c>
      <c r="AN178" s="258">
        <f t="shared" ref="AN178:AN241" si="165">AL178+AM178</f>
        <v>3820800</v>
      </c>
      <c r="AO178" s="451">
        <f t="shared" ref="AO178:AO241" si="166">AK178+AD178+W178+P178+I178</f>
        <v>377544</v>
      </c>
      <c r="AP178" s="450">
        <f t="shared" ref="AP178:AP241" si="167">AN178+AG178+Z178+S178+L178</f>
        <v>147255540</v>
      </c>
      <c r="AQ178" s="261" t="e">
        <f>#REF!+AH178+AA178+T178+M178</f>
        <v>#REF!</v>
      </c>
      <c r="AR178" s="261">
        <f t="shared" si="126"/>
        <v>147476820</v>
      </c>
      <c r="AS178" s="261" t="e">
        <f t="shared" si="127"/>
        <v>#REF!</v>
      </c>
      <c r="AT178" s="261">
        <f t="shared" si="128"/>
        <v>147759820</v>
      </c>
      <c r="AU178" s="261" t="e">
        <f t="shared" si="129"/>
        <v>#REF!</v>
      </c>
      <c r="AV178" s="261">
        <f t="shared" si="130"/>
        <v>176384160</v>
      </c>
      <c r="AW178" s="261" t="e">
        <f t="shared" si="131"/>
        <v>#REF!</v>
      </c>
      <c r="AX178" s="261" t="e">
        <f>AV178+#REF!+AH178+AA178+T178</f>
        <v>#REF!</v>
      </c>
      <c r="AY178" s="261" t="e">
        <f t="shared" si="132"/>
        <v>#REF!</v>
      </c>
      <c r="AZ178" s="261" t="e">
        <f t="shared" si="133"/>
        <v>#REF!</v>
      </c>
      <c r="BA178" s="261" t="e">
        <f t="shared" si="134"/>
        <v>#REF!</v>
      </c>
      <c r="BB178" s="261" t="e">
        <f t="shared" si="135"/>
        <v>#REF!</v>
      </c>
      <c r="BC178" s="261" t="e">
        <f t="shared" si="136"/>
        <v>#REF!</v>
      </c>
      <c r="BD178" s="261" t="e">
        <f t="shared" si="137"/>
        <v>#REF!</v>
      </c>
      <c r="BE178" s="261" t="e">
        <f>BC178+AV178+#REF!+AH178+AA178</f>
        <v>#REF!</v>
      </c>
      <c r="BF178" s="261" t="e">
        <f t="shared" si="138"/>
        <v>#REF!</v>
      </c>
      <c r="BG178" s="261" t="e">
        <f t="shared" si="139"/>
        <v>#REF!</v>
      </c>
    </row>
    <row r="179" spans="1:59" ht="15.75">
      <c r="A179" s="333">
        <v>14</v>
      </c>
      <c r="B179" s="333" t="s">
        <v>1607</v>
      </c>
      <c r="C179" s="256">
        <v>50</v>
      </c>
      <c r="D179" s="322" t="s">
        <v>65</v>
      </c>
      <c r="E179" s="256" t="s">
        <v>9</v>
      </c>
      <c r="F179" s="425">
        <f t="array" ref="F179">MAX((IF(MNU_CODIGO_ALIMENTO_ENTREGA=CONCATENATE($C179,"_","P_"),MNU_GRAMAJE_REQUERIDO_TIPOA,"")))</f>
        <v>30</v>
      </c>
      <c r="G179" s="257">
        <f t="shared" si="140"/>
        <v>79543</v>
      </c>
      <c r="H179" s="257">
        <f t="shared" si="141"/>
        <v>0</v>
      </c>
      <c r="I179" s="257">
        <f t="shared" si="142"/>
        <v>79543</v>
      </c>
      <c r="J179" s="258">
        <f t="shared" si="143"/>
        <v>25533303</v>
      </c>
      <c r="K179" s="258">
        <f t="shared" si="144"/>
        <v>0</v>
      </c>
      <c r="L179" s="258">
        <f t="shared" si="145"/>
        <v>25533303</v>
      </c>
      <c r="M179" s="426">
        <f t="array" ref="M179">MAX((IF(MNU_CODIGO_ALIMENTO_ENTREGA=CONCATENATE($C179,"_","P_"),MNU_GRAMAJE_REQUERIDO_TIPOB,"")))</f>
        <v>40</v>
      </c>
      <c r="N179" s="343">
        <f t="shared" si="146"/>
        <v>106828</v>
      </c>
      <c r="O179" s="343">
        <f t="shared" si="147"/>
        <v>0</v>
      </c>
      <c r="P179" s="343">
        <f t="shared" si="148"/>
        <v>106828</v>
      </c>
      <c r="Q179" s="344">
        <f t="shared" si="149"/>
        <v>45722384</v>
      </c>
      <c r="R179" s="344">
        <f t="shared" si="150"/>
        <v>0</v>
      </c>
      <c r="S179" s="344">
        <f t="shared" si="151"/>
        <v>45722384</v>
      </c>
      <c r="T179" s="348">
        <f t="array" ref="T179">MAX((IF(MNU_CODIGO_ALIMENTO_ENTREGA=CONCATENATE($C179,"_","P_"),MNU_GRAMAJE_REQUERIDO_TIPOC,"")))</f>
        <v>80</v>
      </c>
      <c r="U179" s="257">
        <f t="shared" si="152"/>
        <v>113577</v>
      </c>
      <c r="V179" s="257">
        <f t="shared" si="153"/>
        <v>0</v>
      </c>
      <c r="W179" s="257">
        <f t="shared" si="154"/>
        <v>113577</v>
      </c>
      <c r="X179" s="258">
        <f t="shared" si="155"/>
        <v>97108335</v>
      </c>
      <c r="Y179" s="258">
        <f t="shared" si="156"/>
        <v>0</v>
      </c>
      <c r="Z179" s="258">
        <f t="shared" si="157"/>
        <v>97108335</v>
      </c>
      <c r="AA179" s="256">
        <f t="array" ref="AA179">MAX((IF(MNU_CODIGO_ALIMENTO_ENTREGA=CONCATENATE($C179,"_","P_"),MNU_GRAMAJE_REQUERIDO_TIPOM,"")))</f>
        <v>40</v>
      </c>
      <c r="AB179" s="259">
        <f t="shared" si="158"/>
        <v>7905</v>
      </c>
      <c r="AC179" s="259">
        <v>0</v>
      </c>
      <c r="AD179" s="259">
        <f t="shared" si="159"/>
        <v>7905</v>
      </c>
      <c r="AE179" s="260">
        <f t="shared" si="160"/>
        <v>3383340</v>
      </c>
      <c r="AF179" s="260">
        <v>0</v>
      </c>
      <c r="AG179" s="260">
        <f t="shared" si="161"/>
        <v>3383340</v>
      </c>
      <c r="AH179" s="348">
        <f t="array" ref="AH179">MAX((IF(MNU_CODIGO_ALIMENTO_ENTREGA=CONCATENATE($C179,"_","P_"),MNU_GRAMAJE_REQUERIDO_TIPOH,"")))</f>
        <v>80</v>
      </c>
      <c r="AI179" s="257">
        <f t="shared" si="162"/>
        <v>6800</v>
      </c>
      <c r="AJ179" s="257">
        <v>0</v>
      </c>
      <c r="AK179" s="257">
        <f t="shared" si="163"/>
        <v>6800</v>
      </c>
      <c r="AL179" s="258">
        <f t="shared" si="164"/>
        <v>5814000</v>
      </c>
      <c r="AM179" s="258">
        <v>0</v>
      </c>
      <c r="AN179" s="258">
        <f t="shared" si="165"/>
        <v>5814000</v>
      </c>
      <c r="AO179" s="451">
        <f t="shared" si="166"/>
        <v>314653</v>
      </c>
      <c r="AP179" s="450">
        <f t="shared" si="167"/>
        <v>177561362</v>
      </c>
      <c r="AQ179" s="261" t="e">
        <f>#REF!+AH179+AA179+T179+M179</f>
        <v>#REF!</v>
      </c>
      <c r="AR179" s="261">
        <f t="shared" si="126"/>
        <v>177796472</v>
      </c>
      <c r="AS179" s="261" t="e">
        <f t="shared" si="127"/>
        <v>#REF!</v>
      </c>
      <c r="AT179" s="261">
        <f t="shared" si="128"/>
        <v>178031582</v>
      </c>
      <c r="AU179" s="261" t="e">
        <f t="shared" si="129"/>
        <v>#REF!</v>
      </c>
      <c r="AV179" s="261">
        <f t="shared" si="130"/>
        <v>178031582</v>
      </c>
      <c r="AW179" s="261" t="e">
        <f t="shared" si="131"/>
        <v>#REF!</v>
      </c>
      <c r="AX179" s="261" t="e">
        <f>AV179+#REF!+AH179+AA179+T179</f>
        <v>#REF!</v>
      </c>
      <c r="AY179" s="261" t="e">
        <f t="shared" si="132"/>
        <v>#REF!</v>
      </c>
      <c r="AZ179" s="261" t="e">
        <f t="shared" si="133"/>
        <v>#REF!</v>
      </c>
      <c r="BA179" s="261" t="e">
        <f t="shared" si="134"/>
        <v>#REF!</v>
      </c>
      <c r="BB179" s="261" t="e">
        <f t="shared" si="135"/>
        <v>#REF!</v>
      </c>
      <c r="BC179" s="261" t="e">
        <f t="shared" si="136"/>
        <v>#REF!</v>
      </c>
      <c r="BD179" s="261" t="e">
        <f t="shared" si="137"/>
        <v>#REF!</v>
      </c>
      <c r="BE179" s="261" t="e">
        <f>BC179+AV179+#REF!+AH179+AA179</f>
        <v>#REF!</v>
      </c>
      <c r="BF179" s="261" t="e">
        <f t="shared" si="138"/>
        <v>#REF!</v>
      </c>
      <c r="BG179" s="261" t="e">
        <f t="shared" si="139"/>
        <v>#REF!</v>
      </c>
    </row>
    <row r="180" spans="1:59" ht="15.75">
      <c r="A180" s="333">
        <v>14</v>
      </c>
      <c r="B180" s="333" t="s">
        <v>1607</v>
      </c>
      <c r="C180" s="256">
        <v>61</v>
      </c>
      <c r="D180" s="322" t="s">
        <v>13</v>
      </c>
      <c r="E180" s="256" t="s">
        <v>9</v>
      </c>
      <c r="F180" s="425">
        <f t="array" ref="F180">MAX((IF(MNU_CODIGO_ALIMENTO_ENTREGA=CONCATENATE($C180,"_","P_"),MNU_GRAMAJE_REQUERIDO_TIPOA,"")))</f>
        <v>20</v>
      </c>
      <c r="G180" s="257">
        <f t="shared" si="140"/>
        <v>74864</v>
      </c>
      <c r="H180" s="257">
        <f t="shared" si="141"/>
        <v>19680</v>
      </c>
      <c r="I180" s="257">
        <f t="shared" si="142"/>
        <v>94544</v>
      </c>
      <c r="J180" s="258">
        <f t="shared" si="143"/>
        <v>17443312</v>
      </c>
      <c r="K180" s="258">
        <f t="shared" si="144"/>
        <v>4585440</v>
      </c>
      <c r="L180" s="258">
        <f t="shared" si="145"/>
        <v>22028752</v>
      </c>
      <c r="M180" s="426">
        <f t="array" ref="M180">MAX((IF(MNU_CODIGO_ALIMENTO_ENTREGA=CONCATENATE($C180,"_","P_"),MNU_GRAMAJE_REQUERIDO_TIPOB,"")))</f>
        <v>30</v>
      </c>
      <c r="N180" s="343">
        <f t="shared" si="146"/>
        <v>100544</v>
      </c>
      <c r="O180" s="343">
        <f t="shared" si="147"/>
        <v>27500</v>
      </c>
      <c r="P180" s="343">
        <f t="shared" si="148"/>
        <v>128044</v>
      </c>
      <c r="Q180" s="344">
        <f t="shared" si="149"/>
        <v>35290944</v>
      </c>
      <c r="R180" s="344">
        <f t="shared" si="150"/>
        <v>9652500</v>
      </c>
      <c r="S180" s="344">
        <f t="shared" si="151"/>
        <v>44943444</v>
      </c>
      <c r="T180" s="348">
        <f t="array" ref="T180">MAX((IF(MNU_CODIGO_ALIMENTO_ENTREGA=CONCATENATE($C180,"_","P_"),MNU_GRAMAJE_REQUERIDO_TIPOC,"")))</f>
        <v>70</v>
      </c>
      <c r="U180" s="257">
        <f t="shared" si="152"/>
        <v>106896</v>
      </c>
      <c r="V180" s="257">
        <f t="shared" si="153"/>
        <v>34220</v>
      </c>
      <c r="W180" s="257">
        <f t="shared" si="154"/>
        <v>141116</v>
      </c>
      <c r="X180" s="258">
        <f t="shared" si="155"/>
        <v>87440928</v>
      </c>
      <c r="Y180" s="258">
        <f t="shared" si="156"/>
        <v>27991960</v>
      </c>
      <c r="Z180" s="258">
        <f t="shared" si="157"/>
        <v>115432888</v>
      </c>
      <c r="AA180" s="256">
        <f t="array" ref="AA180">MAX((IF(MNU_CODIGO_ALIMENTO_ENTREGA=CONCATENATE($C180,"_","P_"),MNU_GRAMAJE_REQUERIDO_TIPOM,"")))</f>
        <v>30</v>
      </c>
      <c r="AB180" s="259">
        <f t="shared" si="158"/>
        <v>7440</v>
      </c>
      <c r="AC180" s="259">
        <v>0</v>
      </c>
      <c r="AD180" s="259">
        <f t="shared" si="159"/>
        <v>7440</v>
      </c>
      <c r="AE180" s="260">
        <f t="shared" si="160"/>
        <v>2611440</v>
      </c>
      <c r="AF180" s="260">
        <v>0</v>
      </c>
      <c r="AG180" s="260">
        <f t="shared" si="161"/>
        <v>2611440</v>
      </c>
      <c r="AH180" s="348">
        <f t="array" ref="AH180">MAX((IF(MNU_CODIGO_ALIMENTO_ENTREGA=CONCATENATE($C180,"_","P_"),MNU_GRAMAJE_REQUERIDO_TIPOH,"")))</f>
        <v>70</v>
      </c>
      <c r="AI180" s="257">
        <f t="shared" si="162"/>
        <v>6400</v>
      </c>
      <c r="AJ180" s="257">
        <v>0</v>
      </c>
      <c r="AK180" s="257">
        <f t="shared" si="163"/>
        <v>6400</v>
      </c>
      <c r="AL180" s="258">
        <f t="shared" si="164"/>
        <v>5235200</v>
      </c>
      <c r="AM180" s="258">
        <v>0</v>
      </c>
      <c r="AN180" s="258">
        <f t="shared" si="165"/>
        <v>5235200</v>
      </c>
      <c r="AO180" s="451">
        <f t="shared" si="166"/>
        <v>377544</v>
      </c>
      <c r="AP180" s="450">
        <f t="shared" si="167"/>
        <v>190251724</v>
      </c>
      <c r="AQ180" s="261" t="e">
        <f>#REF!+AH180+AA180+T180+M180</f>
        <v>#REF!</v>
      </c>
      <c r="AR180" s="261">
        <f t="shared" si="126"/>
        <v>190473004</v>
      </c>
      <c r="AS180" s="261" t="e">
        <f t="shared" si="127"/>
        <v>#REF!</v>
      </c>
      <c r="AT180" s="261">
        <f t="shared" si="128"/>
        <v>190756004</v>
      </c>
      <c r="AU180" s="261" t="e">
        <f t="shared" si="129"/>
        <v>#REF!</v>
      </c>
      <c r="AV180" s="261">
        <f t="shared" si="130"/>
        <v>228400464</v>
      </c>
      <c r="AW180" s="261" t="e">
        <f t="shared" si="131"/>
        <v>#REF!</v>
      </c>
      <c r="AX180" s="261" t="e">
        <f>AV180+#REF!+AH180+AA180+T180</f>
        <v>#REF!</v>
      </c>
      <c r="AY180" s="261" t="e">
        <f t="shared" si="132"/>
        <v>#REF!</v>
      </c>
      <c r="AZ180" s="261" t="e">
        <f t="shared" si="133"/>
        <v>#REF!</v>
      </c>
      <c r="BA180" s="261" t="e">
        <f t="shared" si="134"/>
        <v>#REF!</v>
      </c>
      <c r="BB180" s="261" t="e">
        <f t="shared" si="135"/>
        <v>#REF!</v>
      </c>
      <c r="BC180" s="261" t="e">
        <f t="shared" si="136"/>
        <v>#REF!</v>
      </c>
      <c r="BD180" s="261" t="e">
        <f t="shared" si="137"/>
        <v>#REF!</v>
      </c>
      <c r="BE180" s="261" t="e">
        <f>BC180+AV180+#REF!+AH180+AA180</f>
        <v>#REF!</v>
      </c>
      <c r="BF180" s="261" t="e">
        <f t="shared" si="138"/>
        <v>#REF!</v>
      </c>
      <c r="BG180" s="261" t="e">
        <f t="shared" si="139"/>
        <v>#REF!</v>
      </c>
    </row>
    <row r="181" spans="1:59" ht="15.75">
      <c r="A181" s="333">
        <v>14</v>
      </c>
      <c r="B181" s="333" t="s">
        <v>1607</v>
      </c>
      <c r="C181" s="256">
        <v>62</v>
      </c>
      <c r="D181" s="322" t="s">
        <v>68</v>
      </c>
      <c r="E181" s="256" t="s">
        <v>9</v>
      </c>
      <c r="F181" s="425">
        <f t="array" ref="F181">MAX((IF(MNU_CODIGO_ALIMENTO_ENTREGA=CONCATENATE($C181,"_","P_"),MNU_GRAMAJE_REQUERIDO_TIPOA,"")))</f>
        <v>50</v>
      </c>
      <c r="G181" s="257">
        <f t="shared" si="140"/>
        <v>23395</v>
      </c>
      <c r="H181" s="257">
        <f t="shared" si="141"/>
        <v>0</v>
      </c>
      <c r="I181" s="257">
        <f t="shared" si="142"/>
        <v>23395</v>
      </c>
      <c r="J181" s="258">
        <f t="shared" si="143"/>
        <v>14621875</v>
      </c>
      <c r="K181" s="258">
        <f t="shared" si="144"/>
        <v>0</v>
      </c>
      <c r="L181" s="258">
        <f t="shared" si="145"/>
        <v>14621875</v>
      </c>
      <c r="M181" s="426">
        <f t="array" ref="M181">MAX((IF(MNU_CODIGO_ALIMENTO_ENTREGA=CONCATENATE($C181,"_","P_"),MNU_GRAMAJE_REQUERIDO_TIPOB,"")))</f>
        <v>50</v>
      </c>
      <c r="N181" s="343">
        <f t="shared" si="146"/>
        <v>31420</v>
      </c>
      <c r="O181" s="343">
        <f t="shared" si="147"/>
        <v>0</v>
      </c>
      <c r="P181" s="343">
        <f t="shared" si="148"/>
        <v>31420</v>
      </c>
      <c r="Q181" s="344">
        <f t="shared" si="149"/>
        <v>19637500</v>
      </c>
      <c r="R181" s="344">
        <f t="shared" si="150"/>
        <v>0</v>
      </c>
      <c r="S181" s="344">
        <f t="shared" si="151"/>
        <v>19637500</v>
      </c>
      <c r="T181" s="348">
        <f t="array" ref="T181">MAX((IF(MNU_CODIGO_ALIMENTO_ENTREGA=CONCATENATE($C181,"_","P_"),MNU_GRAMAJE_REQUERIDO_TIPOC,"")))</f>
        <v>50</v>
      </c>
      <c r="U181" s="257">
        <f t="shared" si="152"/>
        <v>33405</v>
      </c>
      <c r="V181" s="257">
        <f t="shared" si="153"/>
        <v>0</v>
      </c>
      <c r="W181" s="257">
        <f t="shared" si="154"/>
        <v>33405</v>
      </c>
      <c r="X181" s="258">
        <f t="shared" si="155"/>
        <v>20878125</v>
      </c>
      <c r="Y181" s="258">
        <f t="shared" si="156"/>
        <v>0</v>
      </c>
      <c r="Z181" s="258">
        <f t="shared" si="157"/>
        <v>20878125</v>
      </c>
      <c r="AA181" s="256">
        <f t="array" ref="AA181">MAX((IF(MNU_CODIGO_ALIMENTO_ENTREGA=CONCATENATE($C181,"_","P_"),MNU_GRAMAJE_REQUERIDO_TIPOM,"")))</f>
        <v>50</v>
      </c>
      <c r="AB181" s="259">
        <f t="shared" si="158"/>
        <v>2325</v>
      </c>
      <c r="AC181" s="259">
        <v>0</v>
      </c>
      <c r="AD181" s="259">
        <f t="shared" si="159"/>
        <v>2325</v>
      </c>
      <c r="AE181" s="260">
        <f t="shared" si="160"/>
        <v>1453125</v>
      </c>
      <c r="AF181" s="260">
        <v>0</v>
      </c>
      <c r="AG181" s="260">
        <f t="shared" si="161"/>
        <v>1453125</v>
      </c>
      <c r="AH181" s="348">
        <f t="array" ref="AH181">MAX((IF(MNU_CODIGO_ALIMENTO_ENTREGA=CONCATENATE($C181,"_","P_"),MNU_GRAMAJE_REQUERIDO_TIPOH,"")))</f>
        <v>50</v>
      </c>
      <c r="AI181" s="257">
        <f t="shared" si="162"/>
        <v>2000</v>
      </c>
      <c r="AJ181" s="257">
        <v>0</v>
      </c>
      <c r="AK181" s="257">
        <f t="shared" si="163"/>
        <v>2000</v>
      </c>
      <c r="AL181" s="258">
        <f t="shared" si="164"/>
        <v>1250000</v>
      </c>
      <c r="AM181" s="258">
        <v>0</v>
      </c>
      <c r="AN181" s="258">
        <f t="shared" si="165"/>
        <v>1250000</v>
      </c>
      <c r="AO181" s="451">
        <f t="shared" si="166"/>
        <v>92545</v>
      </c>
      <c r="AP181" s="450">
        <f t="shared" si="167"/>
        <v>57840625</v>
      </c>
      <c r="AQ181" s="261" t="e">
        <f>#REF!+AH181+AA181+T181+M181</f>
        <v>#REF!</v>
      </c>
      <c r="AR181" s="261">
        <f t="shared" si="126"/>
        <v>57909775</v>
      </c>
      <c r="AS181" s="261" t="e">
        <f t="shared" si="127"/>
        <v>#REF!</v>
      </c>
      <c r="AT181" s="261">
        <f t="shared" si="128"/>
        <v>57978925</v>
      </c>
      <c r="AU181" s="261" t="e">
        <f t="shared" si="129"/>
        <v>#REF!</v>
      </c>
      <c r="AV181" s="261">
        <f t="shared" si="130"/>
        <v>57978925</v>
      </c>
      <c r="AW181" s="261" t="e">
        <f t="shared" si="131"/>
        <v>#REF!</v>
      </c>
      <c r="AX181" s="261" t="e">
        <f>AV181+#REF!+AH181+AA181+T181</f>
        <v>#REF!</v>
      </c>
      <c r="AY181" s="261" t="e">
        <f t="shared" si="132"/>
        <v>#REF!</v>
      </c>
      <c r="AZ181" s="261" t="e">
        <f t="shared" si="133"/>
        <v>#REF!</v>
      </c>
      <c r="BA181" s="261" t="e">
        <f t="shared" si="134"/>
        <v>#REF!</v>
      </c>
      <c r="BB181" s="261" t="e">
        <f t="shared" si="135"/>
        <v>#REF!</v>
      </c>
      <c r="BC181" s="261" t="e">
        <f t="shared" si="136"/>
        <v>#REF!</v>
      </c>
      <c r="BD181" s="261" t="e">
        <f t="shared" si="137"/>
        <v>#REF!</v>
      </c>
      <c r="BE181" s="261" t="e">
        <f>BC181+AV181+#REF!+AH181+AA181</f>
        <v>#REF!</v>
      </c>
      <c r="BF181" s="261" t="e">
        <f t="shared" si="138"/>
        <v>#REF!</v>
      </c>
      <c r="BG181" s="261" t="e">
        <f t="shared" si="139"/>
        <v>#REF!</v>
      </c>
    </row>
    <row r="182" spans="1:59" ht="15.75">
      <c r="A182" s="333">
        <v>15</v>
      </c>
      <c r="B182" s="333" t="s">
        <v>1607</v>
      </c>
      <c r="C182" s="256">
        <v>1</v>
      </c>
      <c r="D182" s="322" t="s">
        <v>16</v>
      </c>
      <c r="E182" s="256" t="s">
        <v>9</v>
      </c>
      <c r="F182" s="425">
        <f t="array" ref="F182">MAX((IF(MNU_CODIGO_ALIMENTO_ENTREGA=CONCATENATE($C182,"_","P_"),MNU_GRAMAJE_REQUERIDO_TIPOA,"")))</f>
        <v>30</v>
      </c>
      <c r="G182" s="257">
        <f t="shared" si="140"/>
        <v>104790</v>
      </c>
      <c r="H182" s="257">
        <f t="shared" si="141"/>
        <v>0</v>
      </c>
      <c r="I182" s="257">
        <f t="shared" si="142"/>
        <v>104790</v>
      </c>
      <c r="J182" s="258">
        <f t="shared" si="143"/>
        <v>84670320</v>
      </c>
      <c r="K182" s="258">
        <f t="shared" si="144"/>
        <v>0</v>
      </c>
      <c r="L182" s="258">
        <f t="shared" si="145"/>
        <v>84670320</v>
      </c>
      <c r="M182" s="426">
        <f t="array" ref="M182">MAX((IF(MNU_CODIGO_ALIMENTO_ENTREGA=CONCATENATE($C182,"_","P_"),MNU_GRAMAJE_REQUERIDO_TIPOB,"")))</f>
        <v>40</v>
      </c>
      <c r="N182" s="343">
        <f t="shared" si="146"/>
        <v>128775</v>
      </c>
      <c r="O182" s="343">
        <f t="shared" si="147"/>
        <v>0</v>
      </c>
      <c r="P182" s="343">
        <f t="shared" si="148"/>
        <v>128775</v>
      </c>
      <c r="Q182" s="344">
        <f t="shared" si="149"/>
        <v>138819450</v>
      </c>
      <c r="R182" s="344">
        <f t="shared" si="150"/>
        <v>0</v>
      </c>
      <c r="S182" s="344">
        <f t="shared" si="151"/>
        <v>138819450</v>
      </c>
      <c r="T182" s="348">
        <f t="array" ref="T182">MAX((IF(MNU_CODIGO_ALIMENTO_ENTREGA=CONCATENATE($C182,"_","P_"),MNU_GRAMAJE_REQUERIDO_TIPOC,"")))</f>
        <v>60</v>
      </c>
      <c r="U182" s="257">
        <f t="shared" si="152"/>
        <v>117000</v>
      </c>
      <c r="V182" s="257">
        <f t="shared" si="153"/>
        <v>0</v>
      </c>
      <c r="W182" s="257">
        <f t="shared" si="154"/>
        <v>117000</v>
      </c>
      <c r="X182" s="258">
        <f t="shared" si="155"/>
        <v>189072000</v>
      </c>
      <c r="Y182" s="258">
        <f t="shared" si="156"/>
        <v>0</v>
      </c>
      <c r="Z182" s="258">
        <f t="shared" si="157"/>
        <v>189072000</v>
      </c>
      <c r="AA182" s="256">
        <f t="array" ref="AA182">MAX((IF(MNU_CODIGO_ALIMENTO_ENTREGA=CONCATENATE($C182,"_","P_"),MNU_GRAMAJE_REQUERIDO_TIPOM,"")))</f>
        <v>40</v>
      </c>
      <c r="AB182" s="259">
        <f t="shared" si="158"/>
        <v>0</v>
      </c>
      <c r="AC182" s="259">
        <v>0</v>
      </c>
      <c r="AD182" s="259">
        <f t="shared" si="159"/>
        <v>0</v>
      </c>
      <c r="AE182" s="260">
        <f t="shared" si="160"/>
        <v>0</v>
      </c>
      <c r="AF182" s="260">
        <v>0</v>
      </c>
      <c r="AG182" s="260">
        <f t="shared" si="161"/>
        <v>0</v>
      </c>
      <c r="AH182" s="348">
        <f t="array" ref="AH182">MAX((IF(MNU_CODIGO_ALIMENTO_ENTREGA=CONCATENATE($C182,"_","P_"),MNU_GRAMAJE_REQUERIDO_TIPOH,"")))</f>
        <v>60</v>
      </c>
      <c r="AI182" s="257">
        <f t="shared" si="162"/>
        <v>0</v>
      </c>
      <c r="AJ182" s="257">
        <v>0</v>
      </c>
      <c r="AK182" s="257">
        <f t="shared" si="163"/>
        <v>0</v>
      </c>
      <c r="AL182" s="258">
        <f t="shared" si="164"/>
        <v>0</v>
      </c>
      <c r="AM182" s="258">
        <v>0</v>
      </c>
      <c r="AN182" s="258">
        <f t="shared" si="165"/>
        <v>0</v>
      </c>
      <c r="AO182" s="451">
        <f t="shared" si="166"/>
        <v>350565</v>
      </c>
      <c r="AP182" s="450">
        <f t="shared" si="167"/>
        <v>412561770</v>
      </c>
      <c r="AQ182" s="261" t="e">
        <f>#REF!+AH182+AA182+T182+M182</f>
        <v>#REF!</v>
      </c>
      <c r="AR182" s="261">
        <f t="shared" si="126"/>
        <v>412807545</v>
      </c>
      <c r="AS182" s="261" t="e">
        <f t="shared" si="127"/>
        <v>#REF!</v>
      </c>
      <c r="AT182" s="261">
        <f t="shared" si="128"/>
        <v>413053320</v>
      </c>
      <c r="AU182" s="261" t="e">
        <f t="shared" si="129"/>
        <v>#REF!</v>
      </c>
      <c r="AV182" s="261">
        <f t="shared" si="130"/>
        <v>413053320</v>
      </c>
      <c r="AW182" s="261" t="e">
        <f t="shared" si="131"/>
        <v>#REF!</v>
      </c>
      <c r="AX182" s="261" t="e">
        <f>AV182+#REF!+AH182+AA182+T182</f>
        <v>#REF!</v>
      </c>
      <c r="AY182" s="261" t="e">
        <f t="shared" si="132"/>
        <v>#REF!</v>
      </c>
      <c r="AZ182" s="261" t="e">
        <f t="shared" si="133"/>
        <v>#REF!</v>
      </c>
      <c r="BA182" s="261" t="e">
        <f t="shared" si="134"/>
        <v>#REF!</v>
      </c>
      <c r="BB182" s="261" t="e">
        <f t="shared" si="135"/>
        <v>#REF!</v>
      </c>
      <c r="BC182" s="261" t="e">
        <f t="shared" si="136"/>
        <v>#REF!</v>
      </c>
      <c r="BD182" s="261" t="e">
        <f t="shared" si="137"/>
        <v>#REF!</v>
      </c>
      <c r="BE182" s="261" t="e">
        <f>BC182+AV182+#REF!+AH182+AA182</f>
        <v>#REF!</v>
      </c>
      <c r="BF182" s="261" t="e">
        <f t="shared" si="138"/>
        <v>#REF!</v>
      </c>
      <c r="BG182" s="261" t="e">
        <f t="shared" si="139"/>
        <v>#REF!</v>
      </c>
    </row>
    <row r="183" spans="1:59" ht="15.75">
      <c r="A183" s="333">
        <v>15</v>
      </c>
      <c r="B183" s="333" t="s">
        <v>1607</v>
      </c>
      <c r="C183" s="256">
        <v>3</v>
      </c>
      <c r="D183" s="322" t="s">
        <v>12</v>
      </c>
      <c r="E183" s="256" t="s">
        <v>9</v>
      </c>
      <c r="F183" s="425">
        <f t="array" ref="F183">MAX((IF(MNU_CODIGO_ALIMENTO_ENTREGA=CONCATENATE($C183,"_","P_"),MNU_GRAMAJE_REQUERIDO_TIPOA,"")))</f>
        <v>50</v>
      </c>
      <c r="G183" s="257">
        <f t="shared" si="140"/>
        <v>118762</v>
      </c>
      <c r="H183" s="257">
        <f t="shared" si="141"/>
        <v>10564</v>
      </c>
      <c r="I183" s="257">
        <f t="shared" si="142"/>
        <v>129326</v>
      </c>
      <c r="J183" s="258">
        <f t="shared" si="143"/>
        <v>59974810</v>
      </c>
      <c r="K183" s="258">
        <f t="shared" si="144"/>
        <v>5334820</v>
      </c>
      <c r="L183" s="258">
        <f t="shared" si="145"/>
        <v>65309630</v>
      </c>
      <c r="M183" s="426">
        <f t="array" ref="M183">MAX((IF(MNU_CODIGO_ALIMENTO_ENTREGA=CONCATENATE($C183,"_","P_"),MNU_GRAMAJE_REQUERIDO_TIPOB,"")))</f>
        <v>50</v>
      </c>
      <c r="N183" s="343">
        <f t="shared" si="146"/>
        <v>145945</v>
      </c>
      <c r="O183" s="343">
        <f t="shared" si="147"/>
        <v>1957</v>
      </c>
      <c r="P183" s="343">
        <f t="shared" si="148"/>
        <v>147902</v>
      </c>
      <c r="Q183" s="344">
        <f t="shared" si="149"/>
        <v>73702225</v>
      </c>
      <c r="R183" s="344">
        <f t="shared" si="150"/>
        <v>988285</v>
      </c>
      <c r="S183" s="344">
        <f t="shared" si="151"/>
        <v>74690510</v>
      </c>
      <c r="T183" s="348">
        <f t="array" ref="T183">MAX((IF(MNU_CODIGO_ALIMENTO_ENTREGA=CONCATENATE($C183,"_","P_"),MNU_GRAMAJE_REQUERIDO_TIPOC,"")))</f>
        <v>80</v>
      </c>
      <c r="U183" s="257">
        <f t="shared" si="152"/>
        <v>132600</v>
      </c>
      <c r="V183" s="257">
        <f t="shared" si="153"/>
        <v>23066</v>
      </c>
      <c r="W183" s="257">
        <f t="shared" si="154"/>
        <v>155666</v>
      </c>
      <c r="X183" s="258">
        <f t="shared" si="155"/>
        <v>101173800</v>
      </c>
      <c r="Y183" s="258">
        <f t="shared" si="156"/>
        <v>17599358</v>
      </c>
      <c r="Z183" s="258">
        <f t="shared" si="157"/>
        <v>118773158</v>
      </c>
      <c r="AA183" s="256">
        <f t="array" ref="AA183">MAX((IF(MNU_CODIGO_ALIMENTO_ENTREGA=CONCATENATE($C183,"_","P_"),MNU_GRAMAJE_REQUERIDO_TIPOM,"")))</f>
        <v>50</v>
      </c>
      <c r="AB183" s="259">
        <f t="shared" si="158"/>
        <v>0</v>
      </c>
      <c r="AC183" s="259">
        <v>0</v>
      </c>
      <c r="AD183" s="259">
        <f t="shared" si="159"/>
        <v>0</v>
      </c>
      <c r="AE183" s="260">
        <f t="shared" si="160"/>
        <v>0</v>
      </c>
      <c r="AF183" s="260">
        <v>0</v>
      </c>
      <c r="AG183" s="260">
        <f t="shared" si="161"/>
        <v>0</v>
      </c>
      <c r="AH183" s="348">
        <f t="array" ref="AH183">MAX((IF(MNU_CODIGO_ALIMENTO_ENTREGA=CONCATENATE($C183,"_","P_"),MNU_GRAMAJE_REQUERIDO_TIPOH,"")))</f>
        <v>80</v>
      </c>
      <c r="AI183" s="257">
        <f t="shared" si="162"/>
        <v>0</v>
      </c>
      <c r="AJ183" s="257">
        <v>0</v>
      </c>
      <c r="AK183" s="257">
        <f t="shared" si="163"/>
        <v>0</v>
      </c>
      <c r="AL183" s="258">
        <f t="shared" si="164"/>
        <v>0</v>
      </c>
      <c r="AM183" s="258">
        <v>0</v>
      </c>
      <c r="AN183" s="258">
        <f t="shared" si="165"/>
        <v>0</v>
      </c>
      <c r="AO183" s="451">
        <f t="shared" si="166"/>
        <v>432894</v>
      </c>
      <c r="AP183" s="450">
        <f t="shared" si="167"/>
        <v>258773298</v>
      </c>
      <c r="AQ183" s="261" t="e">
        <f>#REF!+AH183+AA183+T183+M183</f>
        <v>#REF!</v>
      </c>
      <c r="AR183" s="261">
        <f t="shared" si="126"/>
        <v>259051843</v>
      </c>
      <c r="AS183" s="261" t="e">
        <f t="shared" si="127"/>
        <v>#REF!</v>
      </c>
      <c r="AT183" s="261">
        <f t="shared" si="128"/>
        <v>259355411</v>
      </c>
      <c r="AU183" s="261" t="e">
        <f t="shared" si="129"/>
        <v>#REF!</v>
      </c>
      <c r="AV183" s="261">
        <f t="shared" si="130"/>
        <v>277943054</v>
      </c>
      <c r="AW183" s="261" t="e">
        <f t="shared" si="131"/>
        <v>#REF!</v>
      </c>
      <c r="AX183" s="261" t="e">
        <f>AV183+#REF!+AH183+AA183+T183</f>
        <v>#REF!</v>
      </c>
      <c r="AY183" s="261" t="e">
        <f t="shared" si="132"/>
        <v>#REF!</v>
      </c>
      <c r="AZ183" s="261" t="e">
        <f t="shared" si="133"/>
        <v>#REF!</v>
      </c>
      <c r="BA183" s="261" t="e">
        <f t="shared" si="134"/>
        <v>#REF!</v>
      </c>
      <c r="BB183" s="261" t="e">
        <f t="shared" si="135"/>
        <v>#REF!</v>
      </c>
      <c r="BC183" s="261" t="e">
        <f t="shared" si="136"/>
        <v>#REF!</v>
      </c>
      <c r="BD183" s="261" t="e">
        <f t="shared" si="137"/>
        <v>#REF!</v>
      </c>
      <c r="BE183" s="261" t="e">
        <f>BC183+AV183+#REF!+AH183+AA183</f>
        <v>#REF!</v>
      </c>
      <c r="BF183" s="261" t="e">
        <f t="shared" si="138"/>
        <v>#REF!</v>
      </c>
      <c r="BG183" s="261" t="e">
        <f t="shared" si="139"/>
        <v>#REF!</v>
      </c>
    </row>
    <row r="184" spans="1:59" ht="15.75">
      <c r="A184" s="333">
        <v>15</v>
      </c>
      <c r="B184" s="333" t="s">
        <v>1607</v>
      </c>
      <c r="C184" s="256">
        <v>15</v>
      </c>
      <c r="D184" s="322" t="s">
        <v>66</v>
      </c>
      <c r="E184" s="256" t="s">
        <v>9</v>
      </c>
      <c r="F184" s="425">
        <f t="array" ref="F184">MAX((IF(MNU_CODIGO_ALIMENTO_ENTREGA=CONCATENATE($C184,"_","P_"),MNU_GRAMAJE_REQUERIDO_TIPOA,"")))</f>
        <v>50</v>
      </c>
      <c r="G184" s="257">
        <f t="shared" si="140"/>
        <v>118762</v>
      </c>
      <c r="H184" s="257">
        <f t="shared" si="141"/>
        <v>6116</v>
      </c>
      <c r="I184" s="257">
        <f t="shared" si="142"/>
        <v>124878</v>
      </c>
      <c r="J184" s="258">
        <f t="shared" si="143"/>
        <v>79926826</v>
      </c>
      <c r="K184" s="258">
        <f t="shared" si="144"/>
        <v>4116068</v>
      </c>
      <c r="L184" s="258">
        <f t="shared" si="145"/>
        <v>84042894</v>
      </c>
      <c r="M184" s="426">
        <f t="array" ref="M184">MAX((IF(MNU_CODIGO_ALIMENTO_ENTREGA=CONCATENATE($C184,"_","P_"),MNU_GRAMAJE_REQUERIDO_TIPOB,"")))</f>
        <v>50</v>
      </c>
      <c r="N184" s="343">
        <f t="shared" si="146"/>
        <v>145945</v>
      </c>
      <c r="O184" s="343">
        <f t="shared" si="147"/>
        <v>1133</v>
      </c>
      <c r="P184" s="343">
        <f t="shared" si="148"/>
        <v>147078</v>
      </c>
      <c r="Q184" s="344">
        <f t="shared" si="149"/>
        <v>98220985</v>
      </c>
      <c r="R184" s="344">
        <f t="shared" si="150"/>
        <v>762509</v>
      </c>
      <c r="S184" s="344">
        <f t="shared" si="151"/>
        <v>98983494</v>
      </c>
      <c r="T184" s="348">
        <f t="array" ref="T184">MAX((IF(MNU_CODIGO_ALIMENTO_ENTREGA=CONCATENATE($C184,"_","P_"),MNU_GRAMAJE_REQUERIDO_TIPOC,"")))</f>
        <v>80</v>
      </c>
      <c r="U184" s="257">
        <f t="shared" si="152"/>
        <v>132600</v>
      </c>
      <c r="V184" s="257">
        <f t="shared" si="153"/>
        <v>13354</v>
      </c>
      <c r="W184" s="257">
        <f t="shared" si="154"/>
        <v>145954</v>
      </c>
      <c r="X184" s="258">
        <f t="shared" si="155"/>
        <v>142677600</v>
      </c>
      <c r="Y184" s="258">
        <f t="shared" si="156"/>
        <v>14368904</v>
      </c>
      <c r="Z184" s="258">
        <f t="shared" si="157"/>
        <v>157046504</v>
      </c>
      <c r="AA184" s="256">
        <f t="array" ref="AA184">MAX((IF(MNU_CODIGO_ALIMENTO_ENTREGA=CONCATENATE($C184,"_","P_"),MNU_GRAMAJE_REQUERIDO_TIPOM,"")))</f>
        <v>50</v>
      </c>
      <c r="AB184" s="259">
        <f t="shared" si="158"/>
        <v>0</v>
      </c>
      <c r="AC184" s="259">
        <v>0</v>
      </c>
      <c r="AD184" s="259">
        <f t="shared" si="159"/>
        <v>0</v>
      </c>
      <c r="AE184" s="260">
        <f t="shared" si="160"/>
        <v>0</v>
      </c>
      <c r="AF184" s="260">
        <v>0</v>
      </c>
      <c r="AG184" s="260">
        <f t="shared" si="161"/>
        <v>0</v>
      </c>
      <c r="AH184" s="348">
        <f t="array" ref="AH184">MAX((IF(MNU_CODIGO_ALIMENTO_ENTREGA=CONCATENATE($C184,"_","P_"),MNU_GRAMAJE_REQUERIDO_TIPOH,"")))</f>
        <v>80</v>
      </c>
      <c r="AI184" s="257">
        <f t="shared" si="162"/>
        <v>0</v>
      </c>
      <c r="AJ184" s="257">
        <v>0</v>
      </c>
      <c r="AK184" s="257">
        <f t="shared" si="163"/>
        <v>0</v>
      </c>
      <c r="AL184" s="258">
        <f t="shared" si="164"/>
        <v>0</v>
      </c>
      <c r="AM184" s="258">
        <v>0</v>
      </c>
      <c r="AN184" s="258">
        <f t="shared" si="165"/>
        <v>0</v>
      </c>
      <c r="AO184" s="451">
        <f t="shared" si="166"/>
        <v>417910</v>
      </c>
      <c r="AP184" s="450">
        <f t="shared" si="167"/>
        <v>340072892</v>
      </c>
      <c r="AQ184" s="261" t="e">
        <f>#REF!+AH184+AA184+T184+M184</f>
        <v>#REF!</v>
      </c>
      <c r="AR184" s="261">
        <f t="shared" si="126"/>
        <v>340351437</v>
      </c>
      <c r="AS184" s="261" t="e">
        <f t="shared" si="127"/>
        <v>#REF!</v>
      </c>
      <c r="AT184" s="261">
        <f t="shared" si="128"/>
        <v>340644469</v>
      </c>
      <c r="AU184" s="261" t="e">
        <f t="shared" si="129"/>
        <v>#REF!</v>
      </c>
      <c r="AV184" s="261">
        <f t="shared" si="130"/>
        <v>355775882</v>
      </c>
      <c r="AW184" s="261" t="e">
        <f t="shared" si="131"/>
        <v>#REF!</v>
      </c>
      <c r="AX184" s="261" t="e">
        <f>AV184+#REF!+AH184+AA184+T184</f>
        <v>#REF!</v>
      </c>
      <c r="AY184" s="261" t="e">
        <f t="shared" si="132"/>
        <v>#REF!</v>
      </c>
      <c r="AZ184" s="261" t="e">
        <f t="shared" si="133"/>
        <v>#REF!</v>
      </c>
      <c r="BA184" s="261" t="e">
        <f t="shared" si="134"/>
        <v>#REF!</v>
      </c>
      <c r="BB184" s="261" t="e">
        <f t="shared" si="135"/>
        <v>#REF!</v>
      </c>
      <c r="BC184" s="261" t="e">
        <f t="shared" si="136"/>
        <v>#REF!</v>
      </c>
      <c r="BD184" s="261" t="e">
        <f t="shared" si="137"/>
        <v>#REF!</v>
      </c>
      <c r="BE184" s="261" t="e">
        <f>BC184+AV184+#REF!+AH184+AA184</f>
        <v>#REF!</v>
      </c>
      <c r="BF184" s="261" t="e">
        <f t="shared" si="138"/>
        <v>#REF!</v>
      </c>
      <c r="BG184" s="261" t="e">
        <f t="shared" si="139"/>
        <v>#REF!</v>
      </c>
    </row>
    <row r="185" spans="1:59" ht="15.75">
      <c r="A185" s="333">
        <v>15</v>
      </c>
      <c r="B185" s="333" t="s">
        <v>1607</v>
      </c>
      <c r="C185" s="256">
        <v>24</v>
      </c>
      <c r="D185" s="322" t="s">
        <v>61</v>
      </c>
      <c r="E185" s="256" t="s">
        <v>9</v>
      </c>
      <c r="F185" s="425">
        <f t="array" ref="F185">MAX((IF(MNU_CODIGO_ALIMENTO_ENTREGA=CONCATENATE($C185,"_","P_"),MNU_GRAMAJE_REQUERIDO_TIPOA,"")))</f>
        <v>20</v>
      </c>
      <c r="G185" s="257">
        <f t="shared" si="140"/>
        <v>118762</v>
      </c>
      <c r="H185" s="257">
        <f t="shared" si="141"/>
        <v>6116</v>
      </c>
      <c r="I185" s="257">
        <f t="shared" si="142"/>
        <v>124878</v>
      </c>
      <c r="J185" s="258">
        <f t="shared" si="143"/>
        <v>15201536</v>
      </c>
      <c r="K185" s="258">
        <f t="shared" si="144"/>
        <v>782848</v>
      </c>
      <c r="L185" s="258">
        <f t="shared" si="145"/>
        <v>15984384</v>
      </c>
      <c r="M185" s="426">
        <f t="array" ref="M185">MAX((IF(MNU_CODIGO_ALIMENTO_ENTREGA=CONCATENATE($C185,"_","P_"),MNU_GRAMAJE_REQUERIDO_TIPOB,"")))</f>
        <v>30</v>
      </c>
      <c r="N185" s="343">
        <f t="shared" si="146"/>
        <v>145945</v>
      </c>
      <c r="O185" s="343">
        <f t="shared" si="147"/>
        <v>1133</v>
      </c>
      <c r="P185" s="343">
        <f t="shared" si="148"/>
        <v>147078</v>
      </c>
      <c r="Q185" s="344">
        <f t="shared" si="149"/>
        <v>29189000</v>
      </c>
      <c r="R185" s="344">
        <f t="shared" si="150"/>
        <v>226600</v>
      </c>
      <c r="S185" s="344">
        <f t="shared" si="151"/>
        <v>29415600</v>
      </c>
      <c r="T185" s="348">
        <f t="array" ref="T185">MAX((IF(MNU_CODIGO_ALIMENTO_ENTREGA=CONCATENATE($C185,"_","P_"),MNU_GRAMAJE_REQUERIDO_TIPOC,"")))</f>
        <v>60</v>
      </c>
      <c r="U185" s="257">
        <f t="shared" si="152"/>
        <v>132600</v>
      </c>
      <c r="V185" s="257">
        <f t="shared" si="153"/>
        <v>13354</v>
      </c>
      <c r="W185" s="257">
        <f t="shared" si="154"/>
        <v>145954</v>
      </c>
      <c r="X185" s="258">
        <f t="shared" si="155"/>
        <v>51051000</v>
      </c>
      <c r="Y185" s="258">
        <f t="shared" si="156"/>
        <v>5141290</v>
      </c>
      <c r="Z185" s="258">
        <f t="shared" si="157"/>
        <v>56192290</v>
      </c>
      <c r="AA185" s="256">
        <f t="array" ref="AA185">MAX((IF(MNU_CODIGO_ALIMENTO_ENTREGA=CONCATENATE($C185,"_","P_"),MNU_GRAMAJE_REQUERIDO_TIPOM,"")))</f>
        <v>30</v>
      </c>
      <c r="AB185" s="259">
        <f t="shared" si="158"/>
        <v>0</v>
      </c>
      <c r="AC185" s="259">
        <v>0</v>
      </c>
      <c r="AD185" s="259">
        <f t="shared" si="159"/>
        <v>0</v>
      </c>
      <c r="AE185" s="260">
        <f t="shared" si="160"/>
        <v>0</v>
      </c>
      <c r="AF185" s="260">
        <v>0</v>
      </c>
      <c r="AG185" s="260">
        <f t="shared" si="161"/>
        <v>0</v>
      </c>
      <c r="AH185" s="348">
        <f t="array" ref="AH185">MAX((IF(MNU_CODIGO_ALIMENTO_ENTREGA=CONCATENATE($C185,"_","P_"),MNU_GRAMAJE_REQUERIDO_TIPOH,"")))</f>
        <v>60</v>
      </c>
      <c r="AI185" s="257">
        <f t="shared" si="162"/>
        <v>0</v>
      </c>
      <c r="AJ185" s="257">
        <v>0</v>
      </c>
      <c r="AK185" s="257">
        <f t="shared" si="163"/>
        <v>0</v>
      </c>
      <c r="AL185" s="258">
        <f t="shared" si="164"/>
        <v>0</v>
      </c>
      <c r="AM185" s="258">
        <v>0</v>
      </c>
      <c r="AN185" s="258">
        <f t="shared" si="165"/>
        <v>0</v>
      </c>
      <c r="AO185" s="451">
        <f t="shared" si="166"/>
        <v>417910</v>
      </c>
      <c r="AP185" s="450">
        <f t="shared" si="167"/>
        <v>101592274</v>
      </c>
      <c r="AQ185" s="261" t="e">
        <f>#REF!+AH185+AA185+T185+M185</f>
        <v>#REF!</v>
      </c>
      <c r="AR185" s="261">
        <f t="shared" si="126"/>
        <v>101870819</v>
      </c>
      <c r="AS185" s="261" t="e">
        <f t="shared" si="127"/>
        <v>#REF!</v>
      </c>
      <c r="AT185" s="261">
        <f t="shared" si="128"/>
        <v>102163851</v>
      </c>
      <c r="AU185" s="261" t="e">
        <f t="shared" si="129"/>
        <v>#REF!</v>
      </c>
      <c r="AV185" s="261">
        <f t="shared" si="130"/>
        <v>107531741</v>
      </c>
      <c r="AW185" s="261" t="e">
        <f t="shared" si="131"/>
        <v>#REF!</v>
      </c>
      <c r="AX185" s="261" t="e">
        <f>AV185+#REF!+AH185+AA185+T185</f>
        <v>#REF!</v>
      </c>
      <c r="AY185" s="261" t="e">
        <f t="shared" si="132"/>
        <v>#REF!</v>
      </c>
      <c r="AZ185" s="261" t="e">
        <f t="shared" si="133"/>
        <v>#REF!</v>
      </c>
      <c r="BA185" s="261" t="e">
        <f t="shared" si="134"/>
        <v>#REF!</v>
      </c>
      <c r="BB185" s="261" t="e">
        <f t="shared" si="135"/>
        <v>#REF!</v>
      </c>
      <c r="BC185" s="261" t="e">
        <f t="shared" si="136"/>
        <v>#REF!</v>
      </c>
      <c r="BD185" s="261" t="e">
        <f t="shared" si="137"/>
        <v>#REF!</v>
      </c>
      <c r="BE185" s="261" t="e">
        <f>BC185+AV185+#REF!+AH185+AA185</f>
        <v>#REF!</v>
      </c>
      <c r="BF185" s="261" t="e">
        <f t="shared" si="138"/>
        <v>#REF!</v>
      </c>
      <c r="BG185" s="261" t="e">
        <f t="shared" si="139"/>
        <v>#REF!</v>
      </c>
    </row>
    <row r="186" spans="1:59" ht="15.75">
      <c r="A186" s="333">
        <v>15</v>
      </c>
      <c r="B186" s="333" t="s">
        <v>1607</v>
      </c>
      <c r="C186" s="256">
        <v>25</v>
      </c>
      <c r="D186" s="322" t="s">
        <v>64</v>
      </c>
      <c r="E186" s="256" t="s">
        <v>9</v>
      </c>
      <c r="F186" s="425">
        <f t="array" ref="F186">MAX((IF(MNU_CODIGO_ALIMENTO_ENTREGA=CONCATENATE($C186,"_","P_"),MNU_GRAMAJE_REQUERIDO_TIPOA,"")))</f>
        <v>40</v>
      </c>
      <c r="G186" s="257">
        <f t="shared" si="140"/>
        <v>118762</v>
      </c>
      <c r="H186" s="257">
        <f t="shared" si="141"/>
        <v>12232</v>
      </c>
      <c r="I186" s="257">
        <f t="shared" si="142"/>
        <v>130994</v>
      </c>
      <c r="J186" s="258">
        <f t="shared" si="143"/>
        <v>30403072</v>
      </c>
      <c r="K186" s="258">
        <f t="shared" si="144"/>
        <v>3131392</v>
      </c>
      <c r="L186" s="258">
        <f t="shared" si="145"/>
        <v>33534464</v>
      </c>
      <c r="M186" s="426">
        <f t="array" ref="M186">MAX((IF(MNU_CODIGO_ALIMENTO_ENTREGA=CONCATENATE($C186,"_","P_"),MNU_GRAMAJE_REQUERIDO_TIPOB,"")))</f>
        <v>40</v>
      </c>
      <c r="N186" s="343">
        <f t="shared" si="146"/>
        <v>145945</v>
      </c>
      <c r="O186" s="343">
        <f t="shared" si="147"/>
        <v>2266</v>
      </c>
      <c r="P186" s="343">
        <f t="shared" si="148"/>
        <v>148211</v>
      </c>
      <c r="Q186" s="344">
        <f t="shared" si="149"/>
        <v>37361920</v>
      </c>
      <c r="R186" s="344">
        <f t="shared" si="150"/>
        <v>580096</v>
      </c>
      <c r="S186" s="344">
        <f t="shared" si="151"/>
        <v>37942016</v>
      </c>
      <c r="T186" s="348">
        <f t="array" ref="T186">MAX((IF(MNU_CODIGO_ALIMENTO_ENTREGA=CONCATENATE($C186,"_","P_"),MNU_GRAMAJE_REQUERIDO_TIPOC,"")))</f>
        <v>60</v>
      </c>
      <c r="U186" s="257">
        <f t="shared" si="152"/>
        <v>132600</v>
      </c>
      <c r="V186" s="257">
        <f t="shared" si="153"/>
        <v>26708</v>
      </c>
      <c r="W186" s="257">
        <f t="shared" si="154"/>
        <v>159308</v>
      </c>
      <c r="X186" s="258">
        <f t="shared" si="155"/>
        <v>50918400</v>
      </c>
      <c r="Y186" s="258">
        <f t="shared" si="156"/>
        <v>10255872</v>
      </c>
      <c r="Z186" s="258">
        <f t="shared" si="157"/>
        <v>61174272</v>
      </c>
      <c r="AA186" s="256">
        <f t="array" ref="AA186">MAX((IF(MNU_CODIGO_ALIMENTO_ENTREGA=CONCATENATE($C186,"_","P_"),MNU_GRAMAJE_REQUERIDO_TIPOM,"")))</f>
        <v>40</v>
      </c>
      <c r="AB186" s="259">
        <f t="shared" si="158"/>
        <v>0</v>
      </c>
      <c r="AC186" s="259">
        <v>0</v>
      </c>
      <c r="AD186" s="259">
        <f t="shared" si="159"/>
        <v>0</v>
      </c>
      <c r="AE186" s="260">
        <f t="shared" si="160"/>
        <v>0</v>
      </c>
      <c r="AF186" s="260">
        <v>0</v>
      </c>
      <c r="AG186" s="260">
        <f t="shared" si="161"/>
        <v>0</v>
      </c>
      <c r="AH186" s="348">
        <f t="array" ref="AH186">MAX((IF(MNU_CODIGO_ALIMENTO_ENTREGA=CONCATENATE($C186,"_","P_"),MNU_GRAMAJE_REQUERIDO_TIPOH,"")))</f>
        <v>60</v>
      </c>
      <c r="AI186" s="257">
        <f t="shared" si="162"/>
        <v>0</v>
      </c>
      <c r="AJ186" s="257">
        <v>0</v>
      </c>
      <c r="AK186" s="257">
        <f t="shared" si="163"/>
        <v>0</v>
      </c>
      <c r="AL186" s="258">
        <f t="shared" si="164"/>
        <v>0</v>
      </c>
      <c r="AM186" s="258">
        <v>0</v>
      </c>
      <c r="AN186" s="258">
        <f t="shared" si="165"/>
        <v>0</v>
      </c>
      <c r="AO186" s="451">
        <f t="shared" si="166"/>
        <v>438513</v>
      </c>
      <c r="AP186" s="450">
        <f t="shared" si="167"/>
        <v>132650752</v>
      </c>
      <c r="AQ186" s="261" t="e">
        <f>#REF!+AH186+AA186+T186+M186</f>
        <v>#REF!</v>
      </c>
      <c r="AR186" s="261">
        <f t="shared" si="126"/>
        <v>132929297</v>
      </c>
      <c r="AS186" s="261" t="e">
        <f t="shared" si="127"/>
        <v>#REF!</v>
      </c>
      <c r="AT186" s="261">
        <f t="shared" si="128"/>
        <v>133236816</v>
      </c>
      <c r="AU186" s="261" t="e">
        <f t="shared" si="129"/>
        <v>#REF!</v>
      </c>
      <c r="AV186" s="261">
        <f t="shared" si="130"/>
        <v>144072784</v>
      </c>
      <c r="AW186" s="261" t="e">
        <f t="shared" si="131"/>
        <v>#REF!</v>
      </c>
      <c r="AX186" s="261" t="e">
        <f>AV186+#REF!+AH186+AA186+T186</f>
        <v>#REF!</v>
      </c>
      <c r="AY186" s="261" t="e">
        <f t="shared" si="132"/>
        <v>#REF!</v>
      </c>
      <c r="AZ186" s="261" t="e">
        <f t="shared" si="133"/>
        <v>#REF!</v>
      </c>
      <c r="BA186" s="261" t="e">
        <f t="shared" si="134"/>
        <v>#REF!</v>
      </c>
      <c r="BB186" s="261" t="e">
        <f t="shared" si="135"/>
        <v>#REF!</v>
      </c>
      <c r="BC186" s="261" t="e">
        <f t="shared" si="136"/>
        <v>#REF!</v>
      </c>
      <c r="BD186" s="261" t="e">
        <f t="shared" si="137"/>
        <v>#REF!</v>
      </c>
      <c r="BE186" s="261" t="e">
        <f>BC186+AV186+#REF!+AH186+AA186</f>
        <v>#REF!</v>
      </c>
      <c r="BF186" s="261" t="e">
        <f t="shared" si="138"/>
        <v>#REF!</v>
      </c>
      <c r="BG186" s="261" t="e">
        <f t="shared" si="139"/>
        <v>#REF!</v>
      </c>
    </row>
    <row r="187" spans="1:59" ht="15.75">
      <c r="A187" s="333">
        <v>15</v>
      </c>
      <c r="B187" s="333" t="s">
        <v>1607</v>
      </c>
      <c r="C187" s="256">
        <v>26</v>
      </c>
      <c r="D187" s="322" t="s">
        <v>69</v>
      </c>
      <c r="E187" s="256" t="s">
        <v>9</v>
      </c>
      <c r="F187" s="425">
        <f t="array" ref="F187">MAX((IF(MNU_CODIGO_ALIMENTO_ENTREGA=CONCATENATE($C187,"_","P_"),MNU_GRAMAJE_REQUERIDO_TIPOA,"")))</f>
        <v>30</v>
      </c>
      <c r="G187" s="257">
        <f t="shared" si="140"/>
        <v>41916</v>
      </c>
      <c r="H187" s="257">
        <f t="shared" si="141"/>
        <v>0</v>
      </c>
      <c r="I187" s="257">
        <f t="shared" si="142"/>
        <v>41916</v>
      </c>
      <c r="J187" s="258">
        <f t="shared" si="143"/>
        <v>7167636</v>
      </c>
      <c r="K187" s="258">
        <f t="shared" si="144"/>
        <v>0</v>
      </c>
      <c r="L187" s="258">
        <f t="shared" si="145"/>
        <v>7167636</v>
      </c>
      <c r="M187" s="426">
        <f t="array" ref="M187">MAX((IF(MNU_CODIGO_ALIMENTO_ENTREGA=CONCATENATE($C187,"_","P_"),MNU_GRAMAJE_REQUERIDO_TIPOB,"")))</f>
        <v>30</v>
      </c>
      <c r="N187" s="343">
        <f t="shared" si="146"/>
        <v>51510</v>
      </c>
      <c r="O187" s="343">
        <f t="shared" si="147"/>
        <v>0</v>
      </c>
      <c r="P187" s="343">
        <f t="shared" si="148"/>
        <v>51510</v>
      </c>
      <c r="Q187" s="344">
        <f t="shared" si="149"/>
        <v>8808210</v>
      </c>
      <c r="R187" s="344">
        <f t="shared" si="150"/>
        <v>0</v>
      </c>
      <c r="S187" s="344">
        <f t="shared" si="151"/>
        <v>8808210</v>
      </c>
      <c r="T187" s="348">
        <f t="array" ref="T187">MAX((IF(MNU_CODIGO_ALIMENTO_ENTREGA=CONCATENATE($C187,"_","P_"),MNU_GRAMAJE_REQUERIDO_TIPOC,"")))</f>
        <v>30</v>
      </c>
      <c r="U187" s="257">
        <f t="shared" si="152"/>
        <v>46800</v>
      </c>
      <c r="V187" s="257">
        <f t="shared" si="153"/>
        <v>0</v>
      </c>
      <c r="W187" s="257">
        <f t="shared" si="154"/>
        <v>46800</v>
      </c>
      <c r="X187" s="258">
        <f t="shared" si="155"/>
        <v>8002800</v>
      </c>
      <c r="Y187" s="258">
        <f t="shared" si="156"/>
        <v>0</v>
      </c>
      <c r="Z187" s="258">
        <f t="shared" si="157"/>
        <v>8002800</v>
      </c>
      <c r="AA187" s="256">
        <f t="array" ref="AA187">MAX((IF(MNU_CODIGO_ALIMENTO_ENTREGA=CONCATENATE($C187,"_","P_"),MNU_GRAMAJE_REQUERIDO_TIPOM,"")))</f>
        <v>30</v>
      </c>
      <c r="AB187" s="259">
        <f t="shared" si="158"/>
        <v>0</v>
      </c>
      <c r="AC187" s="259">
        <v>0</v>
      </c>
      <c r="AD187" s="259">
        <f t="shared" si="159"/>
        <v>0</v>
      </c>
      <c r="AE187" s="260">
        <f t="shared" si="160"/>
        <v>0</v>
      </c>
      <c r="AF187" s="260">
        <v>0</v>
      </c>
      <c r="AG187" s="260">
        <f t="shared" si="161"/>
        <v>0</v>
      </c>
      <c r="AH187" s="348">
        <f t="array" ref="AH187">MAX((IF(MNU_CODIGO_ALIMENTO_ENTREGA=CONCATENATE($C187,"_","P_"),MNU_GRAMAJE_REQUERIDO_TIPOH,"")))</f>
        <v>30</v>
      </c>
      <c r="AI187" s="257">
        <f t="shared" si="162"/>
        <v>0</v>
      </c>
      <c r="AJ187" s="257">
        <v>0</v>
      </c>
      <c r="AK187" s="257">
        <f t="shared" si="163"/>
        <v>0</v>
      </c>
      <c r="AL187" s="258">
        <f t="shared" si="164"/>
        <v>0</v>
      </c>
      <c r="AM187" s="258">
        <v>0</v>
      </c>
      <c r="AN187" s="258">
        <f t="shared" si="165"/>
        <v>0</v>
      </c>
      <c r="AO187" s="451">
        <f t="shared" si="166"/>
        <v>140226</v>
      </c>
      <c r="AP187" s="450">
        <f t="shared" si="167"/>
        <v>23978646</v>
      </c>
      <c r="AQ187" s="261" t="e">
        <f>#REF!+AH187+AA187+T187+M187</f>
        <v>#REF!</v>
      </c>
      <c r="AR187" s="261">
        <f t="shared" si="126"/>
        <v>24076956</v>
      </c>
      <c r="AS187" s="261" t="e">
        <f t="shared" si="127"/>
        <v>#REF!</v>
      </c>
      <c r="AT187" s="261">
        <f t="shared" si="128"/>
        <v>24175266</v>
      </c>
      <c r="AU187" s="261" t="e">
        <f t="shared" si="129"/>
        <v>#REF!</v>
      </c>
      <c r="AV187" s="261">
        <f t="shared" si="130"/>
        <v>24175266</v>
      </c>
      <c r="AW187" s="261" t="e">
        <f t="shared" si="131"/>
        <v>#REF!</v>
      </c>
      <c r="AX187" s="261" t="e">
        <f>AV187+#REF!+AH187+AA187+T187</f>
        <v>#REF!</v>
      </c>
      <c r="AY187" s="261" t="e">
        <f t="shared" si="132"/>
        <v>#REF!</v>
      </c>
      <c r="AZ187" s="261" t="e">
        <f t="shared" si="133"/>
        <v>#REF!</v>
      </c>
      <c r="BA187" s="261" t="e">
        <f t="shared" si="134"/>
        <v>#REF!</v>
      </c>
      <c r="BB187" s="261" t="e">
        <f t="shared" si="135"/>
        <v>#REF!</v>
      </c>
      <c r="BC187" s="261" t="e">
        <f t="shared" si="136"/>
        <v>#REF!</v>
      </c>
      <c r="BD187" s="261" t="e">
        <f t="shared" si="137"/>
        <v>#REF!</v>
      </c>
      <c r="BE187" s="261" t="e">
        <f>BC187+AV187+#REF!+AH187+AA187</f>
        <v>#REF!</v>
      </c>
      <c r="BF187" s="261" t="e">
        <f t="shared" si="138"/>
        <v>#REF!</v>
      </c>
      <c r="BG187" s="261" t="e">
        <f t="shared" si="139"/>
        <v>#REF!</v>
      </c>
    </row>
    <row r="188" spans="1:59" ht="27">
      <c r="A188" s="333">
        <v>15</v>
      </c>
      <c r="B188" s="333" t="s">
        <v>1607</v>
      </c>
      <c r="C188" s="256">
        <v>28</v>
      </c>
      <c r="D188" s="322" t="s">
        <v>67</v>
      </c>
      <c r="E188" s="256" t="s">
        <v>9</v>
      </c>
      <c r="F188" s="425">
        <f t="array" ref="F188">MAX((IF(MNU_CODIGO_ALIMENTO_ENTREGA=CONCATENATE($C188,"_","P_"),MNU_GRAMAJE_REQUERIDO_TIPOA,"")))</f>
        <v>30</v>
      </c>
      <c r="G188" s="257">
        <f t="shared" si="140"/>
        <v>41916</v>
      </c>
      <c r="H188" s="257">
        <f t="shared" si="141"/>
        <v>10564</v>
      </c>
      <c r="I188" s="257">
        <f t="shared" si="142"/>
        <v>52480</v>
      </c>
      <c r="J188" s="258">
        <f t="shared" si="143"/>
        <v>9473016</v>
      </c>
      <c r="K188" s="258">
        <f t="shared" si="144"/>
        <v>2387464</v>
      </c>
      <c r="L188" s="258">
        <f t="shared" si="145"/>
        <v>11860480</v>
      </c>
      <c r="M188" s="426">
        <f t="array" ref="M188">MAX((IF(MNU_CODIGO_ALIMENTO_ENTREGA=CONCATENATE($C188,"_","P_"),MNU_GRAMAJE_REQUERIDO_TIPOB,"")))</f>
        <v>40</v>
      </c>
      <c r="N188" s="343">
        <f t="shared" si="146"/>
        <v>51510</v>
      </c>
      <c r="O188" s="343">
        <f t="shared" si="147"/>
        <v>1957</v>
      </c>
      <c r="P188" s="343">
        <f t="shared" si="148"/>
        <v>53467</v>
      </c>
      <c r="Q188" s="344">
        <f t="shared" si="149"/>
        <v>15504510</v>
      </c>
      <c r="R188" s="344">
        <f t="shared" si="150"/>
        <v>589057</v>
      </c>
      <c r="S188" s="344">
        <f t="shared" si="151"/>
        <v>16093567</v>
      </c>
      <c r="T188" s="348">
        <f t="array" ref="T188">MAX((IF(MNU_CODIGO_ALIMENTO_ENTREGA=CONCATENATE($C188,"_","P_"),MNU_GRAMAJE_REQUERIDO_TIPOC,"")))</f>
        <v>60</v>
      </c>
      <c r="U188" s="257">
        <f t="shared" si="152"/>
        <v>46800</v>
      </c>
      <c r="V188" s="257">
        <f t="shared" si="153"/>
        <v>23066</v>
      </c>
      <c r="W188" s="257">
        <f t="shared" si="154"/>
        <v>69866</v>
      </c>
      <c r="X188" s="258">
        <f t="shared" si="155"/>
        <v>21106800</v>
      </c>
      <c r="Y188" s="258">
        <f t="shared" si="156"/>
        <v>10402766</v>
      </c>
      <c r="Z188" s="258">
        <f t="shared" si="157"/>
        <v>31509566</v>
      </c>
      <c r="AA188" s="256">
        <f t="array" ref="AA188">MAX((IF(MNU_CODIGO_ALIMENTO_ENTREGA=CONCATENATE($C188,"_","P_"),MNU_GRAMAJE_REQUERIDO_TIPOM,"")))</f>
        <v>40</v>
      </c>
      <c r="AB188" s="259">
        <f t="shared" si="158"/>
        <v>0</v>
      </c>
      <c r="AC188" s="259">
        <v>0</v>
      </c>
      <c r="AD188" s="259">
        <f t="shared" si="159"/>
        <v>0</v>
      </c>
      <c r="AE188" s="260">
        <f t="shared" si="160"/>
        <v>0</v>
      </c>
      <c r="AF188" s="260">
        <v>0</v>
      </c>
      <c r="AG188" s="260">
        <f t="shared" si="161"/>
        <v>0</v>
      </c>
      <c r="AH188" s="348">
        <f t="array" ref="AH188">MAX((IF(MNU_CODIGO_ALIMENTO_ENTREGA=CONCATENATE($C188,"_","P_"),MNU_GRAMAJE_REQUERIDO_TIPOH,"")))</f>
        <v>60</v>
      </c>
      <c r="AI188" s="257">
        <f t="shared" si="162"/>
        <v>0</v>
      </c>
      <c r="AJ188" s="257">
        <v>0</v>
      </c>
      <c r="AK188" s="257">
        <f t="shared" si="163"/>
        <v>0</v>
      </c>
      <c r="AL188" s="258">
        <f t="shared" si="164"/>
        <v>0</v>
      </c>
      <c r="AM188" s="258">
        <v>0</v>
      </c>
      <c r="AN188" s="258">
        <f t="shared" si="165"/>
        <v>0</v>
      </c>
      <c r="AO188" s="451">
        <f t="shared" si="166"/>
        <v>175813</v>
      </c>
      <c r="AP188" s="450">
        <f t="shared" si="167"/>
        <v>59463613</v>
      </c>
      <c r="AQ188" s="261" t="e">
        <f>#REF!+AH188+AA188+T188+M188</f>
        <v>#REF!</v>
      </c>
      <c r="AR188" s="261">
        <f t="shared" si="126"/>
        <v>59561923</v>
      </c>
      <c r="AS188" s="261" t="e">
        <f t="shared" si="127"/>
        <v>#REF!</v>
      </c>
      <c r="AT188" s="261">
        <f t="shared" si="128"/>
        <v>59685256</v>
      </c>
      <c r="AU188" s="261" t="e">
        <f t="shared" si="129"/>
        <v>#REF!</v>
      </c>
      <c r="AV188" s="261">
        <f t="shared" si="130"/>
        <v>70677079</v>
      </c>
      <c r="AW188" s="261" t="e">
        <f t="shared" si="131"/>
        <v>#REF!</v>
      </c>
      <c r="AX188" s="261" t="e">
        <f>AV188+#REF!+AH188+AA188+T188</f>
        <v>#REF!</v>
      </c>
      <c r="AY188" s="261" t="e">
        <f t="shared" si="132"/>
        <v>#REF!</v>
      </c>
      <c r="AZ188" s="261" t="e">
        <f t="shared" si="133"/>
        <v>#REF!</v>
      </c>
      <c r="BA188" s="261" t="e">
        <f t="shared" si="134"/>
        <v>#REF!</v>
      </c>
      <c r="BB188" s="261" t="e">
        <f t="shared" si="135"/>
        <v>#REF!</v>
      </c>
      <c r="BC188" s="261" t="e">
        <f t="shared" si="136"/>
        <v>#REF!</v>
      </c>
      <c r="BD188" s="261" t="e">
        <f t="shared" si="137"/>
        <v>#REF!</v>
      </c>
      <c r="BE188" s="261" t="e">
        <f>BC188+AV188+#REF!+AH188+AA188</f>
        <v>#REF!</v>
      </c>
      <c r="BF188" s="261" t="e">
        <f t="shared" si="138"/>
        <v>#REF!</v>
      </c>
      <c r="BG188" s="261" t="e">
        <f t="shared" si="139"/>
        <v>#REF!</v>
      </c>
    </row>
    <row r="189" spans="1:59" ht="15.75">
      <c r="A189" s="333">
        <v>15</v>
      </c>
      <c r="B189" s="333" t="s">
        <v>1607</v>
      </c>
      <c r="C189" s="256">
        <v>30</v>
      </c>
      <c r="D189" s="322" t="s">
        <v>63</v>
      </c>
      <c r="E189" s="256" t="s">
        <v>9</v>
      </c>
      <c r="F189" s="425">
        <f t="array" ref="F189">MAX((IF(MNU_CODIGO_ALIMENTO_ENTREGA=CONCATENATE($C189,"_","P_"),MNU_GRAMAJE_REQUERIDO_TIPOA,"")))</f>
        <v>30</v>
      </c>
      <c r="G189" s="257">
        <f t="shared" si="140"/>
        <v>111776</v>
      </c>
      <c r="H189" s="257">
        <f t="shared" si="141"/>
        <v>0</v>
      </c>
      <c r="I189" s="257">
        <f t="shared" si="142"/>
        <v>111776</v>
      </c>
      <c r="J189" s="258">
        <f t="shared" si="143"/>
        <v>37109632</v>
      </c>
      <c r="K189" s="258">
        <f t="shared" si="144"/>
        <v>0</v>
      </c>
      <c r="L189" s="258">
        <f t="shared" si="145"/>
        <v>37109632</v>
      </c>
      <c r="M189" s="426">
        <f t="array" ref="M189">MAX((IF(MNU_CODIGO_ALIMENTO_ENTREGA=CONCATENATE($C189,"_","P_"),MNU_GRAMAJE_REQUERIDO_TIPOB,"")))</f>
        <v>30</v>
      </c>
      <c r="N189" s="343">
        <f t="shared" si="146"/>
        <v>137360</v>
      </c>
      <c r="O189" s="343">
        <f t="shared" si="147"/>
        <v>0</v>
      </c>
      <c r="P189" s="343">
        <f t="shared" si="148"/>
        <v>137360</v>
      </c>
      <c r="Q189" s="344">
        <f t="shared" si="149"/>
        <v>45603520</v>
      </c>
      <c r="R189" s="344">
        <f t="shared" si="150"/>
        <v>0</v>
      </c>
      <c r="S189" s="344">
        <f t="shared" si="151"/>
        <v>45603520</v>
      </c>
      <c r="T189" s="348">
        <f t="array" ref="T189">MAX((IF(MNU_CODIGO_ALIMENTO_ENTREGA=CONCATENATE($C189,"_","P_"),MNU_GRAMAJE_REQUERIDO_TIPOC,"")))</f>
        <v>30</v>
      </c>
      <c r="U189" s="257">
        <f t="shared" si="152"/>
        <v>124800</v>
      </c>
      <c r="V189" s="257">
        <f t="shared" si="153"/>
        <v>0</v>
      </c>
      <c r="W189" s="257">
        <f t="shared" si="154"/>
        <v>124800</v>
      </c>
      <c r="X189" s="258">
        <f t="shared" si="155"/>
        <v>41433600</v>
      </c>
      <c r="Y189" s="258">
        <f t="shared" si="156"/>
        <v>0</v>
      </c>
      <c r="Z189" s="258">
        <f t="shared" si="157"/>
        <v>41433600</v>
      </c>
      <c r="AA189" s="256">
        <f t="array" ref="AA189">MAX((IF(MNU_CODIGO_ALIMENTO_ENTREGA=CONCATENATE($C189,"_","P_"),MNU_GRAMAJE_REQUERIDO_TIPOM,"")))</f>
        <v>30</v>
      </c>
      <c r="AB189" s="259">
        <f t="shared" si="158"/>
        <v>0</v>
      </c>
      <c r="AC189" s="259">
        <v>0</v>
      </c>
      <c r="AD189" s="259">
        <f t="shared" si="159"/>
        <v>0</v>
      </c>
      <c r="AE189" s="260">
        <f t="shared" si="160"/>
        <v>0</v>
      </c>
      <c r="AF189" s="260">
        <v>0</v>
      </c>
      <c r="AG189" s="260">
        <f t="shared" si="161"/>
        <v>0</v>
      </c>
      <c r="AH189" s="348">
        <f t="array" ref="AH189">MAX((IF(MNU_CODIGO_ALIMENTO_ENTREGA=CONCATENATE($C189,"_","P_"),MNU_GRAMAJE_REQUERIDO_TIPOH,"")))</f>
        <v>30</v>
      </c>
      <c r="AI189" s="257">
        <f t="shared" si="162"/>
        <v>0</v>
      </c>
      <c r="AJ189" s="257">
        <v>0</v>
      </c>
      <c r="AK189" s="257">
        <f t="shared" si="163"/>
        <v>0</v>
      </c>
      <c r="AL189" s="258">
        <f t="shared" si="164"/>
        <v>0</v>
      </c>
      <c r="AM189" s="258">
        <v>0</v>
      </c>
      <c r="AN189" s="258">
        <f t="shared" si="165"/>
        <v>0</v>
      </c>
      <c r="AO189" s="451">
        <f t="shared" si="166"/>
        <v>373936</v>
      </c>
      <c r="AP189" s="450">
        <f t="shared" si="167"/>
        <v>124146752</v>
      </c>
      <c r="AQ189" s="261" t="e">
        <f>#REF!+AH189+AA189+T189+M189</f>
        <v>#REF!</v>
      </c>
      <c r="AR189" s="261">
        <f t="shared" si="126"/>
        <v>124408912</v>
      </c>
      <c r="AS189" s="261" t="e">
        <f t="shared" si="127"/>
        <v>#REF!</v>
      </c>
      <c r="AT189" s="261">
        <f t="shared" si="128"/>
        <v>124671072</v>
      </c>
      <c r="AU189" s="261" t="e">
        <f t="shared" si="129"/>
        <v>#REF!</v>
      </c>
      <c r="AV189" s="261">
        <f t="shared" si="130"/>
        <v>124671072</v>
      </c>
      <c r="AW189" s="261" t="e">
        <f t="shared" si="131"/>
        <v>#REF!</v>
      </c>
      <c r="AX189" s="261" t="e">
        <f>AV189+#REF!+AH189+AA189+T189</f>
        <v>#REF!</v>
      </c>
      <c r="AY189" s="261" t="e">
        <f t="shared" si="132"/>
        <v>#REF!</v>
      </c>
      <c r="AZ189" s="261" t="e">
        <f t="shared" si="133"/>
        <v>#REF!</v>
      </c>
      <c r="BA189" s="261" t="e">
        <f t="shared" si="134"/>
        <v>#REF!</v>
      </c>
      <c r="BB189" s="261" t="e">
        <f t="shared" si="135"/>
        <v>#REF!</v>
      </c>
      <c r="BC189" s="261" t="e">
        <f t="shared" si="136"/>
        <v>#REF!</v>
      </c>
      <c r="BD189" s="261" t="e">
        <f t="shared" si="137"/>
        <v>#REF!</v>
      </c>
      <c r="BE189" s="261" t="e">
        <f>BC189+AV189+#REF!+AH189+AA189</f>
        <v>#REF!</v>
      </c>
      <c r="BF189" s="261" t="e">
        <f t="shared" si="138"/>
        <v>#REF!</v>
      </c>
      <c r="BG189" s="261" t="e">
        <f t="shared" si="139"/>
        <v>#REF!</v>
      </c>
    </row>
    <row r="190" spans="1:59" ht="15.75">
      <c r="A190" s="333">
        <v>15</v>
      </c>
      <c r="B190" s="333" t="s">
        <v>1607</v>
      </c>
      <c r="C190" s="256">
        <v>45</v>
      </c>
      <c r="D190" s="322" t="s">
        <v>10</v>
      </c>
      <c r="E190" s="256" t="s">
        <v>9</v>
      </c>
      <c r="F190" s="425">
        <f t="array" ref="F190">MAX((IF(MNU_CODIGO_ALIMENTO_ENTREGA=CONCATENATE($C190,"_","P_"),MNU_GRAMAJE_REQUERIDO_TIPOA,"")))</f>
        <v>20</v>
      </c>
      <c r="G190" s="257">
        <f t="shared" si="140"/>
        <v>111776</v>
      </c>
      <c r="H190" s="257">
        <f t="shared" si="141"/>
        <v>11120</v>
      </c>
      <c r="I190" s="257">
        <f t="shared" si="142"/>
        <v>122896</v>
      </c>
      <c r="J190" s="258">
        <f t="shared" si="143"/>
        <v>22243424</v>
      </c>
      <c r="K190" s="258">
        <f t="shared" si="144"/>
        <v>2212880</v>
      </c>
      <c r="L190" s="258">
        <f t="shared" si="145"/>
        <v>24456304</v>
      </c>
      <c r="M190" s="426">
        <f t="array" ref="M190">MAX((IF(MNU_CODIGO_ALIMENTO_ENTREGA=CONCATENATE($C190,"_","P_"),MNU_GRAMAJE_REQUERIDO_TIPOB,"")))</f>
        <v>30</v>
      </c>
      <c r="N190" s="343">
        <f t="shared" si="146"/>
        <v>137360</v>
      </c>
      <c r="O190" s="343">
        <f t="shared" si="147"/>
        <v>2060</v>
      </c>
      <c r="P190" s="343">
        <f t="shared" si="148"/>
        <v>139420</v>
      </c>
      <c r="Q190" s="344">
        <f t="shared" si="149"/>
        <v>40933280</v>
      </c>
      <c r="R190" s="344">
        <f t="shared" si="150"/>
        <v>613880</v>
      </c>
      <c r="S190" s="344">
        <f t="shared" si="151"/>
        <v>41547160</v>
      </c>
      <c r="T190" s="348">
        <f t="array" ref="T190">MAX((IF(MNU_CODIGO_ALIMENTO_ENTREGA=CONCATENATE($C190,"_","P_"),MNU_GRAMAJE_REQUERIDO_TIPOC,"")))</f>
        <v>60</v>
      </c>
      <c r="U190" s="257">
        <f t="shared" si="152"/>
        <v>124800</v>
      </c>
      <c r="V190" s="257">
        <f t="shared" si="153"/>
        <v>24280</v>
      </c>
      <c r="W190" s="257">
        <f t="shared" si="154"/>
        <v>149080</v>
      </c>
      <c r="X190" s="258">
        <f t="shared" si="155"/>
        <v>74505600</v>
      </c>
      <c r="Y190" s="258">
        <f t="shared" si="156"/>
        <v>14495160</v>
      </c>
      <c r="Z190" s="258">
        <f t="shared" si="157"/>
        <v>89000760</v>
      </c>
      <c r="AA190" s="256">
        <f t="array" ref="AA190">MAX((IF(MNU_CODIGO_ALIMENTO_ENTREGA=CONCATENATE($C190,"_","P_"),MNU_GRAMAJE_REQUERIDO_TIPOM,"")))</f>
        <v>30</v>
      </c>
      <c r="AB190" s="259">
        <f t="shared" si="158"/>
        <v>0</v>
      </c>
      <c r="AC190" s="259">
        <v>0</v>
      </c>
      <c r="AD190" s="259">
        <f t="shared" si="159"/>
        <v>0</v>
      </c>
      <c r="AE190" s="260">
        <f t="shared" si="160"/>
        <v>0</v>
      </c>
      <c r="AF190" s="260">
        <v>0</v>
      </c>
      <c r="AG190" s="260">
        <f t="shared" si="161"/>
        <v>0</v>
      </c>
      <c r="AH190" s="348">
        <f t="array" ref="AH190">MAX((IF(MNU_CODIGO_ALIMENTO_ENTREGA=CONCATENATE($C190,"_","P_"),MNU_GRAMAJE_REQUERIDO_TIPOH,"")))</f>
        <v>60</v>
      </c>
      <c r="AI190" s="257">
        <f t="shared" si="162"/>
        <v>0</v>
      </c>
      <c r="AJ190" s="257">
        <v>0</v>
      </c>
      <c r="AK190" s="257">
        <f t="shared" si="163"/>
        <v>0</v>
      </c>
      <c r="AL190" s="258">
        <f t="shared" si="164"/>
        <v>0</v>
      </c>
      <c r="AM190" s="258">
        <v>0</v>
      </c>
      <c r="AN190" s="258">
        <f t="shared" si="165"/>
        <v>0</v>
      </c>
      <c r="AO190" s="451">
        <f t="shared" si="166"/>
        <v>411396</v>
      </c>
      <c r="AP190" s="450">
        <f t="shared" si="167"/>
        <v>155004224</v>
      </c>
      <c r="AQ190" s="261" t="e">
        <f>#REF!+AH190+AA190+T190+M190</f>
        <v>#REF!</v>
      </c>
      <c r="AR190" s="261">
        <f t="shared" si="126"/>
        <v>155266384</v>
      </c>
      <c r="AS190" s="261" t="e">
        <f t="shared" si="127"/>
        <v>#REF!</v>
      </c>
      <c r="AT190" s="261">
        <f t="shared" si="128"/>
        <v>155554884</v>
      </c>
      <c r="AU190" s="261" t="e">
        <f t="shared" si="129"/>
        <v>#REF!</v>
      </c>
      <c r="AV190" s="261">
        <f t="shared" si="130"/>
        <v>170663924</v>
      </c>
      <c r="AW190" s="261" t="e">
        <f t="shared" si="131"/>
        <v>#REF!</v>
      </c>
      <c r="AX190" s="261" t="e">
        <f>AV190+#REF!+AH190+AA190+T190</f>
        <v>#REF!</v>
      </c>
      <c r="AY190" s="261" t="e">
        <f t="shared" si="132"/>
        <v>#REF!</v>
      </c>
      <c r="AZ190" s="261" t="e">
        <f t="shared" si="133"/>
        <v>#REF!</v>
      </c>
      <c r="BA190" s="261" t="e">
        <f t="shared" si="134"/>
        <v>#REF!</v>
      </c>
      <c r="BB190" s="261" t="e">
        <f t="shared" si="135"/>
        <v>#REF!</v>
      </c>
      <c r="BC190" s="261" t="e">
        <f t="shared" si="136"/>
        <v>#REF!</v>
      </c>
      <c r="BD190" s="261" t="e">
        <f t="shared" si="137"/>
        <v>#REF!</v>
      </c>
      <c r="BE190" s="261" t="e">
        <f>BC190+AV190+#REF!+AH190+AA190</f>
        <v>#REF!</v>
      </c>
      <c r="BF190" s="261" t="e">
        <f t="shared" si="138"/>
        <v>#REF!</v>
      </c>
      <c r="BG190" s="261" t="e">
        <f t="shared" si="139"/>
        <v>#REF!</v>
      </c>
    </row>
    <row r="191" spans="1:59" ht="15.75">
      <c r="A191" s="333">
        <v>15</v>
      </c>
      <c r="B191" s="333" t="s">
        <v>1607</v>
      </c>
      <c r="C191" s="256">
        <v>50</v>
      </c>
      <c r="D191" s="322" t="s">
        <v>65</v>
      </c>
      <c r="E191" s="256" t="s">
        <v>9</v>
      </c>
      <c r="F191" s="425">
        <f t="array" ref="F191">MAX((IF(MNU_CODIGO_ALIMENTO_ENTREGA=CONCATENATE($C191,"_","P_"),MNU_GRAMAJE_REQUERIDO_TIPOA,"")))</f>
        <v>30</v>
      </c>
      <c r="G191" s="257">
        <f t="shared" si="140"/>
        <v>118762</v>
      </c>
      <c r="H191" s="257">
        <f t="shared" si="141"/>
        <v>0</v>
      </c>
      <c r="I191" s="257">
        <f t="shared" si="142"/>
        <v>118762</v>
      </c>
      <c r="J191" s="258">
        <f t="shared" si="143"/>
        <v>38122602</v>
      </c>
      <c r="K191" s="258">
        <f t="shared" si="144"/>
        <v>0</v>
      </c>
      <c r="L191" s="258">
        <f t="shared" si="145"/>
        <v>38122602</v>
      </c>
      <c r="M191" s="426">
        <f t="array" ref="M191">MAX((IF(MNU_CODIGO_ALIMENTO_ENTREGA=CONCATENATE($C191,"_","P_"),MNU_GRAMAJE_REQUERIDO_TIPOB,"")))</f>
        <v>40</v>
      </c>
      <c r="N191" s="343">
        <f t="shared" si="146"/>
        <v>145945</v>
      </c>
      <c r="O191" s="343">
        <f t="shared" si="147"/>
        <v>0</v>
      </c>
      <c r="P191" s="343">
        <f t="shared" si="148"/>
        <v>145945</v>
      </c>
      <c r="Q191" s="344">
        <f t="shared" si="149"/>
        <v>62464460</v>
      </c>
      <c r="R191" s="344">
        <f t="shared" si="150"/>
        <v>0</v>
      </c>
      <c r="S191" s="344">
        <f t="shared" si="151"/>
        <v>62464460</v>
      </c>
      <c r="T191" s="348">
        <f t="array" ref="T191">MAX((IF(MNU_CODIGO_ALIMENTO_ENTREGA=CONCATENATE($C191,"_","P_"),MNU_GRAMAJE_REQUERIDO_TIPOC,"")))</f>
        <v>80</v>
      </c>
      <c r="U191" s="257">
        <f t="shared" si="152"/>
        <v>132600</v>
      </c>
      <c r="V191" s="257">
        <f t="shared" si="153"/>
        <v>0</v>
      </c>
      <c r="W191" s="257">
        <f t="shared" si="154"/>
        <v>132600</v>
      </c>
      <c r="X191" s="258">
        <f t="shared" si="155"/>
        <v>113373000</v>
      </c>
      <c r="Y191" s="258">
        <f t="shared" si="156"/>
        <v>0</v>
      </c>
      <c r="Z191" s="258">
        <f t="shared" si="157"/>
        <v>113373000</v>
      </c>
      <c r="AA191" s="256">
        <f t="array" ref="AA191">MAX((IF(MNU_CODIGO_ALIMENTO_ENTREGA=CONCATENATE($C191,"_","P_"),MNU_GRAMAJE_REQUERIDO_TIPOM,"")))</f>
        <v>40</v>
      </c>
      <c r="AB191" s="259">
        <f t="shared" si="158"/>
        <v>0</v>
      </c>
      <c r="AC191" s="259">
        <v>0</v>
      </c>
      <c r="AD191" s="259">
        <f t="shared" si="159"/>
        <v>0</v>
      </c>
      <c r="AE191" s="260">
        <f t="shared" si="160"/>
        <v>0</v>
      </c>
      <c r="AF191" s="260">
        <v>0</v>
      </c>
      <c r="AG191" s="260">
        <f t="shared" si="161"/>
        <v>0</v>
      </c>
      <c r="AH191" s="348">
        <f t="array" ref="AH191">MAX((IF(MNU_CODIGO_ALIMENTO_ENTREGA=CONCATENATE($C191,"_","P_"),MNU_GRAMAJE_REQUERIDO_TIPOH,"")))</f>
        <v>80</v>
      </c>
      <c r="AI191" s="257">
        <f t="shared" si="162"/>
        <v>0</v>
      </c>
      <c r="AJ191" s="257">
        <v>0</v>
      </c>
      <c r="AK191" s="257">
        <f t="shared" si="163"/>
        <v>0</v>
      </c>
      <c r="AL191" s="258">
        <f t="shared" si="164"/>
        <v>0</v>
      </c>
      <c r="AM191" s="258">
        <v>0</v>
      </c>
      <c r="AN191" s="258">
        <f t="shared" si="165"/>
        <v>0</v>
      </c>
      <c r="AO191" s="451">
        <f t="shared" si="166"/>
        <v>397307</v>
      </c>
      <c r="AP191" s="450">
        <f t="shared" si="167"/>
        <v>213960062</v>
      </c>
      <c r="AQ191" s="261" t="e">
        <f>#REF!+AH191+AA191+T191+M191</f>
        <v>#REF!</v>
      </c>
      <c r="AR191" s="261">
        <f t="shared" si="126"/>
        <v>214238607</v>
      </c>
      <c r="AS191" s="261" t="e">
        <f t="shared" si="127"/>
        <v>#REF!</v>
      </c>
      <c r="AT191" s="261">
        <f t="shared" si="128"/>
        <v>214517152</v>
      </c>
      <c r="AU191" s="261" t="e">
        <f t="shared" si="129"/>
        <v>#REF!</v>
      </c>
      <c r="AV191" s="261">
        <f t="shared" si="130"/>
        <v>214517152</v>
      </c>
      <c r="AW191" s="261" t="e">
        <f t="shared" si="131"/>
        <v>#REF!</v>
      </c>
      <c r="AX191" s="261" t="e">
        <f>AV191+#REF!+AH191+AA191+T191</f>
        <v>#REF!</v>
      </c>
      <c r="AY191" s="261" t="e">
        <f t="shared" si="132"/>
        <v>#REF!</v>
      </c>
      <c r="AZ191" s="261" t="e">
        <f t="shared" si="133"/>
        <v>#REF!</v>
      </c>
      <c r="BA191" s="261" t="e">
        <f t="shared" si="134"/>
        <v>#REF!</v>
      </c>
      <c r="BB191" s="261" t="e">
        <f t="shared" si="135"/>
        <v>#REF!</v>
      </c>
      <c r="BC191" s="261" t="e">
        <f t="shared" si="136"/>
        <v>#REF!</v>
      </c>
      <c r="BD191" s="261" t="e">
        <f t="shared" si="137"/>
        <v>#REF!</v>
      </c>
      <c r="BE191" s="261" t="e">
        <f>BC191+AV191+#REF!+AH191+AA191</f>
        <v>#REF!</v>
      </c>
      <c r="BF191" s="261" t="e">
        <f t="shared" si="138"/>
        <v>#REF!</v>
      </c>
      <c r="BG191" s="261" t="e">
        <f t="shared" si="139"/>
        <v>#REF!</v>
      </c>
    </row>
    <row r="192" spans="1:59" ht="15.75">
      <c r="A192" s="333">
        <v>15</v>
      </c>
      <c r="B192" s="333" t="s">
        <v>1607</v>
      </c>
      <c r="C192" s="256">
        <v>61</v>
      </c>
      <c r="D192" s="322" t="s">
        <v>13</v>
      </c>
      <c r="E192" s="256" t="s">
        <v>9</v>
      </c>
      <c r="F192" s="425">
        <f t="array" ref="F192">MAX((IF(MNU_CODIGO_ALIMENTO_ENTREGA=CONCATENATE($C192,"_","P_"),MNU_GRAMAJE_REQUERIDO_TIPOA,"")))</f>
        <v>20</v>
      </c>
      <c r="G192" s="257">
        <f t="shared" si="140"/>
        <v>111776</v>
      </c>
      <c r="H192" s="257">
        <f t="shared" si="141"/>
        <v>11120</v>
      </c>
      <c r="I192" s="257">
        <f t="shared" si="142"/>
        <v>122896</v>
      </c>
      <c r="J192" s="258">
        <f t="shared" si="143"/>
        <v>26043808</v>
      </c>
      <c r="K192" s="258">
        <f t="shared" si="144"/>
        <v>2590960</v>
      </c>
      <c r="L192" s="258">
        <f t="shared" si="145"/>
        <v>28634768</v>
      </c>
      <c r="M192" s="426">
        <f t="array" ref="M192">MAX((IF(MNU_CODIGO_ALIMENTO_ENTREGA=CONCATENATE($C192,"_","P_"),MNU_GRAMAJE_REQUERIDO_TIPOB,"")))</f>
        <v>30</v>
      </c>
      <c r="N192" s="343">
        <f t="shared" si="146"/>
        <v>137360</v>
      </c>
      <c r="O192" s="343">
        <f t="shared" si="147"/>
        <v>2060</v>
      </c>
      <c r="P192" s="343">
        <f t="shared" si="148"/>
        <v>139420</v>
      </c>
      <c r="Q192" s="344">
        <f t="shared" si="149"/>
        <v>48213360</v>
      </c>
      <c r="R192" s="344">
        <f t="shared" si="150"/>
        <v>723060</v>
      </c>
      <c r="S192" s="344">
        <f t="shared" si="151"/>
        <v>48936420</v>
      </c>
      <c r="T192" s="348">
        <f t="array" ref="T192">MAX((IF(MNU_CODIGO_ALIMENTO_ENTREGA=CONCATENATE($C192,"_","P_"),MNU_GRAMAJE_REQUERIDO_TIPOC,"")))</f>
        <v>70</v>
      </c>
      <c r="U192" s="257">
        <f t="shared" si="152"/>
        <v>124800</v>
      </c>
      <c r="V192" s="257">
        <f t="shared" si="153"/>
        <v>24280</v>
      </c>
      <c r="W192" s="257">
        <f t="shared" si="154"/>
        <v>149080</v>
      </c>
      <c r="X192" s="258">
        <f t="shared" si="155"/>
        <v>102086400</v>
      </c>
      <c r="Y192" s="258">
        <f t="shared" si="156"/>
        <v>19861040</v>
      </c>
      <c r="Z192" s="258">
        <f t="shared" si="157"/>
        <v>121947440</v>
      </c>
      <c r="AA192" s="256">
        <f t="array" ref="AA192">MAX((IF(MNU_CODIGO_ALIMENTO_ENTREGA=CONCATENATE($C192,"_","P_"),MNU_GRAMAJE_REQUERIDO_TIPOM,"")))</f>
        <v>30</v>
      </c>
      <c r="AB192" s="259">
        <f t="shared" si="158"/>
        <v>0</v>
      </c>
      <c r="AC192" s="259">
        <v>0</v>
      </c>
      <c r="AD192" s="259">
        <f t="shared" si="159"/>
        <v>0</v>
      </c>
      <c r="AE192" s="260">
        <f t="shared" si="160"/>
        <v>0</v>
      </c>
      <c r="AF192" s="260">
        <v>0</v>
      </c>
      <c r="AG192" s="260">
        <f t="shared" si="161"/>
        <v>0</v>
      </c>
      <c r="AH192" s="348">
        <f t="array" ref="AH192">MAX((IF(MNU_CODIGO_ALIMENTO_ENTREGA=CONCATENATE($C192,"_","P_"),MNU_GRAMAJE_REQUERIDO_TIPOH,"")))</f>
        <v>70</v>
      </c>
      <c r="AI192" s="257">
        <f t="shared" si="162"/>
        <v>0</v>
      </c>
      <c r="AJ192" s="257">
        <v>0</v>
      </c>
      <c r="AK192" s="257">
        <f t="shared" si="163"/>
        <v>0</v>
      </c>
      <c r="AL192" s="258">
        <f t="shared" si="164"/>
        <v>0</v>
      </c>
      <c r="AM192" s="258">
        <v>0</v>
      </c>
      <c r="AN192" s="258">
        <f t="shared" si="165"/>
        <v>0</v>
      </c>
      <c r="AO192" s="451">
        <f t="shared" si="166"/>
        <v>411396</v>
      </c>
      <c r="AP192" s="450">
        <f t="shared" si="167"/>
        <v>199518628</v>
      </c>
      <c r="AQ192" s="261" t="e">
        <f>#REF!+AH192+AA192+T192+M192</f>
        <v>#REF!</v>
      </c>
      <c r="AR192" s="261">
        <f t="shared" si="126"/>
        <v>199780788</v>
      </c>
      <c r="AS192" s="261" t="e">
        <f t="shared" si="127"/>
        <v>#REF!</v>
      </c>
      <c r="AT192" s="261">
        <f t="shared" si="128"/>
        <v>200069288</v>
      </c>
      <c r="AU192" s="261" t="e">
        <f t="shared" si="129"/>
        <v>#REF!</v>
      </c>
      <c r="AV192" s="261">
        <f t="shared" si="130"/>
        <v>220653388</v>
      </c>
      <c r="AW192" s="261" t="e">
        <f t="shared" si="131"/>
        <v>#REF!</v>
      </c>
      <c r="AX192" s="261" t="e">
        <f>AV192+#REF!+AH192+AA192+T192</f>
        <v>#REF!</v>
      </c>
      <c r="AY192" s="261" t="e">
        <f t="shared" si="132"/>
        <v>#REF!</v>
      </c>
      <c r="AZ192" s="261" t="e">
        <f t="shared" si="133"/>
        <v>#REF!</v>
      </c>
      <c r="BA192" s="261" t="e">
        <f t="shared" si="134"/>
        <v>#REF!</v>
      </c>
      <c r="BB192" s="261" t="e">
        <f t="shared" si="135"/>
        <v>#REF!</v>
      </c>
      <c r="BC192" s="261" t="e">
        <f t="shared" si="136"/>
        <v>#REF!</v>
      </c>
      <c r="BD192" s="261" t="e">
        <f t="shared" si="137"/>
        <v>#REF!</v>
      </c>
      <c r="BE192" s="261" t="e">
        <f>BC192+AV192+#REF!+AH192+AA192</f>
        <v>#REF!</v>
      </c>
      <c r="BF192" s="261" t="e">
        <f t="shared" si="138"/>
        <v>#REF!</v>
      </c>
      <c r="BG192" s="261" t="e">
        <f t="shared" si="139"/>
        <v>#REF!</v>
      </c>
    </row>
    <row r="193" spans="1:59" ht="15.75">
      <c r="A193" s="333">
        <v>15</v>
      </c>
      <c r="B193" s="333" t="s">
        <v>1607</v>
      </c>
      <c r="C193" s="256">
        <v>62</v>
      </c>
      <c r="D193" s="322" t="s">
        <v>68</v>
      </c>
      <c r="E193" s="256" t="s">
        <v>9</v>
      </c>
      <c r="F193" s="425">
        <f t="array" ref="F193">MAX((IF(MNU_CODIGO_ALIMENTO_ENTREGA=CONCATENATE($C193,"_","P_"),MNU_GRAMAJE_REQUERIDO_TIPOA,"")))</f>
        <v>50</v>
      </c>
      <c r="G193" s="257">
        <f t="shared" si="140"/>
        <v>34930</v>
      </c>
      <c r="H193" s="257">
        <f t="shared" si="141"/>
        <v>0</v>
      </c>
      <c r="I193" s="257">
        <f t="shared" si="142"/>
        <v>34930</v>
      </c>
      <c r="J193" s="258">
        <f t="shared" si="143"/>
        <v>21831250</v>
      </c>
      <c r="K193" s="258">
        <f t="shared" si="144"/>
        <v>0</v>
      </c>
      <c r="L193" s="258">
        <f t="shared" si="145"/>
        <v>21831250</v>
      </c>
      <c r="M193" s="426">
        <f t="array" ref="M193">MAX((IF(MNU_CODIGO_ALIMENTO_ENTREGA=CONCATENATE($C193,"_","P_"),MNU_GRAMAJE_REQUERIDO_TIPOB,"")))</f>
        <v>50</v>
      </c>
      <c r="N193" s="343">
        <f t="shared" si="146"/>
        <v>42925</v>
      </c>
      <c r="O193" s="343">
        <f t="shared" si="147"/>
        <v>0</v>
      </c>
      <c r="P193" s="343">
        <f t="shared" si="148"/>
        <v>42925</v>
      </c>
      <c r="Q193" s="344">
        <f t="shared" si="149"/>
        <v>26828125</v>
      </c>
      <c r="R193" s="344">
        <f t="shared" si="150"/>
        <v>0</v>
      </c>
      <c r="S193" s="344">
        <f t="shared" si="151"/>
        <v>26828125</v>
      </c>
      <c r="T193" s="348">
        <f t="array" ref="T193">MAX((IF(MNU_CODIGO_ALIMENTO_ENTREGA=CONCATENATE($C193,"_","P_"),MNU_GRAMAJE_REQUERIDO_TIPOC,"")))</f>
        <v>50</v>
      </c>
      <c r="U193" s="257">
        <f t="shared" si="152"/>
        <v>39000</v>
      </c>
      <c r="V193" s="257">
        <f t="shared" si="153"/>
        <v>0</v>
      </c>
      <c r="W193" s="257">
        <f t="shared" si="154"/>
        <v>39000</v>
      </c>
      <c r="X193" s="258">
        <f t="shared" si="155"/>
        <v>24375000</v>
      </c>
      <c r="Y193" s="258">
        <f t="shared" si="156"/>
        <v>0</v>
      </c>
      <c r="Z193" s="258">
        <f t="shared" si="157"/>
        <v>24375000</v>
      </c>
      <c r="AA193" s="256">
        <f t="array" ref="AA193">MAX((IF(MNU_CODIGO_ALIMENTO_ENTREGA=CONCATENATE($C193,"_","P_"),MNU_GRAMAJE_REQUERIDO_TIPOM,"")))</f>
        <v>50</v>
      </c>
      <c r="AB193" s="259">
        <f t="shared" si="158"/>
        <v>0</v>
      </c>
      <c r="AC193" s="259">
        <v>0</v>
      </c>
      <c r="AD193" s="259">
        <f t="shared" si="159"/>
        <v>0</v>
      </c>
      <c r="AE193" s="260">
        <f t="shared" si="160"/>
        <v>0</v>
      </c>
      <c r="AF193" s="260">
        <v>0</v>
      </c>
      <c r="AG193" s="260">
        <f t="shared" si="161"/>
        <v>0</v>
      </c>
      <c r="AH193" s="348">
        <f t="array" ref="AH193">MAX((IF(MNU_CODIGO_ALIMENTO_ENTREGA=CONCATENATE($C193,"_","P_"),MNU_GRAMAJE_REQUERIDO_TIPOH,"")))</f>
        <v>50</v>
      </c>
      <c r="AI193" s="257">
        <f t="shared" si="162"/>
        <v>0</v>
      </c>
      <c r="AJ193" s="257">
        <v>0</v>
      </c>
      <c r="AK193" s="257">
        <f t="shared" si="163"/>
        <v>0</v>
      </c>
      <c r="AL193" s="258">
        <f t="shared" si="164"/>
        <v>0</v>
      </c>
      <c r="AM193" s="258">
        <v>0</v>
      </c>
      <c r="AN193" s="258">
        <f t="shared" si="165"/>
        <v>0</v>
      </c>
      <c r="AO193" s="451">
        <f t="shared" si="166"/>
        <v>116855</v>
      </c>
      <c r="AP193" s="450">
        <f t="shared" si="167"/>
        <v>73034375</v>
      </c>
      <c r="AQ193" s="261" t="e">
        <f>#REF!+AH193+AA193+T193+M193</f>
        <v>#REF!</v>
      </c>
      <c r="AR193" s="261">
        <f t="shared" si="126"/>
        <v>73116300</v>
      </c>
      <c r="AS193" s="261" t="e">
        <f t="shared" si="127"/>
        <v>#REF!</v>
      </c>
      <c r="AT193" s="261">
        <f t="shared" si="128"/>
        <v>73198225</v>
      </c>
      <c r="AU193" s="261" t="e">
        <f t="shared" si="129"/>
        <v>#REF!</v>
      </c>
      <c r="AV193" s="261">
        <f t="shared" si="130"/>
        <v>73198225</v>
      </c>
      <c r="AW193" s="261" t="e">
        <f t="shared" si="131"/>
        <v>#REF!</v>
      </c>
      <c r="AX193" s="261" t="e">
        <f>AV193+#REF!+AH193+AA193+T193</f>
        <v>#REF!</v>
      </c>
      <c r="AY193" s="261" t="e">
        <f t="shared" si="132"/>
        <v>#REF!</v>
      </c>
      <c r="AZ193" s="261" t="e">
        <f t="shared" si="133"/>
        <v>#REF!</v>
      </c>
      <c r="BA193" s="261" t="e">
        <f t="shared" si="134"/>
        <v>#REF!</v>
      </c>
      <c r="BB193" s="261" t="e">
        <f t="shared" si="135"/>
        <v>#REF!</v>
      </c>
      <c r="BC193" s="261" t="e">
        <f t="shared" si="136"/>
        <v>#REF!</v>
      </c>
      <c r="BD193" s="261" t="e">
        <f t="shared" si="137"/>
        <v>#REF!</v>
      </c>
      <c r="BE193" s="261" t="e">
        <f>BC193+AV193+#REF!+AH193+AA193</f>
        <v>#REF!</v>
      </c>
      <c r="BF193" s="261" t="e">
        <f t="shared" si="138"/>
        <v>#REF!</v>
      </c>
      <c r="BG193" s="261" t="e">
        <f t="shared" si="139"/>
        <v>#REF!</v>
      </c>
    </row>
    <row r="194" spans="1:59" ht="15.75">
      <c r="A194" s="333">
        <v>16</v>
      </c>
      <c r="B194" s="333" t="s">
        <v>1607</v>
      </c>
      <c r="C194" s="256">
        <v>1</v>
      </c>
      <c r="D194" s="322" t="s">
        <v>16</v>
      </c>
      <c r="E194" s="256" t="s">
        <v>9</v>
      </c>
      <c r="F194" s="425">
        <f t="array" ref="F194">MAX((IF(MNU_CODIGO_ALIMENTO_ENTREGA=CONCATENATE($C194,"_","P_"),MNU_GRAMAJE_REQUERIDO_TIPOA,"")))</f>
        <v>30</v>
      </c>
      <c r="G194" s="257">
        <f t="shared" si="140"/>
        <v>72105</v>
      </c>
      <c r="H194" s="257">
        <f t="shared" si="141"/>
        <v>0</v>
      </c>
      <c r="I194" s="257">
        <f t="shared" si="142"/>
        <v>72105</v>
      </c>
      <c r="J194" s="258">
        <f t="shared" si="143"/>
        <v>58260840</v>
      </c>
      <c r="K194" s="258">
        <f t="shared" si="144"/>
        <v>0</v>
      </c>
      <c r="L194" s="258">
        <f t="shared" si="145"/>
        <v>58260840</v>
      </c>
      <c r="M194" s="426">
        <f t="array" ref="M194">MAX((IF(MNU_CODIGO_ALIMENTO_ENTREGA=CONCATENATE($C194,"_","P_"),MNU_GRAMAJE_REQUERIDO_TIPOB,"")))</f>
        <v>40</v>
      </c>
      <c r="N194" s="343">
        <f t="shared" si="146"/>
        <v>102030</v>
      </c>
      <c r="O194" s="343">
        <f t="shared" si="147"/>
        <v>0</v>
      </c>
      <c r="P194" s="343">
        <f t="shared" si="148"/>
        <v>102030</v>
      </c>
      <c r="Q194" s="344">
        <f t="shared" si="149"/>
        <v>109988340</v>
      </c>
      <c r="R194" s="344">
        <f t="shared" si="150"/>
        <v>0</v>
      </c>
      <c r="S194" s="344">
        <f t="shared" si="151"/>
        <v>109988340</v>
      </c>
      <c r="T194" s="348">
        <f t="array" ref="T194">MAX((IF(MNU_CODIGO_ALIMENTO_ENTREGA=CONCATENATE($C194,"_","P_"),MNU_GRAMAJE_REQUERIDO_TIPOC,"")))</f>
        <v>60</v>
      </c>
      <c r="U194" s="257">
        <f t="shared" si="152"/>
        <v>101985</v>
      </c>
      <c r="V194" s="257">
        <f t="shared" si="153"/>
        <v>0</v>
      </c>
      <c r="W194" s="257">
        <f t="shared" si="154"/>
        <v>101985</v>
      </c>
      <c r="X194" s="258">
        <f t="shared" si="155"/>
        <v>164807760</v>
      </c>
      <c r="Y194" s="258">
        <f t="shared" si="156"/>
        <v>0</v>
      </c>
      <c r="Z194" s="258">
        <f t="shared" si="157"/>
        <v>164807760</v>
      </c>
      <c r="AA194" s="256">
        <f t="array" ref="AA194">MAX((IF(MNU_CODIGO_ALIMENTO_ENTREGA=CONCATENATE($C194,"_","P_"),MNU_GRAMAJE_REQUERIDO_TIPOM,"")))</f>
        <v>40</v>
      </c>
      <c r="AB194" s="259">
        <f t="shared" si="158"/>
        <v>5505</v>
      </c>
      <c r="AC194" s="259">
        <v>0</v>
      </c>
      <c r="AD194" s="259">
        <f t="shared" si="159"/>
        <v>5505</v>
      </c>
      <c r="AE194" s="260">
        <f t="shared" si="160"/>
        <v>5934390</v>
      </c>
      <c r="AF194" s="260">
        <v>0</v>
      </c>
      <c r="AG194" s="260">
        <f t="shared" si="161"/>
        <v>5934390</v>
      </c>
      <c r="AH194" s="348">
        <f t="array" ref="AH194">MAX((IF(MNU_CODIGO_ALIMENTO_ENTREGA=CONCATENATE($C194,"_","P_"),MNU_GRAMAJE_REQUERIDO_TIPOH,"")))</f>
        <v>60</v>
      </c>
      <c r="AI194" s="257">
        <f t="shared" si="162"/>
        <v>6030</v>
      </c>
      <c r="AJ194" s="257">
        <v>0</v>
      </c>
      <c r="AK194" s="257">
        <f t="shared" si="163"/>
        <v>6030</v>
      </c>
      <c r="AL194" s="258">
        <f t="shared" si="164"/>
        <v>9744480</v>
      </c>
      <c r="AM194" s="258">
        <v>0</v>
      </c>
      <c r="AN194" s="258">
        <f t="shared" si="165"/>
        <v>9744480</v>
      </c>
      <c r="AO194" s="451">
        <f t="shared" si="166"/>
        <v>287655</v>
      </c>
      <c r="AP194" s="450">
        <f t="shared" si="167"/>
        <v>348735810</v>
      </c>
      <c r="AQ194" s="261" t="e">
        <f>#REF!+AH194+AA194+T194+M194</f>
        <v>#REF!</v>
      </c>
      <c r="AR194" s="261">
        <f t="shared" si="126"/>
        <v>348951360</v>
      </c>
      <c r="AS194" s="261" t="e">
        <f t="shared" si="127"/>
        <v>#REF!</v>
      </c>
      <c r="AT194" s="261">
        <f t="shared" si="128"/>
        <v>349166910</v>
      </c>
      <c r="AU194" s="261" t="e">
        <f t="shared" si="129"/>
        <v>#REF!</v>
      </c>
      <c r="AV194" s="261">
        <f t="shared" si="130"/>
        <v>349166910</v>
      </c>
      <c r="AW194" s="261" t="e">
        <f t="shared" si="131"/>
        <v>#REF!</v>
      </c>
      <c r="AX194" s="261" t="e">
        <f>AV194+#REF!+AH194+AA194+T194</f>
        <v>#REF!</v>
      </c>
      <c r="AY194" s="261" t="e">
        <f t="shared" si="132"/>
        <v>#REF!</v>
      </c>
      <c r="AZ194" s="261" t="e">
        <f t="shared" si="133"/>
        <v>#REF!</v>
      </c>
      <c r="BA194" s="261" t="e">
        <f t="shared" si="134"/>
        <v>#REF!</v>
      </c>
      <c r="BB194" s="261" t="e">
        <f t="shared" si="135"/>
        <v>#REF!</v>
      </c>
      <c r="BC194" s="261" t="e">
        <f t="shared" si="136"/>
        <v>#REF!</v>
      </c>
      <c r="BD194" s="261" t="e">
        <f t="shared" si="137"/>
        <v>#REF!</v>
      </c>
      <c r="BE194" s="261" t="e">
        <f>BC194+AV194+#REF!+AH194+AA194</f>
        <v>#REF!</v>
      </c>
      <c r="BF194" s="261" t="e">
        <f t="shared" si="138"/>
        <v>#REF!</v>
      </c>
      <c r="BG194" s="261" t="e">
        <f t="shared" si="139"/>
        <v>#REF!</v>
      </c>
    </row>
    <row r="195" spans="1:59" ht="15.75">
      <c r="A195" s="333">
        <v>16</v>
      </c>
      <c r="B195" s="333" t="s">
        <v>1607</v>
      </c>
      <c r="C195" s="256">
        <v>3</v>
      </c>
      <c r="D195" s="322" t="s">
        <v>12</v>
      </c>
      <c r="E195" s="256" t="s">
        <v>9</v>
      </c>
      <c r="F195" s="425">
        <f t="array" ref="F195">MAX((IF(MNU_CODIGO_ALIMENTO_ENTREGA=CONCATENATE($C195,"_","P_"),MNU_GRAMAJE_REQUERIDO_TIPOA,"")))</f>
        <v>50</v>
      </c>
      <c r="G195" s="257">
        <f t="shared" si="140"/>
        <v>81719</v>
      </c>
      <c r="H195" s="257">
        <f t="shared" si="141"/>
        <v>17613</v>
      </c>
      <c r="I195" s="257">
        <f t="shared" si="142"/>
        <v>99332</v>
      </c>
      <c r="J195" s="258">
        <f t="shared" si="143"/>
        <v>41268095</v>
      </c>
      <c r="K195" s="258">
        <f t="shared" si="144"/>
        <v>8894565</v>
      </c>
      <c r="L195" s="258">
        <f t="shared" si="145"/>
        <v>50162660</v>
      </c>
      <c r="M195" s="426">
        <f t="array" ref="M195">MAX((IF(MNU_CODIGO_ALIMENTO_ENTREGA=CONCATENATE($C195,"_","P_"),MNU_GRAMAJE_REQUERIDO_TIPOB,"")))</f>
        <v>50</v>
      </c>
      <c r="N195" s="343">
        <f t="shared" si="146"/>
        <v>115634</v>
      </c>
      <c r="O195" s="343">
        <f t="shared" si="147"/>
        <v>31141</v>
      </c>
      <c r="P195" s="343">
        <f t="shared" si="148"/>
        <v>146775</v>
      </c>
      <c r="Q195" s="344">
        <f t="shared" si="149"/>
        <v>58395170</v>
      </c>
      <c r="R195" s="344">
        <f t="shared" si="150"/>
        <v>15726205</v>
      </c>
      <c r="S195" s="344">
        <f t="shared" si="151"/>
        <v>74121375</v>
      </c>
      <c r="T195" s="348">
        <f t="array" ref="T195">MAX((IF(MNU_CODIGO_ALIMENTO_ENTREGA=CONCATENATE($C195,"_","P_"),MNU_GRAMAJE_REQUERIDO_TIPOC,"")))</f>
        <v>80</v>
      </c>
      <c r="U195" s="257">
        <f t="shared" si="152"/>
        <v>115583</v>
      </c>
      <c r="V195" s="257">
        <f t="shared" si="153"/>
        <v>40242</v>
      </c>
      <c r="W195" s="257">
        <f t="shared" si="154"/>
        <v>155825</v>
      </c>
      <c r="X195" s="258">
        <f t="shared" si="155"/>
        <v>88189829</v>
      </c>
      <c r="Y195" s="258">
        <f t="shared" si="156"/>
        <v>30704646</v>
      </c>
      <c r="Z195" s="258">
        <f t="shared" si="157"/>
        <v>118894475</v>
      </c>
      <c r="AA195" s="256">
        <f t="array" ref="AA195">MAX((IF(MNU_CODIGO_ALIMENTO_ENTREGA=CONCATENATE($C195,"_","P_"),MNU_GRAMAJE_REQUERIDO_TIPOM,"")))</f>
        <v>50</v>
      </c>
      <c r="AB195" s="259">
        <f t="shared" si="158"/>
        <v>6239</v>
      </c>
      <c r="AC195" s="259">
        <v>0</v>
      </c>
      <c r="AD195" s="259">
        <f t="shared" si="159"/>
        <v>6239</v>
      </c>
      <c r="AE195" s="260">
        <f t="shared" si="160"/>
        <v>3150695</v>
      </c>
      <c r="AF195" s="260">
        <v>0</v>
      </c>
      <c r="AG195" s="260">
        <f t="shared" si="161"/>
        <v>3150695</v>
      </c>
      <c r="AH195" s="348">
        <f t="array" ref="AH195">MAX((IF(MNU_CODIGO_ALIMENTO_ENTREGA=CONCATENATE($C195,"_","P_"),MNU_GRAMAJE_REQUERIDO_TIPOH,"")))</f>
        <v>80</v>
      </c>
      <c r="AI195" s="257">
        <f t="shared" si="162"/>
        <v>6834</v>
      </c>
      <c r="AJ195" s="257">
        <v>0</v>
      </c>
      <c r="AK195" s="257">
        <f t="shared" si="163"/>
        <v>6834</v>
      </c>
      <c r="AL195" s="258">
        <f t="shared" si="164"/>
        <v>5214342</v>
      </c>
      <c r="AM195" s="258">
        <v>0</v>
      </c>
      <c r="AN195" s="258">
        <f t="shared" si="165"/>
        <v>5214342</v>
      </c>
      <c r="AO195" s="451">
        <f t="shared" si="166"/>
        <v>415005</v>
      </c>
      <c r="AP195" s="450">
        <f t="shared" si="167"/>
        <v>251543547</v>
      </c>
      <c r="AQ195" s="261" t="e">
        <f>#REF!+AH195+AA195+T195+M195</f>
        <v>#REF!</v>
      </c>
      <c r="AR195" s="261">
        <f t="shared" si="126"/>
        <v>251787837</v>
      </c>
      <c r="AS195" s="261" t="e">
        <f t="shared" si="127"/>
        <v>#REF!</v>
      </c>
      <c r="AT195" s="261">
        <f t="shared" si="128"/>
        <v>252103510</v>
      </c>
      <c r="AU195" s="261" t="e">
        <f t="shared" si="129"/>
        <v>#REF!</v>
      </c>
      <c r="AV195" s="261">
        <f t="shared" si="130"/>
        <v>298534361</v>
      </c>
      <c r="AW195" s="261" t="e">
        <f t="shared" si="131"/>
        <v>#REF!</v>
      </c>
      <c r="AX195" s="261" t="e">
        <f>AV195+#REF!+AH195+AA195+T195</f>
        <v>#REF!</v>
      </c>
      <c r="AY195" s="261" t="e">
        <f t="shared" si="132"/>
        <v>#REF!</v>
      </c>
      <c r="AZ195" s="261" t="e">
        <f t="shared" si="133"/>
        <v>#REF!</v>
      </c>
      <c r="BA195" s="261" t="e">
        <f t="shared" si="134"/>
        <v>#REF!</v>
      </c>
      <c r="BB195" s="261" t="e">
        <f t="shared" si="135"/>
        <v>#REF!</v>
      </c>
      <c r="BC195" s="261" t="e">
        <f t="shared" si="136"/>
        <v>#REF!</v>
      </c>
      <c r="BD195" s="261" t="e">
        <f t="shared" si="137"/>
        <v>#REF!</v>
      </c>
      <c r="BE195" s="261" t="e">
        <f>BC195+AV195+#REF!+AH195+AA195</f>
        <v>#REF!</v>
      </c>
      <c r="BF195" s="261" t="e">
        <f t="shared" si="138"/>
        <v>#REF!</v>
      </c>
      <c r="BG195" s="261" t="e">
        <f t="shared" si="139"/>
        <v>#REF!</v>
      </c>
    </row>
    <row r="196" spans="1:59" ht="15.75">
      <c r="A196" s="333">
        <v>16</v>
      </c>
      <c r="B196" s="333" t="s">
        <v>1607</v>
      </c>
      <c r="C196" s="256">
        <v>15</v>
      </c>
      <c r="D196" s="322" t="s">
        <v>66</v>
      </c>
      <c r="E196" s="256" t="s">
        <v>9</v>
      </c>
      <c r="F196" s="425">
        <f t="array" ref="F196">MAX((IF(MNU_CODIGO_ALIMENTO_ENTREGA=CONCATENATE($C196,"_","P_"),MNU_GRAMAJE_REQUERIDO_TIPOA,"")))</f>
        <v>50</v>
      </c>
      <c r="G196" s="257">
        <f t="shared" si="140"/>
        <v>81719</v>
      </c>
      <c r="H196" s="257">
        <f t="shared" si="141"/>
        <v>10197</v>
      </c>
      <c r="I196" s="257">
        <f t="shared" si="142"/>
        <v>91916</v>
      </c>
      <c r="J196" s="258">
        <f t="shared" si="143"/>
        <v>54996887</v>
      </c>
      <c r="K196" s="258">
        <f t="shared" si="144"/>
        <v>6862581</v>
      </c>
      <c r="L196" s="258">
        <f t="shared" si="145"/>
        <v>61859468</v>
      </c>
      <c r="M196" s="426">
        <f t="array" ref="M196">MAX((IF(MNU_CODIGO_ALIMENTO_ENTREGA=CONCATENATE($C196,"_","P_"),MNU_GRAMAJE_REQUERIDO_TIPOB,"")))</f>
        <v>50</v>
      </c>
      <c r="N196" s="343">
        <f t="shared" si="146"/>
        <v>115634</v>
      </c>
      <c r="O196" s="343">
        <f t="shared" si="147"/>
        <v>18029</v>
      </c>
      <c r="P196" s="343">
        <f t="shared" si="148"/>
        <v>133663</v>
      </c>
      <c r="Q196" s="344">
        <f t="shared" si="149"/>
        <v>77821682</v>
      </c>
      <c r="R196" s="344">
        <f t="shared" si="150"/>
        <v>12133517</v>
      </c>
      <c r="S196" s="344">
        <f t="shared" si="151"/>
        <v>89955199</v>
      </c>
      <c r="T196" s="348">
        <f t="array" ref="T196">MAX((IF(MNU_CODIGO_ALIMENTO_ENTREGA=CONCATENATE($C196,"_","P_"),MNU_GRAMAJE_REQUERIDO_TIPOC,"")))</f>
        <v>80</v>
      </c>
      <c r="U196" s="257">
        <f t="shared" si="152"/>
        <v>115583</v>
      </c>
      <c r="V196" s="257">
        <f t="shared" si="153"/>
        <v>23298</v>
      </c>
      <c r="W196" s="257">
        <f t="shared" si="154"/>
        <v>138881</v>
      </c>
      <c r="X196" s="258">
        <f t="shared" si="155"/>
        <v>124367308</v>
      </c>
      <c r="Y196" s="258">
        <f t="shared" si="156"/>
        <v>25068648</v>
      </c>
      <c r="Z196" s="258">
        <f t="shared" si="157"/>
        <v>149435956</v>
      </c>
      <c r="AA196" s="256">
        <f t="array" ref="AA196">MAX((IF(MNU_CODIGO_ALIMENTO_ENTREGA=CONCATENATE($C196,"_","P_"),MNU_GRAMAJE_REQUERIDO_TIPOM,"")))</f>
        <v>50</v>
      </c>
      <c r="AB196" s="259">
        <f t="shared" si="158"/>
        <v>6239</v>
      </c>
      <c r="AC196" s="259">
        <v>0</v>
      </c>
      <c r="AD196" s="259">
        <f t="shared" si="159"/>
        <v>6239</v>
      </c>
      <c r="AE196" s="260">
        <f t="shared" si="160"/>
        <v>4198847</v>
      </c>
      <c r="AF196" s="260">
        <v>0</v>
      </c>
      <c r="AG196" s="260">
        <f t="shared" si="161"/>
        <v>4198847</v>
      </c>
      <c r="AH196" s="348">
        <f t="array" ref="AH196">MAX((IF(MNU_CODIGO_ALIMENTO_ENTREGA=CONCATENATE($C196,"_","P_"),MNU_GRAMAJE_REQUERIDO_TIPOH,"")))</f>
        <v>80</v>
      </c>
      <c r="AI196" s="257">
        <f t="shared" si="162"/>
        <v>6834</v>
      </c>
      <c r="AJ196" s="257">
        <v>0</v>
      </c>
      <c r="AK196" s="257">
        <f t="shared" si="163"/>
        <v>6834</v>
      </c>
      <c r="AL196" s="258">
        <f t="shared" si="164"/>
        <v>7353384</v>
      </c>
      <c r="AM196" s="258">
        <v>0</v>
      </c>
      <c r="AN196" s="258">
        <f t="shared" si="165"/>
        <v>7353384</v>
      </c>
      <c r="AO196" s="451">
        <f t="shared" si="166"/>
        <v>377533</v>
      </c>
      <c r="AP196" s="450">
        <f t="shared" si="167"/>
        <v>312802854</v>
      </c>
      <c r="AQ196" s="261" t="e">
        <f>#REF!+AH196+AA196+T196+M196</f>
        <v>#REF!</v>
      </c>
      <c r="AR196" s="261">
        <f t="shared" si="126"/>
        <v>313047144</v>
      </c>
      <c r="AS196" s="261" t="e">
        <f t="shared" si="127"/>
        <v>#REF!</v>
      </c>
      <c r="AT196" s="261">
        <f t="shared" si="128"/>
        <v>313332761</v>
      </c>
      <c r="AU196" s="261" t="e">
        <f t="shared" si="129"/>
        <v>#REF!</v>
      </c>
      <c r="AV196" s="261">
        <f t="shared" si="130"/>
        <v>350534926</v>
      </c>
      <c r="AW196" s="261" t="e">
        <f t="shared" si="131"/>
        <v>#REF!</v>
      </c>
      <c r="AX196" s="261" t="e">
        <f>AV196+#REF!+AH196+AA196+T196</f>
        <v>#REF!</v>
      </c>
      <c r="AY196" s="261" t="e">
        <f t="shared" si="132"/>
        <v>#REF!</v>
      </c>
      <c r="AZ196" s="261" t="e">
        <f t="shared" si="133"/>
        <v>#REF!</v>
      </c>
      <c r="BA196" s="261" t="e">
        <f t="shared" si="134"/>
        <v>#REF!</v>
      </c>
      <c r="BB196" s="261" t="e">
        <f t="shared" si="135"/>
        <v>#REF!</v>
      </c>
      <c r="BC196" s="261" t="e">
        <f t="shared" si="136"/>
        <v>#REF!</v>
      </c>
      <c r="BD196" s="261" t="e">
        <f t="shared" si="137"/>
        <v>#REF!</v>
      </c>
      <c r="BE196" s="261" t="e">
        <f>BC196+AV196+#REF!+AH196+AA196</f>
        <v>#REF!</v>
      </c>
      <c r="BF196" s="261" t="e">
        <f t="shared" si="138"/>
        <v>#REF!</v>
      </c>
      <c r="BG196" s="261" t="e">
        <f t="shared" si="139"/>
        <v>#REF!</v>
      </c>
    </row>
    <row r="197" spans="1:59" ht="15.75">
      <c r="A197" s="333">
        <v>16</v>
      </c>
      <c r="B197" s="333" t="s">
        <v>1607</v>
      </c>
      <c r="C197" s="256">
        <v>24</v>
      </c>
      <c r="D197" s="322" t="s">
        <v>61</v>
      </c>
      <c r="E197" s="256" t="s">
        <v>9</v>
      </c>
      <c r="F197" s="425">
        <f t="array" ref="F197">MAX((IF(MNU_CODIGO_ALIMENTO_ENTREGA=CONCATENATE($C197,"_","P_"),MNU_GRAMAJE_REQUERIDO_TIPOA,"")))</f>
        <v>20</v>
      </c>
      <c r="G197" s="257">
        <f t="shared" si="140"/>
        <v>81719</v>
      </c>
      <c r="H197" s="257">
        <f t="shared" si="141"/>
        <v>10197</v>
      </c>
      <c r="I197" s="257">
        <f t="shared" si="142"/>
        <v>91916</v>
      </c>
      <c r="J197" s="258">
        <f t="shared" si="143"/>
        <v>10460032</v>
      </c>
      <c r="K197" s="258">
        <f t="shared" si="144"/>
        <v>1305216</v>
      </c>
      <c r="L197" s="258">
        <f t="shared" si="145"/>
        <v>11765248</v>
      </c>
      <c r="M197" s="426">
        <f t="array" ref="M197">MAX((IF(MNU_CODIGO_ALIMENTO_ENTREGA=CONCATENATE($C197,"_","P_"),MNU_GRAMAJE_REQUERIDO_TIPOB,"")))</f>
        <v>30</v>
      </c>
      <c r="N197" s="343">
        <f t="shared" si="146"/>
        <v>115634</v>
      </c>
      <c r="O197" s="343">
        <f t="shared" si="147"/>
        <v>18029</v>
      </c>
      <c r="P197" s="343">
        <f t="shared" si="148"/>
        <v>133663</v>
      </c>
      <c r="Q197" s="344">
        <f t="shared" si="149"/>
        <v>23126800</v>
      </c>
      <c r="R197" s="344">
        <f t="shared" si="150"/>
        <v>3605800</v>
      </c>
      <c r="S197" s="344">
        <f t="shared" si="151"/>
        <v>26732600</v>
      </c>
      <c r="T197" s="348">
        <f t="array" ref="T197">MAX((IF(MNU_CODIGO_ALIMENTO_ENTREGA=CONCATENATE($C197,"_","P_"),MNU_GRAMAJE_REQUERIDO_TIPOC,"")))</f>
        <v>60</v>
      </c>
      <c r="U197" s="257">
        <f t="shared" si="152"/>
        <v>115583</v>
      </c>
      <c r="V197" s="257">
        <f t="shared" si="153"/>
        <v>23298</v>
      </c>
      <c r="W197" s="257">
        <f t="shared" si="154"/>
        <v>138881</v>
      </c>
      <c r="X197" s="258">
        <f t="shared" si="155"/>
        <v>44499455</v>
      </c>
      <c r="Y197" s="258">
        <f t="shared" si="156"/>
        <v>8969730</v>
      </c>
      <c r="Z197" s="258">
        <f t="shared" si="157"/>
        <v>53469185</v>
      </c>
      <c r="AA197" s="256">
        <f t="array" ref="AA197">MAX((IF(MNU_CODIGO_ALIMENTO_ENTREGA=CONCATENATE($C197,"_","P_"),MNU_GRAMAJE_REQUERIDO_TIPOM,"")))</f>
        <v>30</v>
      </c>
      <c r="AB197" s="259">
        <f t="shared" si="158"/>
        <v>6239</v>
      </c>
      <c r="AC197" s="259">
        <v>0</v>
      </c>
      <c r="AD197" s="259">
        <f t="shared" si="159"/>
        <v>6239</v>
      </c>
      <c r="AE197" s="260">
        <f t="shared" si="160"/>
        <v>1247800</v>
      </c>
      <c r="AF197" s="260">
        <v>0</v>
      </c>
      <c r="AG197" s="260">
        <f t="shared" si="161"/>
        <v>1247800</v>
      </c>
      <c r="AH197" s="348">
        <f t="array" ref="AH197">MAX((IF(MNU_CODIGO_ALIMENTO_ENTREGA=CONCATENATE($C197,"_","P_"),MNU_GRAMAJE_REQUERIDO_TIPOH,"")))</f>
        <v>60</v>
      </c>
      <c r="AI197" s="257">
        <f t="shared" si="162"/>
        <v>6834</v>
      </c>
      <c r="AJ197" s="257">
        <v>0</v>
      </c>
      <c r="AK197" s="257">
        <f t="shared" si="163"/>
        <v>6834</v>
      </c>
      <c r="AL197" s="258">
        <f t="shared" si="164"/>
        <v>2631090</v>
      </c>
      <c r="AM197" s="258">
        <v>0</v>
      </c>
      <c r="AN197" s="258">
        <f t="shared" si="165"/>
        <v>2631090</v>
      </c>
      <c r="AO197" s="451">
        <f t="shared" si="166"/>
        <v>377533</v>
      </c>
      <c r="AP197" s="450">
        <f t="shared" si="167"/>
        <v>95845923</v>
      </c>
      <c r="AQ197" s="261" t="e">
        <f>#REF!+AH197+AA197+T197+M197</f>
        <v>#REF!</v>
      </c>
      <c r="AR197" s="261">
        <f t="shared" si="126"/>
        <v>96090213</v>
      </c>
      <c r="AS197" s="261" t="e">
        <f t="shared" si="127"/>
        <v>#REF!</v>
      </c>
      <c r="AT197" s="261">
        <f t="shared" si="128"/>
        <v>96375830</v>
      </c>
      <c r="AU197" s="261" t="e">
        <f t="shared" si="129"/>
        <v>#REF!</v>
      </c>
      <c r="AV197" s="261">
        <f t="shared" si="130"/>
        <v>108951360</v>
      </c>
      <c r="AW197" s="261" t="e">
        <f t="shared" si="131"/>
        <v>#REF!</v>
      </c>
      <c r="AX197" s="261" t="e">
        <f>AV197+#REF!+AH197+AA197+T197</f>
        <v>#REF!</v>
      </c>
      <c r="AY197" s="261" t="e">
        <f t="shared" si="132"/>
        <v>#REF!</v>
      </c>
      <c r="AZ197" s="261" t="e">
        <f t="shared" si="133"/>
        <v>#REF!</v>
      </c>
      <c r="BA197" s="261" t="e">
        <f t="shared" si="134"/>
        <v>#REF!</v>
      </c>
      <c r="BB197" s="261" t="e">
        <f t="shared" si="135"/>
        <v>#REF!</v>
      </c>
      <c r="BC197" s="261" t="e">
        <f t="shared" si="136"/>
        <v>#REF!</v>
      </c>
      <c r="BD197" s="261" t="e">
        <f t="shared" si="137"/>
        <v>#REF!</v>
      </c>
      <c r="BE197" s="261" t="e">
        <f>BC197+AV197+#REF!+AH197+AA197</f>
        <v>#REF!</v>
      </c>
      <c r="BF197" s="261" t="e">
        <f t="shared" si="138"/>
        <v>#REF!</v>
      </c>
      <c r="BG197" s="261" t="e">
        <f t="shared" si="139"/>
        <v>#REF!</v>
      </c>
    </row>
    <row r="198" spans="1:59" ht="15.75">
      <c r="A198" s="333">
        <v>16</v>
      </c>
      <c r="B198" s="333" t="s">
        <v>1607</v>
      </c>
      <c r="C198" s="256">
        <v>25</v>
      </c>
      <c r="D198" s="322" t="s">
        <v>64</v>
      </c>
      <c r="E198" s="256" t="s">
        <v>9</v>
      </c>
      <c r="F198" s="425">
        <f t="array" ref="F198">MAX((IF(MNU_CODIGO_ALIMENTO_ENTREGA=CONCATENATE($C198,"_","P_"),MNU_GRAMAJE_REQUERIDO_TIPOA,"")))</f>
        <v>40</v>
      </c>
      <c r="G198" s="257">
        <f t="shared" si="140"/>
        <v>81719</v>
      </c>
      <c r="H198" s="257">
        <f t="shared" si="141"/>
        <v>20394</v>
      </c>
      <c r="I198" s="257">
        <f t="shared" si="142"/>
        <v>102113</v>
      </c>
      <c r="J198" s="258">
        <f t="shared" si="143"/>
        <v>20920064</v>
      </c>
      <c r="K198" s="258">
        <f t="shared" si="144"/>
        <v>5220864</v>
      </c>
      <c r="L198" s="258">
        <f t="shared" si="145"/>
        <v>26140928</v>
      </c>
      <c r="M198" s="426">
        <f t="array" ref="M198">MAX((IF(MNU_CODIGO_ALIMENTO_ENTREGA=CONCATENATE($C198,"_","P_"),MNU_GRAMAJE_REQUERIDO_TIPOB,"")))</f>
        <v>40</v>
      </c>
      <c r="N198" s="343">
        <f t="shared" si="146"/>
        <v>115634</v>
      </c>
      <c r="O198" s="343">
        <f t="shared" si="147"/>
        <v>36058</v>
      </c>
      <c r="P198" s="343">
        <f t="shared" si="148"/>
        <v>151692</v>
      </c>
      <c r="Q198" s="344">
        <f t="shared" si="149"/>
        <v>29602304</v>
      </c>
      <c r="R198" s="344">
        <f t="shared" si="150"/>
        <v>9230848</v>
      </c>
      <c r="S198" s="344">
        <f t="shared" si="151"/>
        <v>38833152</v>
      </c>
      <c r="T198" s="348">
        <f t="array" ref="T198">MAX((IF(MNU_CODIGO_ALIMENTO_ENTREGA=CONCATENATE($C198,"_","P_"),MNU_GRAMAJE_REQUERIDO_TIPOC,"")))</f>
        <v>60</v>
      </c>
      <c r="U198" s="257">
        <f t="shared" si="152"/>
        <v>115583</v>
      </c>
      <c r="V198" s="257">
        <f t="shared" si="153"/>
        <v>46596</v>
      </c>
      <c r="W198" s="257">
        <f t="shared" si="154"/>
        <v>162179</v>
      </c>
      <c r="X198" s="258">
        <f t="shared" si="155"/>
        <v>44383872</v>
      </c>
      <c r="Y198" s="258">
        <f t="shared" si="156"/>
        <v>17892864</v>
      </c>
      <c r="Z198" s="258">
        <f t="shared" si="157"/>
        <v>62276736</v>
      </c>
      <c r="AA198" s="256">
        <f t="array" ref="AA198">MAX((IF(MNU_CODIGO_ALIMENTO_ENTREGA=CONCATENATE($C198,"_","P_"),MNU_GRAMAJE_REQUERIDO_TIPOM,"")))</f>
        <v>40</v>
      </c>
      <c r="AB198" s="259">
        <f t="shared" si="158"/>
        <v>6239</v>
      </c>
      <c r="AC198" s="259">
        <v>0</v>
      </c>
      <c r="AD198" s="259">
        <f t="shared" si="159"/>
        <v>6239</v>
      </c>
      <c r="AE198" s="260">
        <f t="shared" si="160"/>
        <v>1597184</v>
      </c>
      <c r="AF198" s="260">
        <v>0</v>
      </c>
      <c r="AG198" s="260">
        <f t="shared" si="161"/>
        <v>1597184</v>
      </c>
      <c r="AH198" s="348">
        <f t="array" ref="AH198">MAX((IF(MNU_CODIGO_ALIMENTO_ENTREGA=CONCATENATE($C198,"_","P_"),MNU_GRAMAJE_REQUERIDO_TIPOH,"")))</f>
        <v>60</v>
      </c>
      <c r="AI198" s="257">
        <f t="shared" si="162"/>
        <v>6834</v>
      </c>
      <c r="AJ198" s="257">
        <v>0</v>
      </c>
      <c r="AK198" s="257">
        <f t="shared" si="163"/>
        <v>6834</v>
      </c>
      <c r="AL198" s="258">
        <f t="shared" si="164"/>
        <v>2624256</v>
      </c>
      <c r="AM198" s="258">
        <v>0</v>
      </c>
      <c r="AN198" s="258">
        <f t="shared" si="165"/>
        <v>2624256</v>
      </c>
      <c r="AO198" s="451">
        <f t="shared" si="166"/>
        <v>429057</v>
      </c>
      <c r="AP198" s="450">
        <f t="shared" si="167"/>
        <v>131472256</v>
      </c>
      <c r="AQ198" s="261" t="e">
        <f>#REF!+AH198+AA198+T198+M198</f>
        <v>#REF!</v>
      </c>
      <c r="AR198" s="261">
        <f t="shared" si="126"/>
        <v>131716546</v>
      </c>
      <c r="AS198" s="261" t="e">
        <f t="shared" si="127"/>
        <v>#REF!</v>
      </c>
      <c r="AT198" s="261">
        <f t="shared" si="128"/>
        <v>132043490</v>
      </c>
      <c r="AU198" s="261" t="e">
        <f t="shared" si="129"/>
        <v>#REF!</v>
      </c>
      <c r="AV198" s="261">
        <f t="shared" si="130"/>
        <v>159167202</v>
      </c>
      <c r="AW198" s="261" t="e">
        <f t="shared" si="131"/>
        <v>#REF!</v>
      </c>
      <c r="AX198" s="261" t="e">
        <f>AV198+#REF!+AH198+AA198+T198</f>
        <v>#REF!</v>
      </c>
      <c r="AY198" s="261" t="e">
        <f t="shared" si="132"/>
        <v>#REF!</v>
      </c>
      <c r="AZ198" s="261" t="e">
        <f t="shared" si="133"/>
        <v>#REF!</v>
      </c>
      <c r="BA198" s="261" t="e">
        <f t="shared" si="134"/>
        <v>#REF!</v>
      </c>
      <c r="BB198" s="261" t="e">
        <f t="shared" si="135"/>
        <v>#REF!</v>
      </c>
      <c r="BC198" s="261" t="e">
        <f t="shared" si="136"/>
        <v>#REF!</v>
      </c>
      <c r="BD198" s="261" t="e">
        <f t="shared" si="137"/>
        <v>#REF!</v>
      </c>
      <c r="BE198" s="261" t="e">
        <f>BC198+AV198+#REF!+AH198+AA198</f>
        <v>#REF!</v>
      </c>
      <c r="BF198" s="261" t="e">
        <f t="shared" si="138"/>
        <v>#REF!</v>
      </c>
      <c r="BG198" s="261" t="e">
        <f t="shared" si="139"/>
        <v>#REF!</v>
      </c>
    </row>
    <row r="199" spans="1:59" ht="15.75">
      <c r="A199" s="333">
        <v>16</v>
      </c>
      <c r="B199" s="333" t="s">
        <v>1607</v>
      </c>
      <c r="C199" s="256">
        <v>26</v>
      </c>
      <c r="D199" s="322" t="s">
        <v>69</v>
      </c>
      <c r="E199" s="256" t="s">
        <v>9</v>
      </c>
      <c r="F199" s="425">
        <f t="array" ref="F199">MAX((IF(MNU_CODIGO_ALIMENTO_ENTREGA=CONCATENATE($C199,"_","P_"),MNU_GRAMAJE_REQUERIDO_TIPOA,"")))</f>
        <v>30</v>
      </c>
      <c r="G199" s="257">
        <f t="shared" si="140"/>
        <v>28842</v>
      </c>
      <c r="H199" s="257">
        <f t="shared" si="141"/>
        <v>0</v>
      </c>
      <c r="I199" s="257">
        <f t="shared" si="142"/>
        <v>28842</v>
      </c>
      <c r="J199" s="258">
        <f t="shared" si="143"/>
        <v>4931982</v>
      </c>
      <c r="K199" s="258">
        <f t="shared" si="144"/>
        <v>0</v>
      </c>
      <c r="L199" s="258">
        <f t="shared" si="145"/>
        <v>4931982</v>
      </c>
      <c r="M199" s="426">
        <f t="array" ref="M199">MAX((IF(MNU_CODIGO_ALIMENTO_ENTREGA=CONCATENATE($C199,"_","P_"),MNU_GRAMAJE_REQUERIDO_TIPOB,"")))</f>
        <v>30</v>
      </c>
      <c r="N199" s="343">
        <f t="shared" si="146"/>
        <v>40812</v>
      </c>
      <c r="O199" s="343">
        <f t="shared" si="147"/>
        <v>0</v>
      </c>
      <c r="P199" s="343">
        <f t="shared" si="148"/>
        <v>40812</v>
      </c>
      <c r="Q199" s="344">
        <f t="shared" si="149"/>
        <v>6978852</v>
      </c>
      <c r="R199" s="344">
        <f t="shared" si="150"/>
        <v>0</v>
      </c>
      <c r="S199" s="344">
        <f t="shared" si="151"/>
        <v>6978852</v>
      </c>
      <c r="T199" s="348">
        <f t="array" ref="T199">MAX((IF(MNU_CODIGO_ALIMENTO_ENTREGA=CONCATENATE($C199,"_","P_"),MNU_GRAMAJE_REQUERIDO_TIPOC,"")))</f>
        <v>30</v>
      </c>
      <c r="U199" s="257">
        <f t="shared" si="152"/>
        <v>40794</v>
      </c>
      <c r="V199" s="257">
        <f t="shared" si="153"/>
        <v>0</v>
      </c>
      <c r="W199" s="257">
        <f t="shared" si="154"/>
        <v>40794</v>
      </c>
      <c r="X199" s="258">
        <f t="shared" si="155"/>
        <v>6975774</v>
      </c>
      <c r="Y199" s="258">
        <f t="shared" si="156"/>
        <v>0</v>
      </c>
      <c r="Z199" s="258">
        <f t="shared" si="157"/>
        <v>6975774</v>
      </c>
      <c r="AA199" s="256">
        <f t="array" ref="AA199">MAX((IF(MNU_CODIGO_ALIMENTO_ENTREGA=CONCATENATE($C199,"_","P_"),MNU_GRAMAJE_REQUERIDO_TIPOM,"")))</f>
        <v>30</v>
      </c>
      <c r="AB199" s="259">
        <f t="shared" si="158"/>
        <v>2202</v>
      </c>
      <c r="AC199" s="259">
        <v>0</v>
      </c>
      <c r="AD199" s="259">
        <f t="shared" si="159"/>
        <v>2202</v>
      </c>
      <c r="AE199" s="260">
        <f t="shared" si="160"/>
        <v>376542</v>
      </c>
      <c r="AF199" s="260">
        <v>0</v>
      </c>
      <c r="AG199" s="260">
        <f t="shared" si="161"/>
        <v>376542</v>
      </c>
      <c r="AH199" s="348">
        <f t="array" ref="AH199">MAX((IF(MNU_CODIGO_ALIMENTO_ENTREGA=CONCATENATE($C199,"_","P_"),MNU_GRAMAJE_REQUERIDO_TIPOH,"")))</f>
        <v>30</v>
      </c>
      <c r="AI199" s="257">
        <f t="shared" si="162"/>
        <v>2412</v>
      </c>
      <c r="AJ199" s="257">
        <v>0</v>
      </c>
      <c r="AK199" s="257">
        <f t="shared" si="163"/>
        <v>2412</v>
      </c>
      <c r="AL199" s="258">
        <f t="shared" si="164"/>
        <v>412452</v>
      </c>
      <c r="AM199" s="258">
        <v>0</v>
      </c>
      <c r="AN199" s="258">
        <f t="shared" si="165"/>
        <v>412452</v>
      </c>
      <c r="AO199" s="451">
        <f t="shared" si="166"/>
        <v>115062</v>
      </c>
      <c r="AP199" s="450">
        <f t="shared" si="167"/>
        <v>19675602</v>
      </c>
      <c r="AQ199" s="261" t="e">
        <f>#REF!+AH199+AA199+T199+M199</f>
        <v>#REF!</v>
      </c>
      <c r="AR199" s="261">
        <f t="shared" si="126"/>
        <v>19761822</v>
      </c>
      <c r="AS199" s="261" t="e">
        <f t="shared" si="127"/>
        <v>#REF!</v>
      </c>
      <c r="AT199" s="261">
        <f t="shared" si="128"/>
        <v>19848042</v>
      </c>
      <c r="AU199" s="261" t="e">
        <f t="shared" si="129"/>
        <v>#REF!</v>
      </c>
      <c r="AV199" s="261">
        <f t="shared" si="130"/>
        <v>19848042</v>
      </c>
      <c r="AW199" s="261" t="e">
        <f t="shared" si="131"/>
        <v>#REF!</v>
      </c>
      <c r="AX199" s="261" t="e">
        <f>AV199+#REF!+AH199+AA199+T199</f>
        <v>#REF!</v>
      </c>
      <c r="AY199" s="261" t="e">
        <f t="shared" si="132"/>
        <v>#REF!</v>
      </c>
      <c r="AZ199" s="261" t="e">
        <f t="shared" si="133"/>
        <v>#REF!</v>
      </c>
      <c r="BA199" s="261" t="e">
        <f t="shared" si="134"/>
        <v>#REF!</v>
      </c>
      <c r="BB199" s="261" t="e">
        <f t="shared" si="135"/>
        <v>#REF!</v>
      </c>
      <c r="BC199" s="261" t="e">
        <f t="shared" si="136"/>
        <v>#REF!</v>
      </c>
      <c r="BD199" s="261" t="e">
        <f t="shared" si="137"/>
        <v>#REF!</v>
      </c>
      <c r="BE199" s="261" t="e">
        <f>BC199+AV199+#REF!+AH199+AA199</f>
        <v>#REF!</v>
      </c>
      <c r="BF199" s="261" t="e">
        <f t="shared" si="138"/>
        <v>#REF!</v>
      </c>
      <c r="BG199" s="261" t="e">
        <f t="shared" si="139"/>
        <v>#REF!</v>
      </c>
    </row>
    <row r="200" spans="1:59" ht="27">
      <c r="A200" s="333">
        <v>16</v>
      </c>
      <c r="B200" s="333" t="s">
        <v>1607</v>
      </c>
      <c r="C200" s="256">
        <v>28</v>
      </c>
      <c r="D200" s="322" t="s">
        <v>67</v>
      </c>
      <c r="E200" s="256" t="s">
        <v>9</v>
      </c>
      <c r="F200" s="425">
        <f t="array" ref="F200">MAX((IF(MNU_CODIGO_ALIMENTO_ENTREGA=CONCATENATE($C200,"_","P_"),MNU_GRAMAJE_REQUERIDO_TIPOA,"")))</f>
        <v>30</v>
      </c>
      <c r="G200" s="257">
        <f t="shared" si="140"/>
        <v>28842</v>
      </c>
      <c r="H200" s="257">
        <f t="shared" si="141"/>
        <v>17613</v>
      </c>
      <c r="I200" s="257">
        <f t="shared" si="142"/>
        <v>46455</v>
      </c>
      <c r="J200" s="258">
        <f t="shared" si="143"/>
        <v>6518292</v>
      </c>
      <c r="K200" s="258">
        <f t="shared" si="144"/>
        <v>3980538</v>
      </c>
      <c r="L200" s="258">
        <f t="shared" si="145"/>
        <v>10498830</v>
      </c>
      <c r="M200" s="426">
        <f t="array" ref="M200">MAX((IF(MNU_CODIGO_ALIMENTO_ENTREGA=CONCATENATE($C200,"_","P_"),MNU_GRAMAJE_REQUERIDO_TIPOB,"")))</f>
        <v>40</v>
      </c>
      <c r="N200" s="343">
        <f t="shared" si="146"/>
        <v>40812</v>
      </c>
      <c r="O200" s="343">
        <f t="shared" si="147"/>
        <v>31141</v>
      </c>
      <c r="P200" s="343">
        <f t="shared" si="148"/>
        <v>71953</v>
      </c>
      <c r="Q200" s="344">
        <f t="shared" si="149"/>
        <v>12284412</v>
      </c>
      <c r="R200" s="344">
        <f t="shared" si="150"/>
        <v>9373441</v>
      </c>
      <c r="S200" s="344">
        <f t="shared" si="151"/>
        <v>21657853</v>
      </c>
      <c r="T200" s="348">
        <f t="array" ref="T200">MAX((IF(MNU_CODIGO_ALIMENTO_ENTREGA=CONCATENATE($C200,"_","P_"),MNU_GRAMAJE_REQUERIDO_TIPOC,"")))</f>
        <v>60</v>
      </c>
      <c r="U200" s="257">
        <f t="shared" si="152"/>
        <v>40794</v>
      </c>
      <c r="V200" s="257">
        <f t="shared" si="153"/>
        <v>40242</v>
      </c>
      <c r="W200" s="257">
        <f t="shared" si="154"/>
        <v>81036</v>
      </c>
      <c r="X200" s="258">
        <f t="shared" si="155"/>
        <v>18398094</v>
      </c>
      <c r="Y200" s="258">
        <f t="shared" si="156"/>
        <v>18149142</v>
      </c>
      <c r="Z200" s="258">
        <f t="shared" si="157"/>
        <v>36547236</v>
      </c>
      <c r="AA200" s="256">
        <f t="array" ref="AA200">MAX((IF(MNU_CODIGO_ALIMENTO_ENTREGA=CONCATENATE($C200,"_","P_"),MNU_GRAMAJE_REQUERIDO_TIPOM,"")))</f>
        <v>40</v>
      </c>
      <c r="AB200" s="259">
        <f t="shared" si="158"/>
        <v>2202</v>
      </c>
      <c r="AC200" s="259">
        <v>0</v>
      </c>
      <c r="AD200" s="259">
        <f t="shared" si="159"/>
        <v>2202</v>
      </c>
      <c r="AE200" s="260">
        <f t="shared" si="160"/>
        <v>662802</v>
      </c>
      <c r="AF200" s="260">
        <v>0</v>
      </c>
      <c r="AG200" s="260">
        <f t="shared" si="161"/>
        <v>662802</v>
      </c>
      <c r="AH200" s="348">
        <f t="array" ref="AH200">MAX((IF(MNU_CODIGO_ALIMENTO_ENTREGA=CONCATENATE($C200,"_","P_"),MNU_GRAMAJE_REQUERIDO_TIPOH,"")))</f>
        <v>60</v>
      </c>
      <c r="AI200" s="257">
        <f t="shared" si="162"/>
        <v>2412</v>
      </c>
      <c r="AJ200" s="257">
        <v>0</v>
      </c>
      <c r="AK200" s="257">
        <f t="shared" si="163"/>
        <v>2412</v>
      </c>
      <c r="AL200" s="258">
        <f t="shared" si="164"/>
        <v>1087812</v>
      </c>
      <c r="AM200" s="258">
        <v>0</v>
      </c>
      <c r="AN200" s="258">
        <f t="shared" si="165"/>
        <v>1087812</v>
      </c>
      <c r="AO200" s="451">
        <f t="shared" si="166"/>
        <v>204058</v>
      </c>
      <c r="AP200" s="450">
        <f t="shared" si="167"/>
        <v>70454533</v>
      </c>
      <c r="AQ200" s="261" t="e">
        <f>#REF!+AH200+AA200+T200+M200</f>
        <v>#REF!</v>
      </c>
      <c r="AR200" s="261">
        <f t="shared" si="126"/>
        <v>70540753</v>
      </c>
      <c r="AS200" s="261" t="e">
        <f t="shared" si="127"/>
        <v>#REF!</v>
      </c>
      <c r="AT200" s="261">
        <f t="shared" si="128"/>
        <v>70698356</v>
      </c>
      <c r="AU200" s="261" t="e">
        <f t="shared" si="129"/>
        <v>#REF!</v>
      </c>
      <c r="AV200" s="261">
        <f t="shared" si="130"/>
        <v>98220939</v>
      </c>
      <c r="AW200" s="261" t="e">
        <f t="shared" si="131"/>
        <v>#REF!</v>
      </c>
      <c r="AX200" s="261" t="e">
        <f>AV200+#REF!+AH200+AA200+T200</f>
        <v>#REF!</v>
      </c>
      <c r="AY200" s="261" t="e">
        <f t="shared" si="132"/>
        <v>#REF!</v>
      </c>
      <c r="AZ200" s="261" t="e">
        <f t="shared" si="133"/>
        <v>#REF!</v>
      </c>
      <c r="BA200" s="261" t="e">
        <f t="shared" si="134"/>
        <v>#REF!</v>
      </c>
      <c r="BB200" s="261" t="e">
        <f t="shared" si="135"/>
        <v>#REF!</v>
      </c>
      <c r="BC200" s="261" t="e">
        <f t="shared" si="136"/>
        <v>#REF!</v>
      </c>
      <c r="BD200" s="261" t="e">
        <f t="shared" si="137"/>
        <v>#REF!</v>
      </c>
      <c r="BE200" s="261" t="e">
        <f>BC200+AV200+#REF!+AH200+AA200</f>
        <v>#REF!</v>
      </c>
      <c r="BF200" s="261" t="e">
        <f t="shared" si="138"/>
        <v>#REF!</v>
      </c>
      <c r="BG200" s="261" t="e">
        <f t="shared" si="139"/>
        <v>#REF!</v>
      </c>
    </row>
    <row r="201" spans="1:59" ht="15.75">
      <c r="A201" s="333">
        <v>16</v>
      </c>
      <c r="B201" s="333" t="s">
        <v>1607</v>
      </c>
      <c r="C201" s="256">
        <v>30</v>
      </c>
      <c r="D201" s="322" t="s">
        <v>63</v>
      </c>
      <c r="E201" s="256" t="s">
        <v>9</v>
      </c>
      <c r="F201" s="425">
        <f t="array" ref="F201">MAX((IF(MNU_CODIGO_ALIMENTO_ENTREGA=CONCATENATE($C201,"_","P_"),MNU_GRAMAJE_REQUERIDO_TIPOA,"")))</f>
        <v>30</v>
      </c>
      <c r="G201" s="257">
        <f t="shared" si="140"/>
        <v>76912</v>
      </c>
      <c r="H201" s="257">
        <f t="shared" si="141"/>
        <v>0</v>
      </c>
      <c r="I201" s="257">
        <f t="shared" si="142"/>
        <v>76912</v>
      </c>
      <c r="J201" s="258">
        <f t="shared" si="143"/>
        <v>25534784</v>
      </c>
      <c r="K201" s="258">
        <f t="shared" si="144"/>
        <v>0</v>
      </c>
      <c r="L201" s="258">
        <f t="shared" si="145"/>
        <v>25534784</v>
      </c>
      <c r="M201" s="426">
        <f t="array" ref="M201">MAX((IF(MNU_CODIGO_ALIMENTO_ENTREGA=CONCATENATE($C201,"_","P_"),MNU_GRAMAJE_REQUERIDO_TIPOB,"")))</f>
        <v>30</v>
      </c>
      <c r="N201" s="343">
        <f t="shared" si="146"/>
        <v>108832</v>
      </c>
      <c r="O201" s="343">
        <f t="shared" si="147"/>
        <v>0</v>
      </c>
      <c r="P201" s="343">
        <f t="shared" si="148"/>
        <v>108832</v>
      </c>
      <c r="Q201" s="344">
        <f t="shared" si="149"/>
        <v>36132224</v>
      </c>
      <c r="R201" s="344">
        <f t="shared" si="150"/>
        <v>0</v>
      </c>
      <c r="S201" s="344">
        <f t="shared" si="151"/>
        <v>36132224</v>
      </c>
      <c r="T201" s="348">
        <f t="array" ref="T201">MAX((IF(MNU_CODIGO_ALIMENTO_ENTREGA=CONCATENATE($C201,"_","P_"),MNU_GRAMAJE_REQUERIDO_TIPOC,"")))</f>
        <v>30</v>
      </c>
      <c r="U201" s="257">
        <f t="shared" si="152"/>
        <v>108784</v>
      </c>
      <c r="V201" s="257">
        <f t="shared" si="153"/>
        <v>0</v>
      </c>
      <c r="W201" s="257">
        <f t="shared" si="154"/>
        <v>108784</v>
      </c>
      <c r="X201" s="258">
        <f t="shared" si="155"/>
        <v>36116288</v>
      </c>
      <c r="Y201" s="258">
        <f t="shared" si="156"/>
        <v>0</v>
      </c>
      <c r="Z201" s="258">
        <f t="shared" si="157"/>
        <v>36116288</v>
      </c>
      <c r="AA201" s="256">
        <f t="array" ref="AA201">MAX((IF(MNU_CODIGO_ALIMENTO_ENTREGA=CONCATENATE($C201,"_","P_"),MNU_GRAMAJE_REQUERIDO_TIPOM,"")))</f>
        <v>30</v>
      </c>
      <c r="AB201" s="259">
        <f t="shared" si="158"/>
        <v>5872</v>
      </c>
      <c r="AC201" s="259">
        <v>0</v>
      </c>
      <c r="AD201" s="259">
        <f t="shared" si="159"/>
        <v>5872</v>
      </c>
      <c r="AE201" s="260">
        <f t="shared" si="160"/>
        <v>1949504</v>
      </c>
      <c r="AF201" s="260">
        <v>0</v>
      </c>
      <c r="AG201" s="260">
        <f t="shared" si="161"/>
        <v>1949504</v>
      </c>
      <c r="AH201" s="348">
        <f t="array" ref="AH201">MAX((IF(MNU_CODIGO_ALIMENTO_ENTREGA=CONCATENATE($C201,"_","P_"),MNU_GRAMAJE_REQUERIDO_TIPOH,"")))</f>
        <v>30</v>
      </c>
      <c r="AI201" s="257">
        <f t="shared" si="162"/>
        <v>6432</v>
      </c>
      <c r="AJ201" s="257">
        <v>0</v>
      </c>
      <c r="AK201" s="257">
        <f t="shared" si="163"/>
        <v>6432</v>
      </c>
      <c r="AL201" s="258">
        <f t="shared" si="164"/>
        <v>2135424</v>
      </c>
      <c r="AM201" s="258">
        <v>0</v>
      </c>
      <c r="AN201" s="258">
        <f t="shared" si="165"/>
        <v>2135424</v>
      </c>
      <c r="AO201" s="451">
        <f t="shared" si="166"/>
        <v>306832</v>
      </c>
      <c r="AP201" s="450">
        <f t="shared" si="167"/>
        <v>101868224</v>
      </c>
      <c r="AQ201" s="261" t="e">
        <f>#REF!+AH201+AA201+T201+M201</f>
        <v>#REF!</v>
      </c>
      <c r="AR201" s="261">
        <f t="shared" si="126"/>
        <v>102098144</v>
      </c>
      <c r="AS201" s="261" t="e">
        <f t="shared" si="127"/>
        <v>#REF!</v>
      </c>
      <c r="AT201" s="261">
        <f t="shared" si="128"/>
        <v>102328064</v>
      </c>
      <c r="AU201" s="261" t="e">
        <f t="shared" si="129"/>
        <v>#REF!</v>
      </c>
      <c r="AV201" s="261">
        <f t="shared" si="130"/>
        <v>102328064</v>
      </c>
      <c r="AW201" s="261" t="e">
        <f t="shared" si="131"/>
        <v>#REF!</v>
      </c>
      <c r="AX201" s="261" t="e">
        <f>AV201+#REF!+AH201+AA201+T201</f>
        <v>#REF!</v>
      </c>
      <c r="AY201" s="261" t="e">
        <f t="shared" si="132"/>
        <v>#REF!</v>
      </c>
      <c r="AZ201" s="261" t="e">
        <f t="shared" si="133"/>
        <v>#REF!</v>
      </c>
      <c r="BA201" s="261" t="e">
        <f t="shared" si="134"/>
        <v>#REF!</v>
      </c>
      <c r="BB201" s="261" t="e">
        <f t="shared" si="135"/>
        <v>#REF!</v>
      </c>
      <c r="BC201" s="261" t="e">
        <f t="shared" si="136"/>
        <v>#REF!</v>
      </c>
      <c r="BD201" s="261" t="e">
        <f t="shared" si="137"/>
        <v>#REF!</v>
      </c>
      <c r="BE201" s="261" t="e">
        <f>BC201+AV201+#REF!+AH201+AA201</f>
        <v>#REF!</v>
      </c>
      <c r="BF201" s="261" t="e">
        <f t="shared" si="138"/>
        <v>#REF!</v>
      </c>
      <c r="BG201" s="261" t="e">
        <f t="shared" si="139"/>
        <v>#REF!</v>
      </c>
    </row>
    <row r="202" spans="1:59" ht="15.75">
      <c r="A202" s="333">
        <v>16</v>
      </c>
      <c r="B202" s="333" t="s">
        <v>1607</v>
      </c>
      <c r="C202" s="256">
        <v>45</v>
      </c>
      <c r="D202" s="322" t="s">
        <v>10</v>
      </c>
      <c r="E202" s="256" t="s">
        <v>9</v>
      </c>
      <c r="F202" s="425">
        <f t="array" ref="F202">MAX((IF(MNU_CODIGO_ALIMENTO_ENTREGA=CONCATENATE($C202,"_","P_"),MNU_GRAMAJE_REQUERIDO_TIPOA,"")))</f>
        <v>20</v>
      </c>
      <c r="G202" s="257">
        <f t="shared" si="140"/>
        <v>76912</v>
      </c>
      <c r="H202" s="257">
        <f t="shared" si="141"/>
        <v>18540</v>
      </c>
      <c r="I202" s="257">
        <f t="shared" si="142"/>
        <v>95452</v>
      </c>
      <c r="J202" s="258">
        <f t="shared" si="143"/>
        <v>15305488</v>
      </c>
      <c r="K202" s="258">
        <f t="shared" si="144"/>
        <v>3689460</v>
      </c>
      <c r="L202" s="258">
        <f t="shared" si="145"/>
        <v>18994948</v>
      </c>
      <c r="M202" s="426">
        <f t="array" ref="M202">MAX((IF(MNU_CODIGO_ALIMENTO_ENTREGA=CONCATENATE($C202,"_","P_"),MNU_GRAMAJE_REQUERIDO_TIPOB,"")))</f>
        <v>30</v>
      </c>
      <c r="N202" s="343">
        <f t="shared" si="146"/>
        <v>108832</v>
      </c>
      <c r="O202" s="343">
        <f t="shared" si="147"/>
        <v>32780</v>
      </c>
      <c r="P202" s="343">
        <f t="shared" si="148"/>
        <v>141612</v>
      </c>
      <c r="Q202" s="344">
        <f t="shared" si="149"/>
        <v>32431936</v>
      </c>
      <c r="R202" s="344">
        <f t="shared" si="150"/>
        <v>9768440</v>
      </c>
      <c r="S202" s="344">
        <f t="shared" si="151"/>
        <v>42200376</v>
      </c>
      <c r="T202" s="348">
        <f t="array" ref="T202">MAX((IF(MNU_CODIGO_ALIMENTO_ENTREGA=CONCATENATE($C202,"_","P_"),MNU_GRAMAJE_REQUERIDO_TIPOC,"")))</f>
        <v>60</v>
      </c>
      <c r="U202" s="257">
        <f t="shared" si="152"/>
        <v>108784</v>
      </c>
      <c r="V202" s="257">
        <f t="shared" si="153"/>
        <v>42360</v>
      </c>
      <c r="W202" s="257">
        <f t="shared" si="154"/>
        <v>151144</v>
      </c>
      <c r="X202" s="258">
        <f t="shared" si="155"/>
        <v>64944048</v>
      </c>
      <c r="Y202" s="258">
        <f t="shared" si="156"/>
        <v>25288920</v>
      </c>
      <c r="Z202" s="258">
        <f t="shared" si="157"/>
        <v>90232968</v>
      </c>
      <c r="AA202" s="256">
        <f t="array" ref="AA202">MAX((IF(MNU_CODIGO_ALIMENTO_ENTREGA=CONCATENATE($C202,"_","P_"),MNU_GRAMAJE_REQUERIDO_TIPOM,"")))</f>
        <v>30</v>
      </c>
      <c r="AB202" s="259">
        <f t="shared" si="158"/>
        <v>5872</v>
      </c>
      <c r="AC202" s="259">
        <v>0</v>
      </c>
      <c r="AD202" s="259">
        <f t="shared" si="159"/>
        <v>5872</v>
      </c>
      <c r="AE202" s="260">
        <f t="shared" si="160"/>
        <v>1749856</v>
      </c>
      <c r="AF202" s="260">
        <v>0</v>
      </c>
      <c r="AG202" s="260">
        <f t="shared" si="161"/>
        <v>1749856</v>
      </c>
      <c r="AH202" s="348">
        <f t="array" ref="AH202">MAX((IF(MNU_CODIGO_ALIMENTO_ENTREGA=CONCATENATE($C202,"_","P_"),MNU_GRAMAJE_REQUERIDO_TIPOH,"")))</f>
        <v>60</v>
      </c>
      <c r="AI202" s="257">
        <f t="shared" si="162"/>
        <v>6432</v>
      </c>
      <c r="AJ202" s="257">
        <v>0</v>
      </c>
      <c r="AK202" s="257">
        <f t="shared" si="163"/>
        <v>6432</v>
      </c>
      <c r="AL202" s="258">
        <f t="shared" si="164"/>
        <v>3839904</v>
      </c>
      <c r="AM202" s="258">
        <v>0</v>
      </c>
      <c r="AN202" s="258">
        <f t="shared" si="165"/>
        <v>3839904</v>
      </c>
      <c r="AO202" s="451">
        <f t="shared" si="166"/>
        <v>400512</v>
      </c>
      <c r="AP202" s="450">
        <f t="shared" si="167"/>
        <v>157018052</v>
      </c>
      <c r="AQ202" s="261" t="e">
        <f>#REF!+AH202+AA202+T202+M202</f>
        <v>#REF!</v>
      </c>
      <c r="AR202" s="261">
        <f t="shared" si="126"/>
        <v>157247972</v>
      </c>
      <c r="AS202" s="261" t="e">
        <f t="shared" si="127"/>
        <v>#REF!</v>
      </c>
      <c r="AT202" s="261">
        <f t="shared" si="128"/>
        <v>157553032</v>
      </c>
      <c r="AU202" s="261" t="e">
        <f t="shared" si="129"/>
        <v>#REF!</v>
      </c>
      <c r="AV202" s="261">
        <f t="shared" si="130"/>
        <v>192610392</v>
      </c>
      <c r="AW202" s="261" t="e">
        <f t="shared" si="131"/>
        <v>#REF!</v>
      </c>
      <c r="AX202" s="261" t="e">
        <f>AV202+#REF!+AH202+AA202+T202</f>
        <v>#REF!</v>
      </c>
      <c r="AY202" s="261" t="e">
        <f t="shared" si="132"/>
        <v>#REF!</v>
      </c>
      <c r="AZ202" s="261" t="e">
        <f t="shared" si="133"/>
        <v>#REF!</v>
      </c>
      <c r="BA202" s="261" t="e">
        <f t="shared" si="134"/>
        <v>#REF!</v>
      </c>
      <c r="BB202" s="261" t="e">
        <f t="shared" si="135"/>
        <v>#REF!</v>
      </c>
      <c r="BC202" s="261" t="e">
        <f t="shared" si="136"/>
        <v>#REF!</v>
      </c>
      <c r="BD202" s="261" t="e">
        <f t="shared" si="137"/>
        <v>#REF!</v>
      </c>
      <c r="BE202" s="261" t="e">
        <f>BC202+AV202+#REF!+AH202+AA202</f>
        <v>#REF!</v>
      </c>
      <c r="BF202" s="261" t="e">
        <f t="shared" si="138"/>
        <v>#REF!</v>
      </c>
      <c r="BG202" s="261" t="e">
        <f t="shared" si="139"/>
        <v>#REF!</v>
      </c>
    </row>
    <row r="203" spans="1:59" ht="15.75">
      <c r="A203" s="333">
        <v>16</v>
      </c>
      <c r="B203" s="333" t="s">
        <v>1607</v>
      </c>
      <c r="C203" s="256">
        <v>50</v>
      </c>
      <c r="D203" s="322" t="s">
        <v>65</v>
      </c>
      <c r="E203" s="256" t="s">
        <v>9</v>
      </c>
      <c r="F203" s="425">
        <f t="array" ref="F203">MAX((IF(MNU_CODIGO_ALIMENTO_ENTREGA=CONCATENATE($C203,"_","P_"),MNU_GRAMAJE_REQUERIDO_TIPOA,"")))</f>
        <v>30</v>
      </c>
      <c r="G203" s="257">
        <f t="shared" si="140"/>
        <v>81719</v>
      </c>
      <c r="H203" s="257">
        <f t="shared" si="141"/>
        <v>0</v>
      </c>
      <c r="I203" s="257">
        <f t="shared" si="142"/>
        <v>81719</v>
      </c>
      <c r="J203" s="258">
        <f t="shared" si="143"/>
        <v>26231799</v>
      </c>
      <c r="K203" s="258">
        <f t="shared" si="144"/>
        <v>0</v>
      </c>
      <c r="L203" s="258">
        <f t="shared" si="145"/>
        <v>26231799</v>
      </c>
      <c r="M203" s="426">
        <f t="array" ref="M203">MAX((IF(MNU_CODIGO_ALIMENTO_ENTREGA=CONCATENATE($C203,"_","P_"),MNU_GRAMAJE_REQUERIDO_TIPOB,"")))</f>
        <v>40</v>
      </c>
      <c r="N203" s="343">
        <f t="shared" si="146"/>
        <v>115634</v>
      </c>
      <c r="O203" s="343">
        <f t="shared" si="147"/>
        <v>0</v>
      </c>
      <c r="P203" s="343">
        <f t="shared" si="148"/>
        <v>115634</v>
      </c>
      <c r="Q203" s="344">
        <f t="shared" si="149"/>
        <v>49491352</v>
      </c>
      <c r="R203" s="344">
        <f t="shared" si="150"/>
        <v>0</v>
      </c>
      <c r="S203" s="344">
        <f t="shared" si="151"/>
        <v>49491352</v>
      </c>
      <c r="T203" s="348">
        <f t="array" ref="T203">MAX((IF(MNU_CODIGO_ALIMENTO_ENTREGA=CONCATENATE($C203,"_","P_"),MNU_GRAMAJE_REQUERIDO_TIPOC,"")))</f>
        <v>80</v>
      </c>
      <c r="U203" s="257">
        <f t="shared" si="152"/>
        <v>115583</v>
      </c>
      <c r="V203" s="257">
        <f t="shared" si="153"/>
        <v>0</v>
      </c>
      <c r="W203" s="257">
        <f t="shared" si="154"/>
        <v>115583</v>
      </c>
      <c r="X203" s="258">
        <f t="shared" si="155"/>
        <v>98823465</v>
      </c>
      <c r="Y203" s="258">
        <f t="shared" si="156"/>
        <v>0</v>
      </c>
      <c r="Z203" s="258">
        <f t="shared" si="157"/>
        <v>98823465</v>
      </c>
      <c r="AA203" s="256">
        <f t="array" ref="AA203">MAX((IF(MNU_CODIGO_ALIMENTO_ENTREGA=CONCATENATE($C203,"_","P_"),MNU_GRAMAJE_REQUERIDO_TIPOM,"")))</f>
        <v>40</v>
      </c>
      <c r="AB203" s="259">
        <f t="shared" si="158"/>
        <v>6239</v>
      </c>
      <c r="AC203" s="259">
        <v>0</v>
      </c>
      <c r="AD203" s="259">
        <f t="shared" si="159"/>
        <v>6239</v>
      </c>
      <c r="AE203" s="260">
        <f t="shared" si="160"/>
        <v>2670292</v>
      </c>
      <c r="AF203" s="260">
        <v>0</v>
      </c>
      <c r="AG203" s="260">
        <f t="shared" si="161"/>
        <v>2670292</v>
      </c>
      <c r="AH203" s="348">
        <f t="array" ref="AH203">MAX((IF(MNU_CODIGO_ALIMENTO_ENTREGA=CONCATENATE($C203,"_","P_"),MNU_GRAMAJE_REQUERIDO_TIPOH,"")))</f>
        <v>80</v>
      </c>
      <c r="AI203" s="257">
        <f t="shared" si="162"/>
        <v>6834</v>
      </c>
      <c r="AJ203" s="257">
        <v>0</v>
      </c>
      <c r="AK203" s="257">
        <f t="shared" si="163"/>
        <v>6834</v>
      </c>
      <c r="AL203" s="258">
        <f t="shared" si="164"/>
        <v>5843070</v>
      </c>
      <c r="AM203" s="258">
        <v>0</v>
      </c>
      <c r="AN203" s="258">
        <f t="shared" si="165"/>
        <v>5843070</v>
      </c>
      <c r="AO203" s="451">
        <f t="shared" si="166"/>
        <v>326009</v>
      </c>
      <c r="AP203" s="450">
        <f t="shared" si="167"/>
        <v>183059978</v>
      </c>
      <c r="AQ203" s="261" t="e">
        <f>#REF!+AH203+AA203+T203+M203</f>
        <v>#REF!</v>
      </c>
      <c r="AR203" s="261">
        <f t="shared" si="126"/>
        <v>183304268</v>
      </c>
      <c r="AS203" s="261" t="e">
        <f t="shared" si="127"/>
        <v>#REF!</v>
      </c>
      <c r="AT203" s="261">
        <f t="shared" si="128"/>
        <v>183548558</v>
      </c>
      <c r="AU203" s="261" t="e">
        <f t="shared" si="129"/>
        <v>#REF!</v>
      </c>
      <c r="AV203" s="261">
        <f t="shared" si="130"/>
        <v>183548558</v>
      </c>
      <c r="AW203" s="261" t="e">
        <f t="shared" si="131"/>
        <v>#REF!</v>
      </c>
      <c r="AX203" s="261" t="e">
        <f>AV203+#REF!+AH203+AA203+T203</f>
        <v>#REF!</v>
      </c>
      <c r="AY203" s="261" t="e">
        <f t="shared" si="132"/>
        <v>#REF!</v>
      </c>
      <c r="AZ203" s="261" t="e">
        <f t="shared" si="133"/>
        <v>#REF!</v>
      </c>
      <c r="BA203" s="261" t="e">
        <f t="shared" si="134"/>
        <v>#REF!</v>
      </c>
      <c r="BB203" s="261" t="e">
        <f t="shared" si="135"/>
        <v>#REF!</v>
      </c>
      <c r="BC203" s="261" t="e">
        <f t="shared" si="136"/>
        <v>#REF!</v>
      </c>
      <c r="BD203" s="261" t="e">
        <f t="shared" si="137"/>
        <v>#REF!</v>
      </c>
      <c r="BE203" s="261" t="e">
        <f>BC203+AV203+#REF!+AH203+AA203</f>
        <v>#REF!</v>
      </c>
      <c r="BF203" s="261" t="e">
        <f t="shared" si="138"/>
        <v>#REF!</v>
      </c>
      <c r="BG203" s="261" t="e">
        <f t="shared" si="139"/>
        <v>#REF!</v>
      </c>
    </row>
    <row r="204" spans="1:59" ht="15.75">
      <c r="A204" s="333">
        <v>16</v>
      </c>
      <c r="B204" s="333" t="s">
        <v>1607</v>
      </c>
      <c r="C204" s="256">
        <v>61</v>
      </c>
      <c r="D204" s="322" t="s">
        <v>13</v>
      </c>
      <c r="E204" s="256" t="s">
        <v>9</v>
      </c>
      <c r="F204" s="425">
        <f t="array" ref="F204">MAX((IF(MNU_CODIGO_ALIMENTO_ENTREGA=CONCATENATE($C204,"_","P_"),MNU_GRAMAJE_REQUERIDO_TIPOA,"")))</f>
        <v>20</v>
      </c>
      <c r="G204" s="257">
        <f t="shared" si="140"/>
        <v>76912</v>
      </c>
      <c r="H204" s="257">
        <f t="shared" si="141"/>
        <v>18540</v>
      </c>
      <c r="I204" s="257">
        <f t="shared" si="142"/>
        <v>95452</v>
      </c>
      <c r="J204" s="258">
        <f t="shared" si="143"/>
        <v>17920496</v>
      </c>
      <c r="K204" s="258">
        <f t="shared" si="144"/>
        <v>4319820</v>
      </c>
      <c r="L204" s="258">
        <f t="shared" si="145"/>
        <v>22240316</v>
      </c>
      <c r="M204" s="426">
        <f t="array" ref="M204">MAX((IF(MNU_CODIGO_ALIMENTO_ENTREGA=CONCATENATE($C204,"_","P_"),MNU_GRAMAJE_REQUERIDO_TIPOB,"")))</f>
        <v>30</v>
      </c>
      <c r="N204" s="343">
        <f t="shared" si="146"/>
        <v>108832</v>
      </c>
      <c r="O204" s="343">
        <f t="shared" si="147"/>
        <v>32780</v>
      </c>
      <c r="P204" s="343">
        <f t="shared" si="148"/>
        <v>141612</v>
      </c>
      <c r="Q204" s="344">
        <f t="shared" si="149"/>
        <v>38200032</v>
      </c>
      <c r="R204" s="344">
        <f t="shared" si="150"/>
        <v>11505780</v>
      </c>
      <c r="S204" s="344">
        <f t="shared" si="151"/>
        <v>49705812</v>
      </c>
      <c r="T204" s="348">
        <f t="array" ref="T204">MAX((IF(MNU_CODIGO_ALIMENTO_ENTREGA=CONCATENATE($C204,"_","P_"),MNU_GRAMAJE_REQUERIDO_TIPOC,"")))</f>
        <v>70</v>
      </c>
      <c r="U204" s="257">
        <f t="shared" si="152"/>
        <v>108784</v>
      </c>
      <c r="V204" s="257">
        <f t="shared" si="153"/>
        <v>42360</v>
      </c>
      <c r="W204" s="257">
        <f t="shared" si="154"/>
        <v>151144</v>
      </c>
      <c r="X204" s="258">
        <f t="shared" si="155"/>
        <v>88985312</v>
      </c>
      <c r="Y204" s="258">
        <f t="shared" si="156"/>
        <v>34650480</v>
      </c>
      <c r="Z204" s="258">
        <f t="shared" si="157"/>
        <v>123635792</v>
      </c>
      <c r="AA204" s="256">
        <f t="array" ref="AA204">MAX((IF(MNU_CODIGO_ALIMENTO_ENTREGA=CONCATENATE($C204,"_","P_"),MNU_GRAMAJE_REQUERIDO_TIPOM,"")))</f>
        <v>30</v>
      </c>
      <c r="AB204" s="259">
        <f t="shared" si="158"/>
        <v>5872</v>
      </c>
      <c r="AC204" s="259">
        <v>0</v>
      </c>
      <c r="AD204" s="259">
        <f t="shared" si="159"/>
        <v>5872</v>
      </c>
      <c r="AE204" s="260">
        <f t="shared" si="160"/>
        <v>2061072</v>
      </c>
      <c r="AF204" s="260">
        <v>0</v>
      </c>
      <c r="AG204" s="260">
        <f t="shared" si="161"/>
        <v>2061072</v>
      </c>
      <c r="AH204" s="348">
        <f t="array" ref="AH204">MAX((IF(MNU_CODIGO_ALIMENTO_ENTREGA=CONCATENATE($C204,"_","P_"),MNU_GRAMAJE_REQUERIDO_TIPOH,"")))</f>
        <v>70</v>
      </c>
      <c r="AI204" s="257">
        <f t="shared" si="162"/>
        <v>6432</v>
      </c>
      <c r="AJ204" s="257">
        <v>0</v>
      </c>
      <c r="AK204" s="257">
        <f t="shared" si="163"/>
        <v>6432</v>
      </c>
      <c r="AL204" s="258">
        <f t="shared" si="164"/>
        <v>5261376</v>
      </c>
      <c r="AM204" s="258">
        <v>0</v>
      </c>
      <c r="AN204" s="258">
        <f t="shared" si="165"/>
        <v>5261376</v>
      </c>
      <c r="AO204" s="451">
        <f t="shared" si="166"/>
        <v>400512</v>
      </c>
      <c r="AP204" s="450">
        <f t="shared" si="167"/>
        <v>202904368</v>
      </c>
      <c r="AQ204" s="261" t="e">
        <f>#REF!+AH204+AA204+T204+M204</f>
        <v>#REF!</v>
      </c>
      <c r="AR204" s="261">
        <f t="shared" si="126"/>
        <v>203134288</v>
      </c>
      <c r="AS204" s="261" t="e">
        <f t="shared" si="127"/>
        <v>#REF!</v>
      </c>
      <c r="AT204" s="261">
        <f t="shared" si="128"/>
        <v>203439348</v>
      </c>
      <c r="AU204" s="261" t="e">
        <f t="shared" si="129"/>
        <v>#REF!</v>
      </c>
      <c r="AV204" s="261">
        <f t="shared" si="130"/>
        <v>249595608</v>
      </c>
      <c r="AW204" s="261" t="e">
        <f t="shared" si="131"/>
        <v>#REF!</v>
      </c>
      <c r="AX204" s="261" t="e">
        <f>AV204+#REF!+AH204+AA204+T204</f>
        <v>#REF!</v>
      </c>
      <c r="AY204" s="261" t="e">
        <f t="shared" si="132"/>
        <v>#REF!</v>
      </c>
      <c r="AZ204" s="261" t="e">
        <f t="shared" si="133"/>
        <v>#REF!</v>
      </c>
      <c r="BA204" s="261" t="e">
        <f t="shared" si="134"/>
        <v>#REF!</v>
      </c>
      <c r="BB204" s="261" t="e">
        <f t="shared" si="135"/>
        <v>#REF!</v>
      </c>
      <c r="BC204" s="261" t="e">
        <f t="shared" si="136"/>
        <v>#REF!</v>
      </c>
      <c r="BD204" s="261" t="e">
        <f t="shared" si="137"/>
        <v>#REF!</v>
      </c>
      <c r="BE204" s="261" t="e">
        <f>BC204+AV204+#REF!+AH204+AA204</f>
        <v>#REF!</v>
      </c>
      <c r="BF204" s="261" t="e">
        <f t="shared" si="138"/>
        <v>#REF!</v>
      </c>
      <c r="BG204" s="261" t="e">
        <f t="shared" si="139"/>
        <v>#REF!</v>
      </c>
    </row>
    <row r="205" spans="1:59" ht="15.75">
      <c r="A205" s="333">
        <v>16</v>
      </c>
      <c r="B205" s="333" t="s">
        <v>1607</v>
      </c>
      <c r="C205" s="256">
        <v>62</v>
      </c>
      <c r="D205" s="322" t="s">
        <v>68</v>
      </c>
      <c r="E205" s="256" t="s">
        <v>9</v>
      </c>
      <c r="F205" s="425">
        <f t="array" ref="F205">MAX((IF(MNU_CODIGO_ALIMENTO_ENTREGA=CONCATENATE($C205,"_","P_"),MNU_GRAMAJE_REQUERIDO_TIPOA,"")))</f>
        <v>50</v>
      </c>
      <c r="G205" s="257">
        <f t="shared" si="140"/>
        <v>24035</v>
      </c>
      <c r="H205" s="257">
        <f t="shared" si="141"/>
        <v>0</v>
      </c>
      <c r="I205" s="257">
        <f t="shared" si="142"/>
        <v>24035</v>
      </c>
      <c r="J205" s="258">
        <f t="shared" si="143"/>
        <v>15021875</v>
      </c>
      <c r="K205" s="258">
        <f t="shared" si="144"/>
        <v>0</v>
      </c>
      <c r="L205" s="258">
        <f t="shared" si="145"/>
        <v>15021875</v>
      </c>
      <c r="M205" s="426">
        <f t="array" ref="M205">MAX((IF(MNU_CODIGO_ALIMENTO_ENTREGA=CONCATENATE($C205,"_","P_"),MNU_GRAMAJE_REQUERIDO_TIPOB,"")))</f>
        <v>50</v>
      </c>
      <c r="N205" s="343">
        <f t="shared" si="146"/>
        <v>34010</v>
      </c>
      <c r="O205" s="343">
        <f t="shared" si="147"/>
        <v>0</v>
      </c>
      <c r="P205" s="343">
        <f t="shared" si="148"/>
        <v>34010</v>
      </c>
      <c r="Q205" s="344">
        <f t="shared" si="149"/>
        <v>21256250</v>
      </c>
      <c r="R205" s="344">
        <f t="shared" si="150"/>
        <v>0</v>
      </c>
      <c r="S205" s="344">
        <f t="shared" si="151"/>
        <v>21256250</v>
      </c>
      <c r="T205" s="348">
        <f t="array" ref="T205">MAX((IF(MNU_CODIGO_ALIMENTO_ENTREGA=CONCATENATE($C205,"_","P_"),MNU_GRAMAJE_REQUERIDO_TIPOC,"")))</f>
        <v>50</v>
      </c>
      <c r="U205" s="257">
        <f t="shared" si="152"/>
        <v>33995</v>
      </c>
      <c r="V205" s="257">
        <f t="shared" si="153"/>
        <v>0</v>
      </c>
      <c r="W205" s="257">
        <f t="shared" si="154"/>
        <v>33995</v>
      </c>
      <c r="X205" s="258">
        <f t="shared" si="155"/>
        <v>21246875</v>
      </c>
      <c r="Y205" s="258">
        <f t="shared" si="156"/>
        <v>0</v>
      </c>
      <c r="Z205" s="258">
        <f t="shared" si="157"/>
        <v>21246875</v>
      </c>
      <c r="AA205" s="256">
        <f t="array" ref="AA205">MAX((IF(MNU_CODIGO_ALIMENTO_ENTREGA=CONCATENATE($C205,"_","P_"),MNU_GRAMAJE_REQUERIDO_TIPOM,"")))</f>
        <v>50</v>
      </c>
      <c r="AB205" s="259">
        <f t="shared" si="158"/>
        <v>1835</v>
      </c>
      <c r="AC205" s="259">
        <v>0</v>
      </c>
      <c r="AD205" s="259">
        <f t="shared" si="159"/>
        <v>1835</v>
      </c>
      <c r="AE205" s="260">
        <f t="shared" si="160"/>
        <v>1146875</v>
      </c>
      <c r="AF205" s="260">
        <v>0</v>
      </c>
      <c r="AG205" s="260">
        <f t="shared" si="161"/>
        <v>1146875</v>
      </c>
      <c r="AH205" s="348">
        <f t="array" ref="AH205">MAX((IF(MNU_CODIGO_ALIMENTO_ENTREGA=CONCATENATE($C205,"_","P_"),MNU_GRAMAJE_REQUERIDO_TIPOH,"")))</f>
        <v>50</v>
      </c>
      <c r="AI205" s="257">
        <f t="shared" si="162"/>
        <v>2010</v>
      </c>
      <c r="AJ205" s="257">
        <v>0</v>
      </c>
      <c r="AK205" s="257">
        <f t="shared" si="163"/>
        <v>2010</v>
      </c>
      <c r="AL205" s="258">
        <f t="shared" si="164"/>
        <v>1256250</v>
      </c>
      <c r="AM205" s="258">
        <v>0</v>
      </c>
      <c r="AN205" s="258">
        <f t="shared" si="165"/>
        <v>1256250</v>
      </c>
      <c r="AO205" s="451">
        <f t="shared" si="166"/>
        <v>95885</v>
      </c>
      <c r="AP205" s="450">
        <f t="shared" si="167"/>
        <v>59928125</v>
      </c>
      <c r="AQ205" s="261" t="e">
        <f>#REF!+AH205+AA205+T205+M205</f>
        <v>#REF!</v>
      </c>
      <c r="AR205" s="261">
        <f t="shared" si="126"/>
        <v>59999975</v>
      </c>
      <c r="AS205" s="261" t="e">
        <f t="shared" si="127"/>
        <v>#REF!</v>
      </c>
      <c r="AT205" s="261">
        <f t="shared" si="128"/>
        <v>60071825</v>
      </c>
      <c r="AU205" s="261" t="e">
        <f t="shared" si="129"/>
        <v>#REF!</v>
      </c>
      <c r="AV205" s="261">
        <f t="shared" si="130"/>
        <v>60071825</v>
      </c>
      <c r="AW205" s="261" t="e">
        <f t="shared" si="131"/>
        <v>#REF!</v>
      </c>
      <c r="AX205" s="261" t="e">
        <f>AV205+#REF!+AH205+AA205+T205</f>
        <v>#REF!</v>
      </c>
      <c r="AY205" s="261" t="e">
        <f t="shared" si="132"/>
        <v>#REF!</v>
      </c>
      <c r="AZ205" s="261" t="e">
        <f t="shared" si="133"/>
        <v>#REF!</v>
      </c>
      <c r="BA205" s="261" t="e">
        <f t="shared" si="134"/>
        <v>#REF!</v>
      </c>
      <c r="BB205" s="261" t="e">
        <f t="shared" si="135"/>
        <v>#REF!</v>
      </c>
      <c r="BC205" s="261" t="e">
        <f t="shared" si="136"/>
        <v>#REF!</v>
      </c>
      <c r="BD205" s="261" t="e">
        <f t="shared" si="137"/>
        <v>#REF!</v>
      </c>
      <c r="BE205" s="261" t="e">
        <f>BC205+AV205+#REF!+AH205+AA205</f>
        <v>#REF!</v>
      </c>
      <c r="BF205" s="261" t="e">
        <f t="shared" si="138"/>
        <v>#REF!</v>
      </c>
      <c r="BG205" s="261" t="e">
        <f t="shared" si="139"/>
        <v>#REF!</v>
      </c>
    </row>
    <row r="206" spans="1:59" ht="15.75">
      <c r="A206" s="333">
        <v>17</v>
      </c>
      <c r="B206" s="333" t="s">
        <v>1607</v>
      </c>
      <c r="C206" s="256">
        <v>1</v>
      </c>
      <c r="D206" s="322" t="s">
        <v>16</v>
      </c>
      <c r="E206" s="256" t="s">
        <v>9</v>
      </c>
      <c r="F206" s="425">
        <f t="array" ref="F206">MAX((IF(MNU_CODIGO_ALIMENTO_ENTREGA=CONCATENATE($C206,"_","P_"),MNU_GRAMAJE_REQUERIDO_TIPOA,"")))</f>
        <v>30</v>
      </c>
      <c r="G206" s="257">
        <f t="shared" si="140"/>
        <v>84825</v>
      </c>
      <c r="H206" s="257">
        <f t="shared" si="141"/>
        <v>0</v>
      </c>
      <c r="I206" s="257">
        <f t="shared" si="142"/>
        <v>84825</v>
      </c>
      <c r="J206" s="258">
        <f t="shared" si="143"/>
        <v>68538600</v>
      </c>
      <c r="K206" s="258">
        <f t="shared" si="144"/>
        <v>0</v>
      </c>
      <c r="L206" s="258">
        <f t="shared" si="145"/>
        <v>68538600</v>
      </c>
      <c r="M206" s="426">
        <f t="array" ref="M206">MAX((IF(MNU_CODIGO_ALIMENTO_ENTREGA=CONCATENATE($C206,"_","P_"),MNU_GRAMAJE_REQUERIDO_TIPOB,"")))</f>
        <v>40</v>
      </c>
      <c r="N206" s="343">
        <f t="shared" si="146"/>
        <v>116340</v>
      </c>
      <c r="O206" s="343">
        <f t="shared" si="147"/>
        <v>0</v>
      </c>
      <c r="P206" s="343">
        <f t="shared" si="148"/>
        <v>116340</v>
      </c>
      <c r="Q206" s="344">
        <f t="shared" si="149"/>
        <v>125414520</v>
      </c>
      <c r="R206" s="344">
        <f t="shared" si="150"/>
        <v>0</v>
      </c>
      <c r="S206" s="344">
        <f t="shared" si="151"/>
        <v>125414520</v>
      </c>
      <c r="T206" s="348">
        <f t="array" ref="T206">MAX((IF(MNU_CODIGO_ALIMENTO_ENTREGA=CONCATENATE($C206,"_","P_"),MNU_GRAMAJE_REQUERIDO_TIPOC,"")))</f>
        <v>60</v>
      </c>
      <c r="U206" s="257">
        <f t="shared" si="152"/>
        <v>119670</v>
      </c>
      <c r="V206" s="257">
        <f t="shared" si="153"/>
        <v>0</v>
      </c>
      <c r="W206" s="257">
        <f t="shared" si="154"/>
        <v>119670</v>
      </c>
      <c r="X206" s="258">
        <f t="shared" si="155"/>
        <v>193386720</v>
      </c>
      <c r="Y206" s="258">
        <f t="shared" si="156"/>
        <v>0</v>
      </c>
      <c r="Z206" s="258">
        <f t="shared" si="157"/>
        <v>193386720</v>
      </c>
      <c r="AA206" s="256">
        <f t="array" ref="AA206">MAX((IF(MNU_CODIGO_ALIMENTO_ENTREGA=CONCATENATE($C206,"_","P_"),MNU_GRAMAJE_REQUERIDO_TIPOM,"")))</f>
        <v>40</v>
      </c>
      <c r="AB206" s="259">
        <f t="shared" si="158"/>
        <v>4275</v>
      </c>
      <c r="AC206" s="259">
        <v>0</v>
      </c>
      <c r="AD206" s="259">
        <f t="shared" si="159"/>
        <v>4275</v>
      </c>
      <c r="AE206" s="260">
        <f t="shared" si="160"/>
        <v>4608450</v>
      </c>
      <c r="AF206" s="260">
        <v>0</v>
      </c>
      <c r="AG206" s="260">
        <f t="shared" si="161"/>
        <v>4608450</v>
      </c>
      <c r="AH206" s="348">
        <f t="array" ref="AH206">MAX((IF(MNU_CODIGO_ALIMENTO_ENTREGA=CONCATENATE($C206,"_","P_"),MNU_GRAMAJE_REQUERIDO_TIPOH,"")))</f>
        <v>60</v>
      </c>
      <c r="AI206" s="257">
        <f t="shared" si="162"/>
        <v>4410</v>
      </c>
      <c r="AJ206" s="257">
        <v>0</v>
      </c>
      <c r="AK206" s="257">
        <f t="shared" si="163"/>
        <v>4410</v>
      </c>
      <c r="AL206" s="258">
        <f t="shared" si="164"/>
        <v>7126560</v>
      </c>
      <c r="AM206" s="258">
        <v>0</v>
      </c>
      <c r="AN206" s="258">
        <f t="shared" si="165"/>
        <v>7126560</v>
      </c>
      <c r="AO206" s="451">
        <f t="shared" si="166"/>
        <v>329520</v>
      </c>
      <c r="AP206" s="450">
        <f t="shared" si="167"/>
        <v>399074850</v>
      </c>
      <c r="AQ206" s="261" t="e">
        <f>#REF!+AH206+AA206+T206+M206</f>
        <v>#REF!</v>
      </c>
      <c r="AR206" s="261">
        <f t="shared" si="126"/>
        <v>399319545</v>
      </c>
      <c r="AS206" s="261" t="e">
        <f t="shared" si="127"/>
        <v>#REF!</v>
      </c>
      <c r="AT206" s="261">
        <f t="shared" si="128"/>
        <v>399564240</v>
      </c>
      <c r="AU206" s="261" t="e">
        <f t="shared" si="129"/>
        <v>#REF!</v>
      </c>
      <c r="AV206" s="261">
        <f t="shared" si="130"/>
        <v>399564240</v>
      </c>
      <c r="AW206" s="261" t="e">
        <f t="shared" si="131"/>
        <v>#REF!</v>
      </c>
      <c r="AX206" s="261" t="e">
        <f>AV206+#REF!+AH206+AA206+T206</f>
        <v>#REF!</v>
      </c>
      <c r="AY206" s="261" t="e">
        <f t="shared" si="132"/>
        <v>#REF!</v>
      </c>
      <c r="AZ206" s="261" t="e">
        <f t="shared" si="133"/>
        <v>#REF!</v>
      </c>
      <c r="BA206" s="261" t="e">
        <f t="shared" si="134"/>
        <v>#REF!</v>
      </c>
      <c r="BB206" s="261" t="e">
        <f t="shared" si="135"/>
        <v>#REF!</v>
      </c>
      <c r="BC206" s="261" t="e">
        <f t="shared" si="136"/>
        <v>#REF!</v>
      </c>
      <c r="BD206" s="261" t="e">
        <f t="shared" si="137"/>
        <v>#REF!</v>
      </c>
      <c r="BE206" s="261" t="e">
        <f>BC206+AV206+#REF!+AH206+AA206</f>
        <v>#REF!</v>
      </c>
      <c r="BF206" s="261" t="e">
        <f t="shared" si="138"/>
        <v>#REF!</v>
      </c>
      <c r="BG206" s="261" t="e">
        <f t="shared" si="139"/>
        <v>#REF!</v>
      </c>
    </row>
    <row r="207" spans="1:59" ht="15.75">
      <c r="A207" s="333">
        <v>17</v>
      </c>
      <c r="B207" s="333" t="s">
        <v>1607</v>
      </c>
      <c r="C207" s="256">
        <v>3</v>
      </c>
      <c r="D207" s="322" t="s">
        <v>12</v>
      </c>
      <c r="E207" s="256" t="s">
        <v>9</v>
      </c>
      <c r="F207" s="425">
        <f t="array" ref="F207">MAX((IF(MNU_CODIGO_ALIMENTO_ENTREGA=CONCATENATE($C207,"_","P_"),MNU_GRAMAJE_REQUERIDO_TIPOA,"")))</f>
        <v>50</v>
      </c>
      <c r="G207" s="257">
        <f t="shared" si="140"/>
        <v>96135</v>
      </c>
      <c r="H207" s="257">
        <f t="shared" si="141"/>
        <v>22781</v>
      </c>
      <c r="I207" s="257">
        <f t="shared" si="142"/>
        <v>118916</v>
      </c>
      <c r="J207" s="258">
        <f t="shared" si="143"/>
        <v>48548175</v>
      </c>
      <c r="K207" s="258">
        <f t="shared" si="144"/>
        <v>11504405</v>
      </c>
      <c r="L207" s="258">
        <f t="shared" si="145"/>
        <v>60052580</v>
      </c>
      <c r="M207" s="426">
        <f t="array" ref="M207">MAX((IF(MNU_CODIGO_ALIMENTO_ENTREGA=CONCATENATE($C207,"_","P_"),MNU_GRAMAJE_REQUERIDO_TIPOB,"")))</f>
        <v>50</v>
      </c>
      <c r="N207" s="343">
        <f t="shared" si="146"/>
        <v>131852</v>
      </c>
      <c r="O207" s="343">
        <f t="shared" si="147"/>
        <v>31996</v>
      </c>
      <c r="P207" s="343">
        <f t="shared" si="148"/>
        <v>163848</v>
      </c>
      <c r="Q207" s="344">
        <f t="shared" si="149"/>
        <v>66585260</v>
      </c>
      <c r="R207" s="344">
        <f t="shared" si="150"/>
        <v>16157980</v>
      </c>
      <c r="S207" s="344">
        <f t="shared" si="151"/>
        <v>82743240</v>
      </c>
      <c r="T207" s="348">
        <f t="array" ref="T207">MAX((IF(MNU_CODIGO_ALIMENTO_ENTREGA=CONCATENATE($C207,"_","P_"),MNU_GRAMAJE_REQUERIDO_TIPOC,"")))</f>
        <v>80</v>
      </c>
      <c r="U207" s="257">
        <f t="shared" si="152"/>
        <v>135626</v>
      </c>
      <c r="V207" s="257">
        <f t="shared" si="153"/>
        <v>31369</v>
      </c>
      <c r="W207" s="257">
        <f t="shared" si="154"/>
        <v>166995</v>
      </c>
      <c r="X207" s="258">
        <f t="shared" si="155"/>
        <v>103482638</v>
      </c>
      <c r="Y207" s="258">
        <f t="shared" si="156"/>
        <v>23934547</v>
      </c>
      <c r="Z207" s="258">
        <f t="shared" si="157"/>
        <v>127417185</v>
      </c>
      <c r="AA207" s="256">
        <f t="array" ref="AA207">MAX((IF(MNU_CODIGO_ALIMENTO_ENTREGA=CONCATENATE($C207,"_","P_"),MNU_GRAMAJE_REQUERIDO_TIPOM,"")))</f>
        <v>50</v>
      </c>
      <c r="AB207" s="259">
        <f t="shared" si="158"/>
        <v>4845</v>
      </c>
      <c r="AC207" s="259">
        <v>0</v>
      </c>
      <c r="AD207" s="259">
        <f t="shared" si="159"/>
        <v>4845</v>
      </c>
      <c r="AE207" s="260">
        <f t="shared" si="160"/>
        <v>2446725</v>
      </c>
      <c r="AF207" s="260">
        <v>0</v>
      </c>
      <c r="AG207" s="260">
        <f t="shared" si="161"/>
        <v>2446725</v>
      </c>
      <c r="AH207" s="348">
        <f t="array" ref="AH207">MAX((IF(MNU_CODIGO_ALIMENTO_ENTREGA=CONCATENATE($C207,"_","P_"),MNU_GRAMAJE_REQUERIDO_TIPOH,"")))</f>
        <v>80</v>
      </c>
      <c r="AI207" s="257">
        <f t="shared" si="162"/>
        <v>4998</v>
      </c>
      <c r="AJ207" s="257">
        <v>0</v>
      </c>
      <c r="AK207" s="257">
        <f t="shared" si="163"/>
        <v>4998</v>
      </c>
      <c r="AL207" s="258">
        <f t="shared" si="164"/>
        <v>3813474</v>
      </c>
      <c r="AM207" s="258">
        <v>0</v>
      </c>
      <c r="AN207" s="258">
        <f t="shared" si="165"/>
        <v>3813474</v>
      </c>
      <c r="AO207" s="451">
        <f t="shared" si="166"/>
        <v>459602</v>
      </c>
      <c r="AP207" s="450">
        <f t="shared" si="167"/>
        <v>276473204</v>
      </c>
      <c r="AQ207" s="261" t="e">
        <f>#REF!+AH207+AA207+T207+M207</f>
        <v>#REF!</v>
      </c>
      <c r="AR207" s="261">
        <f t="shared" si="126"/>
        <v>276750525</v>
      </c>
      <c r="AS207" s="261" t="e">
        <f t="shared" si="127"/>
        <v>#REF!</v>
      </c>
      <c r="AT207" s="261">
        <f t="shared" si="128"/>
        <v>277091211</v>
      </c>
      <c r="AU207" s="261" t="e">
        <f t="shared" si="129"/>
        <v>#REF!</v>
      </c>
      <c r="AV207" s="261">
        <f t="shared" si="130"/>
        <v>317183738</v>
      </c>
      <c r="AW207" s="261" t="e">
        <f t="shared" si="131"/>
        <v>#REF!</v>
      </c>
      <c r="AX207" s="261" t="e">
        <f>AV207+#REF!+AH207+AA207+T207</f>
        <v>#REF!</v>
      </c>
      <c r="AY207" s="261" t="e">
        <f t="shared" si="132"/>
        <v>#REF!</v>
      </c>
      <c r="AZ207" s="261" t="e">
        <f t="shared" si="133"/>
        <v>#REF!</v>
      </c>
      <c r="BA207" s="261" t="e">
        <f t="shared" si="134"/>
        <v>#REF!</v>
      </c>
      <c r="BB207" s="261" t="e">
        <f t="shared" si="135"/>
        <v>#REF!</v>
      </c>
      <c r="BC207" s="261" t="e">
        <f t="shared" si="136"/>
        <v>#REF!</v>
      </c>
      <c r="BD207" s="261" t="e">
        <f t="shared" si="137"/>
        <v>#REF!</v>
      </c>
      <c r="BE207" s="261" t="e">
        <f>BC207+AV207+#REF!+AH207+AA207</f>
        <v>#REF!</v>
      </c>
      <c r="BF207" s="261" t="e">
        <f t="shared" si="138"/>
        <v>#REF!</v>
      </c>
      <c r="BG207" s="261" t="e">
        <f t="shared" si="139"/>
        <v>#REF!</v>
      </c>
    </row>
    <row r="208" spans="1:59" ht="15.75">
      <c r="A208" s="333">
        <v>17</v>
      </c>
      <c r="B208" s="333" t="s">
        <v>1607</v>
      </c>
      <c r="C208" s="256">
        <v>15</v>
      </c>
      <c r="D208" s="322" t="s">
        <v>66</v>
      </c>
      <c r="E208" s="256" t="s">
        <v>9</v>
      </c>
      <c r="F208" s="425">
        <f t="array" ref="F208">MAX((IF(MNU_CODIGO_ALIMENTO_ENTREGA=CONCATENATE($C208,"_","P_"),MNU_GRAMAJE_REQUERIDO_TIPOA,"")))</f>
        <v>50</v>
      </c>
      <c r="G208" s="257">
        <f t="shared" si="140"/>
        <v>96135</v>
      </c>
      <c r="H208" s="257">
        <f t="shared" si="141"/>
        <v>13189</v>
      </c>
      <c r="I208" s="257">
        <f t="shared" si="142"/>
        <v>109324</v>
      </c>
      <c r="J208" s="258">
        <f t="shared" si="143"/>
        <v>64698855</v>
      </c>
      <c r="K208" s="258">
        <f t="shared" si="144"/>
        <v>8876197</v>
      </c>
      <c r="L208" s="258">
        <f t="shared" si="145"/>
        <v>73575052</v>
      </c>
      <c r="M208" s="426">
        <f t="array" ref="M208">MAX((IF(MNU_CODIGO_ALIMENTO_ENTREGA=CONCATENATE($C208,"_","P_"),MNU_GRAMAJE_REQUERIDO_TIPOB,"")))</f>
        <v>50</v>
      </c>
      <c r="N208" s="343">
        <f t="shared" si="146"/>
        <v>131852</v>
      </c>
      <c r="O208" s="343">
        <f t="shared" si="147"/>
        <v>18524</v>
      </c>
      <c r="P208" s="343">
        <f t="shared" si="148"/>
        <v>150376</v>
      </c>
      <c r="Q208" s="344">
        <f t="shared" si="149"/>
        <v>88736396</v>
      </c>
      <c r="R208" s="344">
        <f t="shared" si="150"/>
        <v>12466652</v>
      </c>
      <c r="S208" s="344">
        <f t="shared" si="151"/>
        <v>101203048</v>
      </c>
      <c r="T208" s="348">
        <f t="array" ref="T208">MAX((IF(MNU_CODIGO_ALIMENTO_ENTREGA=CONCATENATE($C208,"_","P_"),MNU_GRAMAJE_REQUERIDO_TIPOC,"")))</f>
        <v>80</v>
      </c>
      <c r="U208" s="257">
        <f t="shared" si="152"/>
        <v>135626</v>
      </c>
      <c r="V208" s="257">
        <f t="shared" si="153"/>
        <v>18161</v>
      </c>
      <c r="W208" s="257">
        <f t="shared" si="154"/>
        <v>153787</v>
      </c>
      <c r="X208" s="258">
        <f t="shared" si="155"/>
        <v>145933576</v>
      </c>
      <c r="Y208" s="258">
        <f t="shared" si="156"/>
        <v>19541236</v>
      </c>
      <c r="Z208" s="258">
        <f t="shared" si="157"/>
        <v>165474812</v>
      </c>
      <c r="AA208" s="256">
        <f t="array" ref="AA208">MAX((IF(MNU_CODIGO_ALIMENTO_ENTREGA=CONCATENATE($C208,"_","P_"),MNU_GRAMAJE_REQUERIDO_TIPOM,"")))</f>
        <v>50</v>
      </c>
      <c r="AB208" s="259">
        <f t="shared" si="158"/>
        <v>4845</v>
      </c>
      <c r="AC208" s="259">
        <v>0</v>
      </c>
      <c r="AD208" s="259">
        <f t="shared" si="159"/>
        <v>4845</v>
      </c>
      <c r="AE208" s="260">
        <f t="shared" si="160"/>
        <v>3260685</v>
      </c>
      <c r="AF208" s="260">
        <v>0</v>
      </c>
      <c r="AG208" s="260">
        <f t="shared" si="161"/>
        <v>3260685</v>
      </c>
      <c r="AH208" s="348">
        <f t="array" ref="AH208">MAX((IF(MNU_CODIGO_ALIMENTO_ENTREGA=CONCATENATE($C208,"_","P_"),MNU_GRAMAJE_REQUERIDO_TIPOH,"")))</f>
        <v>80</v>
      </c>
      <c r="AI208" s="257">
        <f t="shared" si="162"/>
        <v>4998</v>
      </c>
      <c r="AJ208" s="257">
        <v>0</v>
      </c>
      <c r="AK208" s="257">
        <f t="shared" si="163"/>
        <v>4998</v>
      </c>
      <c r="AL208" s="258">
        <f t="shared" si="164"/>
        <v>5377848</v>
      </c>
      <c r="AM208" s="258">
        <v>0</v>
      </c>
      <c r="AN208" s="258">
        <f t="shared" si="165"/>
        <v>5377848</v>
      </c>
      <c r="AO208" s="451">
        <f t="shared" si="166"/>
        <v>423330</v>
      </c>
      <c r="AP208" s="450">
        <f t="shared" si="167"/>
        <v>348891445</v>
      </c>
      <c r="AQ208" s="261" t="e">
        <f>#REF!+AH208+AA208+T208+M208</f>
        <v>#REF!</v>
      </c>
      <c r="AR208" s="261">
        <f t="shared" si="126"/>
        <v>349168766</v>
      </c>
      <c r="AS208" s="261" t="e">
        <f t="shared" si="127"/>
        <v>#REF!</v>
      </c>
      <c r="AT208" s="261">
        <f t="shared" si="128"/>
        <v>349482772</v>
      </c>
      <c r="AU208" s="261" t="e">
        <f t="shared" si="129"/>
        <v>#REF!</v>
      </c>
      <c r="AV208" s="261">
        <f t="shared" si="130"/>
        <v>381490660</v>
      </c>
      <c r="AW208" s="261" t="e">
        <f t="shared" si="131"/>
        <v>#REF!</v>
      </c>
      <c r="AX208" s="261" t="e">
        <f>AV208+#REF!+AH208+AA208+T208</f>
        <v>#REF!</v>
      </c>
      <c r="AY208" s="261" t="e">
        <f t="shared" si="132"/>
        <v>#REF!</v>
      </c>
      <c r="AZ208" s="261" t="e">
        <f t="shared" si="133"/>
        <v>#REF!</v>
      </c>
      <c r="BA208" s="261" t="e">
        <f t="shared" si="134"/>
        <v>#REF!</v>
      </c>
      <c r="BB208" s="261" t="e">
        <f t="shared" si="135"/>
        <v>#REF!</v>
      </c>
      <c r="BC208" s="261" t="e">
        <f t="shared" si="136"/>
        <v>#REF!</v>
      </c>
      <c r="BD208" s="261" t="e">
        <f t="shared" si="137"/>
        <v>#REF!</v>
      </c>
      <c r="BE208" s="261" t="e">
        <f>BC208+AV208+#REF!+AH208+AA208</f>
        <v>#REF!</v>
      </c>
      <c r="BF208" s="261" t="e">
        <f t="shared" si="138"/>
        <v>#REF!</v>
      </c>
      <c r="BG208" s="261" t="e">
        <f t="shared" si="139"/>
        <v>#REF!</v>
      </c>
    </row>
    <row r="209" spans="1:59" ht="15.75">
      <c r="A209" s="333">
        <v>17</v>
      </c>
      <c r="B209" s="333" t="s">
        <v>1607</v>
      </c>
      <c r="C209" s="256">
        <v>24</v>
      </c>
      <c r="D209" s="322" t="s">
        <v>61</v>
      </c>
      <c r="E209" s="256" t="s">
        <v>9</v>
      </c>
      <c r="F209" s="425">
        <f t="array" ref="F209">MAX((IF(MNU_CODIGO_ALIMENTO_ENTREGA=CONCATENATE($C209,"_","P_"),MNU_GRAMAJE_REQUERIDO_TIPOA,"")))</f>
        <v>20</v>
      </c>
      <c r="G209" s="257">
        <f t="shared" si="140"/>
        <v>96135</v>
      </c>
      <c r="H209" s="257">
        <f t="shared" si="141"/>
        <v>13189</v>
      </c>
      <c r="I209" s="257">
        <f t="shared" si="142"/>
        <v>109324</v>
      </c>
      <c r="J209" s="258">
        <f t="shared" si="143"/>
        <v>12305280</v>
      </c>
      <c r="K209" s="258">
        <f t="shared" si="144"/>
        <v>1688192</v>
      </c>
      <c r="L209" s="258">
        <f t="shared" si="145"/>
        <v>13993472</v>
      </c>
      <c r="M209" s="426">
        <f t="array" ref="M209">MAX((IF(MNU_CODIGO_ALIMENTO_ENTREGA=CONCATENATE($C209,"_","P_"),MNU_GRAMAJE_REQUERIDO_TIPOB,"")))</f>
        <v>30</v>
      </c>
      <c r="N209" s="343">
        <f t="shared" si="146"/>
        <v>131852</v>
      </c>
      <c r="O209" s="343">
        <f t="shared" si="147"/>
        <v>18524</v>
      </c>
      <c r="P209" s="343">
        <f t="shared" si="148"/>
        <v>150376</v>
      </c>
      <c r="Q209" s="344">
        <f t="shared" si="149"/>
        <v>26370400</v>
      </c>
      <c r="R209" s="344">
        <f t="shared" si="150"/>
        <v>3704800</v>
      </c>
      <c r="S209" s="344">
        <f t="shared" si="151"/>
        <v>30075200</v>
      </c>
      <c r="T209" s="348">
        <f t="array" ref="T209">MAX((IF(MNU_CODIGO_ALIMENTO_ENTREGA=CONCATENATE($C209,"_","P_"),MNU_GRAMAJE_REQUERIDO_TIPOC,"")))</f>
        <v>60</v>
      </c>
      <c r="U209" s="257">
        <f t="shared" si="152"/>
        <v>135626</v>
      </c>
      <c r="V209" s="257">
        <f t="shared" si="153"/>
        <v>18161</v>
      </c>
      <c r="W209" s="257">
        <f t="shared" si="154"/>
        <v>153787</v>
      </c>
      <c r="X209" s="258">
        <f t="shared" si="155"/>
        <v>52216010</v>
      </c>
      <c r="Y209" s="258">
        <f t="shared" si="156"/>
        <v>6991985</v>
      </c>
      <c r="Z209" s="258">
        <f t="shared" si="157"/>
        <v>59207995</v>
      </c>
      <c r="AA209" s="256">
        <f t="array" ref="AA209">MAX((IF(MNU_CODIGO_ALIMENTO_ENTREGA=CONCATENATE($C209,"_","P_"),MNU_GRAMAJE_REQUERIDO_TIPOM,"")))</f>
        <v>30</v>
      </c>
      <c r="AB209" s="259">
        <f t="shared" si="158"/>
        <v>4845</v>
      </c>
      <c r="AC209" s="259">
        <v>0</v>
      </c>
      <c r="AD209" s="259">
        <f t="shared" si="159"/>
        <v>4845</v>
      </c>
      <c r="AE209" s="260">
        <f t="shared" si="160"/>
        <v>969000</v>
      </c>
      <c r="AF209" s="260">
        <v>0</v>
      </c>
      <c r="AG209" s="260">
        <f t="shared" si="161"/>
        <v>969000</v>
      </c>
      <c r="AH209" s="348">
        <f t="array" ref="AH209">MAX((IF(MNU_CODIGO_ALIMENTO_ENTREGA=CONCATENATE($C209,"_","P_"),MNU_GRAMAJE_REQUERIDO_TIPOH,"")))</f>
        <v>60</v>
      </c>
      <c r="AI209" s="257">
        <f t="shared" si="162"/>
        <v>4998</v>
      </c>
      <c r="AJ209" s="257">
        <v>0</v>
      </c>
      <c r="AK209" s="257">
        <f t="shared" si="163"/>
        <v>4998</v>
      </c>
      <c r="AL209" s="258">
        <f t="shared" si="164"/>
        <v>1924230</v>
      </c>
      <c r="AM209" s="258">
        <v>0</v>
      </c>
      <c r="AN209" s="258">
        <f t="shared" si="165"/>
        <v>1924230</v>
      </c>
      <c r="AO209" s="451">
        <f t="shared" si="166"/>
        <v>423330</v>
      </c>
      <c r="AP209" s="450">
        <f t="shared" si="167"/>
        <v>106169897</v>
      </c>
      <c r="AQ209" s="261" t="e">
        <f>#REF!+AH209+AA209+T209+M209</f>
        <v>#REF!</v>
      </c>
      <c r="AR209" s="261">
        <f t="shared" si="126"/>
        <v>106447218</v>
      </c>
      <c r="AS209" s="261" t="e">
        <f t="shared" si="127"/>
        <v>#REF!</v>
      </c>
      <c r="AT209" s="261">
        <f t="shared" si="128"/>
        <v>106761224</v>
      </c>
      <c r="AU209" s="261" t="e">
        <f t="shared" si="129"/>
        <v>#REF!</v>
      </c>
      <c r="AV209" s="261">
        <f t="shared" si="130"/>
        <v>117458009</v>
      </c>
      <c r="AW209" s="261" t="e">
        <f t="shared" si="131"/>
        <v>#REF!</v>
      </c>
      <c r="AX209" s="261" t="e">
        <f>AV209+#REF!+AH209+AA209+T209</f>
        <v>#REF!</v>
      </c>
      <c r="AY209" s="261" t="e">
        <f t="shared" si="132"/>
        <v>#REF!</v>
      </c>
      <c r="AZ209" s="261" t="e">
        <f t="shared" si="133"/>
        <v>#REF!</v>
      </c>
      <c r="BA209" s="261" t="e">
        <f t="shared" si="134"/>
        <v>#REF!</v>
      </c>
      <c r="BB209" s="261" t="e">
        <f t="shared" si="135"/>
        <v>#REF!</v>
      </c>
      <c r="BC209" s="261" t="e">
        <f t="shared" si="136"/>
        <v>#REF!</v>
      </c>
      <c r="BD209" s="261" t="e">
        <f t="shared" si="137"/>
        <v>#REF!</v>
      </c>
      <c r="BE209" s="261" t="e">
        <f>BC209+AV209+#REF!+AH209+AA209</f>
        <v>#REF!</v>
      </c>
      <c r="BF209" s="261" t="e">
        <f t="shared" si="138"/>
        <v>#REF!</v>
      </c>
      <c r="BG209" s="261" t="e">
        <f t="shared" si="139"/>
        <v>#REF!</v>
      </c>
    </row>
    <row r="210" spans="1:59" ht="15.75">
      <c r="A210" s="333">
        <v>17</v>
      </c>
      <c r="B210" s="333" t="s">
        <v>1607</v>
      </c>
      <c r="C210" s="256">
        <v>25</v>
      </c>
      <c r="D210" s="322" t="s">
        <v>64</v>
      </c>
      <c r="E210" s="256" t="s">
        <v>9</v>
      </c>
      <c r="F210" s="425">
        <f t="array" ref="F210">MAX((IF(MNU_CODIGO_ALIMENTO_ENTREGA=CONCATENATE($C210,"_","P_"),MNU_GRAMAJE_REQUERIDO_TIPOA,"")))</f>
        <v>40</v>
      </c>
      <c r="G210" s="257">
        <f t="shared" si="140"/>
        <v>96135</v>
      </c>
      <c r="H210" s="257">
        <f t="shared" si="141"/>
        <v>26378</v>
      </c>
      <c r="I210" s="257">
        <f t="shared" si="142"/>
        <v>122513</v>
      </c>
      <c r="J210" s="258">
        <f t="shared" si="143"/>
        <v>24610560</v>
      </c>
      <c r="K210" s="258">
        <f t="shared" si="144"/>
        <v>6752768</v>
      </c>
      <c r="L210" s="258">
        <f t="shared" si="145"/>
        <v>31363328</v>
      </c>
      <c r="M210" s="426">
        <f t="array" ref="M210">MAX((IF(MNU_CODIGO_ALIMENTO_ENTREGA=CONCATENATE($C210,"_","P_"),MNU_GRAMAJE_REQUERIDO_TIPOB,"")))</f>
        <v>40</v>
      </c>
      <c r="N210" s="343">
        <f t="shared" si="146"/>
        <v>131852</v>
      </c>
      <c r="O210" s="343">
        <f t="shared" si="147"/>
        <v>37048</v>
      </c>
      <c r="P210" s="343">
        <f t="shared" si="148"/>
        <v>168900</v>
      </c>
      <c r="Q210" s="344">
        <f t="shared" si="149"/>
        <v>33754112</v>
      </c>
      <c r="R210" s="344">
        <f t="shared" si="150"/>
        <v>9484288</v>
      </c>
      <c r="S210" s="344">
        <f t="shared" si="151"/>
        <v>43238400</v>
      </c>
      <c r="T210" s="348">
        <f t="array" ref="T210">MAX((IF(MNU_CODIGO_ALIMENTO_ENTREGA=CONCATENATE($C210,"_","P_"),MNU_GRAMAJE_REQUERIDO_TIPOC,"")))</f>
        <v>60</v>
      </c>
      <c r="U210" s="257">
        <f t="shared" si="152"/>
        <v>135626</v>
      </c>
      <c r="V210" s="257">
        <f t="shared" si="153"/>
        <v>36322</v>
      </c>
      <c r="W210" s="257">
        <f t="shared" si="154"/>
        <v>171948</v>
      </c>
      <c r="X210" s="258">
        <f t="shared" si="155"/>
        <v>52080384</v>
      </c>
      <c r="Y210" s="258">
        <f t="shared" si="156"/>
        <v>13947648</v>
      </c>
      <c r="Z210" s="258">
        <f t="shared" si="157"/>
        <v>66028032</v>
      </c>
      <c r="AA210" s="256">
        <f t="array" ref="AA210">MAX((IF(MNU_CODIGO_ALIMENTO_ENTREGA=CONCATENATE($C210,"_","P_"),MNU_GRAMAJE_REQUERIDO_TIPOM,"")))</f>
        <v>40</v>
      </c>
      <c r="AB210" s="259">
        <f t="shared" si="158"/>
        <v>4845</v>
      </c>
      <c r="AC210" s="259">
        <v>0</v>
      </c>
      <c r="AD210" s="259">
        <f t="shared" si="159"/>
        <v>4845</v>
      </c>
      <c r="AE210" s="260">
        <f t="shared" si="160"/>
        <v>1240320</v>
      </c>
      <c r="AF210" s="260">
        <v>0</v>
      </c>
      <c r="AG210" s="260">
        <f t="shared" si="161"/>
        <v>1240320</v>
      </c>
      <c r="AH210" s="348">
        <f t="array" ref="AH210">MAX((IF(MNU_CODIGO_ALIMENTO_ENTREGA=CONCATENATE($C210,"_","P_"),MNU_GRAMAJE_REQUERIDO_TIPOH,"")))</f>
        <v>60</v>
      </c>
      <c r="AI210" s="257">
        <f t="shared" si="162"/>
        <v>4998</v>
      </c>
      <c r="AJ210" s="257">
        <v>0</v>
      </c>
      <c r="AK210" s="257">
        <f t="shared" si="163"/>
        <v>4998</v>
      </c>
      <c r="AL210" s="258">
        <f t="shared" si="164"/>
        <v>1919232</v>
      </c>
      <c r="AM210" s="258">
        <v>0</v>
      </c>
      <c r="AN210" s="258">
        <f t="shared" si="165"/>
        <v>1919232</v>
      </c>
      <c r="AO210" s="451">
        <f t="shared" si="166"/>
        <v>473204</v>
      </c>
      <c r="AP210" s="450">
        <f t="shared" si="167"/>
        <v>143789312</v>
      </c>
      <c r="AQ210" s="261" t="e">
        <f>#REF!+AH210+AA210+T210+M210</f>
        <v>#REF!</v>
      </c>
      <c r="AR210" s="261">
        <f t="shared" si="126"/>
        <v>144066633</v>
      </c>
      <c r="AS210" s="261" t="e">
        <f t="shared" si="127"/>
        <v>#REF!</v>
      </c>
      <c r="AT210" s="261">
        <f t="shared" si="128"/>
        <v>144417324</v>
      </c>
      <c r="AU210" s="261" t="e">
        <f t="shared" si="129"/>
        <v>#REF!</v>
      </c>
      <c r="AV210" s="261">
        <f t="shared" si="130"/>
        <v>167849260</v>
      </c>
      <c r="AW210" s="261" t="e">
        <f t="shared" si="131"/>
        <v>#REF!</v>
      </c>
      <c r="AX210" s="261" t="e">
        <f>AV210+#REF!+AH210+AA210+T210</f>
        <v>#REF!</v>
      </c>
      <c r="AY210" s="261" t="e">
        <f t="shared" si="132"/>
        <v>#REF!</v>
      </c>
      <c r="AZ210" s="261" t="e">
        <f t="shared" si="133"/>
        <v>#REF!</v>
      </c>
      <c r="BA210" s="261" t="e">
        <f t="shared" si="134"/>
        <v>#REF!</v>
      </c>
      <c r="BB210" s="261" t="e">
        <f t="shared" si="135"/>
        <v>#REF!</v>
      </c>
      <c r="BC210" s="261" t="e">
        <f t="shared" si="136"/>
        <v>#REF!</v>
      </c>
      <c r="BD210" s="261" t="e">
        <f t="shared" si="137"/>
        <v>#REF!</v>
      </c>
      <c r="BE210" s="261" t="e">
        <f>BC210+AV210+#REF!+AH210+AA210</f>
        <v>#REF!</v>
      </c>
      <c r="BF210" s="261" t="e">
        <f t="shared" si="138"/>
        <v>#REF!</v>
      </c>
      <c r="BG210" s="261" t="e">
        <f t="shared" si="139"/>
        <v>#REF!</v>
      </c>
    </row>
    <row r="211" spans="1:59" ht="15.75">
      <c r="A211" s="333">
        <v>17</v>
      </c>
      <c r="B211" s="333" t="s">
        <v>1607</v>
      </c>
      <c r="C211" s="256">
        <v>26</v>
      </c>
      <c r="D211" s="322" t="s">
        <v>69</v>
      </c>
      <c r="E211" s="256" t="s">
        <v>9</v>
      </c>
      <c r="F211" s="425">
        <f t="array" ref="F211">MAX((IF(MNU_CODIGO_ALIMENTO_ENTREGA=CONCATENATE($C211,"_","P_"),MNU_GRAMAJE_REQUERIDO_TIPOA,"")))</f>
        <v>30</v>
      </c>
      <c r="G211" s="257">
        <f t="shared" si="140"/>
        <v>33930</v>
      </c>
      <c r="H211" s="257">
        <f t="shared" si="141"/>
        <v>0</v>
      </c>
      <c r="I211" s="257">
        <f t="shared" si="142"/>
        <v>33930</v>
      </c>
      <c r="J211" s="258">
        <f t="shared" si="143"/>
        <v>5802030</v>
      </c>
      <c r="K211" s="258">
        <f t="shared" si="144"/>
        <v>0</v>
      </c>
      <c r="L211" s="258">
        <f t="shared" si="145"/>
        <v>5802030</v>
      </c>
      <c r="M211" s="426">
        <f t="array" ref="M211">MAX((IF(MNU_CODIGO_ALIMENTO_ENTREGA=CONCATENATE($C211,"_","P_"),MNU_GRAMAJE_REQUERIDO_TIPOB,"")))</f>
        <v>30</v>
      </c>
      <c r="N211" s="343">
        <f t="shared" si="146"/>
        <v>46536</v>
      </c>
      <c r="O211" s="343">
        <f t="shared" si="147"/>
        <v>0</v>
      </c>
      <c r="P211" s="343">
        <f t="shared" si="148"/>
        <v>46536</v>
      </c>
      <c r="Q211" s="344">
        <f t="shared" si="149"/>
        <v>7957656</v>
      </c>
      <c r="R211" s="344">
        <f t="shared" si="150"/>
        <v>0</v>
      </c>
      <c r="S211" s="344">
        <f t="shared" si="151"/>
        <v>7957656</v>
      </c>
      <c r="T211" s="348">
        <f t="array" ref="T211">MAX((IF(MNU_CODIGO_ALIMENTO_ENTREGA=CONCATENATE($C211,"_","P_"),MNU_GRAMAJE_REQUERIDO_TIPOC,"")))</f>
        <v>30</v>
      </c>
      <c r="U211" s="257">
        <f t="shared" si="152"/>
        <v>47868</v>
      </c>
      <c r="V211" s="257">
        <f t="shared" si="153"/>
        <v>0</v>
      </c>
      <c r="W211" s="257">
        <f t="shared" si="154"/>
        <v>47868</v>
      </c>
      <c r="X211" s="258">
        <f t="shared" si="155"/>
        <v>8185428</v>
      </c>
      <c r="Y211" s="258">
        <f t="shared" si="156"/>
        <v>0</v>
      </c>
      <c r="Z211" s="258">
        <f t="shared" si="157"/>
        <v>8185428</v>
      </c>
      <c r="AA211" s="256">
        <f t="array" ref="AA211">MAX((IF(MNU_CODIGO_ALIMENTO_ENTREGA=CONCATENATE($C211,"_","P_"),MNU_GRAMAJE_REQUERIDO_TIPOM,"")))</f>
        <v>30</v>
      </c>
      <c r="AB211" s="259">
        <f t="shared" si="158"/>
        <v>1710</v>
      </c>
      <c r="AC211" s="259">
        <v>0</v>
      </c>
      <c r="AD211" s="259">
        <f t="shared" si="159"/>
        <v>1710</v>
      </c>
      <c r="AE211" s="260">
        <f t="shared" si="160"/>
        <v>292410</v>
      </c>
      <c r="AF211" s="260">
        <v>0</v>
      </c>
      <c r="AG211" s="260">
        <f t="shared" si="161"/>
        <v>292410</v>
      </c>
      <c r="AH211" s="348">
        <f t="array" ref="AH211">MAX((IF(MNU_CODIGO_ALIMENTO_ENTREGA=CONCATENATE($C211,"_","P_"),MNU_GRAMAJE_REQUERIDO_TIPOH,"")))</f>
        <v>30</v>
      </c>
      <c r="AI211" s="257">
        <f t="shared" si="162"/>
        <v>1764</v>
      </c>
      <c r="AJ211" s="257">
        <v>0</v>
      </c>
      <c r="AK211" s="257">
        <f t="shared" si="163"/>
        <v>1764</v>
      </c>
      <c r="AL211" s="258">
        <f t="shared" si="164"/>
        <v>301644</v>
      </c>
      <c r="AM211" s="258">
        <v>0</v>
      </c>
      <c r="AN211" s="258">
        <f t="shared" si="165"/>
        <v>301644</v>
      </c>
      <c r="AO211" s="451">
        <f t="shared" si="166"/>
        <v>131808</v>
      </c>
      <c r="AP211" s="450">
        <f t="shared" si="167"/>
        <v>22539168</v>
      </c>
      <c r="AQ211" s="261" t="e">
        <f>#REF!+AH211+AA211+T211+M211</f>
        <v>#REF!</v>
      </c>
      <c r="AR211" s="261">
        <f t="shared" si="126"/>
        <v>22637046</v>
      </c>
      <c r="AS211" s="261" t="e">
        <f t="shared" si="127"/>
        <v>#REF!</v>
      </c>
      <c r="AT211" s="261">
        <f t="shared" si="128"/>
        <v>22734924</v>
      </c>
      <c r="AU211" s="261" t="e">
        <f t="shared" si="129"/>
        <v>#REF!</v>
      </c>
      <c r="AV211" s="261">
        <f t="shared" si="130"/>
        <v>22734924</v>
      </c>
      <c r="AW211" s="261" t="e">
        <f t="shared" si="131"/>
        <v>#REF!</v>
      </c>
      <c r="AX211" s="261" t="e">
        <f>AV211+#REF!+AH211+AA211+T211</f>
        <v>#REF!</v>
      </c>
      <c r="AY211" s="261" t="e">
        <f t="shared" si="132"/>
        <v>#REF!</v>
      </c>
      <c r="AZ211" s="261" t="e">
        <f t="shared" si="133"/>
        <v>#REF!</v>
      </c>
      <c r="BA211" s="261" t="e">
        <f t="shared" si="134"/>
        <v>#REF!</v>
      </c>
      <c r="BB211" s="261" t="e">
        <f t="shared" si="135"/>
        <v>#REF!</v>
      </c>
      <c r="BC211" s="261" t="e">
        <f t="shared" si="136"/>
        <v>#REF!</v>
      </c>
      <c r="BD211" s="261" t="e">
        <f t="shared" si="137"/>
        <v>#REF!</v>
      </c>
      <c r="BE211" s="261" t="e">
        <f>BC211+AV211+#REF!+AH211+AA211</f>
        <v>#REF!</v>
      </c>
      <c r="BF211" s="261" t="e">
        <f t="shared" si="138"/>
        <v>#REF!</v>
      </c>
      <c r="BG211" s="261" t="e">
        <f t="shared" si="139"/>
        <v>#REF!</v>
      </c>
    </row>
    <row r="212" spans="1:59" ht="27">
      <c r="A212" s="333">
        <v>17</v>
      </c>
      <c r="B212" s="333" t="s">
        <v>1607</v>
      </c>
      <c r="C212" s="256">
        <v>28</v>
      </c>
      <c r="D212" s="322" t="s">
        <v>67</v>
      </c>
      <c r="E212" s="256" t="s">
        <v>9</v>
      </c>
      <c r="F212" s="425">
        <f t="array" ref="F212">MAX((IF(MNU_CODIGO_ALIMENTO_ENTREGA=CONCATENATE($C212,"_","P_"),MNU_GRAMAJE_REQUERIDO_TIPOA,"")))</f>
        <v>30</v>
      </c>
      <c r="G212" s="257">
        <f t="shared" si="140"/>
        <v>33930</v>
      </c>
      <c r="H212" s="257">
        <f t="shared" si="141"/>
        <v>22781</v>
      </c>
      <c r="I212" s="257">
        <f t="shared" si="142"/>
        <v>56711</v>
      </c>
      <c r="J212" s="258">
        <f t="shared" si="143"/>
        <v>7668180</v>
      </c>
      <c r="K212" s="258">
        <f t="shared" si="144"/>
        <v>5148506</v>
      </c>
      <c r="L212" s="258">
        <f t="shared" si="145"/>
        <v>12816686</v>
      </c>
      <c r="M212" s="426">
        <f t="array" ref="M212">MAX((IF(MNU_CODIGO_ALIMENTO_ENTREGA=CONCATENATE($C212,"_","P_"),MNU_GRAMAJE_REQUERIDO_TIPOB,"")))</f>
        <v>40</v>
      </c>
      <c r="N212" s="343">
        <f t="shared" si="146"/>
        <v>46536</v>
      </c>
      <c r="O212" s="343">
        <f t="shared" si="147"/>
        <v>31996</v>
      </c>
      <c r="P212" s="343">
        <f t="shared" si="148"/>
        <v>78532</v>
      </c>
      <c r="Q212" s="344">
        <f t="shared" si="149"/>
        <v>14007336</v>
      </c>
      <c r="R212" s="344">
        <f t="shared" si="150"/>
        <v>9630796</v>
      </c>
      <c r="S212" s="344">
        <f t="shared" si="151"/>
        <v>23638132</v>
      </c>
      <c r="T212" s="348">
        <f t="array" ref="T212">MAX((IF(MNU_CODIGO_ALIMENTO_ENTREGA=CONCATENATE($C212,"_","P_"),MNU_GRAMAJE_REQUERIDO_TIPOC,"")))</f>
        <v>60</v>
      </c>
      <c r="U212" s="257">
        <f t="shared" si="152"/>
        <v>47868</v>
      </c>
      <c r="V212" s="257">
        <f t="shared" si="153"/>
        <v>31369</v>
      </c>
      <c r="W212" s="257">
        <f t="shared" si="154"/>
        <v>79237</v>
      </c>
      <c r="X212" s="258">
        <f t="shared" si="155"/>
        <v>21588468</v>
      </c>
      <c r="Y212" s="258">
        <f t="shared" si="156"/>
        <v>14147419</v>
      </c>
      <c r="Z212" s="258">
        <f t="shared" si="157"/>
        <v>35735887</v>
      </c>
      <c r="AA212" s="256">
        <f t="array" ref="AA212">MAX((IF(MNU_CODIGO_ALIMENTO_ENTREGA=CONCATENATE($C212,"_","P_"),MNU_GRAMAJE_REQUERIDO_TIPOM,"")))</f>
        <v>40</v>
      </c>
      <c r="AB212" s="259">
        <f t="shared" si="158"/>
        <v>1710</v>
      </c>
      <c r="AC212" s="259">
        <v>0</v>
      </c>
      <c r="AD212" s="259">
        <f t="shared" si="159"/>
        <v>1710</v>
      </c>
      <c r="AE212" s="260">
        <f t="shared" si="160"/>
        <v>514710</v>
      </c>
      <c r="AF212" s="260">
        <v>0</v>
      </c>
      <c r="AG212" s="260">
        <f t="shared" si="161"/>
        <v>514710</v>
      </c>
      <c r="AH212" s="348">
        <f t="array" ref="AH212">MAX((IF(MNU_CODIGO_ALIMENTO_ENTREGA=CONCATENATE($C212,"_","P_"),MNU_GRAMAJE_REQUERIDO_TIPOH,"")))</f>
        <v>60</v>
      </c>
      <c r="AI212" s="257">
        <f t="shared" si="162"/>
        <v>1764</v>
      </c>
      <c r="AJ212" s="257">
        <v>0</v>
      </c>
      <c r="AK212" s="257">
        <f t="shared" si="163"/>
        <v>1764</v>
      </c>
      <c r="AL212" s="258">
        <f t="shared" si="164"/>
        <v>795564</v>
      </c>
      <c r="AM212" s="258">
        <v>0</v>
      </c>
      <c r="AN212" s="258">
        <f t="shared" si="165"/>
        <v>795564</v>
      </c>
      <c r="AO212" s="451">
        <f t="shared" si="166"/>
        <v>217954</v>
      </c>
      <c r="AP212" s="450">
        <f t="shared" si="167"/>
        <v>73500979</v>
      </c>
      <c r="AQ212" s="261" t="e">
        <f>#REF!+AH212+AA212+T212+M212</f>
        <v>#REF!</v>
      </c>
      <c r="AR212" s="261">
        <f t="shared" si="126"/>
        <v>73598857</v>
      </c>
      <c r="AS212" s="261" t="e">
        <f t="shared" si="127"/>
        <v>#REF!</v>
      </c>
      <c r="AT212" s="261">
        <f t="shared" si="128"/>
        <v>73760100</v>
      </c>
      <c r="AU212" s="261" t="e">
        <f t="shared" si="129"/>
        <v>#REF!</v>
      </c>
      <c r="AV212" s="261">
        <f t="shared" si="130"/>
        <v>97538315</v>
      </c>
      <c r="AW212" s="261" t="e">
        <f t="shared" si="131"/>
        <v>#REF!</v>
      </c>
      <c r="AX212" s="261" t="e">
        <f>AV212+#REF!+AH212+AA212+T212</f>
        <v>#REF!</v>
      </c>
      <c r="AY212" s="261" t="e">
        <f t="shared" si="132"/>
        <v>#REF!</v>
      </c>
      <c r="AZ212" s="261" t="e">
        <f t="shared" si="133"/>
        <v>#REF!</v>
      </c>
      <c r="BA212" s="261" t="e">
        <f t="shared" si="134"/>
        <v>#REF!</v>
      </c>
      <c r="BB212" s="261" t="e">
        <f t="shared" si="135"/>
        <v>#REF!</v>
      </c>
      <c r="BC212" s="261" t="e">
        <f t="shared" si="136"/>
        <v>#REF!</v>
      </c>
      <c r="BD212" s="261" t="e">
        <f t="shared" si="137"/>
        <v>#REF!</v>
      </c>
      <c r="BE212" s="261" t="e">
        <f>BC212+AV212+#REF!+AH212+AA212</f>
        <v>#REF!</v>
      </c>
      <c r="BF212" s="261" t="e">
        <f t="shared" si="138"/>
        <v>#REF!</v>
      </c>
      <c r="BG212" s="261" t="e">
        <f t="shared" si="139"/>
        <v>#REF!</v>
      </c>
    </row>
    <row r="213" spans="1:59" ht="15.75">
      <c r="A213" s="333">
        <v>17</v>
      </c>
      <c r="B213" s="333" t="s">
        <v>1607</v>
      </c>
      <c r="C213" s="256">
        <v>30</v>
      </c>
      <c r="D213" s="322" t="s">
        <v>63</v>
      </c>
      <c r="E213" s="256" t="s">
        <v>9</v>
      </c>
      <c r="F213" s="425">
        <f t="array" ref="F213">MAX((IF(MNU_CODIGO_ALIMENTO_ENTREGA=CONCATENATE($C213,"_","P_"),MNU_GRAMAJE_REQUERIDO_TIPOA,"")))</f>
        <v>30</v>
      </c>
      <c r="G213" s="257">
        <f t="shared" si="140"/>
        <v>90480</v>
      </c>
      <c r="H213" s="257">
        <f t="shared" si="141"/>
        <v>0</v>
      </c>
      <c r="I213" s="257">
        <f t="shared" si="142"/>
        <v>90480</v>
      </c>
      <c r="J213" s="258">
        <f t="shared" si="143"/>
        <v>30039360</v>
      </c>
      <c r="K213" s="258">
        <f t="shared" si="144"/>
        <v>0</v>
      </c>
      <c r="L213" s="258">
        <f t="shared" si="145"/>
        <v>30039360</v>
      </c>
      <c r="M213" s="426">
        <f t="array" ref="M213">MAX((IF(MNU_CODIGO_ALIMENTO_ENTREGA=CONCATENATE($C213,"_","P_"),MNU_GRAMAJE_REQUERIDO_TIPOB,"")))</f>
        <v>30</v>
      </c>
      <c r="N213" s="343">
        <f t="shared" si="146"/>
        <v>124096</v>
      </c>
      <c r="O213" s="343">
        <f t="shared" si="147"/>
        <v>0</v>
      </c>
      <c r="P213" s="343">
        <f t="shared" si="148"/>
        <v>124096</v>
      </c>
      <c r="Q213" s="344">
        <f t="shared" si="149"/>
        <v>41199872</v>
      </c>
      <c r="R213" s="344">
        <f t="shared" si="150"/>
        <v>0</v>
      </c>
      <c r="S213" s="344">
        <f t="shared" si="151"/>
        <v>41199872</v>
      </c>
      <c r="T213" s="348">
        <f t="array" ref="T213">MAX((IF(MNU_CODIGO_ALIMENTO_ENTREGA=CONCATENATE($C213,"_","P_"),MNU_GRAMAJE_REQUERIDO_TIPOC,"")))</f>
        <v>30</v>
      </c>
      <c r="U213" s="257">
        <f t="shared" si="152"/>
        <v>127648</v>
      </c>
      <c r="V213" s="257">
        <f t="shared" si="153"/>
        <v>0</v>
      </c>
      <c r="W213" s="257">
        <f t="shared" si="154"/>
        <v>127648</v>
      </c>
      <c r="X213" s="258">
        <f t="shared" si="155"/>
        <v>42379136</v>
      </c>
      <c r="Y213" s="258">
        <f t="shared" si="156"/>
        <v>0</v>
      </c>
      <c r="Z213" s="258">
        <f t="shared" si="157"/>
        <v>42379136</v>
      </c>
      <c r="AA213" s="256">
        <f t="array" ref="AA213">MAX((IF(MNU_CODIGO_ALIMENTO_ENTREGA=CONCATENATE($C213,"_","P_"),MNU_GRAMAJE_REQUERIDO_TIPOM,"")))</f>
        <v>30</v>
      </c>
      <c r="AB213" s="259">
        <f t="shared" si="158"/>
        <v>4560</v>
      </c>
      <c r="AC213" s="259">
        <v>0</v>
      </c>
      <c r="AD213" s="259">
        <f t="shared" si="159"/>
        <v>4560</v>
      </c>
      <c r="AE213" s="260">
        <f t="shared" si="160"/>
        <v>1513920</v>
      </c>
      <c r="AF213" s="260">
        <v>0</v>
      </c>
      <c r="AG213" s="260">
        <f t="shared" si="161"/>
        <v>1513920</v>
      </c>
      <c r="AH213" s="348">
        <f t="array" ref="AH213">MAX((IF(MNU_CODIGO_ALIMENTO_ENTREGA=CONCATENATE($C213,"_","P_"),MNU_GRAMAJE_REQUERIDO_TIPOH,"")))</f>
        <v>30</v>
      </c>
      <c r="AI213" s="257">
        <f t="shared" si="162"/>
        <v>4704</v>
      </c>
      <c r="AJ213" s="257">
        <v>0</v>
      </c>
      <c r="AK213" s="257">
        <f t="shared" si="163"/>
        <v>4704</v>
      </c>
      <c r="AL213" s="258">
        <f t="shared" si="164"/>
        <v>1561728</v>
      </c>
      <c r="AM213" s="258">
        <v>0</v>
      </c>
      <c r="AN213" s="258">
        <f t="shared" si="165"/>
        <v>1561728</v>
      </c>
      <c r="AO213" s="451">
        <f t="shared" si="166"/>
        <v>351488</v>
      </c>
      <c r="AP213" s="450">
        <f t="shared" si="167"/>
        <v>116694016</v>
      </c>
      <c r="AQ213" s="261" t="e">
        <f>#REF!+AH213+AA213+T213+M213</f>
        <v>#REF!</v>
      </c>
      <c r="AR213" s="261">
        <f t="shared" si="126"/>
        <v>116955024</v>
      </c>
      <c r="AS213" s="261" t="e">
        <f t="shared" si="127"/>
        <v>#REF!</v>
      </c>
      <c r="AT213" s="261">
        <f t="shared" si="128"/>
        <v>117216032</v>
      </c>
      <c r="AU213" s="261" t="e">
        <f t="shared" si="129"/>
        <v>#REF!</v>
      </c>
      <c r="AV213" s="261">
        <f t="shared" si="130"/>
        <v>117216032</v>
      </c>
      <c r="AW213" s="261" t="e">
        <f t="shared" si="131"/>
        <v>#REF!</v>
      </c>
      <c r="AX213" s="261" t="e">
        <f>AV213+#REF!+AH213+AA213+T213</f>
        <v>#REF!</v>
      </c>
      <c r="AY213" s="261" t="e">
        <f t="shared" si="132"/>
        <v>#REF!</v>
      </c>
      <c r="AZ213" s="261" t="e">
        <f t="shared" si="133"/>
        <v>#REF!</v>
      </c>
      <c r="BA213" s="261" t="e">
        <f t="shared" si="134"/>
        <v>#REF!</v>
      </c>
      <c r="BB213" s="261" t="e">
        <f t="shared" si="135"/>
        <v>#REF!</v>
      </c>
      <c r="BC213" s="261" t="e">
        <f t="shared" si="136"/>
        <v>#REF!</v>
      </c>
      <c r="BD213" s="261" t="e">
        <f t="shared" si="137"/>
        <v>#REF!</v>
      </c>
      <c r="BE213" s="261" t="e">
        <f>BC213+AV213+#REF!+AH213+AA213</f>
        <v>#REF!</v>
      </c>
      <c r="BF213" s="261" t="e">
        <f t="shared" si="138"/>
        <v>#REF!</v>
      </c>
      <c r="BG213" s="261" t="e">
        <f t="shared" si="139"/>
        <v>#REF!</v>
      </c>
    </row>
    <row r="214" spans="1:59" ht="15.75">
      <c r="A214" s="333">
        <v>17</v>
      </c>
      <c r="B214" s="333" t="s">
        <v>1607</v>
      </c>
      <c r="C214" s="256">
        <v>45</v>
      </c>
      <c r="D214" s="322" t="s">
        <v>10</v>
      </c>
      <c r="E214" s="256" t="s">
        <v>9</v>
      </c>
      <c r="F214" s="425">
        <f t="array" ref="F214">MAX((IF(MNU_CODIGO_ALIMENTO_ENTREGA=CONCATENATE($C214,"_","P_"),MNU_GRAMAJE_REQUERIDO_TIPOA,"")))</f>
        <v>20</v>
      </c>
      <c r="G214" s="257">
        <f t="shared" si="140"/>
        <v>90480</v>
      </c>
      <c r="H214" s="257">
        <f t="shared" si="141"/>
        <v>23980</v>
      </c>
      <c r="I214" s="257">
        <f t="shared" si="142"/>
        <v>114460</v>
      </c>
      <c r="J214" s="258">
        <f t="shared" si="143"/>
        <v>18005520</v>
      </c>
      <c r="K214" s="258">
        <f t="shared" si="144"/>
        <v>4772020</v>
      </c>
      <c r="L214" s="258">
        <f t="shared" si="145"/>
        <v>22777540</v>
      </c>
      <c r="M214" s="426">
        <f t="array" ref="M214">MAX((IF(MNU_CODIGO_ALIMENTO_ENTREGA=CONCATENATE($C214,"_","P_"),MNU_GRAMAJE_REQUERIDO_TIPOB,"")))</f>
        <v>30</v>
      </c>
      <c r="N214" s="343">
        <f t="shared" si="146"/>
        <v>124096</v>
      </c>
      <c r="O214" s="343">
        <f t="shared" si="147"/>
        <v>33680</v>
      </c>
      <c r="P214" s="343">
        <f t="shared" si="148"/>
        <v>157776</v>
      </c>
      <c r="Q214" s="344">
        <f t="shared" si="149"/>
        <v>36980608</v>
      </c>
      <c r="R214" s="344">
        <f t="shared" si="150"/>
        <v>10036640</v>
      </c>
      <c r="S214" s="344">
        <f t="shared" si="151"/>
        <v>47017248</v>
      </c>
      <c r="T214" s="348">
        <f t="array" ref="T214">MAX((IF(MNU_CODIGO_ALIMENTO_ENTREGA=CONCATENATE($C214,"_","P_"),MNU_GRAMAJE_REQUERIDO_TIPOC,"")))</f>
        <v>60</v>
      </c>
      <c r="U214" s="257">
        <f t="shared" si="152"/>
        <v>127648</v>
      </c>
      <c r="V214" s="257">
        <f t="shared" si="153"/>
        <v>33020</v>
      </c>
      <c r="W214" s="257">
        <f t="shared" si="154"/>
        <v>160668</v>
      </c>
      <c r="X214" s="258">
        <f t="shared" si="155"/>
        <v>76205856</v>
      </c>
      <c r="Y214" s="258">
        <f t="shared" si="156"/>
        <v>19712940</v>
      </c>
      <c r="Z214" s="258">
        <f t="shared" si="157"/>
        <v>95918796</v>
      </c>
      <c r="AA214" s="256">
        <f t="array" ref="AA214">MAX((IF(MNU_CODIGO_ALIMENTO_ENTREGA=CONCATENATE($C214,"_","P_"),MNU_GRAMAJE_REQUERIDO_TIPOM,"")))</f>
        <v>30</v>
      </c>
      <c r="AB214" s="259">
        <f t="shared" si="158"/>
        <v>4560</v>
      </c>
      <c r="AC214" s="259">
        <v>0</v>
      </c>
      <c r="AD214" s="259">
        <f t="shared" si="159"/>
        <v>4560</v>
      </c>
      <c r="AE214" s="260">
        <f t="shared" si="160"/>
        <v>1358880</v>
      </c>
      <c r="AF214" s="260">
        <v>0</v>
      </c>
      <c r="AG214" s="260">
        <f t="shared" si="161"/>
        <v>1358880</v>
      </c>
      <c r="AH214" s="348">
        <f t="array" ref="AH214">MAX((IF(MNU_CODIGO_ALIMENTO_ENTREGA=CONCATENATE($C214,"_","P_"),MNU_GRAMAJE_REQUERIDO_TIPOH,"")))</f>
        <v>60</v>
      </c>
      <c r="AI214" s="257">
        <f t="shared" si="162"/>
        <v>4704</v>
      </c>
      <c r="AJ214" s="257">
        <v>0</v>
      </c>
      <c r="AK214" s="257">
        <f t="shared" si="163"/>
        <v>4704</v>
      </c>
      <c r="AL214" s="258">
        <f t="shared" si="164"/>
        <v>2808288</v>
      </c>
      <c r="AM214" s="258">
        <v>0</v>
      </c>
      <c r="AN214" s="258">
        <f t="shared" si="165"/>
        <v>2808288</v>
      </c>
      <c r="AO214" s="451">
        <f t="shared" si="166"/>
        <v>442168</v>
      </c>
      <c r="AP214" s="450">
        <f t="shared" si="167"/>
        <v>169880752</v>
      </c>
      <c r="AQ214" s="261" t="e">
        <f>#REF!+AH214+AA214+T214+M214</f>
        <v>#REF!</v>
      </c>
      <c r="AR214" s="261">
        <f t="shared" si="126"/>
        <v>170141760</v>
      </c>
      <c r="AS214" s="261" t="e">
        <f t="shared" si="127"/>
        <v>#REF!</v>
      </c>
      <c r="AT214" s="261">
        <f t="shared" si="128"/>
        <v>170469468</v>
      </c>
      <c r="AU214" s="261" t="e">
        <f t="shared" si="129"/>
        <v>#REF!</v>
      </c>
      <c r="AV214" s="261">
        <f t="shared" si="130"/>
        <v>200219048</v>
      </c>
      <c r="AW214" s="261" t="e">
        <f t="shared" si="131"/>
        <v>#REF!</v>
      </c>
      <c r="AX214" s="261" t="e">
        <f>AV214+#REF!+AH214+AA214+T214</f>
        <v>#REF!</v>
      </c>
      <c r="AY214" s="261" t="e">
        <f t="shared" si="132"/>
        <v>#REF!</v>
      </c>
      <c r="AZ214" s="261" t="e">
        <f t="shared" si="133"/>
        <v>#REF!</v>
      </c>
      <c r="BA214" s="261" t="e">
        <f t="shared" si="134"/>
        <v>#REF!</v>
      </c>
      <c r="BB214" s="261" t="e">
        <f t="shared" si="135"/>
        <v>#REF!</v>
      </c>
      <c r="BC214" s="261" t="e">
        <f t="shared" si="136"/>
        <v>#REF!</v>
      </c>
      <c r="BD214" s="261" t="e">
        <f t="shared" si="137"/>
        <v>#REF!</v>
      </c>
      <c r="BE214" s="261" t="e">
        <f>BC214+AV214+#REF!+AH214+AA214</f>
        <v>#REF!</v>
      </c>
      <c r="BF214" s="261" t="e">
        <f t="shared" si="138"/>
        <v>#REF!</v>
      </c>
      <c r="BG214" s="261" t="e">
        <f t="shared" si="139"/>
        <v>#REF!</v>
      </c>
    </row>
    <row r="215" spans="1:59" ht="15.75">
      <c r="A215" s="333">
        <v>17</v>
      </c>
      <c r="B215" s="333" t="s">
        <v>1607</v>
      </c>
      <c r="C215" s="256">
        <v>50</v>
      </c>
      <c r="D215" s="322" t="s">
        <v>65</v>
      </c>
      <c r="E215" s="256" t="s">
        <v>9</v>
      </c>
      <c r="F215" s="425">
        <f t="array" ref="F215">MAX((IF(MNU_CODIGO_ALIMENTO_ENTREGA=CONCATENATE($C215,"_","P_"),MNU_GRAMAJE_REQUERIDO_TIPOA,"")))</f>
        <v>30</v>
      </c>
      <c r="G215" s="257">
        <f t="shared" si="140"/>
        <v>96135</v>
      </c>
      <c r="H215" s="257">
        <f t="shared" si="141"/>
        <v>0</v>
      </c>
      <c r="I215" s="257">
        <f t="shared" si="142"/>
        <v>96135</v>
      </c>
      <c r="J215" s="258">
        <f t="shared" si="143"/>
        <v>30859335</v>
      </c>
      <c r="K215" s="258">
        <f t="shared" si="144"/>
        <v>0</v>
      </c>
      <c r="L215" s="258">
        <f t="shared" si="145"/>
        <v>30859335</v>
      </c>
      <c r="M215" s="426">
        <f t="array" ref="M215">MAX((IF(MNU_CODIGO_ALIMENTO_ENTREGA=CONCATENATE($C215,"_","P_"),MNU_GRAMAJE_REQUERIDO_TIPOB,"")))</f>
        <v>40</v>
      </c>
      <c r="N215" s="343">
        <f t="shared" si="146"/>
        <v>131852</v>
      </c>
      <c r="O215" s="343">
        <f t="shared" si="147"/>
        <v>0</v>
      </c>
      <c r="P215" s="343">
        <f t="shared" si="148"/>
        <v>131852</v>
      </c>
      <c r="Q215" s="344">
        <f t="shared" si="149"/>
        <v>56432656</v>
      </c>
      <c r="R215" s="344">
        <f t="shared" si="150"/>
        <v>0</v>
      </c>
      <c r="S215" s="344">
        <f t="shared" si="151"/>
        <v>56432656</v>
      </c>
      <c r="T215" s="348">
        <f t="array" ref="T215">MAX((IF(MNU_CODIGO_ALIMENTO_ENTREGA=CONCATENATE($C215,"_","P_"),MNU_GRAMAJE_REQUERIDO_TIPOC,"")))</f>
        <v>80</v>
      </c>
      <c r="U215" s="257">
        <f t="shared" si="152"/>
        <v>135626</v>
      </c>
      <c r="V215" s="257">
        <f t="shared" si="153"/>
        <v>0</v>
      </c>
      <c r="W215" s="257">
        <f t="shared" si="154"/>
        <v>135626</v>
      </c>
      <c r="X215" s="258">
        <f t="shared" si="155"/>
        <v>115960230</v>
      </c>
      <c r="Y215" s="258">
        <f t="shared" si="156"/>
        <v>0</v>
      </c>
      <c r="Z215" s="258">
        <f t="shared" si="157"/>
        <v>115960230</v>
      </c>
      <c r="AA215" s="256">
        <f t="array" ref="AA215">MAX((IF(MNU_CODIGO_ALIMENTO_ENTREGA=CONCATENATE($C215,"_","P_"),MNU_GRAMAJE_REQUERIDO_TIPOM,"")))</f>
        <v>40</v>
      </c>
      <c r="AB215" s="259">
        <f t="shared" si="158"/>
        <v>4845</v>
      </c>
      <c r="AC215" s="259">
        <v>0</v>
      </c>
      <c r="AD215" s="259">
        <f t="shared" si="159"/>
        <v>4845</v>
      </c>
      <c r="AE215" s="260">
        <f t="shared" si="160"/>
        <v>2073660</v>
      </c>
      <c r="AF215" s="260">
        <v>0</v>
      </c>
      <c r="AG215" s="260">
        <f t="shared" si="161"/>
        <v>2073660</v>
      </c>
      <c r="AH215" s="348">
        <f t="array" ref="AH215">MAX((IF(MNU_CODIGO_ALIMENTO_ENTREGA=CONCATENATE($C215,"_","P_"),MNU_GRAMAJE_REQUERIDO_TIPOH,"")))</f>
        <v>80</v>
      </c>
      <c r="AI215" s="257">
        <f t="shared" si="162"/>
        <v>4998</v>
      </c>
      <c r="AJ215" s="257">
        <v>0</v>
      </c>
      <c r="AK215" s="257">
        <f t="shared" si="163"/>
        <v>4998</v>
      </c>
      <c r="AL215" s="258">
        <f t="shared" si="164"/>
        <v>4273290</v>
      </c>
      <c r="AM215" s="258">
        <v>0</v>
      </c>
      <c r="AN215" s="258">
        <f t="shared" si="165"/>
        <v>4273290</v>
      </c>
      <c r="AO215" s="451">
        <f t="shared" si="166"/>
        <v>373456</v>
      </c>
      <c r="AP215" s="450">
        <f t="shared" si="167"/>
        <v>209599171</v>
      </c>
      <c r="AQ215" s="261" t="e">
        <f>#REF!+AH215+AA215+T215+M215</f>
        <v>#REF!</v>
      </c>
      <c r="AR215" s="261">
        <f t="shared" si="126"/>
        <v>209876492</v>
      </c>
      <c r="AS215" s="261" t="e">
        <f t="shared" si="127"/>
        <v>#REF!</v>
      </c>
      <c r="AT215" s="261">
        <f t="shared" si="128"/>
        <v>210153813</v>
      </c>
      <c r="AU215" s="261" t="e">
        <f t="shared" si="129"/>
        <v>#REF!</v>
      </c>
      <c r="AV215" s="261">
        <f t="shared" si="130"/>
        <v>210153813</v>
      </c>
      <c r="AW215" s="261" t="e">
        <f t="shared" si="131"/>
        <v>#REF!</v>
      </c>
      <c r="AX215" s="261" t="e">
        <f>AV215+#REF!+AH215+AA215+T215</f>
        <v>#REF!</v>
      </c>
      <c r="AY215" s="261" t="e">
        <f t="shared" si="132"/>
        <v>#REF!</v>
      </c>
      <c r="AZ215" s="261" t="e">
        <f t="shared" si="133"/>
        <v>#REF!</v>
      </c>
      <c r="BA215" s="261" t="e">
        <f t="shared" si="134"/>
        <v>#REF!</v>
      </c>
      <c r="BB215" s="261" t="e">
        <f t="shared" si="135"/>
        <v>#REF!</v>
      </c>
      <c r="BC215" s="261" t="e">
        <f t="shared" si="136"/>
        <v>#REF!</v>
      </c>
      <c r="BD215" s="261" t="e">
        <f t="shared" si="137"/>
        <v>#REF!</v>
      </c>
      <c r="BE215" s="261" t="e">
        <f>BC215+AV215+#REF!+AH215+AA215</f>
        <v>#REF!</v>
      </c>
      <c r="BF215" s="261" t="e">
        <f t="shared" si="138"/>
        <v>#REF!</v>
      </c>
      <c r="BG215" s="261" t="e">
        <f t="shared" si="139"/>
        <v>#REF!</v>
      </c>
    </row>
    <row r="216" spans="1:59" ht="15.75">
      <c r="A216" s="333">
        <v>17</v>
      </c>
      <c r="B216" s="333" t="s">
        <v>1607</v>
      </c>
      <c r="C216" s="256">
        <v>61</v>
      </c>
      <c r="D216" s="322" t="s">
        <v>13</v>
      </c>
      <c r="E216" s="256" t="s">
        <v>9</v>
      </c>
      <c r="F216" s="425">
        <f t="array" ref="F216">MAX((IF(MNU_CODIGO_ALIMENTO_ENTREGA=CONCATENATE($C216,"_","P_"),MNU_GRAMAJE_REQUERIDO_TIPOA,"")))</f>
        <v>20</v>
      </c>
      <c r="G216" s="257">
        <f t="shared" si="140"/>
        <v>90480</v>
      </c>
      <c r="H216" s="257">
        <f t="shared" si="141"/>
        <v>23980</v>
      </c>
      <c r="I216" s="257">
        <f t="shared" si="142"/>
        <v>114460</v>
      </c>
      <c r="J216" s="258">
        <f t="shared" si="143"/>
        <v>21081840</v>
      </c>
      <c r="K216" s="258">
        <f t="shared" si="144"/>
        <v>5587340</v>
      </c>
      <c r="L216" s="258">
        <f t="shared" si="145"/>
        <v>26669180</v>
      </c>
      <c r="M216" s="426">
        <f t="array" ref="M216">MAX((IF(MNU_CODIGO_ALIMENTO_ENTREGA=CONCATENATE($C216,"_","P_"),MNU_GRAMAJE_REQUERIDO_TIPOB,"")))</f>
        <v>30</v>
      </c>
      <c r="N216" s="343">
        <f t="shared" si="146"/>
        <v>124096</v>
      </c>
      <c r="O216" s="343">
        <f t="shared" si="147"/>
        <v>33680</v>
      </c>
      <c r="P216" s="343">
        <f t="shared" si="148"/>
        <v>157776</v>
      </c>
      <c r="Q216" s="344">
        <f t="shared" si="149"/>
        <v>43557696</v>
      </c>
      <c r="R216" s="344">
        <f t="shared" si="150"/>
        <v>11821680</v>
      </c>
      <c r="S216" s="344">
        <f t="shared" si="151"/>
        <v>55379376</v>
      </c>
      <c r="T216" s="348">
        <f t="array" ref="T216">MAX((IF(MNU_CODIGO_ALIMENTO_ENTREGA=CONCATENATE($C216,"_","P_"),MNU_GRAMAJE_REQUERIDO_TIPOC,"")))</f>
        <v>70</v>
      </c>
      <c r="U216" s="257">
        <f t="shared" si="152"/>
        <v>127648</v>
      </c>
      <c r="V216" s="257">
        <f t="shared" si="153"/>
        <v>33020</v>
      </c>
      <c r="W216" s="257">
        <f t="shared" si="154"/>
        <v>160668</v>
      </c>
      <c r="X216" s="258">
        <f t="shared" si="155"/>
        <v>104416064</v>
      </c>
      <c r="Y216" s="258">
        <f t="shared" si="156"/>
        <v>27010360</v>
      </c>
      <c r="Z216" s="258">
        <f t="shared" si="157"/>
        <v>131426424</v>
      </c>
      <c r="AA216" s="256">
        <f t="array" ref="AA216">MAX((IF(MNU_CODIGO_ALIMENTO_ENTREGA=CONCATENATE($C216,"_","P_"),MNU_GRAMAJE_REQUERIDO_TIPOM,"")))</f>
        <v>30</v>
      </c>
      <c r="AB216" s="259">
        <f t="shared" si="158"/>
        <v>4560</v>
      </c>
      <c r="AC216" s="259">
        <v>0</v>
      </c>
      <c r="AD216" s="259">
        <f t="shared" si="159"/>
        <v>4560</v>
      </c>
      <c r="AE216" s="260">
        <f t="shared" si="160"/>
        <v>1600560</v>
      </c>
      <c r="AF216" s="260">
        <v>0</v>
      </c>
      <c r="AG216" s="260">
        <f t="shared" si="161"/>
        <v>1600560</v>
      </c>
      <c r="AH216" s="348">
        <f t="array" ref="AH216">MAX((IF(MNU_CODIGO_ALIMENTO_ENTREGA=CONCATENATE($C216,"_","P_"),MNU_GRAMAJE_REQUERIDO_TIPOH,"")))</f>
        <v>70</v>
      </c>
      <c r="AI216" s="257">
        <f t="shared" si="162"/>
        <v>4704</v>
      </c>
      <c r="AJ216" s="257">
        <v>0</v>
      </c>
      <c r="AK216" s="257">
        <f t="shared" si="163"/>
        <v>4704</v>
      </c>
      <c r="AL216" s="258">
        <f t="shared" si="164"/>
        <v>3847872</v>
      </c>
      <c r="AM216" s="258">
        <v>0</v>
      </c>
      <c r="AN216" s="258">
        <f t="shared" si="165"/>
        <v>3847872</v>
      </c>
      <c r="AO216" s="451">
        <f t="shared" si="166"/>
        <v>442168</v>
      </c>
      <c r="AP216" s="450">
        <f t="shared" si="167"/>
        <v>218923412</v>
      </c>
      <c r="AQ216" s="261" t="e">
        <f>#REF!+AH216+AA216+T216+M216</f>
        <v>#REF!</v>
      </c>
      <c r="AR216" s="261">
        <f t="shared" si="126"/>
        <v>219184420</v>
      </c>
      <c r="AS216" s="261" t="e">
        <f t="shared" si="127"/>
        <v>#REF!</v>
      </c>
      <c r="AT216" s="261">
        <f t="shared" si="128"/>
        <v>219512128</v>
      </c>
      <c r="AU216" s="261" t="e">
        <f t="shared" si="129"/>
        <v>#REF!</v>
      </c>
      <c r="AV216" s="261">
        <f t="shared" si="130"/>
        <v>258344168</v>
      </c>
      <c r="AW216" s="261" t="e">
        <f t="shared" si="131"/>
        <v>#REF!</v>
      </c>
      <c r="AX216" s="261" t="e">
        <f>AV216+#REF!+AH216+AA216+T216</f>
        <v>#REF!</v>
      </c>
      <c r="AY216" s="261" t="e">
        <f t="shared" si="132"/>
        <v>#REF!</v>
      </c>
      <c r="AZ216" s="261" t="e">
        <f t="shared" si="133"/>
        <v>#REF!</v>
      </c>
      <c r="BA216" s="261" t="e">
        <f t="shared" si="134"/>
        <v>#REF!</v>
      </c>
      <c r="BB216" s="261" t="e">
        <f t="shared" si="135"/>
        <v>#REF!</v>
      </c>
      <c r="BC216" s="261" t="e">
        <f t="shared" si="136"/>
        <v>#REF!</v>
      </c>
      <c r="BD216" s="261" t="e">
        <f t="shared" si="137"/>
        <v>#REF!</v>
      </c>
      <c r="BE216" s="261" t="e">
        <f>BC216+AV216+#REF!+AH216+AA216</f>
        <v>#REF!</v>
      </c>
      <c r="BF216" s="261" t="e">
        <f t="shared" si="138"/>
        <v>#REF!</v>
      </c>
      <c r="BG216" s="261" t="e">
        <f t="shared" si="139"/>
        <v>#REF!</v>
      </c>
    </row>
    <row r="217" spans="1:59" ht="15.75">
      <c r="A217" s="333">
        <v>17</v>
      </c>
      <c r="B217" s="333" t="s">
        <v>1607</v>
      </c>
      <c r="C217" s="256">
        <v>62</v>
      </c>
      <c r="D217" s="322" t="s">
        <v>68</v>
      </c>
      <c r="E217" s="256" t="s">
        <v>9</v>
      </c>
      <c r="F217" s="425">
        <f t="array" ref="F217">MAX((IF(MNU_CODIGO_ALIMENTO_ENTREGA=CONCATENATE($C217,"_","P_"),MNU_GRAMAJE_REQUERIDO_TIPOA,"")))</f>
        <v>50</v>
      </c>
      <c r="G217" s="257">
        <f t="shared" si="140"/>
        <v>28275</v>
      </c>
      <c r="H217" s="257">
        <f t="shared" si="141"/>
        <v>0</v>
      </c>
      <c r="I217" s="257">
        <f t="shared" si="142"/>
        <v>28275</v>
      </c>
      <c r="J217" s="258">
        <f t="shared" si="143"/>
        <v>17671875</v>
      </c>
      <c r="K217" s="258">
        <f t="shared" si="144"/>
        <v>0</v>
      </c>
      <c r="L217" s="258">
        <f t="shared" si="145"/>
        <v>17671875</v>
      </c>
      <c r="M217" s="426">
        <f t="array" ref="M217">MAX((IF(MNU_CODIGO_ALIMENTO_ENTREGA=CONCATENATE($C217,"_","P_"),MNU_GRAMAJE_REQUERIDO_TIPOB,"")))</f>
        <v>50</v>
      </c>
      <c r="N217" s="343">
        <f t="shared" si="146"/>
        <v>38780</v>
      </c>
      <c r="O217" s="343">
        <f t="shared" si="147"/>
        <v>0</v>
      </c>
      <c r="P217" s="343">
        <f t="shared" si="148"/>
        <v>38780</v>
      </c>
      <c r="Q217" s="344">
        <f t="shared" si="149"/>
        <v>24237500</v>
      </c>
      <c r="R217" s="344">
        <f t="shared" si="150"/>
        <v>0</v>
      </c>
      <c r="S217" s="344">
        <f t="shared" si="151"/>
        <v>24237500</v>
      </c>
      <c r="T217" s="348">
        <f t="array" ref="T217">MAX((IF(MNU_CODIGO_ALIMENTO_ENTREGA=CONCATENATE($C217,"_","P_"),MNU_GRAMAJE_REQUERIDO_TIPOC,"")))</f>
        <v>50</v>
      </c>
      <c r="U217" s="257">
        <f t="shared" si="152"/>
        <v>39890</v>
      </c>
      <c r="V217" s="257">
        <f t="shared" si="153"/>
        <v>0</v>
      </c>
      <c r="W217" s="257">
        <f t="shared" si="154"/>
        <v>39890</v>
      </c>
      <c r="X217" s="258">
        <f t="shared" si="155"/>
        <v>24931250</v>
      </c>
      <c r="Y217" s="258">
        <f t="shared" si="156"/>
        <v>0</v>
      </c>
      <c r="Z217" s="258">
        <f t="shared" si="157"/>
        <v>24931250</v>
      </c>
      <c r="AA217" s="256">
        <f t="array" ref="AA217">MAX((IF(MNU_CODIGO_ALIMENTO_ENTREGA=CONCATENATE($C217,"_","P_"),MNU_GRAMAJE_REQUERIDO_TIPOM,"")))</f>
        <v>50</v>
      </c>
      <c r="AB217" s="259">
        <f t="shared" si="158"/>
        <v>1425</v>
      </c>
      <c r="AC217" s="259">
        <v>0</v>
      </c>
      <c r="AD217" s="259">
        <f t="shared" si="159"/>
        <v>1425</v>
      </c>
      <c r="AE217" s="260">
        <f t="shared" si="160"/>
        <v>890625</v>
      </c>
      <c r="AF217" s="260">
        <v>0</v>
      </c>
      <c r="AG217" s="260">
        <f t="shared" si="161"/>
        <v>890625</v>
      </c>
      <c r="AH217" s="348">
        <f t="array" ref="AH217">MAX((IF(MNU_CODIGO_ALIMENTO_ENTREGA=CONCATENATE($C217,"_","P_"),MNU_GRAMAJE_REQUERIDO_TIPOH,"")))</f>
        <v>50</v>
      </c>
      <c r="AI217" s="257">
        <f t="shared" si="162"/>
        <v>1470</v>
      </c>
      <c r="AJ217" s="257">
        <v>0</v>
      </c>
      <c r="AK217" s="257">
        <f t="shared" si="163"/>
        <v>1470</v>
      </c>
      <c r="AL217" s="258">
        <f t="shared" si="164"/>
        <v>918750</v>
      </c>
      <c r="AM217" s="258">
        <v>0</v>
      </c>
      <c r="AN217" s="258">
        <f t="shared" si="165"/>
        <v>918750</v>
      </c>
      <c r="AO217" s="451">
        <f t="shared" si="166"/>
        <v>109840</v>
      </c>
      <c r="AP217" s="450">
        <f t="shared" si="167"/>
        <v>68650000</v>
      </c>
      <c r="AQ217" s="261" t="e">
        <f>#REF!+AH217+AA217+T217+M217</f>
        <v>#REF!</v>
      </c>
      <c r="AR217" s="261">
        <f t="shared" si="126"/>
        <v>68731565</v>
      </c>
      <c r="AS217" s="261" t="e">
        <f t="shared" si="127"/>
        <v>#REF!</v>
      </c>
      <c r="AT217" s="261">
        <f t="shared" si="128"/>
        <v>68813130</v>
      </c>
      <c r="AU217" s="261" t="e">
        <f t="shared" si="129"/>
        <v>#REF!</v>
      </c>
      <c r="AV217" s="261">
        <f t="shared" si="130"/>
        <v>68813130</v>
      </c>
      <c r="AW217" s="261" t="e">
        <f t="shared" si="131"/>
        <v>#REF!</v>
      </c>
      <c r="AX217" s="261" t="e">
        <f>AV217+#REF!+AH217+AA217+T217</f>
        <v>#REF!</v>
      </c>
      <c r="AY217" s="261" t="e">
        <f t="shared" si="132"/>
        <v>#REF!</v>
      </c>
      <c r="AZ217" s="261" t="e">
        <f t="shared" si="133"/>
        <v>#REF!</v>
      </c>
      <c r="BA217" s="261" t="e">
        <f t="shared" si="134"/>
        <v>#REF!</v>
      </c>
      <c r="BB217" s="261" t="e">
        <f t="shared" si="135"/>
        <v>#REF!</v>
      </c>
      <c r="BC217" s="261" t="e">
        <f t="shared" si="136"/>
        <v>#REF!</v>
      </c>
      <c r="BD217" s="261" t="e">
        <f t="shared" si="137"/>
        <v>#REF!</v>
      </c>
      <c r="BE217" s="261" t="e">
        <f>BC217+AV217+#REF!+AH217+AA217</f>
        <v>#REF!</v>
      </c>
      <c r="BF217" s="261" t="e">
        <f t="shared" si="138"/>
        <v>#REF!</v>
      </c>
      <c r="BG217" s="261" t="e">
        <f t="shared" si="139"/>
        <v>#REF!</v>
      </c>
    </row>
    <row r="218" spans="1:59" ht="15.75">
      <c r="A218" s="333">
        <v>18</v>
      </c>
      <c r="B218" s="333" t="s">
        <v>1607</v>
      </c>
      <c r="C218" s="256">
        <v>1</v>
      </c>
      <c r="D218" s="322" t="s">
        <v>16</v>
      </c>
      <c r="E218" s="256" t="s">
        <v>9</v>
      </c>
      <c r="F218" s="425">
        <f t="array" ref="F218">MAX((IF(MNU_CODIGO_ALIMENTO_ENTREGA=CONCATENATE($C218,"_","P_"),MNU_GRAMAJE_REQUERIDO_TIPOA,"")))</f>
        <v>30</v>
      </c>
      <c r="G218" s="257">
        <f t="shared" si="140"/>
        <v>99705</v>
      </c>
      <c r="H218" s="257">
        <f t="shared" si="141"/>
        <v>0</v>
      </c>
      <c r="I218" s="257">
        <f t="shared" si="142"/>
        <v>99705</v>
      </c>
      <c r="J218" s="258">
        <f t="shared" si="143"/>
        <v>80561640</v>
      </c>
      <c r="K218" s="258">
        <f t="shared" si="144"/>
        <v>0</v>
      </c>
      <c r="L218" s="258">
        <f t="shared" si="145"/>
        <v>80561640</v>
      </c>
      <c r="M218" s="426">
        <f t="array" ref="M218">MAX((IF(MNU_CODIGO_ALIMENTO_ENTREGA=CONCATENATE($C218,"_","P_"),MNU_GRAMAJE_REQUERIDO_TIPOB,"")))</f>
        <v>40</v>
      </c>
      <c r="N218" s="343">
        <f t="shared" si="146"/>
        <v>105330</v>
      </c>
      <c r="O218" s="343">
        <f t="shared" si="147"/>
        <v>0</v>
      </c>
      <c r="P218" s="343">
        <f t="shared" si="148"/>
        <v>105330</v>
      </c>
      <c r="Q218" s="344">
        <f t="shared" si="149"/>
        <v>113545740</v>
      </c>
      <c r="R218" s="344">
        <f t="shared" si="150"/>
        <v>0</v>
      </c>
      <c r="S218" s="344">
        <f t="shared" si="151"/>
        <v>113545740</v>
      </c>
      <c r="T218" s="348">
        <f t="array" ref="T218">MAX((IF(MNU_CODIGO_ALIMENTO_ENTREGA=CONCATENATE($C218,"_","P_"),MNU_GRAMAJE_REQUERIDO_TIPOC,"")))</f>
        <v>60</v>
      </c>
      <c r="U218" s="257">
        <f t="shared" si="152"/>
        <v>83880</v>
      </c>
      <c r="V218" s="257">
        <f t="shared" si="153"/>
        <v>0</v>
      </c>
      <c r="W218" s="257">
        <f t="shared" si="154"/>
        <v>83880</v>
      </c>
      <c r="X218" s="258">
        <f t="shared" si="155"/>
        <v>135550080</v>
      </c>
      <c r="Y218" s="258">
        <f t="shared" si="156"/>
        <v>0</v>
      </c>
      <c r="Z218" s="258">
        <f t="shared" si="157"/>
        <v>135550080</v>
      </c>
      <c r="AA218" s="256">
        <f t="array" ref="AA218">MAX((IF(MNU_CODIGO_ALIMENTO_ENTREGA=CONCATENATE($C218,"_","P_"),MNU_GRAMAJE_REQUERIDO_TIPOM,"")))</f>
        <v>40</v>
      </c>
      <c r="AB218" s="259">
        <f t="shared" si="158"/>
        <v>5070</v>
      </c>
      <c r="AC218" s="259">
        <v>0</v>
      </c>
      <c r="AD218" s="259">
        <f t="shared" si="159"/>
        <v>5070</v>
      </c>
      <c r="AE218" s="260">
        <f t="shared" si="160"/>
        <v>5465460</v>
      </c>
      <c r="AF218" s="260">
        <v>0</v>
      </c>
      <c r="AG218" s="260">
        <f t="shared" si="161"/>
        <v>5465460</v>
      </c>
      <c r="AH218" s="348">
        <f t="array" ref="AH218">MAX((IF(MNU_CODIGO_ALIMENTO_ENTREGA=CONCATENATE($C218,"_","P_"),MNU_GRAMAJE_REQUERIDO_TIPOH,"")))</f>
        <v>60</v>
      </c>
      <c r="AI218" s="257">
        <f t="shared" si="162"/>
        <v>5310</v>
      </c>
      <c r="AJ218" s="257">
        <v>0</v>
      </c>
      <c r="AK218" s="257">
        <f t="shared" si="163"/>
        <v>5310</v>
      </c>
      <c r="AL218" s="258">
        <f t="shared" si="164"/>
        <v>8580960</v>
      </c>
      <c r="AM218" s="258">
        <v>0</v>
      </c>
      <c r="AN218" s="258">
        <f t="shared" si="165"/>
        <v>8580960</v>
      </c>
      <c r="AO218" s="451">
        <f t="shared" si="166"/>
        <v>299295</v>
      </c>
      <c r="AP218" s="450">
        <f t="shared" si="167"/>
        <v>343703880</v>
      </c>
      <c r="AQ218" s="261" t="e">
        <f>#REF!+AH218+AA218+T218+M218</f>
        <v>#REF!</v>
      </c>
      <c r="AR218" s="261">
        <f t="shared" si="126"/>
        <v>343903470</v>
      </c>
      <c r="AS218" s="261" t="e">
        <f t="shared" si="127"/>
        <v>#REF!</v>
      </c>
      <c r="AT218" s="261">
        <f t="shared" si="128"/>
        <v>344103060</v>
      </c>
      <c r="AU218" s="261" t="e">
        <f t="shared" si="129"/>
        <v>#REF!</v>
      </c>
      <c r="AV218" s="261">
        <f t="shared" si="130"/>
        <v>344103060</v>
      </c>
      <c r="AW218" s="261" t="e">
        <f t="shared" si="131"/>
        <v>#REF!</v>
      </c>
      <c r="AX218" s="261" t="e">
        <f>AV218+#REF!+AH218+AA218+T218</f>
        <v>#REF!</v>
      </c>
      <c r="AY218" s="261" t="e">
        <f t="shared" si="132"/>
        <v>#REF!</v>
      </c>
      <c r="AZ218" s="261" t="e">
        <f t="shared" si="133"/>
        <v>#REF!</v>
      </c>
      <c r="BA218" s="261" t="e">
        <f t="shared" si="134"/>
        <v>#REF!</v>
      </c>
      <c r="BB218" s="261" t="e">
        <f t="shared" si="135"/>
        <v>#REF!</v>
      </c>
      <c r="BC218" s="261" t="e">
        <f t="shared" si="136"/>
        <v>#REF!</v>
      </c>
      <c r="BD218" s="261" t="e">
        <f t="shared" si="137"/>
        <v>#REF!</v>
      </c>
      <c r="BE218" s="261" t="e">
        <f>BC218+AV218+#REF!+AH218+AA218</f>
        <v>#REF!</v>
      </c>
      <c r="BF218" s="261" t="e">
        <f t="shared" si="138"/>
        <v>#REF!</v>
      </c>
      <c r="BG218" s="261" t="e">
        <f t="shared" si="139"/>
        <v>#REF!</v>
      </c>
    </row>
    <row r="219" spans="1:59" ht="15.75">
      <c r="A219" s="333">
        <v>18</v>
      </c>
      <c r="B219" s="333" t="s">
        <v>1607</v>
      </c>
      <c r="C219" s="256">
        <v>3</v>
      </c>
      <c r="D219" s="322" t="s">
        <v>12</v>
      </c>
      <c r="E219" s="256" t="s">
        <v>9</v>
      </c>
      <c r="F219" s="425">
        <f t="array" ref="F219">MAX((IF(MNU_CODIGO_ALIMENTO_ENTREGA=CONCATENATE($C219,"_","P_"),MNU_GRAMAJE_REQUERIDO_TIPOA,"")))</f>
        <v>50</v>
      </c>
      <c r="G219" s="257">
        <f t="shared" si="140"/>
        <v>112999</v>
      </c>
      <c r="H219" s="257">
        <f t="shared" si="141"/>
        <v>17100</v>
      </c>
      <c r="I219" s="257">
        <f t="shared" si="142"/>
        <v>130099</v>
      </c>
      <c r="J219" s="258">
        <f t="shared" si="143"/>
        <v>57064495</v>
      </c>
      <c r="K219" s="258">
        <f t="shared" si="144"/>
        <v>8635500</v>
      </c>
      <c r="L219" s="258">
        <f t="shared" si="145"/>
        <v>65699995</v>
      </c>
      <c r="M219" s="426">
        <f t="array" ref="M219">MAX((IF(MNU_CODIGO_ALIMENTO_ENTREGA=CONCATENATE($C219,"_","P_"),MNU_GRAMAJE_REQUERIDO_TIPOB,"")))</f>
        <v>50</v>
      </c>
      <c r="N219" s="343">
        <f t="shared" si="146"/>
        <v>119374</v>
      </c>
      <c r="O219" s="343">
        <f t="shared" si="147"/>
        <v>20444</v>
      </c>
      <c r="P219" s="343">
        <f t="shared" si="148"/>
        <v>139818</v>
      </c>
      <c r="Q219" s="344">
        <f t="shared" si="149"/>
        <v>60283870</v>
      </c>
      <c r="R219" s="344">
        <f t="shared" si="150"/>
        <v>10324220</v>
      </c>
      <c r="S219" s="344">
        <f t="shared" si="151"/>
        <v>70608090</v>
      </c>
      <c r="T219" s="348">
        <f t="array" ref="T219">MAX((IF(MNU_CODIGO_ALIMENTO_ENTREGA=CONCATENATE($C219,"_","P_"),MNU_GRAMAJE_REQUERIDO_TIPOC,"")))</f>
        <v>80</v>
      </c>
      <c r="U219" s="257">
        <f t="shared" si="152"/>
        <v>95064</v>
      </c>
      <c r="V219" s="257">
        <f t="shared" si="153"/>
        <v>17252</v>
      </c>
      <c r="W219" s="257">
        <f t="shared" si="154"/>
        <v>112316</v>
      </c>
      <c r="X219" s="258">
        <f t="shared" si="155"/>
        <v>72533832</v>
      </c>
      <c r="Y219" s="258">
        <f t="shared" si="156"/>
        <v>13163276</v>
      </c>
      <c r="Z219" s="258">
        <f t="shared" si="157"/>
        <v>85697108</v>
      </c>
      <c r="AA219" s="256">
        <f t="array" ref="AA219">MAX((IF(MNU_CODIGO_ALIMENTO_ENTREGA=CONCATENATE($C219,"_","P_"),MNU_GRAMAJE_REQUERIDO_TIPOM,"")))</f>
        <v>50</v>
      </c>
      <c r="AB219" s="259">
        <f t="shared" si="158"/>
        <v>5746</v>
      </c>
      <c r="AC219" s="259">
        <v>0</v>
      </c>
      <c r="AD219" s="259">
        <f t="shared" si="159"/>
        <v>5746</v>
      </c>
      <c r="AE219" s="260">
        <f t="shared" si="160"/>
        <v>2901730</v>
      </c>
      <c r="AF219" s="260">
        <v>0</v>
      </c>
      <c r="AG219" s="260">
        <f t="shared" si="161"/>
        <v>2901730</v>
      </c>
      <c r="AH219" s="348">
        <f t="array" ref="AH219">MAX((IF(MNU_CODIGO_ALIMENTO_ENTREGA=CONCATENATE($C219,"_","P_"),MNU_GRAMAJE_REQUERIDO_TIPOH,"")))</f>
        <v>80</v>
      </c>
      <c r="AI219" s="257">
        <f t="shared" si="162"/>
        <v>6018</v>
      </c>
      <c r="AJ219" s="257">
        <v>0</v>
      </c>
      <c r="AK219" s="257">
        <f t="shared" si="163"/>
        <v>6018</v>
      </c>
      <c r="AL219" s="258">
        <f t="shared" si="164"/>
        <v>4591734</v>
      </c>
      <c r="AM219" s="258">
        <v>0</v>
      </c>
      <c r="AN219" s="258">
        <f t="shared" si="165"/>
        <v>4591734</v>
      </c>
      <c r="AO219" s="451">
        <f t="shared" si="166"/>
        <v>393997</v>
      </c>
      <c r="AP219" s="450">
        <f t="shared" si="167"/>
        <v>229498657</v>
      </c>
      <c r="AQ219" s="261" t="e">
        <f>#REF!+AH219+AA219+T219+M219</f>
        <v>#REF!</v>
      </c>
      <c r="AR219" s="261">
        <f t="shared" si="126"/>
        <v>229724859</v>
      </c>
      <c r="AS219" s="261" t="e">
        <f t="shared" si="127"/>
        <v>#REF!</v>
      </c>
      <c r="AT219" s="261">
        <f t="shared" si="128"/>
        <v>229988757</v>
      </c>
      <c r="AU219" s="261" t="e">
        <f t="shared" si="129"/>
        <v>#REF!</v>
      </c>
      <c r="AV219" s="261">
        <f t="shared" si="130"/>
        <v>253476253</v>
      </c>
      <c r="AW219" s="261" t="e">
        <f t="shared" si="131"/>
        <v>#REF!</v>
      </c>
      <c r="AX219" s="261" t="e">
        <f>AV219+#REF!+AH219+AA219+T219</f>
        <v>#REF!</v>
      </c>
      <c r="AY219" s="261" t="e">
        <f t="shared" si="132"/>
        <v>#REF!</v>
      </c>
      <c r="AZ219" s="261" t="e">
        <f t="shared" si="133"/>
        <v>#REF!</v>
      </c>
      <c r="BA219" s="261" t="e">
        <f t="shared" si="134"/>
        <v>#REF!</v>
      </c>
      <c r="BB219" s="261" t="e">
        <f t="shared" si="135"/>
        <v>#REF!</v>
      </c>
      <c r="BC219" s="261" t="e">
        <f t="shared" si="136"/>
        <v>#REF!</v>
      </c>
      <c r="BD219" s="261" t="e">
        <f t="shared" si="137"/>
        <v>#REF!</v>
      </c>
      <c r="BE219" s="261" t="e">
        <f>BC219+AV219+#REF!+AH219+AA219</f>
        <v>#REF!</v>
      </c>
      <c r="BF219" s="261" t="e">
        <f t="shared" si="138"/>
        <v>#REF!</v>
      </c>
      <c r="BG219" s="261" t="e">
        <f t="shared" si="139"/>
        <v>#REF!</v>
      </c>
    </row>
    <row r="220" spans="1:59" ht="15.75">
      <c r="A220" s="333">
        <v>18</v>
      </c>
      <c r="B220" s="333" t="s">
        <v>1607</v>
      </c>
      <c r="C220" s="256">
        <v>15</v>
      </c>
      <c r="D220" s="322" t="s">
        <v>66</v>
      </c>
      <c r="E220" s="256" t="s">
        <v>9</v>
      </c>
      <c r="F220" s="425">
        <f t="array" ref="F220">MAX((IF(MNU_CODIGO_ALIMENTO_ENTREGA=CONCATENATE($C220,"_","P_"),MNU_GRAMAJE_REQUERIDO_TIPOA,"")))</f>
        <v>50</v>
      </c>
      <c r="G220" s="257">
        <f t="shared" si="140"/>
        <v>112999</v>
      </c>
      <c r="H220" s="257">
        <f t="shared" si="141"/>
        <v>9900</v>
      </c>
      <c r="I220" s="257">
        <f t="shared" si="142"/>
        <v>122899</v>
      </c>
      <c r="J220" s="258">
        <f t="shared" si="143"/>
        <v>76048327</v>
      </c>
      <c r="K220" s="258">
        <f t="shared" si="144"/>
        <v>6662700</v>
      </c>
      <c r="L220" s="258">
        <f t="shared" si="145"/>
        <v>82711027</v>
      </c>
      <c r="M220" s="426">
        <f t="array" ref="M220">MAX((IF(MNU_CODIGO_ALIMENTO_ENTREGA=CONCATENATE($C220,"_","P_"),MNU_GRAMAJE_REQUERIDO_TIPOB,"")))</f>
        <v>50</v>
      </c>
      <c r="N220" s="343">
        <f t="shared" si="146"/>
        <v>119374</v>
      </c>
      <c r="O220" s="343">
        <f t="shared" si="147"/>
        <v>14146</v>
      </c>
      <c r="P220" s="343">
        <f t="shared" si="148"/>
        <v>133520</v>
      </c>
      <c r="Q220" s="344">
        <f t="shared" si="149"/>
        <v>80338702</v>
      </c>
      <c r="R220" s="344">
        <f t="shared" si="150"/>
        <v>9520258</v>
      </c>
      <c r="S220" s="344">
        <f t="shared" si="151"/>
        <v>89858960</v>
      </c>
      <c r="T220" s="348">
        <f t="array" ref="T220">MAX((IF(MNU_CODIGO_ALIMENTO_ENTREGA=CONCATENATE($C220,"_","P_"),MNU_GRAMAJE_REQUERIDO_TIPOC,"")))</f>
        <v>80</v>
      </c>
      <c r="U220" s="257">
        <f t="shared" si="152"/>
        <v>95064</v>
      </c>
      <c r="V220" s="257">
        <f t="shared" si="153"/>
        <v>15103</v>
      </c>
      <c r="W220" s="257">
        <f t="shared" si="154"/>
        <v>110167</v>
      </c>
      <c r="X220" s="258">
        <f t="shared" si="155"/>
        <v>102288864</v>
      </c>
      <c r="Y220" s="258">
        <f t="shared" si="156"/>
        <v>16250828</v>
      </c>
      <c r="Z220" s="258">
        <f t="shared" si="157"/>
        <v>118539692</v>
      </c>
      <c r="AA220" s="256">
        <f t="array" ref="AA220">MAX((IF(MNU_CODIGO_ALIMENTO_ENTREGA=CONCATENATE($C220,"_","P_"),MNU_GRAMAJE_REQUERIDO_TIPOM,"")))</f>
        <v>50</v>
      </c>
      <c r="AB220" s="259">
        <f t="shared" si="158"/>
        <v>5746</v>
      </c>
      <c r="AC220" s="259">
        <v>0</v>
      </c>
      <c r="AD220" s="259">
        <f t="shared" si="159"/>
        <v>5746</v>
      </c>
      <c r="AE220" s="260">
        <f t="shared" si="160"/>
        <v>3867058</v>
      </c>
      <c r="AF220" s="260">
        <v>0</v>
      </c>
      <c r="AG220" s="260">
        <f t="shared" si="161"/>
        <v>3867058</v>
      </c>
      <c r="AH220" s="348">
        <f t="array" ref="AH220">MAX((IF(MNU_CODIGO_ALIMENTO_ENTREGA=CONCATENATE($C220,"_","P_"),MNU_GRAMAJE_REQUERIDO_TIPOH,"")))</f>
        <v>80</v>
      </c>
      <c r="AI220" s="257">
        <f t="shared" si="162"/>
        <v>6018</v>
      </c>
      <c r="AJ220" s="257">
        <v>0</v>
      </c>
      <c r="AK220" s="257">
        <f t="shared" si="163"/>
        <v>6018</v>
      </c>
      <c r="AL220" s="258">
        <f t="shared" si="164"/>
        <v>6475368</v>
      </c>
      <c r="AM220" s="258">
        <v>0</v>
      </c>
      <c r="AN220" s="258">
        <f t="shared" si="165"/>
        <v>6475368</v>
      </c>
      <c r="AO220" s="451">
        <f t="shared" si="166"/>
        <v>378350</v>
      </c>
      <c r="AP220" s="450">
        <f t="shared" si="167"/>
        <v>301452105</v>
      </c>
      <c r="AQ220" s="261" t="e">
        <f>#REF!+AH220+AA220+T220+M220</f>
        <v>#REF!</v>
      </c>
      <c r="AR220" s="261">
        <f t="shared" si="126"/>
        <v>301678307</v>
      </c>
      <c r="AS220" s="261" t="e">
        <f t="shared" si="127"/>
        <v>#REF!</v>
      </c>
      <c r="AT220" s="261">
        <f t="shared" si="128"/>
        <v>301933758</v>
      </c>
      <c r="AU220" s="261" t="e">
        <f t="shared" si="129"/>
        <v>#REF!</v>
      </c>
      <c r="AV220" s="261">
        <f t="shared" si="130"/>
        <v>327704844</v>
      </c>
      <c r="AW220" s="261" t="e">
        <f t="shared" si="131"/>
        <v>#REF!</v>
      </c>
      <c r="AX220" s="261" t="e">
        <f>AV220+#REF!+AH220+AA220+T220</f>
        <v>#REF!</v>
      </c>
      <c r="AY220" s="261" t="e">
        <f t="shared" si="132"/>
        <v>#REF!</v>
      </c>
      <c r="AZ220" s="261" t="e">
        <f t="shared" si="133"/>
        <v>#REF!</v>
      </c>
      <c r="BA220" s="261" t="e">
        <f t="shared" si="134"/>
        <v>#REF!</v>
      </c>
      <c r="BB220" s="261" t="e">
        <f t="shared" si="135"/>
        <v>#REF!</v>
      </c>
      <c r="BC220" s="261" t="e">
        <f t="shared" si="136"/>
        <v>#REF!</v>
      </c>
      <c r="BD220" s="261" t="e">
        <f t="shared" si="137"/>
        <v>#REF!</v>
      </c>
      <c r="BE220" s="261" t="e">
        <f>BC220+AV220+#REF!+AH220+AA220</f>
        <v>#REF!</v>
      </c>
      <c r="BF220" s="261" t="e">
        <f t="shared" si="138"/>
        <v>#REF!</v>
      </c>
      <c r="BG220" s="261" t="e">
        <f t="shared" si="139"/>
        <v>#REF!</v>
      </c>
    </row>
    <row r="221" spans="1:59" ht="15.75">
      <c r="A221" s="333">
        <v>18</v>
      </c>
      <c r="B221" s="333" t="s">
        <v>1607</v>
      </c>
      <c r="C221" s="256">
        <v>24</v>
      </c>
      <c r="D221" s="322" t="s">
        <v>61</v>
      </c>
      <c r="E221" s="256" t="s">
        <v>9</v>
      </c>
      <c r="F221" s="425">
        <f t="array" ref="F221">MAX((IF(MNU_CODIGO_ALIMENTO_ENTREGA=CONCATENATE($C221,"_","P_"),MNU_GRAMAJE_REQUERIDO_TIPOA,"")))</f>
        <v>20</v>
      </c>
      <c r="G221" s="257">
        <f t="shared" si="140"/>
        <v>112999</v>
      </c>
      <c r="H221" s="257">
        <f t="shared" si="141"/>
        <v>9900</v>
      </c>
      <c r="I221" s="257">
        <f t="shared" si="142"/>
        <v>122899</v>
      </c>
      <c r="J221" s="258">
        <f t="shared" si="143"/>
        <v>14463872</v>
      </c>
      <c r="K221" s="258">
        <f t="shared" si="144"/>
        <v>1267200</v>
      </c>
      <c r="L221" s="258">
        <f t="shared" si="145"/>
        <v>15731072</v>
      </c>
      <c r="M221" s="426">
        <f t="array" ref="M221">MAX((IF(MNU_CODIGO_ALIMENTO_ENTREGA=CONCATENATE($C221,"_","P_"),MNU_GRAMAJE_REQUERIDO_TIPOB,"")))</f>
        <v>30</v>
      </c>
      <c r="N221" s="343">
        <f t="shared" si="146"/>
        <v>119374</v>
      </c>
      <c r="O221" s="343">
        <f t="shared" si="147"/>
        <v>14146</v>
      </c>
      <c r="P221" s="343">
        <f t="shared" si="148"/>
        <v>133520</v>
      </c>
      <c r="Q221" s="344">
        <f t="shared" si="149"/>
        <v>23874800</v>
      </c>
      <c r="R221" s="344">
        <f t="shared" si="150"/>
        <v>2829200</v>
      </c>
      <c r="S221" s="344">
        <f t="shared" si="151"/>
        <v>26704000</v>
      </c>
      <c r="T221" s="348">
        <f t="array" ref="T221">MAX((IF(MNU_CODIGO_ALIMENTO_ENTREGA=CONCATENATE($C221,"_","P_"),MNU_GRAMAJE_REQUERIDO_TIPOC,"")))</f>
        <v>60</v>
      </c>
      <c r="U221" s="257">
        <f t="shared" si="152"/>
        <v>95064</v>
      </c>
      <c r="V221" s="257">
        <f t="shared" si="153"/>
        <v>15103</v>
      </c>
      <c r="W221" s="257">
        <f t="shared" si="154"/>
        <v>110167</v>
      </c>
      <c r="X221" s="258">
        <f t="shared" si="155"/>
        <v>36599640</v>
      </c>
      <c r="Y221" s="258">
        <f t="shared" si="156"/>
        <v>5814655</v>
      </c>
      <c r="Z221" s="258">
        <f t="shared" si="157"/>
        <v>42414295</v>
      </c>
      <c r="AA221" s="256">
        <f t="array" ref="AA221">MAX((IF(MNU_CODIGO_ALIMENTO_ENTREGA=CONCATENATE($C221,"_","P_"),MNU_GRAMAJE_REQUERIDO_TIPOM,"")))</f>
        <v>30</v>
      </c>
      <c r="AB221" s="259">
        <f t="shared" si="158"/>
        <v>5746</v>
      </c>
      <c r="AC221" s="259">
        <v>0</v>
      </c>
      <c r="AD221" s="259">
        <f t="shared" si="159"/>
        <v>5746</v>
      </c>
      <c r="AE221" s="260">
        <f t="shared" si="160"/>
        <v>1149200</v>
      </c>
      <c r="AF221" s="260">
        <v>0</v>
      </c>
      <c r="AG221" s="260">
        <f t="shared" si="161"/>
        <v>1149200</v>
      </c>
      <c r="AH221" s="348">
        <f t="array" ref="AH221">MAX((IF(MNU_CODIGO_ALIMENTO_ENTREGA=CONCATENATE($C221,"_","P_"),MNU_GRAMAJE_REQUERIDO_TIPOH,"")))</f>
        <v>60</v>
      </c>
      <c r="AI221" s="257">
        <f t="shared" si="162"/>
        <v>6018</v>
      </c>
      <c r="AJ221" s="257">
        <v>0</v>
      </c>
      <c r="AK221" s="257">
        <f t="shared" si="163"/>
        <v>6018</v>
      </c>
      <c r="AL221" s="258">
        <f t="shared" si="164"/>
        <v>2316930</v>
      </c>
      <c r="AM221" s="258">
        <v>0</v>
      </c>
      <c r="AN221" s="258">
        <f t="shared" si="165"/>
        <v>2316930</v>
      </c>
      <c r="AO221" s="451">
        <f t="shared" si="166"/>
        <v>378350</v>
      </c>
      <c r="AP221" s="450">
        <f t="shared" si="167"/>
        <v>88315497</v>
      </c>
      <c r="AQ221" s="261" t="e">
        <f>#REF!+AH221+AA221+T221+M221</f>
        <v>#REF!</v>
      </c>
      <c r="AR221" s="261">
        <f t="shared" si="126"/>
        <v>88541699</v>
      </c>
      <c r="AS221" s="261" t="e">
        <f t="shared" si="127"/>
        <v>#REF!</v>
      </c>
      <c r="AT221" s="261">
        <f t="shared" si="128"/>
        <v>88797150</v>
      </c>
      <c r="AU221" s="261" t="e">
        <f t="shared" si="129"/>
        <v>#REF!</v>
      </c>
      <c r="AV221" s="261">
        <f t="shared" si="130"/>
        <v>97441005</v>
      </c>
      <c r="AW221" s="261" t="e">
        <f t="shared" si="131"/>
        <v>#REF!</v>
      </c>
      <c r="AX221" s="261" t="e">
        <f>AV221+#REF!+AH221+AA221+T221</f>
        <v>#REF!</v>
      </c>
      <c r="AY221" s="261" t="e">
        <f t="shared" si="132"/>
        <v>#REF!</v>
      </c>
      <c r="AZ221" s="261" t="e">
        <f t="shared" si="133"/>
        <v>#REF!</v>
      </c>
      <c r="BA221" s="261" t="e">
        <f t="shared" si="134"/>
        <v>#REF!</v>
      </c>
      <c r="BB221" s="261" t="e">
        <f t="shared" si="135"/>
        <v>#REF!</v>
      </c>
      <c r="BC221" s="261" t="e">
        <f t="shared" si="136"/>
        <v>#REF!</v>
      </c>
      <c r="BD221" s="261" t="e">
        <f t="shared" si="137"/>
        <v>#REF!</v>
      </c>
      <c r="BE221" s="261" t="e">
        <f>BC221+AV221+#REF!+AH221+AA221</f>
        <v>#REF!</v>
      </c>
      <c r="BF221" s="261" t="e">
        <f t="shared" si="138"/>
        <v>#REF!</v>
      </c>
      <c r="BG221" s="261" t="e">
        <f t="shared" si="139"/>
        <v>#REF!</v>
      </c>
    </row>
    <row r="222" spans="1:59" ht="15.75">
      <c r="A222" s="333">
        <v>18</v>
      </c>
      <c r="B222" s="333" t="s">
        <v>1607</v>
      </c>
      <c r="C222" s="256">
        <v>25</v>
      </c>
      <c r="D222" s="322" t="s">
        <v>64</v>
      </c>
      <c r="E222" s="256" t="s">
        <v>9</v>
      </c>
      <c r="F222" s="425">
        <f t="array" ref="F222">MAX((IF(MNU_CODIGO_ALIMENTO_ENTREGA=CONCATENATE($C222,"_","P_"),MNU_GRAMAJE_REQUERIDO_TIPOA,"")))</f>
        <v>40</v>
      </c>
      <c r="G222" s="257">
        <f t="shared" si="140"/>
        <v>112999</v>
      </c>
      <c r="H222" s="257">
        <f t="shared" si="141"/>
        <v>19800</v>
      </c>
      <c r="I222" s="257">
        <f t="shared" si="142"/>
        <v>132799</v>
      </c>
      <c r="J222" s="258">
        <f t="shared" si="143"/>
        <v>28927744</v>
      </c>
      <c r="K222" s="258">
        <f t="shared" si="144"/>
        <v>5068800</v>
      </c>
      <c r="L222" s="258">
        <f t="shared" si="145"/>
        <v>33996544</v>
      </c>
      <c r="M222" s="426">
        <f t="array" ref="M222">MAX((IF(MNU_CODIGO_ALIMENTO_ENTREGA=CONCATENATE($C222,"_","P_"),MNU_GRAMAJE_REQUERIDO_TIPOB,"")))</f>
        <v>40</v>
      </c>
      <c r="N222" s="343">
        <f t="shared" si="146"/>
        <v>119374</v>
      </c>
      <c r="O222" s="343">
        <f t="shared" si="147"/>
        <v>23672</v>
      </c>
      <c r="P222" s="343">
        <f t="shared" si="148"/>
        <v>143046</v>
      </c>
      <c r="Q222" s="344">
        <f t="shared" si="149"/>
        <v>30559744</v>
      </c>
      <c r="R222" s="344">
        <f t="shared" si="150"/>
        <v>6060032</v>
      </c>
      <c r="S222" s="344">
        <f t="shared" si="151"/>
        <v>36619776</v>
      </c>
      <c r="T222" s="348">
        <f t="array" ref="T222">MAX((IF(MNU_CODIGO_ALIMENTO_ENTREGA=CONCATENATE($C222,"_","P_"),MNU_GRAMAJE_REQUERIDO_TIPOC,"")))</f>
        <v>60</v>
      </c>
      <c r="U222" s="257">
        <f t="shared" si="152"/>
        <v>95064</v>
      </c>
      <c r="V222" s="257">
        <f t="shared" si="153"/>
        <v>19976</v>
      </c>
      <c r="W222" s="257">
        <f t="shared" si="154"/>
        <v>115040</v>
      </c>
      <c r="X222" s="258">
        <f t="shared" si="155"/>
        <v>36504576</v>
      </c>
      <c r="Y222" s="258">
        <f t="shared" si="156"/>
        <v>7670784</v>
      </c>
      <c r="Z222" s="258">
        <f t="shared" si="157"/>
        <v>44175360</v>
      </c>
      <c r="AA222" s="256">
        <f t="array" ref="AA222">MAX((IF(MNU_CODIGO_ALIMENTO_ENTREGA=CONCATENATE($C222,"_","P_"),MNU_GRAMAJE_REQUERIDO_TIPOM,"")))</f>
        <v>40</v>
      </c>
      <c r="AB222" s="259">
        <f t="shared" si="158"/>
        <v>5746</v>
      </c>
      <c r="AC222" s="259">
        <v>0</v>
      </c>
      <c r="AD222" s="259">
        <f t="shared" si="159"/>
        <v>5746</v>
      </c>
      <c r="AE222" s="260">
        <f t="shared" si="160"/>
        <v>1470976</v>
      </c>
      <c r="AF222" s="260">
        <v>0</v>
      </c>
      <c r="AG222" s="260">
        <f t="shared" si="161"/>
        <v>1470976</v>
      </c>
      <c r="AH222" s="348">
        <f t="array" ref="AH222">MAX((IF(MNU_CODIGO_ALIMENTO_ENTREGA=CONCATENATE($C222,"_","P_"),MNU_GRAMAJE_REQUERIDO_TIPOH,"")))</f>
        <v>60</v>
      </c>
      <c r="AI222" s="257">
        <f t="shared" si="162"/>
        <v>6018</v>
      </c>
      <c r="AJ222" s="257">
        <v>0</v>
      </c>
      <c r="AK222" s="257">
        <f t="shared" si="163"/>
        <v>6018</v>
      </c>
      <c r="AL222" s="258">
        <f t="shared" si="164"/>
        <v>2310912</v>
      </c>
      <c r="AM222" s="258">
        <v>0</v>
      </c>
      <c r="AN222" s="258">
        <f t="shared" si="165"/>
        <v>2310912</v>
      </c>
      <c r="AO222" s="451">
        <f t="shared" si="166"/>
        <v>402649</v>
      </c>
      <c r="AP222" s="450">
        <f t="shared" si="167"/>
        <v>118573568</v>
      </c>
      <c r="AQ222" s="261" t="e">
        <f>#REF!+AH222+AA222+T222+M222</f>
        <v>#REF!</v>
      </c>
      <c r="AR222" s="261">
        <f t="shared" si="126"/>
        <v>118799770</v>
      </c>
      <c r="AS222" s="261" t="e">
        <f t="shared" si="127"/>
        <v>#REF!</v>
      </c>
      <c r="AT222" s="261">
        <f t="shared" si="128"/>
        <v>119069620</v>
      </c>
      <c r="AU222" s="261" t="e">
        <f t="shared" si="129"/>
        <v>#REF!</v>
      </c>
      <c r="AV222" s="261">
        <f t="shared" si="130"/>
        <v>132800436</v>
      </c>
      <c r="AW222" s="261" t="e">
        <f t="shared" si="131"/>
        <v>#REF!</v>
      </c>
      <c r="AX222" s="261" t="e">
        <f>AV222+#REF!+AH222+AA222+T222</f>
        <v>#REF!</v>
      </c>
      <c r="AY222" s="261" t="e">
        <f t="shared" si="132"/>
        <v>#REF!</v>
      </c>
      <c r="AZ222" s="261" t="e">
        <f t="shared" si="133"/>
        <v>#REF!</v>
      </c>
      <c r="BA222" s="261" t="e">
        <f t="shared" si="134"/>
        <v>#REF!</v>
      </c>
      <c r="BB222" s="261" t="e">
        <f t="shared" si="135"/>
        <v>#REF!</v>
      </c>
      <c r="BC222" s="261" t="e">
        <f t="shared" si="136"/>
        <v>#REF!</v>
      </c>
      <c r="BD222" s="261" t="e">
        <f t="shared" si="137"/>
        <v>#REF!</v>
      </c>
      <c r="BE222" s="261" t="e">
        <f>BC222+AV222+#REF!+AH222+AA222</f>
        <v>#REF!</v>
      </c>
      <c r="BF222" s="261" t="e">
        <f t="shared" si="138"/>
        <v>#REF!</v>
      </c>
      <c r="BG222" s="261" t="e">
        <f t="shared" si="139"/>
        <v>#REF!</v>
      </c>
    </row>
    <row r="223" spans="1:59" ht="15.75">
      <c r="A223" s="333">
        <v>18</v>
      </c>
      <c r="B223" s="333" t="s">
        <v>1607</v>
      </c>
      <c r="C223" s="256">
        <v>26</v>
      </c>
      <c r="D223" s="322" t="s">
        <v>69</v>
      </c>
      <c r="E223" s="256" t="s">
        <v>9</v>
      </c>
      <c r="F223" s="425">
        <f t="array" ref="F223">MAX((IF(MNU_CODIGO_ALIMENTO_ENTREGA=CONCATENATE($C223,"_","P_"),MNU_GRAMAJE_REQUERIDO_TIPOA,"")))</f>
        <v>30</v>
      </c>
      <c r="G223" s="257">
        <f t="shared" si="140"/>
        <v>39882</v>
      </c>
      <c r="H223" s="257">
        <f t="shared" si="141"/>
        <v>0</v>
      </c>
      <c r="I223" s="257">
        <f t="shared" si="142"/>
        <v>39882</v>
      </c>
      <c r="J223" s="258">
        <f t="shared" si="143"/>
        <v>6819822</v>
      </c>
      <c r="K223" s="258">
        <f t="shared" si="144"/>
        <v>0</v>
      </c>
      <c r="L223" s="258">
        <f t="shared" si="145"/>
        <v>6819822</v>
      </c>
      <c r="M223" s="426">
        <f t="array" ref="M223">MAX((IF(MNU_CODIGO_ALIMENTO_ENTREGA=CONCATENATE($C223,"_","P_"),MNU_GRAMAJE_REQUERIDO_TIPOB,"")))</f>
        <v>30</v>
      </c>
      <c r="N223" s="343">
        <f t="shared" si="146"/>
        <v>42132</v>
      </c>
      <c r="O223" s="343">
        <f t="shared" si="147"/>
        <v>0</v>
      </c>
      <c r="P223" s="343">
        <f t="shared" si="148"/>
        <v>42132</v>
      </c>
      <c r="Q223" s="344">
        <f t="shared" si="149"/>
        <v>7204572</v>
      </c>
      <c r="R223" s="344">
        <f t="shared" si="150"/>
        <v>0</v>
      </c>
      <c r="S223" s="344">
        <f t="shared" si="151"/>
        <v>7204572</v>
      </c>
      <c r="T223" s="348">
        <f t="array" ref="T223">MAX((IF(MNU_CODIGO_ALIMENTO_ENTREGA=CONCATENATE($C223,"_","P_"),MNU_GRAMAJE_REQUERIDO_TIPOC,"")))</f>
        <v>30</v>
      </c>
      <c r="U223" s="257">
        <f t="shared" si="152"/>
        <v>33552</v>
      </c>
      <c r="V223" s="257">
        <f t="shared" si="153"/>
        <v>0</v>
      </c>
      <c r="W223" s="257">
        <f t="shared" si="154"/>
        <v>33552</v>
      </c>
      <c r="X223" s="258">
        <f t="shared" si="155"/>
        <v>5737392</v>
      </c>
      <c r="Y223" s="258">
        <f t="shared" si="156"/>
        <v>0</v>
      </c>
      <c r="Z223" s="258">
        <f t="shared" si="157"/>
        <v>5737392</v>
      </c>
      <c r="AA223" s="256">
        <f t="array" ref="AA223">MAX((IF(MNU_CODIGO_ALIMENTO_ENTREGA=CONCATENATE($C223,"_","P_"),MNU_GRAMAJE_REQUERIDO_TIPOM,"")))</f>
        <v>30</v>
      </c>
      <c r="AB223" s="259">
        <f t="shared" si="158"/>
        <v>2028</v>
      </c>
      <c r="AC223" s="259">
        <v>0</v>
      </c>
      <c r="AD223" s="259">
        <f t="shared" si="159"/>
        <v>2028</v>
      </c>
      <c r="AE223" s="260">
        <f t="shared" si="160"/>
        <v>346788</v>
      </c>
      <c r="AF223" s="260">
        <v>0</v>
      </c>
      <c r="AG223" s="260">
        <f t="shared" si="161"/>
        <v>346788</v>
      </c>
      <c r="AH223" s="348">
        <f t="array" ref="AH223">MAX((IF(MNU_CODIGO_ALIMENTO_ENTREGA=CONCATENATE($C223,"_","P_"),MNU_GRAMAJE_REQUERIDO_TIPOH,"")))</f>
        <v>30</v>
      </c>
      <c r="AI223" s="257">
        <f t="shared" si="162"/>
        <v>2124</v>
      </c>
      <c r="AJ223" s="257">
        <v>0</v>
      </c>
      <c r="AK223" s="257">
        <f t="shared" si="163"/>
        <v>2124</v>
      </c>
      <c r="AL223" s="258">
        <f t="shared" si="164"/>
        <v>363204</v>
      </c>
      <c r="AM223" s="258">
        <v>0</v>
      </c>
      <c r="AN223" s="258">
        <f t="shared" si="165"/>
        <v>363204</v>
      </c>
      <c r="AO223" s="451">
        <f t="shared" si="166"/>
        <v>119718</v>
      </c>
      <c r="AP223" s="450">
        <f t="shared" si="167"/>
        <v>20471778</v>
      </c>
      <c r="AQ223" s="261" t="e">
        <f>#REF!+AH223+AA223+T223+M223</f>
        <v>#REF!</v>
      </c>
      <c r="AR223" s="261">
        <f t="shared" si="126"/>
        <v>20551614</v>
      </c>
      <c r="AS223" s="261" t="e">
        <f t="shared" si="127"/>
        <v>#REF!</v>
      </c>
      <c r="AT223" s="261">
        <f t="shared" si="128"/>
        <v>20631450</v>
      </c>
      <c r="AU223" s="261" t="e">
        <f t="shared" si="129"/>
        <v>#REF!</v>
      </c>
      <c r="AV223" s="261">
        <f t="shared" si="130"/>
        <v>20631450</v>
      </c>
      <c r="AW223" s="261" t="e">
        <f t="shared" si="131"/>
        <v>#REF!</v>
      </c>
      <c r="AX223" s="261" t="e">
        <f>AV223+#REF!+AH223+AA223+T223</f>
        <v>#REF!</v>
      </c>
      <c r="AY223" s="261" t="e">
        <f t="shared" si="132"/>
        <v>#REF!</v>
      </c>
      <c r="AZ223" s="261" t="e">
        <f t="shared" si="133"/>
        <v>#REF!</v>
      </c>
      <c r="BA223" s="261" t="e">
        <f t="shared" si="134"/>
        <v>#REF!</v>
      </c>
      <c r="BB223" s="261" t="e">
        <f t="shared" si="135"/>
        <v>#REF!</v>
      </c>
      <c r="BC223" s="261" t="e">
        <f t="shared" si="136"/>
        <v>#REF!</v>
      </c>
      <c r="BD223" s="261" t="e">
        <f t="shared" si="137"/>
        <v>#REF!</v>
      </c>
      <c r="BE223" s="261" t="e">
        <f>BC223+AV223+#REF!+AH223+AA223</f>
        <v>#REF!</v>
      </c>
      <c r="BF223" s="261" t="e">
        <f t="shared" si="138"/>
        <v>#REF!</v>
      </c>
      <c r="BG223" s="261" t="e">
        <f t="shared" si="139"/>
        <v>#REF!</v>
      </c>
    </row>
    <row r="224" spans="1:59" ht="27">
      <c r="A224" s="333">
        <v>18</v>
      </c>
      <c r="B224" s="333" t="s">
        <v>1607</v>
      </c>
      <c r="C224" s="256">
        <v>28</v>
      </c>
      <c r="D224" s="322" t="s">
        <v>67</v>
      </c>
      <c r="E224" s="256" t="s">
        <v>9</v>
      </c>
      <c r="F224" s="425">
        <f t="array" ref="F224">MAX((IF(MNU_CODIGO_ALIMENTO_ENTREGA=CONCATENATE($C224,"_","P_"),MNU_GRAMAJE_REQUERIDO_TIPOA,"")))</f>
        <v>30</v>
      </c>
      <c r="G224" s="257">
        <f t="shared" si="140"/>
        <v>39882</v>
      </c>
      <c r="H224" s="257">
        <f t="shared" si="141"/>
        <v>17100</v>
      </c>
      <c r="I224" s="257">
        <f t="shared" si="142"/>
        <v>56982</v>
      </c>
      <c r="J224" s="258">
        <f t="shared" si="143"/>
        <v>9013332</v>
      </c>
      <c r="K224" s="258">
        <f t="shared" si="144"/>
        <v>3864600</v>
      </c>
      <c r="L224" s="258">
        <f t="shared" si="145"/>
        <v>12877932</v>
      </c>
      <c r="M224" s="426">
        <f t="array" ref="M224">MAX((IF(MNU_CODIGO_ALIMENTO_ENTREGA=CONCATENATE($C224,"_","P_"),MNU_GRAMAJE_REQUERIDO_TIPOB,"")))</f>
        <v>40</v>
      </c>
      <c r="N224" s="343">
        <f t="shared" si="146"/>
        <v>42132</v>
      </c>
      <c r="O224" s="343">
        <f t="shared" si="147"/>
        <v>20444</v>
      </c>
      <c r="P224" s="343">
        <f t="shared" si="148"/>
        <v>62576</v>
      </c>
      <c r="Q224" s="344">
        <f t="shared" si="149"/>
        <v>12681732</v>
      </c>
      <c r="R224" s="344">
        <f t="shared" si="150"/>
        <v>6153644</v>
      </c>
      <c r="S224" s="344">
        <f t="shared" si="151"/>
        <v>18835376</v>
      </c>
      <c r="T224" s="348">
        <f t="array" ref="T224">MAX((IF(MNU_CODIGO_ALIMENTO_ENTREGA=CONCATENATE($C224,"_","P_"),MNU_GRAMAJE_REQUERIDO_TIPOC,"")))</f>
        <v>60</v>
      </c>
      <c r="U224" s="257">
        <f t="shared" si="152"/>
        <v>33552</v>
      </c>
      <c r="V224" s="257">
        <f t="shared" si="153"/>
        <v>17252</v>
      </c>
      <c r="W224" s="257">
        <f t="shared" si="154"/>
        <v>50804</v>
      </c>
      <c r="X224" s="258">
        <f t="shared" si="155"/>
        <v>15131952</v>
      </c>
      <c r="Y224" s="258">
        <f t="shared" si="156"/>
        <v>7780652</v>
      </c>
      <c r="Z224" s="258">
        <f t="shared" si="157"/>
        <v>22912604</v>
      </c>
      <c r="AA224" s="256">
        <f t="array" ref="AA224">MAX((IF(MNU_CODIGO_ALIMENTO_ENTREGA=CONCATENATE($C224,"_","P_"),MNU_GRAMAJE_REQUERIDO_TIPOM,"")))</f>
        <v>40</v>
      </c>
      <c r="AB224" s="259">
        <f t="shared" si="158"/>
        <v>2028</v>
      </c>
      <c r="AC224" s="259">
        <v>0</v>
      </c>
      <c r="AD224" s="259">
        <f t="shared" si="159"/>
        <v>2028</v>
      </c>
      <c r="AE224" s="260">
        <f t="shared" si="160"/>
        <v>610428</v>
      </c>
      <c r="AF224" s="260">
        <v>0</v>
      </c>
      <c r="AG224" s="260">
        <f t="shared" si="161"/>
        <v>610428</v>
      </c>
      <c r="AH224" s="348">
        <f t="array" ref="AH224">MAX((IF(MNU_CODIGO_ALIMENTO_ENTREGA=CONCATENATE($C224,"_","P_"),MNU_GRAMAJE_REQUERIDO_TIPOH,"")))</f>
        <v>60</v>
      </c>
      <c r="AI224" s="257">
        <f t="shared" si="162"/>
        <v>2124</v>
      </c>
      <c r="AJ224" s="257">
        <v>0</v>
      </c>
      <c r="AK224" s="257">
        <f t="shared" si="163"/>
        <v>2124</v>
      </c>
      <c r="AL224" s="258">
        <f t="shared" si="164"/>
        <v>957924</v>
      </c>
      <c r="AM224" s="258">
        <v>0</v>
      </c>
      <c r="AN224" s="258">
        <f t="shared" si="165"/>
        <v>957924</v>
      </c>
      <c r="AO224" s="451">
        <f t="shared" si="166"/>
        <v>174514</v>
      </c>
      <c r="AP224" s="450">
        <f t="shared" si="167"/>
        <v>56194264</v>
      </c>
      <c r="AQ224" s="261" t="e">
        <f>#REF!+AH224+AA224+T224+M224</f>
        <v>#REF!</v>
      </c>
      <c r="AR224" s="261">
        <f t="shared" si="126"/>
        <v>56274100</v>
      </c>
      <c r="AS224" s="261" t="e">
        <f t="shared" si="127"/>
        <v>#REF!</v>
      </c>
      <c r="AT224" s="261">
        <f t="shared" si="128"/>
        <v>56391632</v>
      </c>
      <c r="AU224" s="261" t="e">
        <f t="shared" si="129"/>
        <v>#REF!</v>
      </c>
      <c r="AV224" s="261">
        <f t="shared" si="130"/>
        <v>70325928</v>
      </c>
      <c r="AW224" s="261" t="e">
        <f t="shared" si="131"/>
        <v>#REF!</v>
      </c>
      <c r="AX224" s="261" t="e">
        <f>AV224+#REF!+AH224+AA224+T224</f>
        <v>#REF!</v>
      </c>
      <c r="AY224" s="261" t="e">
        <f t="shared" si="132"/>
        <v>#REF!</v>
      </c>
      <c r="AZ224" s="261" t="e">
        <f t="shared" si="133"/>
        <v>#REF!</v>
      </c>
      <c r="BA224" s="261" t="e">
        <f t="shared" si="134"/>
        <v>#REF!</v>
      </c>
      <c r="BB224" s="261" t="e">
        <f t="shared" si="135"/>
        <v>#REF!</v>
      </c>
      <c r="BC224" s="261" t="e">
        <f t="shared" si="136"/>
        <v>#REF!</v>
      </c>
      <c r="BD224" s="261" t="e">
        <f t="shared" si="137"/>
        <v>#REF!</v>
      </c>
      <c r="BE224" s="261" t="e">
        <f>BC224+AV224+#REF!+AH224+AA224</f>
        <v>#REF!</v>
      </c>
      <c r="BF224" s="261" t="e">
        <f t="shared" si="138"/>
        <v>#REF!</v>
      </c>
      <c r="BG224" s="261" t="e">
        <f t="shared" si="139"/>
        <v>#REF!</v>
      </c>
    </row>
    <row r="225" spans="1:59" ht="15.75">
      <c r="A225" s="333">
        <v>18</v>
      </c>
      <c r="B225" s="333" t="s">
        <v>1607</v>
      </c>
      <c r="C225" s="256">
        <v>30</v>
      </c>
      <c r="D225" s="322" t="s">
        <v>63</v>
      </c>
      <c r="E225" s="256" t="s">
        <v>9</v>
      </c>
      <c r="F225" s="425">
        <f t="array" ref="F225">MAX((IF(MNU_CODIGO_ALIMENTO_ENTREGA=CONCATENATE($C225,"_","P_"),MNU_GRAMAJE_REQUERIDO_TIPOA,"")))</f>
        <v>30</v>
      </c>
      <c r="G225" s="257">
        <f t="shared" si="140"/>
        <v>106352</v>
      </c>
      <c r="H225" s="257">
        <f t="shared" si="141"/>
        <v>0</v>
      </c>
      <c r="I225" s="257">
        <f t="shared" si="142"/>
        <v>106352</v>
      </c>
      <c r="J225" s="258">
        <f t="shared" si="143"/>
        <v>35308864</v>
      </c>
      <c r="K225" s="258">
        <f t="shared" si="144"/>
        <v>0</v>
      </c>
      <c r="L225" s="258">
        <f t="shared" si="145"/>
        <v>35308864</v>
      </c>
      <c r="M225" s="426">
        <f t="array" ref="M225">MAX((IF(MNU_CODIGO_ALIMENTO_ENTREGA=CONCATENATE($C225,"_","P_"),MNU_GRAMAJE_REQUERIDO_TIPOB,"")))</f>
        <v>30</v>
      </c>
      <c r="N225" s="343">
        <f t="shared" si="146"/>
        <v>112352</v>
      </c>
      <c r="O225" s="343">
        <f t="shared" si="147"/>
        <v>0</v>
      </c>
      <c r="P225" s="343">
        <f t="shared" si="148"/>
        <v>112352</v>
      </c>
      <c r="Q225" s="344">
        <f t="shared" si="149"/>
        <v>37300864</v>
      </c>
      <c r="R225" s="344">
        <f t="shared" si="150"/>
        <v>0</v>
      </c>
      <c r="S225" s="344">
        <f t="shared" si="151"/>
        <v>37300864</v>
      </c>
      <c r="T225" s="348">
        <f t="array" ref="T225">MAX((IF(MNU_CODIGO_ALIMENTO_ENTREGA=CONCATENATE($C225,"_","P_"),MNU_GRAMAJE_REQUERIDO_TIPOC,"")))</f>
        <v>30</v>
      </c>
      <c r="U225" s="257">
        <f t="shared" si="152"/>
        <v>89472</v>
      </c>
      <c r="V225" s="257">
        <f t="shared" si="153"/>
        <v>0</v>
      </c>
      <c r="W225" s="257">
        <f t="shared" si="154"/>
        <v>89472</v>
      </c>
      <c r="X225" s="258">
        <f t="shared" si="155"/>
        <v>29704704</v>
      </c>
      <c r="Y225" s="258">
        <f t="shared" si="156"/>
        <v>0</v>
      </c>
      <c r="Z225" s="258">
        <f t="shared" si="157"/>
        <v>29704704</v>
      </c>
      <c r="AA225" s="256">
        <f t="array" ref="AA225">MAX((IF(MNU_CODIGO_ALIMENTO_ENTREGA=CONCATENATE($C225,"_","P_"),MNU_GRAMAJE_REQUERIDO_TIPOM,"")))</f>
        <v>30</v>
      </c>
      <c r="AB225" s="259">
        <f t="shared" si="158"/>
        <v>5408</v>
      </c>
      <c r="AC225" s="259">
        <v>0</v>
      </c>
      <c r="AD225" s="259">
        <f t="shared" si="159"/>
        <v>5408</v>
      </c>
      <c r="AE225" s="260">
        <f t="shared" si="160"/>
        <v>1795456</v>
      </c>
      <c r="AF225" s="260">
        <v>0</v>
      </c>
      <c r="AG225" s="260">
        <f t="shared" si="161"/>
        <v>1795456</v>
      </c>
      <c r="AH225" s="348">
        <f t="array" ref="AH225">MAX((IF(MNU_CODIGO_ALIMENTO_ENTREGA=CONCATENATE($C225,"_","P_"),MNU_GRAMAJE_REQUERIDO_TIPOH,"")))</f>
        <v>30</v>
      </c>
      <c r="AI225" s="257">
        <f t="shared" si="162"/>
        <v>5664</v>
      </c>
      <c r="AJ225" s="257">
        <v>0</v>
      </c>
      <c r="AK225" s="257">
        <f t="shared" si="163"/>
        <v>5664</v>
      </c>
      <c r="AL225" s="258">
        <f t="shared" si="164"/>
        <v>1880448</v>
      </c>
      <c r="AM225" s="258">
        <v>0</v>
      </c>
      <c r="AN225" s="258">
        <f t="shared" si="165"/>
        <v>1880448</v>
      </c>
      <c r="AO225" s="451">
        <f t="shared" si="166"/>
        <v>319248</v>
      </c>
      <c r="AP225" s="450">
        <f t="shared" si="167"/>
        <v>105990336</v>
      </c>
      <c r="AQ225" s="261" t="e">
        <f>#REF!+AH225+AA225+T225+M225</f>
        <v>#REF!</v>
      </c>
      <c r="AR225" s="261">
        <f t="shared" si="126"/>
        <v>106203232</v>
      </c>
      <c r="AS225" s="261" t="e">
        <f t="shared" si="127"/>
        <v>#REF!</v>
      </c>
      <c r="AT225" s="261">
        <f t="shared" si="128"/>
        <v>106416128</v>
      </c>
      <c r="AU225" s="261" t="e">
        <f t="shared" si="129"/>
        <v>#REF!</v>
      </c>
      <c r="AV225" s="261">
        <f t="shared" si="130"/>
        <v>106416128</v>
      </c>
      <c r="AW225" s="261" t="e">
        <f t="shared" si="131"/>
        <v>#REF!</v>
      </c>
      <c r="AX225" s="261" t="e">
        <f>AV225+#REF!+AH225+AA225+T225</f>
        <v>#REF!</v>
      </c>
      <c r="AY225" s="261" t="e">
        <f t="shared" si="132"/>
        <v>#REF!</v>
      </c>
      <c r="AZ225" s="261" t="e">
        <f t="shared" si="133"/>
        <v>#REF!</v>
      </c>
      <c r="BA225" s="261" t="e">
        <f t="shared" si="134"/>
        <v>#REF!</v>
      </c>
      <c r="BB225" s="261" t="e">
        <f t="shared" si="135"/>
        <v>#REF!</v>
      </c>
      <c r="BC225" s="261" t="e">
        <f t="shared" si="136"/>
        <v>#REF!</v>
      </c>
      <c r="BD225" s="261" t="e">
        <f t="shared" si="137"/>
        <v>#REF!</v>
      </c>
      <c r="BE225" s="261" t="e">
        <f>BC225+AV225+#REF!+AH225+AA225</f>
        <v>#REF!</v>
      </c>
      <c r="BF225" s="261" t="e">
        <f t="shared" si="138"/>
        <v>#REF!</v>
      </c>
      <c r="BG225" s="261" t="e">
        <f t="shared" si="139"/>
        <v>#REF!</v>
      </c>
    </row>
    <row r="226" spans="1:59" ht="15.75">
      <c r="A226" s="333">
        <v>18</v>
      </c>
      <c r="B226" s="333" t="s">
        <v>1607</v>
      </c>
      <c r="C226" s="256">
        <v>45</v>
      </c>
      <c r="D226" s="322" t="s">
        <v>10</v>
      </c>
      <c r="E226" s="256" t="s">
        <v>9</v>
      </c>
      <c r="F226" s="425">
        <f t="array" ref="F226">MAX((IF(MNU_CODIGO_ALIMENTO_ENTREGA=CONCATENATE($C226,"_","P_"),MNU_GRAMAJE_REQUERIDO_TIPOA,"")))</f>
        <v>20</v>
      </c>
      <c r="G226" s="257">
        <f t="shared" si="140"/>
        <v>106352</v>
      </c>
      <c r="H226" s="257">
        <f t="shared" si="141"/>
        <v>18000</v>
      </c>
      <c r="I226" s="257">
        <f t="shared" si="142"/>
        <v>124352</v>
      </c>
      <c r="J226" s="258">
        <f t="shared" si="143"/>
        <v>21164048</v>
      </c>
      <c r="K226" s="258">
        <f t="shared" si="144"/>
        <v>3582000</v>
      </c>
      <c r="L226" s="258">
        <f t="shared" si="145"/>
        <v>24746048</v>
      </c>
      <c r="M226" s="426">
        <f t="array" ref="M226">MAX((IF(MNU_CODIGO_ALIMENTO_ENTREGA=CONCATENATE($C226,"_","P_"),MNU_GRAMAJE_REQUERIDO_TIPOB,"")))</f>
        <v>30</v>
      </c>
      <c r="N226" s="343">
        <f t="shared" si="146"/>
        <v>112352</v>
      </c>
      <c r="O226" s="343">
        <f t="shared" si="147"/>
        <v>21520</v>
      </c>
      <c r="P226" s="343">
        <f t="shared" si="148"/>
        <v>133872</v>
      </c>
      <c r="Q226" s="344">
        <f t="shared" si="149"/>
        <v>33480896</v>
      </c>
      <c r="R226" s="344">
        <f t="shared" si="150"/>
        <v>6412960</v>
      </c>
      <c r="S226" s="344">
        <f t="shared" si="151"/>
        <v>39893856</v>
      </c>
      <c r="T226" s="348">
        <f t="array" ref="T226">MAX((IF(MNU_CODIGO_ALIMENTO_ENTREGA=CONCATENATE($C226,"_","P_"),MNU_GRAMAJE_REQUERIDO_TIPOC,"")))</f>
        <v>60</v>
      </c>
      <c r="U226" s="257">
        <f t="shared" si="152"/>
        <v>89472</v>
      </c>
      <c r="V226" s="257">
        <f t="shared" si="153"/>
        <v>18160</v>
      </c>
      <c r="W226" s="257">
        <f t="shared" si="154"/>
        <v>107632</v>
      </c>
      <c r="X226" s="258">
        <f t="shared" si="155"/>
        <v>53414784</v>
      </c>
      <c r="Y226" s="258">
        <f t="shared" si="156"/>
        <v>10841520</v>
      </c>
      <c r="Z226" s="258">
        <f t="shared" si="157"/>
        <v>64256304</v>
      </c>
      <c r="AA226" s="256">
        <f t="array" ref="AA226">MAX((IF(MNU_CODIGO_ALIMENTO_ENTREGA=CONCATENATE($C226,"_","P_"),MNU_GRAMAJE_REQUERIDO_TIPOM,"")))</f>
        <v>30</v>
      </c>
      <c r="AB226" s="259">
        <f t="shared" si="158"/>
        <v>5408</v>
      </c>
      <c r="AC226" s="259">
        <v>0</v>
      </c>
      <c r="AD226" s="259">
        <f t="shared" si="159"/>
        <v>5408</v>
      </c>
      <c r="AE226" s="260">
        <f t="shared" si="160"/>
        <v>1611584</v>
      </c>
      <c r="AF226" s="260">
        <v>0</v>
      </c>
      <c r="AG226" s="260">
        <f t="shared" si="161"/>
        <v>1611584</v>
      </c>
      <c r="AH226" s="348">
        <f t="array" ref="AH226">MAX((IF(MNU_CODIGO_ALIMENTO_ENTREGA=CONCATENATE($C226,"_","P_"),MNU_GRAMAJE_REQUERIDO_TIPOH,"")))</f>
        <v>60</v>
      </c>
      <c r="AI226" s="257">
        <f t="shared" si="162"/>
        <v>5664</v>
      </c>
      <c r="AJ226" s="257">
        <v>0</v>
      </c>
      <c r="AK226" s="257">
        <f t="shared" si="163"/>
        <v>5664</v>
      </c>
      <c r="AL226" s="258">
        <f t="shared" si="164"/>
        <v>3381408</v>
      </c>
      <c r="AM226" s="258">
        <v>0</v>
      </c>
      <c r="AN226" s="258">
        <f t="shared" si="165"/>
        <v>3381408</v>
      </c>
      <c r="AO226" s="451">
        <f t="shared" si="166"/>
        <v>376928</v>
      </c>
      <c r="AP226" s="450">
        <f t="shared" si="167"/>
        <v>133889200</v>
      </c>
      <c r="AQ226" s="261" t="e">
        <f>#REF!+AH226+AA226+T226+M226</f>
        <v>#REF!</v>
      </c>
      <c r="AR226" s="261">
        <f t="shared" si="126"/>
        <v>134102096</v>
      </c>
      <c r="AS226" s="261" t="e">
        <f t="shared" si="127"/>
        <v>#REF!</v>
      </c>
      <c r="AT226" s="261">
        <f t="shared" si="128"/>
        <v>134354672</v>
      </c>
      <c r="AU226" s="261" t="e">
        <f t="shared" si="129"/>
        <v>#REF!</v>
      </c>
      <c r="AV226" s="261">
        <f t="shared" si="130"/>
        <v>151609152</v>
      </c>
      <c r="AW226" s="261" t="e">
        <f t="shared" si="131"/>
        <v>#REF!</v>
      </c>
      <c r="AX226" s="261" t="e">
        <f>AV226+#REF!+AH226+AA226+T226</f>
        <v>#REF!</v>
      </c>
      <c r="AY226" s="261" t="e">
        <f t="shared" si="132"/>
        <v>#REF!</v>
      </c>
      <c r="AZ226" s="261" t="e">
        <f t="shared" si="133"/>
        <v>#REF!</v>
      </c>
      <c r="BA226" s="261" t="e">
        <f t="shared" si="134"/>
        <v>#REF!</v>
      </c>
      <c r="BB226" s="261" t="e">
        <f t="shared" si="135"/>
        <v>#REF!</v>
      </c>
      <c r="BC226" s="261" t="e">
        <f t="shared" si="136"/>
        <v>#REF!</v>
      </c>
      <c r="BD226" s="261" t="e">
        <f t="shared" si="137"/>
        <v>#REF!</v>
      </c>
      <c r="BE226" s="261" t="e">
        <f>BC226+AV226+#REF!+AH226+AA226</f>
        <v>#REF!</v>
      </c>
      <c r="BF226" s="261" t="e">
        <f t="shared" si="138"/>
        <v>#REF!</v>
      </c>
      <c r="BG226" s="261" t="e">
        <f t="shared" si="139"/>
        <v>#REF!</v>
      </c>
    </row>
    <row r="227" spans="1:59" ht="15.75">
      <c r="A227" s="333">
        <v>18</v>
      </c>
      <c r="B227" s="333" t="s">
        <v>1607</v>
      </c>
      <c r="C227" s="256">
        <v>50</v>
      </c>
      <c r="D227" s="322" t="s">
        <v>65</v>
      </c>
      <c r="E227" s="256" t="s">
        <v>9</v>
      </c>
      <c r="F227" s="425">
        <f t="array" ref="F227">MAX((IF(MNU_CODIGO_ALIMENTO_ENTREGA=CONCATENATE($C227,"_","P_"),MNU_GRAMAJE_REQUERIDO_TIPOA,"")))</f>
        <v>30</v>
      </c>
      <c r="G227" s="257">
        <f t="shared" si="140"/>
        <v>112999</v>
      </c>
      <c r="H227" s="257">
        <f t="shared" si="141"/>
        <v>0</v>
      </c>
      <c r="I227" s="257">
        <f t="shared" si="142"/>
        <v>112999</v>
      </c>
      <c r="J227" s="258">
        <f t="shared" si="143"/>
        <v>36272679</v>
      </c>
      <c r="K227" s="258">
        <f t="shared" si="144"/>
        <v>0</v>
      </c>
      <c r="L227" s="258">
        <f t="shared" si="145"/>
        <v>36272679</v>
      </c>
      <c r="M227" s="426">
        <f t="array" ref="M227">MAX((IF(MNU_CODIGO_ALIMENTO_ENTREGA=CONCATENATE($C227,"_","P_"),MNU_GRAMAJE_REQUERIDO_TIPOB,"")))</f>
        <v>40</v>
      </c>
      <c r="N227" s="343">
        <f t="shared" si="146"/>
        <v>119374</v>
      </c>
      <c r="O227" s="343">
        <f t="shared" si="147"/>
        <v>0</v>
      </c>
      <c r="P227" s="343">
        <f t="shared" si="148"/>
        <v>119374</v>
      </c>
      <c r="Q227" s="344">
        <f t="shared" si="149"/>
        <v>51092072</v>
      </c>
      <c r="R227" s="344">
        <f t="shared" si="150"/>
        <v>0</v>
      </c>
      <c r="S227" s="344">
        <f t="shared" si="151"/>
        <v>51092072</v>
      </c>
      <c r="T227" s="348">
        <f t="array" ref="T227">MAX((IF(MNU_CODIGO_ALIMENTO_ENTREGA=CONCATENATE($C227,"_","P_"),MNU_GRAMAJE_REQUERIDO_TIPOC,"")))</f>
        <v>80</v>
      </c>
      <c r="U227" s="257">
        <f t="shared" si="152"/>
        <v>95064</v>
      </c>
      <c r="V227" s="257">
        <f t="shared" si="153"/>
        <v>0</v>
      </c>
      <c r="W227" s="257">
        <f t="shared" si="154"/>
        <v>95064</v>
      </c>
      <c r="X227" s="258">
        <f t="shared" si="155"/>
        <v>81279720</v>
      </c>
      <c r="Y227" s="258">
        <f t="shared" si="156"/>
        <v>0</v>
      </c>
      <c r="Z227" s="258">
        <f t="shared" si="157"/>
        <v>81279720</v>
      </c>
      <c r="AA227" s="256">
        <f t="array" ref="AA227">MAX((IF(MNU_CODIGO_ALIMENTO_ENTREGA=CONCATENATE($C227,"_","P_"),MNU_GRAMAJE_REQUERIDO_TIPOM,"")))</f>
        <v>40</v>
      </c>
      <c r="AB227" s="259">
        <f t="shared" si="158"/>
        <v>5746</v>
      </c>
      <c r="AC227" s="259">
        <v>0</v>
      </c>
      <c r="AD227" s="259">
        <f t="shared" si="159"/>
        <v>5746</v>
      </c>
      <c r="AE227" s="260">
        <f t="shared" si="160"/>
        <v>2459288</v>
      </c>
      <c r="AF227" s="260">
        <v>0</v>
      </c>
      <c r="AG227" s="260">
        <f t="shared" si="161"/>
        <v>2459288</v>
      </c>
      <c r="AH227" s="348">
        <f t="array" ref="AH227">MAX((IF(MNU_CODIGO_ALIMENTO_ENTREGA=CONCATENATE($C227,"_","P_"),MNU_GRAMAJE_REQUERIDO_TIPOH,"")))</f>
        <v>80</v>
      </c>
      <c r="AI227" s="257">
        <f t="shared" si="162"/>
        <v>6018</v>
      </c>
      <c r="AJ227" s="257">
        <v>0</v>
      </c>
      <c r="AK227" s="257">
        <f t="shared" si="163"/>
        <v>6018</v>
      </c>
      <c r="AL227" s="258">
        <f t="shared" si="164"/>
        <v>5145390</v>
      </c>
      <c r="AM227" s="258">
        <v>0</v>
      </c>
      <c r="AN227" s="258">
        <f t="shared" si="165"/>
        <v>5145390</v>
      </c>
      <c r="AO227" s="451">
        <f t="shared" si="166"/>
        <v>339201</v>
      </c>
      <c r="AP227" s="450">
        <f t="shared" si="167"/>
        <v>176249149</v>
      </c>
      <c r="AQ227" s="261" t="e">
        <f>#REF!+AH227+AA227+T227+M227</f>
        <v>#REF!</v>
      </c>
      <c r="AR227" s="261">
        <f t="shared" si="126"/>
        <v>176475351</v>
      </c>
      <c r="AS227" s="261" t="e">
        <f t="shared" si="127"/>
        <v>#REF!</v>
      </c>
      <c r="AT227" s="261">
        <f t="shared" si="128"/>
        <v>176701553</v>
      </c>
      <c r="AU227" s="261" t="e">
        <f t="shared" si="129"/>
        <v>#REF!</v>
      </c>
      <c r="AV227" s="261">
        <f t="shared" si="130"/>
        <v>176701553</v>
      </c>
      <c r="AW227" s="261" t="e">
        <f t="shared" si="131"/>
        <v>#REF!</v>
      </c>
      <c r="AX227" s="261" t="e">
        <f>AV227+#REF!+AH227+AA227+T227</f>
        <v>#REF!</v>
      </c>
      <c r="AY227" s="261" t="e">
        <f t="shared" si="132"/>
        <v>#REF!</v>
      </c>
      <c r="AZ227" s="261" t="e">
        <f t="shared" si="133"/>
        <v>#REF!</v>
      </c>
      <c r="BA227" s="261" t="e">
        <f t="shared" si="134"/>
        <v>#REF!</v>
      </c>
      <c r="BB227" s="261" t="e">
        <f t="shared" si="135"/>
        <v>#REF!</v>
      </c>
      <c r="BC227" s="261" t="e">
        <f t="shared" si="136"/>
        <v>#REF!</v>
      </c>
      <c r="BD227" s="261" t="e">
        <f t="shared" si="137"/>
        <v>#REF!</v>
      </c>
      <c r="BE227" s="261" t="e">
        <f>BC227+AV227+#REF!+AH227+AA227</f>
        <v>#REF!</v>
      </c>
      <c r="BF227" s="261" t="e">
        <f t="shared" si="138"/>
        <v>#REF!</v>
      </c>
      <c r="BG227" s="261" t="e">
        <f t="shared" si="139"/>
        <v>#REF!</v>
      </c>
    </row>
    <row r="228" spans="1:59" ht="15.75">
      <c r="A228" s="333">
        <v>18</v>
      </c>
      <c r="B228" s="333" t="s">
        <v>1607</v>
      </c>
      <c r="C228" s="256">
        <v>61</v>
      </c>
      <c r="D228" s="322" t="s">
        <v>13</v>
      </c>
      <c r="E228" s="256" t="s">
        <v>9</v>
      </c>
      <c r="F228" s="425">
        <f t="array" ref="F228">MAX((IF(MNU_CODIGO_ALIMENTO_ENTREGA=CONCATENATE($C228,"_","P_"),MNU_GRAMAJE_REQUERIDO_TIPOA,"")))</f>
        <v>20</v>
      </c>
      <c r="G228" s="257">
        <f t="shared" si="140"/>
        <v>106352</v>
      </c>
      <c r="H228" s="257">
        <f t="shared" si="141"/>
        <v>18000</v>
      </c>
      <c r="I228" s="257">
        <f t="shared" si="142"/>
        <v>124352</v>
      </c>
      <c r="J228" s="258">
        <f t="shared" si="143"/>
        <v>24780016</v>
      </c>
      <c r="K228" s="258">
        <f t="shared" si="144"/>
        <v>4194000</v>
      </c>
      <c r="L228" s="258">
        <f t="shared" si="145"/>
        <v>28974016</v>
      </c>
      <c r="M228" s="426">
        <f t="array" ref="M228">MAX((IF(MNU_CODIGO_ALIMENTO_ENTREGA=CONCATENATE($C228,"_","P_"),MNU_GRAMAJE_REQUERIDO_TIPOB,"")))</f>
        <v>30</v>
      </c>
      <c r="N228" s="343">
        <f t="shared" si="146"/>
        <v>112352</v>
      </c>
      <c r="O228" s="343">
        <f t="shared" si="147"/>
        <v>21520</v>
      </c>
      <c r="P228" s="343">
        <f t="shared" si="148"/>
        <v>133872</v>
      </c>
      <c r="Q228" s="344">
        <f t="shared" si="149"/>
        <v>39435552</v>
      </c>
      <c r="R228" s="344">
        <f t="shared" si="150"/>
        <v>7553520</v>
      </c>
      <c r="S228" s="344">
        <f t="shared" si="151"/>
        <v>46989072</v>
      </c>
      <c r="T228" s="348">
        <f t="array" ref="T228">MAX((IF(MNU_CODIGO_ALIMENTO_ENTREGA=CONCATENATE($C228,"_","P_"),MNU_GRAMAJE_REQUERIDO_TIPOC,"")))</f>
        <v>70</v>
      </c>
      <c r="U228" s="257">
        <f t="shared" si="152"/>
        <v>89472</v>
      </c>
      <c r="V228" s="257">
        <f t="shared" si="153"/>
        <v>18160</v>
      </c>
      <c r="W228" s="257">
        <f t="shared" si="154"/>
        <v>107632</v>
      </c>
      <c r="X228" s="258">
        <f t="shared" si="155"/>
        <v>73188096</v>
      </c>
      <c r="Y228" s="258">
        <f t="shared" si="156"/>
        <v>14854880</v>
      </c>
      <c r="Z228" s="258">
        <f t="shared" si="157"/>
        <v>88042976</v>
      </c>
      <c r="AA228" s="256">
        <f t="array" ref="AA228">MAX((IF(MNU_CODIGO_ALIMENTO_ENTREGA=CONCATENATE($C228,"_","P_"),MNU_GRAMAJE_REQUERIDO_TIPOM,"")))</f>
        <v>30</v>
      </c>
      <c r="AB228" s="259">
        <f t="shared" si="158"/>
        <v>5408</v>
      </c>
      <c r="AC228" s="259">
        <v>0</v>
      </c>
      <c r="AD228" s="259">
        <f t="shared" si="159"/>
        <v>5408</v>
      </c>
      <c r="AE228" s="260">
        <f t="shared" si="160"/>
        <v>1898208</v>
      </c>
      <c r="AF228" s="260">
        <v>0</v>
      </c>
      <c r="AG228" s="260">
        <f t="shared" si="161"/>
        <v>1898208</v>
      </c>
      <c r="AH228" s="348">
        <f t="array" ref="AH228">MAX((IF(MNU_CODIGO_ALIMENTO_ENTREGA=CONCATENATE($C228,"_","P_"),MNU_GRAMAJE_REQUERIDO_TIPOH,"")))</f>
        <v>70</v>
      </c>
      <c r="AI228" s="257">
        <f t="shared" si="162"/>
        <v>5664</v>
      </c>
      <c r="AJ228" s="257">
        <v>0</v>
      </c>
      <c r="AK228" s="257">
        <f t="shared" si="163"/>
        <v>5664</v>
      </c>
      <c r="AL228" s="258">
        <f t="shared" si="164"/>
        <v>4633152</v>
      </c>
      <c r="AM228" s="258">
        <v>0</v>
      </c>
      <c r="AN228" s="258">
        <f t="shared" si="165"/>
        <v>4633152</v>
      </c>
      <c r="AO228" s="451">
        <f t="shared" si="166"/>
        <v>376928</v>
      </c>
      <c r="AP228" s="450">
        <f t="shared" si="167"/>
        <v>170537424</v>
      </c>
      <c r="AQ228" s="261" t="e">
        <f>#REF!+AH228+AA228+T228+M228</f>
        <v>#REF!</v>
      </c>
      <c r="AR228" s="261">
        <f t="shared" si="126"/>
        <v>170750320</v>
      </c>
      <c r="AS228" s="261" t="e">
        <f t="shared" si="127"/>
        <v>#REF!</v>
      </c>
      <c r="AT228" s="261">
        <f t="shared" si="128"/>
        <v>171002896</v>
      </c>
      <c r="AU228" s="261" t="e">
        <f t="shared" si="129"/>
        <v>#REF!</v>
      </c>
      <c r="AV228" s="261">
        <f t="shared" si="130"/>
        <v>193411296</v>
      </c>
      <c r="AW228" s="261" t="e">
        <f t="shared" si="131"/>
        <v>#REF!</v>
      </c>
      <c r="AX228" s="261" t="e">
        <f>AV228+#REF!+AH228+AA228+T228</f>
        <v>#REF!</v>
      </c>
      <c r="AY228" s="261" t="e">
        <f t="shared" si="132"/>
        <v>#REF!</v>
      </c>
      <c r="AZ228" s="261" t="e">
        <f t="shared" si="133"/>
        <v>#REF!</v>
      </c>
      <c r="BA228" s="261" t="e">
        <f t="shared" si="134"/>
        <v>#REF!</v>
      </c>
      <c r="BB228" s="261" t="e">
        <f t="shared" si="135"/>
        <v>#REF!</v>
      </c>
      <c r="BC228" s="261" t="e">
        <f t="shared" si="136"/>
        <v>#REF!</v>
      </c>
      <c r="BD228" s="261" t="e">
        <f t="shared" si="137"/>
        <v>#REF!</v>
      </c>
      <c r="BE228" s="261" t="e">
        <f>BC228+AV228+#REF!+AH228+AA228</f>
        <v>#REF!</v>
      </c>
      <c r="BF228" s="261" t="e">
        <f t="shared" si="138"/>
        <v>#REF!</v>
      </c>
      <c r="BG228" s="261" t="e">
        <f t="shared" si="139"/>
        <v>#REF!</v>
      </c>
    </row>
    <row r="229" spans="1:59" ht="15.75">
      <c r="A229" s="333">
        <v>18</v>
      </c>
      <c r="B229" s="333" t="s">
        <v>1607</v>
      </c>
      <c r="C229" s="256">
        <v>62</v>
      </c>
      <c r="D229" s="322" t="s">
        <v>68</v>
      </c>
      <c r="E229" s="256" t="s">
        <v>9</v>
      </c>
      <c r="F229" s="425">
        <f t="array" ref="F229">MAX((IF(MNU_CODIGO_ALIMENTO_ENTREGA=CONCATENATE($C229,"_","P_"),MNU_GRAMAJE_REQUERIDO_TIPOA,"")))</f>
        <v>50</v>
      </c>
      <c r="G229" s="257">
        <f t="shared" si="140"/>
        <v>33235</v>
      </c>
      <c r="H229" s="257">
        <f t="shared" si="141"/>
        <v>0</v>
      </c>
      <c r="I229" s="257">
        <f t="shared" si="142"/>
        <v>33235</v>
      </c>
      <c r="J229" s="258">
        <f t="shared" si="143"/>
        <v>20771875</v>
      </c>
      <c r="K229" s="258">
        <f t="shared" si="144"/>
        <v>0</v>
      </c>
      <c r="L229" s="258">
        <f t="shared" si="145"/>
        <v>20771875</v>
      </c>
      <c r="M229" s="426">
        <f t="array" ref="M229">MAX((IF(MNU_CODIGO_ALIMENTO_ENTREGA=CONCATENATE($C229,"_","P_"),MNU_GRAMAJE_REQUERIDO_TIPOB,"")))</f>
        <v>50</v>
      </c>
      <c r="N229" s="343">
        <f t="shared" si="146"/>
        <v>35110</v>
      </c>
      <c r="O229" s="343">
        <f t="shared" si="147"/>
        <v>0</v>
      </c>
      <c r="P229" s="343">
        <f t="shared" si="148"/>
        <v>35110</v>
      </c>
      <c r="Q229" s="344">
        <f t="shared" si="149"/>
        <v>21943750</v>
      </c>
      <c r="R229" s="344">
        <f t="shared" si="150"/>
        <v>0</v>
      </c>
      <c r="S229" s="344">
        <f t="shared" si="151"/>
        <v>21943750</v>
      </c>
      <c r="T229" s="348">
        <f t="array" ref="T229">MAX((IF(MNU_CODIGO_ALIMENTO_ENTREGA=CONCATENATE($C229,"_","P_"),MNU_GRAMAJE_REQUERIDO_TIPOC,"")))</f>
        <v>50</v>
      </c>
      <c r="U229" s="257">
        <f t="shared" si="152"/>
        <v>27960</v>
      </c>
      <c r="V229" s="257">
        <f t="shared" si="153"/>
        <v>0</v>
      </c>
      <c r="W229" s="257">
        <f t="shared" si="154"/>
        <v>27960</v>
      </c>
      <c r="X229" s="258">
        <f t="shared" si="155"/>
        <v>17475000</v>
      </c>
      <c r="Y229" s="258">
        <f t="shared" si="156"/>
        <v>0</v>
      </c>
      <c r="Z229" s="258">
        <f t="shared" si="157"/>
        <v>17475000</v>
      </c>
      <c r="AA229" s="256">
        <f t="array" ref="AA229">MAX((IF(MNU_CODIGO_ALIMENTO_ENTREGA=CONCATENATE($C229,"_","P_"),MNU_GRAMAJE_REQUERIDO_TIPOM,"")))</f>
        <v>50</v>
      </c>
      <c r="AB229" s="259">
        <f t="shared" si="158"/>
        <v>1690</v>
      </c>
      <c r="AC229" s="259">
        <v>0</v>
      </c>
      <c r="AD229" s="259">
        <f t="shared" si="159"/>
        <v>1690</v>
      </c>
      <c r="AE229" s="260">
        <f t="shared" si="160"/>
        <v>1056250</v>
      </c>
      <c r="AF229" s="260">
        <v>0</v>
      </c>
      <c r="AG229" s="260">
        <f t="shared" si="161"/>
        <v>1056250</v>
      </c>
      <c r="AH229" s="348">
        <f t="array" ref="AH229">MAX((IF(MNU_CODIGO_ALIMENTO_ENTREGA=CONCATENATE($C229,"_","P_"),MNU_GRAMAJE_REQUERIDO_TIPOH,"")))</f>
        <v>50</v>
      </c>
      <c r="AI229" s="257">
        <f t="shared" si="162"/>
        <v>1770</v>
      </c>
      <c r="AJ229" s="257">
        <v>0</v>
      </c>
      <c r="AK229" s="257">
        <f t="shared" si="163"/>
        <v>1770</v>
      </c>
      <c r="AL229" s="258">
        <f t="shared" si="164"/>
        <v>1106250</v>
      </c>
      <c r="AM229" s="258">
        <v>0</v>
      </c>
      <c r="AN229" s="258">
        <f t="shared" si="165"/>
        <v>1106250</v>
      </c>
      <c r="AO229" s="451">
        <f t="shared" si="166"/>
        <v>99765</v>
      </c>
      <c r="AP229" s="450">
        <f t="shared" si="167"/>
        <v>62353125</v>
      </c>
      <c r="AQ229" s="261" t="e">
        <f>#REF!+AH229+AA229+T229+M229</f>
        <v>#REF!</v>
      </c>
      <c r="AR229" s="261">
        <f t="shared" si="126"/>
        <v>62419655</v>
      </c>
      <c r="AS229" s="261" t="e">
        <f t="shared" si="127"/>
        <v>#REF!</v>
      </c>
      <c r="AT229" s="261">
        <f t="shared" si="128"/>
        <v>62486185</v>
      </c>
      <c r="AU229" s="261" t="e">
        <f t="shared" si="129"/>
        <v>#REF!</v>
      </c>
      <c r="AV229" s="261">
        <f t="shared" si="130"/>
        <v>62486185</v>
      </c>
      <c r="AW229" s="261" t="e">
        <f t="shared" si="131"/>
        <v>#REF!</v>
      </c>
      <c r="AX229" s="261" t="e">
        <f>AV229+#REF!+AH229+AA229+T229</f>
        <v>#REF!</v>
      </c>
      <c r="AY229" s="261" t="e">
        <f t="shared" si="132"/>
        <v>#REF!</v>
      </c>
      <c r="AZ229" s="261" t="e">
        <f t="shared" si="133"/>
        <v>#REF!</v>
      </c>
      <c r="BA229" s="261" t="e">
        <f t="shared" si="134"/>
        <v>#REF!</v>
      </c>
      <c r="BB229" s="261" t="e">
        <f t="shared" si="135"/>
        <v>#REF!</v>
      </c>
      <c r="BC229" s="261" t="e">
        <f t="shared" si="136"/>
        <v>#REF!</v>
      </c>
      <c r="BD229" s="261" t="e">
        <f t="shared" si="137"/>
        <v>#REF!</v>
      </c>
      <c r="BE229" s="261" t="e">
        <f>BC229+AV229+#REF!+AH229+AA229</f>
        <v>#REF!</v>
      </c>
      <c r="BF229" s="261" t="e">
        <f t="shared" si="138"/>
        <v>#REF!</v>
      </c>
      <c r="BG229" s="261" t="e">
        <f t="shared" si="139"/>
        <v>#REF!</v>
      </c>
    </row>
    <row r="230" spans="1:59" ht="15.75">
      <c r="A230" s="333">
        <v>19</v>
      </c>
      <c r="B230" s="333" t="s">
        <v>1607</v>
      </c>
      <c r="C230" s="256">
        <v>1</v>
      </c>
      <c r="D230" s="322" t="s">
        <v>16</v>
      </c>
      <c r="E230" s="256" t="s">
        <v>9</v>
      </c>
      <c r="F230" s="425">
        <f t="array" ref="F230">MAX((IF(MNU_CODIGO_ALIMENTO_ENTREGA=CONCATENATE($C230,"_","P_"),MNU_GRAMAJE_REQUERIDO_TIPOA,"")))</f>
        <v>30</v>
      </c>
      <c r="G230" s="257">
        <f t="shared" si="140"/>
        <v>90510</v>
      </c>
      <c r="H230" s="257">
        <f t="shared" si="141"/>
        <v>0</v>
      </c>
      <c r="I230" s="257">
        <f t="shared" si="142"/>
        <v>90510</v>
      </c>
      <c r="J230" s="258">
        <f t="shared" si="143"/>
        <v>73132080</v>
      </c>
      <c r="K230" s="258">
        <f t="shared" si="144"/>
        <v>0</v>
      </c>
      <c r="L230" s="258">
        <f t="shared" si="145"/>
        <v>73132080</v>
      </c>
      <c r="M230" s="426">
        <f t="array" ref="M230">MAX((IF(MNU_CODIGO_ALIMENTO_ENTREGA=CONCATENATE($C230,"_","P_"),MNU_GRAMAJE_REQUERIDO_TIPOB,"")))</f>
        <v>40</v>
      </c>
      <c r="N230" s="343">
        <f t="shared" si="146"/>
        <v>131925</v>
      </c>
      <c r="O230" s="343">
        <f t="shared" si="147"/>
        <v>0</v>
      </c>
      <c r="P230" s="343">
        <f t="shared" si="148"/>
        <v>131925</v>
      </c>
      <c r="Q230" s="344">
        <f t="shared" si="149"/>
        <v>142215150</v>
      </c>
      <c r="R230" s="344">
        <f t="shared" si="150"/>
        <v>0</v>
      </c>
      <c r="S230" s="344">
        <f t="shared" si="151"/>
        <v>142215150</v>
      </c>
      <c r="T230" s="348">
        <f t="array" ref="T230">MAX((IF(MNU_CODIGO_ALIMENTO_ENTREGA=CONCATENATE($C230,"_","P_"),MNU_GRAMAJE_REQUERIDO_TIPOC,"")))</f>
        <v>60</v>
      </c>
      <c r="U230" s="257">
        <f t="shared" si="152"/>
        <v>165915</v>
      </c>
      <c r="V230" s="257">
        <f t="shared" si="153"/>
        <v>0</v>
      </c>
      <c r="W230" s="257">
        <f t="shared" si="154"/>
        <v>165915</v>
      </c>
      <c r="X230" s="258">
        <f t="shared" si="155"/>
        <v>268118640</v>
      </c>
      <c r="Y230" s="258">
        <f t="shared" si="156"/>
        <v>0</v>
      </c>
      <c r="Z230" s="258">
        <f t="shared" si="157"/>
        <v>268118640</v>
      </c>
      <c r="AA230" s="256">
        <f t="array" ref="AA230">MAX((IF(MNU_CODIGO_ALIMENTO_ENTREGA=CONCATENATE($C230,"_","P_"),MNU_GRAMAJE_REQUERIDO_TIPOM,"")))</f>
        <v>40</v>
      </c>
      <c r="AB230" s="259">
        <f t="shared" si="158"/>
        <v>2820</v>
      </c>
      <c r="AC230" s="259">
        <v>0</v>
      </c>
      <c r="AD230" s="259">
        <f t="shared" si="159"/>
        <v>2820</v>
      </c>
      <c r="AE230" s="260">
        <f t="shared" si="160"/>
        <v>3039960</v>
      </c>
      <c r="AF230" s="260">
        <v>0</v>
      </c>
      <c r="AG230" s="260">
        <f t="shared" si="161"/>
        <v>3039960</v>
      </c>
      <c r="AH230" s="348">
        <f t="array" ref="AH230">MAX((IF(MNU_CODIGO_ALIMENTO_ENTREGA=CONCATENATE($C230,"_","P_"),MNU_GRAMAJE_REQUERIDO_TIPOH,"")))</f>
        <v>60</v>
      </c>
      <c r="AI230" s="257">
        <f t="shared" si="162"/>
        <v>2745</v>
      </c>
      <c r="AJ230" s="257">
        <v>0</v>
      </c>
      <c r="AK230" s="257">
        <f t="shared" si="163"/>
        <v>2745</v>
      </c>
      <c r="AL230" s="258">
        <f t="shared" si="164"/>
        <v>4435920</v>
      </c>
      <c r="AM230" s="258">
        <v>0</v>
      </c>
      <c r="AN230" s="258">
        <f t="shared" si="165"/>
        <v>4435920</v>
      </c>
      <c r="AO230" s="451">
        <f t="shared" si="166"/>
        <v>393915</v>
      </c>
      <c r="AP230" s="450">
        <f t="shared" si="167"/>
        <v>490941750</v>
      </c>
      <c r="AQ230" s="261" t="e">
        <f>#REF!+AH230+AA230+T230+M230</f>
        <v>#REF!</v>
      </c>
      <c r="AR230" s="261">
        <f t="shared" si="126"/>
        <v>491245155</v>
      </c>
      <c r="AS230" s="261" t="e">
        <f t="shared" si="127"/>
        <v>#REF!</v>
      </c>
      <c r="AT230" s="261">
        <f t="shared" si="128"/>
        <v>491548560</v>
      </c>
      <c r="AU230" s="261" t="e">
        <f t="shared" si="129"/>
        <v>#REF!</v>
      </c>
      <c r="AV230" s="261">
        <f t="shared" si="130"/>
        <v>491548560</v>
      </c>
      <c r="AW230" s="261" t="e">
        <f t="shared" si="131"/>
        <v>#REF!</v>
      </c>
      <c r="AX230" s="261" t="e">
        <f>AV230+#REF!+AH230+AA230+T230</f>
        <v>#REF!</v>
      </c>
      <c r="AY230" s="261" t="e">
        <f t="shared" si="132"/>
        <v>#REF!</v>
      </c>
      <c r="AZ230" s="261" t="e">
        <f t="shared" si="133"/>
        <v>#REF!</v>
      </c>
      <c r="BA230" s="261" t="e">
        <f t="shared" si="134"/>
        <v>#REF!</v>
      </c>
      <c r="BB230" s="261" t="e">
        <f t="shared" si="135"/>
        <v>#REF!</v>
      </c>
      <c r="BC230" s="261" t="e">
        <f t="shared" si="136"/>
        <v>#REF!</v>
      </c>
      <c r="BD230" s="261" t="e">
        <f t="shared" si="137"/>
        <v>#REF!</v>
      </c>
      <c r="BE230" s="261" t="e">
        <f>BC230+AV230+#REF!+AH230+AA230</f>
        <v>#REF!</v>
      </c>
      <c r="BF230" s="261" t="e">
        <f t="shared" si="138"/>
        <v>#REF!</v>
      </c>
      <c r="BG230" s="261" t="e">
        <f t="shared" si="139"/>
        <v>#REF!</v>
      </c>
    </row>
    <row r="231" spans="1:59" ht="15.75">
      <c r="A231" s="333">
        <v>19</v>
      </c>
      <c r="B231" s="333" t="s">
        <v>1607</v>
      </c>
      <c r="C231" s="256">
        <v>3</v>
      </c>
      <c r="D231" s="322" t="s">
        <v>12</v>
      </c>
      <c r="E231" s="256" t="s">
        <v>9</v>
      </c>
      <c r="F231" s="425">
        <f t="array" ref="F231">MAX((IF(MNU_CODIGO_ALIMENTO_ENTREGA=CONCATENATE($C231,"_","P_"),MNU_GRAMAJE_REQUERIDO_TIPOA,"")))</f>
        <v>50</v>
      </c>
      <c r="G231" s="257">
        <f t="shared" si="140"/>
        <v>102578</v>
      </c>
      <c r="H231" s="257">
        <f t="shared" si="141"/>
        <v>7524</v>
      </c>
      <c r="I231" s="257">
        <f t="shared" si="142"/>
        <v>110102</v>
      </c>
      <c r="J231" s="258">
        <f t="shared" si="143"/>
        <v>51801890</v>
      </c>
      <c r="K231" s="258">
        <f t="shared" si="144"/>
        <v>3799620</v>
      </c>
      <c r="L231" s="258">
        <f t="shared" si="145"/>
        <v>55601510</v>
      </c>
      <c r="M231" s="426">
        <f t="array" ref="M231">MAX((IF(MNU_CODIGO_ALIMENTO_ENTREGA=CONCATENATE($C231,"_","P_"),MNU_GRAMAJE_REQUERIDO_TIPOB,"")))</f>
        <v>50</v>
      </c>
      <c r="N231" s="343">
        <f t="shared" si="146"/>
        <v>149515</v>
      </c>
      <c r="O231" s="343">
        <f t="shared" si="147"/>
        <v>16929</v>
      </c>
      <c r="P231" s="343">
        <f t="shared" si="148"/>
        <v>166444</v>
      </c>
      <c r="Q231" s="344">
        <f t="shared" si="149"/>
        <v>75505075</v>
      </c>
      <c r="R231" s="344">
        <f t="shared" si="150"/>
        <v>8549145</v>
      </c>
      <c r="S231" s="344">
        <f t="shared" si="151"/>
        <v>84054220</v>
      </c>
      <c r="T231" s="348">
        <f t="array" ref="T231">MAX((IF(MNU_CODIGO_ALIMENTO_ENTREGA=CONCATENATE($C231,"_","P_"),MNU_GRAMAJE_REQUERIDO_TIPOC,"")))</f>
        <v>80</v>
      </c>
      <c r="U231" s="257">
        <f t="shared" si="152"/>
        <v>188037</v>
      </c>
      <c r="V231" s="257">
        <f t="shared" si="153"/>
        <v>20045</v>
      </c>
      <c r="W231" s="257">
        <f t="shared" si="154"/>
        <v>208082</v>
      </c>
      <c r="X231" s="258">
        <f t="shared" si="155"/>
        <v>143472231</v>
      </c>
      <c r="Y231" s="258">
        <f t="shared" si="156"/>
        <v>15294335</v>
      </c>
      <c r="Z231" s="258">
        <f t="shared" si="157"/>
        <v>158766566</v>
      </c>
      <c r="AA231" s="256">
        <f t="array" ref="AA231">MAX((IF(MNU_CODIGO_ALIMENTO_ENTREGA=CONCATENATE($C231,"_","P_"),MNU_GRAMAJE_REQUERIDO_TIPOM,"")))</f>
        <v>50</v>
      </c>
      <c r="AB231" s="259">
        <f t="shared" si="158"/>
        <v>3196</v>
      </c>
      <c r="AC231" s="259">
        <v>0</v>
      </c>
      <c r="AD231" s="259">
        <f t="shared" si="159"/>
        <v>3196</v>
      </c>
      <c r="AE231" s="260">
        <f t="shared" si="160"/>
        <v>1613980</v>
      </c>
      <c r="AF231" s="260">
        <v>0</v>
      </c>
      <c r="AG231" s="260">
        <f t="shared" si="161"/>
        <v>1613980</v>
      </c>
      <c r="AH231" s="348">
        <f t="array" ref="AH231">MAX((IF(MNU_CODIGO_ALIMENTO_ENTREGA=CONCATENATE($C231,"_","P_"),MNU_GRAMAJE_REQUERIDO_TIPOH,"")))</f>
        <v>80</v>
      </c>
      <c r="AI231" s="257">
        <f t="shared" si="162"/>
        <v>3111</v>
      </c>
      <c r="AJ231" s="257">
        <v>0</v>
      </c>
      <c r="AK231" s="257">
        <f t="shared" si="163"/>
        <v>3111</v>
      </c>
      <c r="AL231" s="258">
        <f t="shared" si="164"/>
        <v>2373693</v>
      </c>
      <c r="AM231" s="258">
        <v>0</v>
      </c>
      <c r="AN231" s="258">
        <f t="shared" si="165"/>
        <v>2373693</v>
      </c>
      <c r="AO231" s="451">
        <f t="shared" si="166"/>
        <v>490935</v>
      </c>
      <c r="AP231" s="450">
        <f t="shared" si="167"/>
        <v>302409969</v>
      </c>
      <c r="AQ231" s="261" t="e">
        <f>#REF!+AH231+AA231+T231+M231</f>
        <v>#REF!</v>
      </c>
      <c r="AR231" s="261">
        <f t="shared" si="126"/>
        <v>302753828</v>
      </c>
      <c r="AS231" s="261" t="e">
        <f t="shared" si="127"/>
        <v>#REF!</v>
      </c>
      <c r="AT231" s="261">
        <f t="shared" si="128"/>
        <v>303134661</v>
      </c>
      <c r="AU231" s="261" t="e">
        <f t="shared" si="129"/>
        <v>#REF!</v>
      </c>
      <c r="AV231" s="261">
        <f t="shared" si="130"/>
        <v>326978141</v>
      </c>
      <c r="AW231" s="261" t="e">
        <f t="shared" si="131"/>
        <v>#REF!</v>
      </c>
      <c r="AX231" s="261" t="e">
        <f>AV231+#REF!+AH231+AA231+T231</f>
        <v>#REF!</v>
      </c>
      <c r="AY231" s="261" t="e">
        <f t="shared" si="132"/>
        <v>#REF!</v>
      </c>
      <c r="AZ231" s="261" t="e">
        <f t="shared" si="133"/>
        <v>#REF!</v>
      </c>
      <c r="BA231" s="261" t="e">
        <f t="shared" si="134"/>
        <v>#REF!</v>
      </c>
      <c r="BB231" s="261" t="e">
        <f t="shared" si="135"/>
        <v>#REF!</v>
      </c>
      <c r="BC231" s="261" t="e">
        <f t="shared" si="136"/>
        <v>#REF!</v>
      </c>
      <c r="BD231" s="261" t="e">
        <f t="shared" si="137"/>
        <v>#REF!</v>
      </c>
      <c r="BE231" s="261" t="e">
        <f>BC231+AV231+#REF!+AH231+AA231</f>
        <v>#REF!</v>
      </c>
      <c r="BF231" s="261" t="e">
        <f t="shared" si="138"/>
        <v>#REF!</v>
      </c>
      <c r="BG231" s="261" t="e">
        <f t="shared" si="139"/>
        <v>#REF!</v>
      </c>
    </row>
    <row r="232" spans="1:59" ht="15.75">
      <c r="A232" s="333">
        <v>19</v>
      </c>
      <c r="B232" s="333" t="s">
        <v>1607</v>
      </c>
      <c r="C232" s="256">
        <v>15</v>
      </c>
      <c r="D232" s="322" t="s">
        <v>66</v>
      </c>
      <c r="E232" s="256" t="s">
        <v>9</v>
      </c>
      <c r="F232" s="425">
        <f t="array" ref="F232">MAX((IF(MNU_CODIGO_ALIMENTO_ENTREGA=CONCATENATE($C232,"_","P_"),MNU_GRAMAJE_REQUERIDO_TIPOA,"")))</f>
        <v>50</v>
      </c>
      <c r="G232" s="257">
        <f t="shared" si="140"/>
        <v>102578</v>
      </c>
      <c r="H232" s="257">
        <f t="shared" si="141"/>
        <v>4356</v>
      </c>
      <c r="I232" s="257">
        <f t="shared" si="142"/>
        <v>106934</v>
      </c>
      <c r="J232" s="258">
        <f t="shared" si="143"/>
        <v>69034994</v>
      </c>
      <c r="K232" s="258">
        <f t="shared" si="144"/>
        <v>2931588</v>
      </c>
      <c r="L232" s="258">
        <f t="shared" si="145"/>
        <v>71966582</v>
      </c>
      <c r="M232" s="426">
        <f t="array" ref="M232">MAX((IF(MNU_CODIGO_ALIMENTO_ENTREGA=CONCATENATE($C232,"_","P_"),MNU_GRAMAJE_REQUERIDO_TIPOB,"")))</f>
        <v>50</v>
      </c>
      <c r="N232" s="343">
        <f t="shared" si="146"/>
        <v>149515</v>
      </c>
      <c r="O232" s="343">
        <f t="shared" si="147"/>
        <v>9801</v>
      </c>
      <c r="P232" s="343">
        <f t="shared" si="148"/>
        <v>159316</v>
      </c>
      <c r="Q232" s="344">
        <f t="shared" si="149"/>
        <v>100623595</v>
      </c>
      <c r="R232" s="344">
        <f t="shared" si="150"/>
        <v>6596073</v>
      </c>
      <c r="S232" s="344">
        <f t="shared" si="151"/>
        <v>107219668</v>
      </c>
      <c r="T232" s="348">
        <f t="array" ref="T232">MAX((IF(MNU_CODIGO_ALIMENTO_ENTREGA=CONCATENATE($C232,"_","P_"),MNU_GRAMAJE_REQUERIDO_TIPOC,"")))</f>
        <v>80</v>
      </c>
      <c r="U232" s="257">
        <f t="shared" si="152"/>
        <v>188037</v>
      </c>
      <c r="V232" s="257">
        <f t="shared" si="153"/>
        <v>11605</v>
      </c>
      <c r="W232" s="257">
        <f t="shared" si="154"/>
        <v>199642</v>
      </c>
      <c r="X232" s="258">
        <f t="shared" si="155"/>
        <v>202327812</v>
      </c>
      <c r="Y232" s="258">
        <f t="shared" si="156"/>
        <v>12486980</v>
      </c>
      <c r="Z232" s="258">
        <f t="shared" si="157"/>
        <v>214814792</v>
      </c>
      <c r="AA232" s="256">
        <f t="array" ref="AA232">MAX((IF(MNU_CODIGO_ALIMENTO_ENTREGA=CONCATENATE($C232,"_","P_"),MNU_GRAMAJE_REQUERIDO_TIPOM,"")))</f>
        <v>50</v>
      </c>
      <c r="AB232" s="259">
        <f t="shared" si="158"/>
        <v>3196</v>
      </c>
      <c r="AC232" s="259">
        <v>0</v>
      </c>
      <c r="AD232" s="259">
        <f t="shared" si="159"/>
        <v>3196</v>
      </c>
      <c r="AE232" s="260">
        <f t="shared" si="160"/>
        <v>2150908</v>
      </c>
      <c r="AF232" s="260">
        <v>0</v>
      </c>
      <c r="AG232" s="260">
        <f t="shared" si="161"/>
        <v>2150908</v>
      </c>
      <c r="AH232" s="348">
        <f t="array" ref="AH232">MAX((IF(MNU_CODIGO_ALIMENTO_ENTREGA=CONCATENATE($C232,"_","P_"),MNU_GRAMAJE_REQUERIDO_TIPOH,"")))</f>
        <v>80</v>
      </c>
      <c r="AI232" s="257">
        <f t="shared" si="162"/>
        <v>3111</v>
      </c>
      <c r="AJ232" s="257">
        <v>0</v>
      </c>
      <c r="AK232" s="257">
        <f t="shared" si="163"/>
        <v>3111</v>
      </c>
      <c r="AL232" s="258">
        <f t="shared" si="164"/>
        <v>3347436</v>
      </c>
      <c r="AM232" s="258">
        <v>0</v>
      </c>
      <c r="AN232" s="258">
        <f t="shared" si="165"/>
        <v>3347436</v>
      </c>
      <c r="AO232" s="451">
        <f t="shared" si="166"/>
        <v>472199</v>
      </c>
      <c r="AP232" s="450">
        <f t="shared" si="167"/>
        <v>399499386</v>
      </c>
      <c r="AQ232" s="261" t="e">
        <f>#REF!+AH232+AA232+T232+M232</f>
        <v>#REF!</v>
      </c>
      <c r="AR232" s="261">
        <f t="shared" si="126"/>
        <v>399843245</v>
      </c>
      <c r="AS232" s="261" t="e">
        <f t="shared" si="127"/>
        <v>#REF!</v>
      </c>
      <c r="AT232" s="261">
        <f t="shared" si="128"/>
        <v>400208510</v>
      </c>
      <c r="AU232" s="261" t="e">
        <f t="shared" si="129"/>
        <v>#REF!</v>
      </c>
      <c r="AV232" s="261">
        <f t="shared" si="130"/>
        <v>419291563</v>
      </c>
      <c r="AW232" s="261" t="e">
        <f t="shared" si="131"/>
        <v>#REF!</v>
      </c>
      <c r="AX232" s="261" t="e">
        <f>AV232+#REF!+AH232+AA232+T232</f>
        <v>#REF!</v>
      </c>
      <c r="AY232" s="261" t="e">
        <f t="shared" si="132"/>
        <v>#REF!</v>
      </c>
      <c r="AZ232" s="261" t="e">
        <f t="shared" si="133"/>
        <v>#REF!</v>
      </c>
      <c r="BA232" s="261" t="e">
        <f t="shared" si="134"/>
        <v>#REF!</v>
      </c>
      <c r="BB232" s="261" t="e">
        <f t="shared" si="135"/>
        <v>#REF!</v>
      </c>
      <c r="BC232" s="261" t="e">
        <f t="shared" si="136"/>
        <v>#REF!</v>
      </c>
      <c r="BD232" s="261" t="e">
        <f t="shared" si="137"/>
        <v>#REF!</v>
      </c>
      <c r="BE232" s="261" t="e">
        <f>BC232+AV232+#REF!+AH232+AA232</f>
        <v>#REF!</v>
      </c>
      <c r="BF232" s="261" t="e">
        <f t="shared" si="138"/>
        <v>#REF!</v>
      </c>
      <c r="BG232" s="261" t="e">
        <f t="shared" si="139"/>
        <v>#REF!</v>
      </c>
    </row>
    <row r="233" spans="1:59" ht="15.75">
      <c r="A233" s="333">
        <v>19</v>
      </c>
      <c r="B233" s="333" t="s">
        <v>1607</v>
      </c>
      <c r="C233" s="256">
        <v>24</v>
      </c>
      <c r="D233" s="322" t="s">
        <v>61</v>
      </c>
      <c r="E233" s="256" t="s">
        <v>9</v>
      </c>
      <c r="F233" s="425">
        <f t="array" ref="F233">MAX((IF(MNU_CODIGO_ALIMENTO_ENTREGA=CONCATENATE($C233,"_","P_"),MNU_GRAMAJE_REQUERIDO_TIPOA,"")))</f>
        <v>20</v>
      </c>
      <c r="G233" s="257">
        <f t="shared" si="140"/>
        <v>102578</v>
      </c>
      <c r="H233" s="257">
        <f t="shared" si="141"/>
        <v>4356</v>
      </c>
      <c r="I233" s="257">
        <f t="shared" si="142"/>
        <v>106934</v>
      </c>
      <c r="J233" s="258">
        <f t="shared" si="143"/>
        <v>13129984</v>
      </c>
      <c r="K233" s="258">
        <f t="shared" si="144"/>
        <v>557568</v>
      </c>
      <c r="L233" s="258">
        <f t="shared" si="145"/>
        <v>13687552</v>
      </c>
      <c r="M233" s="426">
        <f t="array" ref="M233">MAX((IF(MNU_CODIGO_ALIMENTO_ENTREGA=CONCATENATE($C233,"_","P_"),MNU_GRAMAJE_REQUERIDO_TIPOB,"")))</f>
        <v>30</v>
      </c>
      <c r="N233" s="343">
        <f t="shared" si="146"/>
        <v>149515</v>
      </c>
      <c r="O233" s="343">
        <f t="shared" si="147"/>
        <v>9801</v>
      </c>
      <c r="P233" s="343">
        <f t="shared" si="148"/>
        <v>159316</v>
      </c>
      <c r="Q233" s="344">
        <f t="shared" si="149"/>
        <v>29903000</v>
      </c>
      <c r="R233" s="344">
        <f t="shared" si="150"/>
        <v>1960200</v>
      </c>
      <c r="S233" s="344">
        <f t="shared" si="151"/>
        <v>31863200</v>
      </c>
      <c r="T233" s="348">
        <f t="array" ref="T233">MAX((IF(MNU_CODIGO_ALIMENTO_ENTREGA=CONCATENATE($C233,"_","P_"),MNU_GRAMAJE_REQUERIDO_TIPOC,"")))</f>
        <v>60</v>
      </c>
      <c r="U233" s="257">
        <f t="shared" si="152"/>
        <v>188037</v>
      </c>
      <c r="V233" s="257">
        <f t="shared" si="153"/>
        <v>11605</v>
      </c>
      <c r="W233" s="257">
        <f t="shared" si="154"/>
        <v>199642</v>
      </c>
      <c r="X233" s="258">
        <f t="shared" si="155"/>
        <v>72394245</v>
      </c>
      <c r="Y233" s="258">
        <f t="shared" si="156"/>
        <v>4467925</v>
      </c>
      <c r="Z233" s="258">
        <f t="shared" si="157"/>
        <v>76862170</v>
      </c>
      <c r="AA233" s="256">
        <f t="array" ref="AA233">MAX((IF(MNU_CODIGO_ALIMENTO_ENTREGA=CONCATENATE($C233,"_","P_"),MNU_GRAMAJE_REQUERIDO_TIPOM,"")))</f>
        <v>30</v>
      </c>
      <c r="AB233" s="259">
        <f t="shared" si="158"/>
        <v>3196</v>
      </c>
      <c r="AC233" s="259">
        <v>0</v>
      </c>
      <c r="AD233" s="259">
        <f t="shared" si="159"/>
        <v>3196</v>
      </c>
      <c r="AE233" s="260">
        <f t="shared" si="160"/>
        <v>639200</v>
      </c>
      <c r="AF233" s="260">
        <v>0</v>
      </c>
      <c r="AG233" s="260">
        <f t="shared" si="161"/>
        <v>639200</v>
      </c>
      <c r="AH233" s="348">
        <f t="array" ref="AH233">MAX((IF(MNU_CODIGO_ALIMENTO_ENTREGA=CONCATENATE($C233,"_","P_"),MNU_GRAMAJE_REQUERIDO_TIPOH,"")))</f>
        <v>60</v>
      </c>
      <c r="AI233" s="257">
        <f t="shared" si="162"/>
        <v>3111</v>
      </c>
      <c r="AJ233" s="257">
        <v>0</v>
      </c>
      <c r="AK233" s="257">
        <f t="shared" si="163"/>
        <v>3111</v>
      </c>
      <c r="AL233" s="258">
        <f t="shared" si="164"/>
        <v>1197735</v>
      </c>
      <c r="AM233" s="258">
        <v>0</v>
      </c>
      <c r="AN233" s="258">
        <f t="shared" si="165"/>
        <v>1197735</v>
      </c>
      <c r="AO233" s="451">
        <f t="shared" si="166"/>
        <v>472199</v>
      </c>
      <c r="AP233" s="450">
        <f t="shared" si="167"/>
        <v>124249857</v>
      </c>
      <c r="AQ233" s="261" t="e">
        <f>#REF!+AH233+AA233+T233+M233</f>
        <v>#REF!</v>
      </c>
      <c r="AR233" s="261">
        <f t="shared" si="126"/>
        <v>124593716</v>
      </c>
      <c r="AS233" s="261" t="e">
        <f t="shared" si="127"/>
        <v>#REF!</v>
      </c>
      <c r="AT233" s="261">
        <f t="shared" si="128"/>
        <v>124958981</v>
      </c>
      <c r="AU233" s="261" t="e">
        <f t="shared" si="129"/>
        <v>#REF!</v>
      </c>
      <c r="AV233" s="261">
        <f t="shared" si="130"/>
        <v>131387106</v>
      </c>
      <c r="AW233" s="261" t="e">
        <f t="shared" si="131"/>
        <v>#REF!</v>
      </c>
      <c r="AX233" s="261" t="e">
        <f>AV233+#REF!+AH233+AA233+T233</f>
        <v>#REF!</v>
      </c>
      <c r="AY233" s="261" t="e">
        <f t="shared" si="132"/>
        <v>#REF!</v>
      </c>
      <c r="AZ233" s="261" t="e">
        <f t="shared" si="133"/>
        <v>#REF!</v>
      </c>
      <c r="BA233" s="261" t="e">
        <f t="shared" si="134"/>
        <v>#REF!</v>
      </c>
      <c r="BB233" s="261" t="e">
        <f t="shared" si="135"/>
        <v>#REF!</v>
      </c>
      <c r="BC233" s="261" t="e">
        <f t="shared" si="136"/>
        <v>#REF!</v>
      </c>
      <c r="BD233" s="261" t="e">
        <f t="shared" si="137"/>
        <v>#REF!</v>
      </c>
      <c r="BE233" s="261" t="e">
        <f>BC233+AV233+#REF!+AH233+AA233</f>
        <v>#REF!</v>
      </c>
      <c r="BF233" s="261" t="e">
        <f t="shared" si="138"/>
        <v>#REF!</v>
      </c>
      <c r="BG233" s="261" t="e">
        <f t="shared" si="139"/>
        <v>#REF!</v>
      </c>
    </row>
    <row r="234" spans="1:59" ht="15.75">
      <c r="A234" s="333">
        <v>19</v>
      </c>
      <c r="B234" s="333" t="s">
        <v>1607</v>
      </c>
      <c r="C234" s="256">
        <v>25</v>
      </c>
      <c r="D234" s="322" t="s">
        <v>64</v>
      </c>
      <c r="E234" s="256" t="s">
        <v>9</v>
      </c>
      <c r="F234" s="425">
        <f t="array" ref="F234">MAX((IF(MNU_CODIGO_ALIMENTO_ENTREGA=CONCATENATE($C234,"_","P_"),MNU_GRAMAJE_REQUERIDO_TIPOA,"")))</f>
        <v>40</v>
      </c>
      <c r="G234" s="257">
        <f t="shared" si="140"/>
        <v>102578</v>
      </c>
      <c r="H234" s="257">
        <f t="shared" si="141"/>
        <v>8712</v>
      </c>
      <c r="I234" s="257">
        <f t="shared" si="142"/>
        <v>111290</v>
      </c>
      <c r="J234" s="258">
        <f t="shared" si="143"/>
        <v>26259968</v>
      </c>
      <c r="K234" s="258">
        <f t="shared" si="144"/>
        <v>2230272</v>
      </c>
      <c r="L234" s="258">
        <f t="shared" si="145"/>
        <v>28490240</v>
      </c>
      <c r="M234" s="426">
        <f t="array" ref="M234">MAX((IF(MNU_CODIGO_ALIMENTO_ENTREGA=CONCATENATE($C234,"_","P_"),MNU_GRAMAJE_REQUERIDO_TIPOB,"")))</f>
        <v>40</v>
      </c>
      <c r="N234" s="343">
        <f t="shared" si="146"/>
        <v>149515</v>
      </c>
      <c r="O234" s="343">
        <f t="shared" si="147"/>
        <v>19602</v>
      </c>
      <c r="P234" s="343">
        <f t="shared" si="148"/>
        <v>169117</v>
      </c>
      <c r="Q234" s="344">
        <f t="shared" si="149"/>
        <v>38275840</v>
      </c>
      <c r="R234" s="344">
        <f t="shared" si="150"/>
        <v>5018112</v>
      </c>
      <c r="S234" s="344">
        <f t="shared" si="151"/>
        <v>43293952</v>
      </c>
      <c r="T234" s="348">
        <f t="array" ref="T234">MAX((IF(MNU_CODIGO_ALIMENTO_ENTREGA=CONCATENATE($C234,"_","P_"),MNU_GRAMAJE_REQUERIDO_TIPOC,"")))</f>
        <v>60</v>
      </c>
      <c r="U234" s="257">
        <f t="shared" si="152"/>
        <v>188037</v>
      </c>
      <c r="V234" s="257">
        <f t="shared" si="153"/>
        <v>23210</v>
      </c>
      <c r="W234" s="257">
        <f t="shared" si="154"/>
        <v>211247</v>
      </c>
      <c r="X234" s="258">
        <f t="shared" si="155"/>
        <v>72206208</v>
      </c>
      <c r="Y234" s="258">
        <f t="shared" si="156"/>
        <v>8912640</v>
      </c>
      <c r="Z234" s="258">
        <f t="shared" si="157"/>
        <v>81118848</v>
      </c>
      <c r="AA234" s="256">
        <f t="array" ref="AA234">MAX((IF(MNU_CODIGO_ALIMENTO_ENTREGA=CONCATENATE($C234,"_","P_"),MNU_GRAMAJE_REQUERIDO_TIPOM,"")))</f>
        <v>40</v>
      </c>
      <c r="AB234" s="259">
        <f t="shared" si="158"/>
        <v>3196</v>
      </c>
      <c r="AC234" s="259">
        <v>0</v>
      </c>
      <c r="AD234" s="259">
        <f t="shared" si="159"/>
        <v>3196</v>
      </c>
      <c r="AE234" s="260">
        <f t="shared" si="160"/>
        <v>818176</v>
      </c>
      <c r="AF234" s="260">
        <v>0</v>
      </c>
      <c r="AG234" s="260">
        <f t="shared" si="161"/>
        <v>818176</v>
      </c>
      <c r="AH234" s="348">
        <f t="array" ref="AH234">MAX((IF(MNU_CODIGO_ALIMENTO_ENTREGA=CONCATENATE($C234,"_","P_"),MNU_GRAMAJE_REQUERIDO_TIPOH,"")))</f>
        <v>60</v>
      </c>
      <c r="AI234" s="257">
        <f t="shared" si="162"/>
        <v>3111</v>
      </c>
      <c r="AJ234" s="257">
        <v>0</v>
      </c>
      <c r="AK234" s="257">
        <f t="shared" si="163"/>
        <v>3111</v>
      </c>
      <c r="AL234" s="258">
        <f t="shared" si="164"/>
        <v>1194624</v>
      </c>
      <c r="AM234" s="258">
        <v>0</v>
      </c>
      <c r="AN234" s="258">
        <f t="shared" si="165"/>
        <v>1194624</v>
      </c>
      <c r="AO234" s="451">
        <f t="shared" si="166"/>
        <v>497961</v>
      </c>
      <c r="AP234" s="450">
        <f t="shared" si="167"/>
        <v>154915840</v>
      </c>
      <c r="AQ234" s="261" t="e">
        <f>#REF!+AH234+AA234+T234+M234</f>
        <v>#REF!</v>
      </c>
      <c r="AR234" s="261">
        <f t="shared" si="126"/>
        <v>155259699</v>
      </c>
      <c r="AS234" s="261" t="e">
        <f t="shared" si="127"/>
        <v>#REF!</v>
      </c>
      <c r="AT234" s="261">
        <f t="shared" si="128"/>
        <v>155646370</v>
      </c>
      <c r="AU234" s="261" t="e">
        <f t="shared" si="129"/>
        <v>#REF!</v>
      </c>
      <c r="AV234" s="261">
        <f t="shared" si="130"/>
        <v>169577122</v>
      </c>
      <c r="AW234" s="261" t="e">
        <f t="shared" si="131"/>
        <v>#REF!</v>
      </c>
      <c r="AX234" s="261" t="e">
        <f>AV234+#REF!+AH234+AA234+T234</f>
        <v>#REF!</v>
      </c>
      <c r="AY234" s="261" t="e">
        <f t="shared" si="132"/>
        <v>#REF!</v>
      </c>
      <c r="AZ234" s="261" t="e">
        <f t="shared" si="133"/>
        <v>#REF!</v>
      </c>
      <c r="BA234" s="261" t="e">
        <f t="shared" si="134"/>
        <v>#REF!</v>
      </c>
      <c r="BB234" s="261" t="e">
        <f t="shared" si="135"/>
        <v>#REF!</v>
      </c>
      <c r="BC234" s="261" t="e">
        <f t="shared" si="136"/>
        <v>#REF!</v>
      </c>
      <c r="BD234" s="261" t="e">
        <f t="shared" si="137"/>
        <v>#REF!</v>
      </c>
      <c r="BE234" s="261" t="e">
        <f>BC234+AV234+#REF!+AH234+AA234</f>
        <v>#REF!</v>
      </c>
      <c r="BF234" s="261" t="e">
        <f t="shared" si="138"/>
        <v>#REF!</v>
      </c>
      <c r="BG234" s="261" t="e">
        <f t="shared" si="139"/>
        <v>#REF!</v>
      </c>
    </row>
    <row r="235" spans="1:59" ht="15.75">
      <c r="A235" s="333">
        <v>19</v>
      </c>
      <c r="B235" s="333" t="s">
        <v>1607</v>
      </c>
      <c r="C235" s="256">
        <v>26</v>
      </c>
      <c r="D235" s="322" t="s">
        <v>69</v>
      </c>
      <c r="E235" s="256" t="s">
        <v>9</v>
      </c>
      <c r="F235" s="425">
        <f t="array" ref="F235">MAX((IF(MNU_CODIGO_ALIMENTO_ENTREGA=CONCATENATE($C235,"_","P_"),MNU_GRAMAJE_REQUERIDO_TIPOA,"")))</f>
        <v>30</v>
      </c>
      <c r="G235" s="257">
        <f t="shared" si="140"/>
        <v>36204</v>
      </c>
      <c r="H235" s="257">
        <f t="shared" si="141"/>
        <v>0</v>
      </c>
      <c r="I235" s="257">
        <f t="shared" si="142"/>
        <v>36204</v>
      </c>
      <c r="J235" s="258">
        <f t="shared" si="143"/>
        <v>6190884</v>
      </c>
      <c r="K235" s="258">
        <f t="shared" si="144"/>
        <v>0</v>
      </c>
      <c r="L235" s="258">
        <f t="shared" si="145"/>
        <v>6190884</v>
      </c>
      <c r="M235" s="426">
        <f t="array" ref="M235">MAX((IF(MNU_CODIGO_ALIMENTO_ENTREGA=CONCATENATE($C235,"_","P_"),MNU_GRAMAJE_REQUERIDO_TIPOB,"")))</f>
        <v>30</v>
      </c>
      <c r="N235" s="343">
        <f t="shared" si="146"/>
        <v>52770</v>
      </c>
      <c r="O235" s="343">
        <f t="shared" si="147"/>
        <v>0</v>
      </c>
      <c r="P235" s="343">
        <f t="shared" si="148"/>
        <v>52770</v>
      </c>
      <c r="Q235" s="344">
        <f t="shared" si="149"/>
        <v>9023670</v>
      </c>
      <c r="R235" s="344">
        <f t="shared" si="150"/>
        <v>0</v>
      </c>
      <c r="S235" s="344">
        <f t="shared" si="151"/>
        <v>9023670</v>
      </c>
      <c r="T235" s="348">
        <f t="array" ref="T235">MAX((IF(MNU_CODIGO_ALIMENTO_ENTREGA=CONCATENATE($C235,"_","P_"),MNU_GRAMAJE_REQUERIDO_TIPOC,"")))</f>
        <v>30</v>
      </c>
      <c r="U235" s="257">
        <f t="shared" si="152"/>
        <v>66366</v>
      </c>
      <c r="V235" s="257">
        <f t="shared" si="153"/>
        <v>0</v>
      </c>
      <c r="W235" s="257">
        <f t="shared" si="154"/>
        <v>66366</v>
      </c>
      <c r="X235" s="258">
        <f t="shared" si="155"/>
        <v>11348586</v>
      </c>
      <c r="Y235" s="258">
        <f t="shared" si="156"/>
        <v>0</v>
      </c>
      <c r="Z235" s="258">
        <f t="shared" si="157"/>
        <v>11348586</v>
      </c>
      <c r="AA235" s="256">
        <f t="array" ref="AA235">MAX((IF(MNU_CODIGO_ALIMENTO_ENTREGA=CONCATENATE($C235,"_","P_"),MNU_GRAMAJE_REQUERIDO_TIPOM,"")))</f>
        <v>30</v>
      </c>
      <c r="AB235" s="259">
        <f t="shared" si="158"/>
        <v>1128</v>
      </c>
      <c r="AC235" s="259">
        <v>0</v>
      </c>
      <c r="AD235" s="259">
        <f t="shared" si="159"/>
        <v>1128</v>
      </c>
      <c r="AE235" s="260">
        <f t="shared" si="160"/>
        <v>192888</v>
      </c>
      <c r="AF235" s="260">
        <v>0</v>
      </c>
      <c r="AG235" s="260">
        <f t="shared" si="161"/>
        <v>192888</v>
      </c>
      <c r="AH235" s="348">
        <f t="array" ref="AH235">MAX((IF(MNU_CODIGO_ALIMENTO_ENTREGA=CONCATENATE($C235,"_","P_"),MNU_GRAMAJE_REQUERIDO_TIPOH,"")))</f>
        <v>30</v>
      </c>
      <c r="AI235" s="257">
        <f t="shared" si="162"/>
        <v>1098</v>
      </c>
      <c r="AJ235" s="257">
        <v>0</v>
      </c>
      <c r="AK235" s="257">
        <f t="shared" si="163"/>
        <v>1098</v>
      </c>
      <c r="AL235" s="258">
        <f t="shared" si="164"/>
        <v>187758</v>
      </c>
      <c r="AM235" s="258">
        <v>0</v>
      </c>
      <c r="AN235" s="258">
        <f t="shared" si="165"/>
        <v>187758</v>
      </c>
      <c r="AO235" s="451">
        <f t="shared" si="166"/>
        <v>157566</v>
      </c>
      <c r="AP235" s="450">
        <f t="shared" si="167"/>
        <v>26943786</v>
      </c>
      <c r="AQ235" s="261" t="e">
        <f>#REF!+AH235+AA235+T235+M235</f>
        <v>#REF!</v>
      </c>
      <c r="AR235" s="261">
        <f t="shared" si="126"/>
        <v>27065148</v>
      </c>
      <c r="AS235" s="261" t="e">
        <f t="shared" si="127"/>
        <v>#REF!</v>
      </c>
      <c r="AT235" s="261">
        <f t="shared" si="128"/>
        <v>27186510</v>
      </c>
      <c r="AU235" s="261" t="e">
        <f t="shared" si="129"/>
        <v>#REF!</v>
      </c>
      <c r="AV235" s="261">
        <f t="shared" si="130"/>
        <v>27186510</v>
      </c>
      <c r="AW235" s="261" t="e">
        <f t="shared" si="131"/>
        <v>#REF!</v>
      </c>
      <c r="AX235" s="261" t="e">
        <f>AV235+#REF!+AH235+AA235+T235</f>
        <v>#REF!</v>
      </c>
      <c r="AY235" s="261" t="e">
        <f t="shared" si="132"/>
        <v>#REF!</v>
      </c>
      <c r="AZ235" s="261" t="e">
        <f t="shared" si="133"/>
        <v>#REF!</v>
      </c>
      <c r="BA235" s="261" t="e">
        <f t="shared" si="134"/>
        <v>#REF!</v>
      </c>
      <c r="BB235" s="261" t="e">
        <f t="shared" si="135"/>
        <v>#REF!</v>
      </c>
      <c r="BC235" s="261" t="e">
        <f t="shared" si="136"/>
        <v>#REF!</v>
      </c>
      <c r="BD235" s="261" t="e">
        <f t="shared" si="137"/>
        <v>#REF!</v>
      </c>
      <c r="BE235" s="261" t="e">
        <f>BC235+AV235+#REF!+AH235+AA235</f>
        <v>#REF!</v>
      </c>
      <c r="BF235" s="261" t="e">
        <f t="shared" si="138"/>
        <v>#REF!</v>
      </c>
      <c r="BG235" s="261" t="e">
        <f t="shared" si="139"/>
        <v>#REF!</v>
      </c>
    </row>
    <row r="236" spans="1:59" ht="27">
      <c r="A236" s="333">
        <v>19</v>
      </c>
      <c r="B236" s="333" t="s">
        <v>1607</v>
      </c>
      <c r="C236" s="256">
        <v>28</v>
      </c>
      <c r="D236" s="322" t="s">
        <v>67</v>
      </c>
      <c r="E236" s="256" t="s">
        <v>9</v>
      </c>
      <c r="F236" s="425">
        <f t="array" ref="F236">MAX((IF(MNU_CODIGO_ALIMENTO_ENTREGA=CONCATENATE($C236,"_","P_"),MNU_GRAMAJE_REQUERIDO_TIPOA,"")))</f>
        <v>30</v>
      </c>
      <c r="G236" s="257">
        <f t="shared" si="140"/>
        <v>36204</v>
      </c>
      <c r="H236" s="257">
        <f t="shared" si="141"/>
        <v>7524</v>
      </c>
      <c r="I236" s="257">
        <f t="shared" si="142"/>
        <v>43728</v>
      </c>
      <c r="J236" s="258">
        <f t="shared" si="143"/>
        <v>8182104</v>
      </c>
      <c r="K236" s="258">
        <f t="shared" si="144"/>
        <v>1700424</v>
      </c>
      <c r="L236" s="258">
        <f t="shared" si="145"/>
        <v>9882528</v>
      </c>
      <c r="M236" s="426">
        <f t="array" ref="M236">MAX((IF(MNU_CODIGO_ALIMENTO_ENTREGA=CONCATENATE($C236,"_","P_"),MNU_GRAMAJE_REQUERIDO_TIPOB,"")))</f>
        <v>40</v>
      </c>
      <c r="N236" s="343">
        <f t="shared" si="146"/>
        <v>52770</v>
      </c>
      <c r="O236" s="343">
        <f t="shared" si="147"/>
        <v>16929</v>
      </c>
      <c r="P236" s="343">
        <f t="shared" si="148"/>
        <v>69699</v>
      </c>
      <c r="Q236" s="344">
        <f t="shared" si="149"/>
        <v>15883770</v>
      </c>
      <c r="R236" s="344">
        <f t="shared" si="150"/>
        <v>5095629</v>
      </c>
      <c r="S236" s="344">
        <f t="shared" si="151"/>
        <v>20979399</v>
      </c>
      <c r="T236" s="348">
        <f t="array" ref="T236">MAX((IF(MNU_CODIGO_ALIMENTO_ENTREGA=CONCATENATE($C236,"_","P_"),MNU_GRAMAJE_REQUERIDO_TIPOC,"")))</f>
        <v>60</v>
      </c>
      <c r="U236" s="257">
        <f t="shared" si="152"/>
        <v>66366</v>
      </c>
      <c r="V236" s="257">
        <f t="shared" si="153"/>
        <v>20045</v>
      </c>
      <c r="W236" s="257">
        <f t="shared" si="154"/>
        <v>86411</v>
      </c>
      <c r="X236" s="258">
        <f t="shared" si="155"/>
        <v>29931066</v>
      </c>
      <c r="Y236" s="258">
        <f t="shared" si="156"/>
        <v>9040295</v>
      </c>
      <c r="Z236" s="258">
        <f t="shared" si="157"/>
        <v>38971361</v>
      </c>
      <c r="AA236" s="256">
        <f t="array" ref="AA236">MAX((IF(MNU_CODIGO_ALIMENTO_ENTREGA=CONCATENATE($C236,"_","P_"),MNU_GRAMAJE_REQUERIDO_TIPOM,"")))</f>
        <v>40</v>
      </c>
      <c r="AB236" s="259">
        <f t="shared" si="158"/>
        <v>1128</v>
      </c>
      <c r="AC236" s="259">
        <v>0</v>
      </c>
      <c r="AD236" s="259">
        <f t="shared" si="159"/>
        <v>1128</v>
      </c>
      <c r="AE236" s="260">
        <f t="shared" si="160"/>
        <v>339528</v>
      </c>
      <c r="AF236" s="260">
        <v>0</v>
      </c>
      <c r="AG236" s="260">
        <f t="shared" si="161"/>
        <v>339528</v>
      </c>
      <c r="AH236" s="348">
        <f t="array" ref="AH236">MAX((IF(MNU_CODIGO_ALIMENTO_ENTREGA=CONCATENATE($C236,"_","P_"),MNU_GRAMAJE_REQUERIDO_TIPOH,"")))</f>
        <v>60</v>
      </c>
      <c r="AI236" s="257">
        <f t="shared" si="162"/>
        <v>1098</v>
      </c>
      <c r="AJ236" s="257">
        <v>0</v>
      </c>
      <c r="AK236" s="257">
        <f t="shared" si="163"/>
        <v>1098</v>
      </c>
      <c r="AL236" s="258">
        <f t="shared" si="164"/>
        <v>495198</v>
      </c>
      <c r="AM236" s="258">
        <v>0</v>
      </c>
      <c r="AN236" s="258">
        <f t="shared" si="165"/>
        <v>495198</v>
      </c>
      <c r="AO236" s="451">
        <f t="shared" si="166"/>
        <v>202064</v>
      </c>
      <c r="AP236" s="450">
        <f t="shared" si="167"/>
        <v>70668014</v>
      </c>
      <c r="AQ236" s="261" t="e">
        <f>#REF!+AH236+AA236+T236+M236</f>
        <v>#REF!</v>
      </c>
      <c r="AR236" s="261">
        <f t="shared" si="126"/>
        <v>70789376</v>
      </c>
      <c r="AS236" s="261" t="e">
        <f t="shared" si="127"/>
        <v>#REF!</v>
      </c>
      <c r="AT236" s="261">
        <f t="shared" si="128"/>
        <v>70947712</v>
      </c>
      <c r="AU236" s="261" t="e">
        <f t="shared" si="129"/>
        <v>#REF!</v>
      </c>
      <c r="AV236" s="261">
        <f t="shared" si="130"/>
        <v>85083636</v>
      </c>
      <c r="AW236" s="261" t="e">
        <f t="shared" si="131"/>
        <v>#REF!</v>
      </c>
      <c r="AX236" s="261" t="e">
        <f>AV236+#REF!+AH236+AA236+T236</f>
        <v>#REF!</v>
      </c>
      <c r="AY236" s="261" t="e">
        <f t="shared" si="132"/>
        <v>#REF!</v>
      </c>
      <c r="AZ236" s="261" t="e">
        <f t="shared" si="133"/>
        <v>#REF!</v>
      </c>
      <c r="BA236" s="261" t="e">
        <f t="shared" si="134"/>
        <v>#REF!</v>
      </c>
      <c r="BB236" s="261" t="e">
        <f t="shared" si="135"/>
        <v>#REF!</v>
      </c>
      <c r="BC236" s="261" t="e">
        <f t="shared" si="136"/>
        <v>#REF!</v>
      </c>
      <c r="BD236" s="261" t="e">
        <f t="shared" si="137"/>
        <v>#REF!</v>
      </c>
      <c r="BE236" s="261" t="e">
        <f>BC236+AV236+#REF!+AH236+AA236</f>
        <v>#REF!</v>
      </c>
      <c r="BF236" s="261" t="e">
        <f t="shared" si="138"/>
        <v>#REF!</v>
      </c>
      <c r="BG236" s="261" t="e">
        <f t="shared" si="139"/>
        <v>#REF!</v>
      </c>
    </row>
    <row r="237" spans="1:59" ht="15.75">
      <c r="A237" s="333">
        <v>19</v>
      </c>
      <c r="B237" s="333" t="s">
        <v>1607</v>
      </c>
      <c r="C237" s="256">
        <v>30</v>
      </c>
      <c r="D237" s="322" t="s">
        <v>63</v>
      </c>
      <c r="E237" s="256" t="s">
        <v>9</v>
      </c>
      <c r="F237" s="425">
        <f t="array" ref="F237">MAX((IF(MNU_CODIGO_ALIMENTO_ENTREGA=CONCATENATE($C237,"_","P_"),MNU_GRAMAJE_REQUERIDO_TIPOA,"")))</f>
        <v>30</v>
      </c>
      <c r="G237" s="257">
        <f t="shared" si="140"/>
        <v>96544</v>
      </c>
      <c r="H237" s="257">
        <f t="shared" si="141"/>
        <v>0</v>
      </c>
      <c r="I237" s="257">
        <f t="shared" si="142"/>
        <v>96544</v>
      </c>
      <c r="J237" s="258">
        <f t="shared" si="143"/>
        <v>32052608</v>
      </c>
      <c r="K237" s="258">
        <f t="shared" si="144"/>
        <v>0</v>
      </c>
      <c r="L237" s="258">
        <f t="shared" si="145"/>
        <v>32052608</v>
      </c>
      <c r="M237" s="426">
        <f t="array" ref="M237">MAX((IF(MNU_CODIGO_ALIMENTO_ENTREGA=CONCATENATE($C237,"_","P_"),MNU_GRAMAJE_REQUERIDO_TIPOB,"")))</f>
        <v>30</v>
      </c>
      <c r="N237" s="343">
        <f t="shared" si="146"/>
        <v>140720</v>
      </c>
      <c r="O237" s="343">
        <f t="shared" si="147"/>
        <v>0</v>
      </c>
      <c r="P237" s="343">
        <f t="shared" si="148"/>
        <v>140720</v>
      </c>
      <c r="Q237" s="344">
        <f t="shared" si="149"/>
        <v>46719040</v>
      </c>
      <c r="R237" s="344">
        <f t="shared" si="150"/>
        <v>0</v>
      </c>
      <c r="S237" s="344">
        <f t="shared" si="151"/>
        <v>46719040</v>
      </c>
      <c r="T237" s="348">
        <f t="array" ref="T237">MAX((IF(MNU_CODIGO_ALIMENTO_ENTREGA=CONCATENATE($C237,"_","P_"),MNU_GRAMAJE_REQUERIDO_TIPOC,"")))</f>
        <v>30</v>
      </c>
      <c r="U237" s="257">
        <f t="shared" si="152"/>
        <v>176976</v>
      </c>
      <c r="V237" s="257">
        <f t="shared" si="153"/>
        <v>0</v>
      </c>
      <c r="W237" s="257">
        <f t="shared" si="154"/>
        <v>176976</v>
      </c>
      <c r="X237" s="258">
        <f t="shared" si="155"/>
        <v>58756032</v>
      </c>
      <c r="Y237" s="258">
        <f t="shared" si="156"/>
        <v>0</v>
      </c>
      <c r="Z237" s="258">
        <f t="shared" si="157"/>
        <v>58756032</v>
      </c>
      <c r="AA237" s="256">
        <f t="array" ref="AA237">MAX((IF(MNU_CODIGO_ALIMENTO_ENTREGA=CONCATENATE($C237,"_","P_"),MNU_GRAMAJE_REQUERIDO_TIPOM,"")))</f>
        <v>30</v>
      </c>
      <c r="AB237" s="259">
        <f t="shared" si="158"/>
        <v>3008</v>
      </c>
      <c r="AC237" s="259">
        <v>0</v>
      </c>
      <c r="AD237" s="259">
        <f t="shared" si="159"/>
        <v>3008</v>
      </c>
      <c r="AE237" s="260">
        <f t="shared" si="160"/>
        <v>998656</v>
      </c>
      <c r="AF237" s="260">
        <v>0</v>
      </c>
      <c r="AG237" s="260">
        <f t="shared" si="161"/>
        <v>998656</v>
      </c>
      <c r="AH237" s="348">
        <f t="array" ref="AH237">MAX((IF(MNU_CODIGO_ALIMENTO_ENTREGA=CONCATENATE($C237,"_","P_"),MNU_GRAMAJE_REQUERIDO_TIPOH,"")))</f>
        <v>30</v>
      </c>
      <c r="AI237" s="257">
        <f t="shared" si="162"/>
        <v>2928</v>
      </c>
      <c r="AJ237" s="257">
        <v>0</v>
      </c>
      <c r="AK237" s="257">
        <f t="shared" si="163"/>
        <v>2928</v>
      </c>
      <c r="AL237" s="258">
        <f t="shared" si="164"/>
        <v>972096</v>
      </c>
      <c r="AM237" s="258">
        <v>0</v>
      </c>
      <c r="AN237" s="258">
        <f t="shared" si="165"/>
        <v>972096</v>
      </c>
      <c r="AO237" s="451">
        <f t="shared" si="166"/>
        <v>420176</v>
      </c>
      <c r="AP237" s="450">
        <f t="shared" si="167"/>
        <v>139498432</v>
      </c>
      <c r="AQ237" s="261" t="e">
        <f>#REF!+AH237+AA237+T237+M237</f>
        <v>#REF!</v>
      </c>
      <c r="AR237" s="261">
        <f t="shared" si="126"/>
        <v>139822064</v>
      </c>
      <c r="AS237" s="261" t="e">
        <f t="shared" si="127"/>
        <v>#REF!</v>
      </c>
      <c r="AT237" s="261">
        <f t="shared" si="128"/>
        <v>140145696</v>
      </c>
      <c r="AU237" s="261" t="e">
        <f t="shared" si="129"/>
        <v>#REF!</v>
      </c>
      <c r="AV237" s="261">
        <f t="shared" si="130"/>
        <v>140145696</v>
      </c>
      <c r="AW237" s="261" t="e">
        <f t="shared" si="131"/>
        <v>#REF!</v>
      </c>
      <c r="AX237" s="261" t="e">
        <f>AV237+#REF!+AH237+AA237+T237</f>
        <v>#REF!</v>
      </c>
      <c r="AY237" s="261" t="e">
        <f t="shared" si="132"/>
        <v>#REF!</v>
      </c>
      <c r="AZ237" s="261" t="e">
        <f t="shared" si="133"/>
        <v>#REF!</v>
      </c>
      <c r="BA237" s="261" t="e">
        <f t="shared" si="134"/>
        <v>#REF!</v>
      </c>
      <c r="BB237" s="261" t="e">
        <f t="shared" si="135"/>
        <v>#REF!</v>
      </c>
      <c r="BC237" s="261" t="e">
        <f t="shared" si="136"/>
        <v>#REF!</v>
      </c>
      <c r="BD237" s="261" t="e">
        <f t="shared" si="137"/>
        <v>#REF!</v>
      </c>
      <c r="BE237" s="261" t="e">
        <f>BC237+AV237+#REF!+AH237+AA237</f>
        <v>#REF!</v>
      </c>
      <c r="BF237" s="261" t="e">
        <f t="shared" si="138"/>
        <v>#REF!</v>
      </c>
      <c r="BG237" s="261" t="e">
        <f t="shared" si="139"/>
        <v>#REF!</v>
      </c>
    </row>
    <row r="238" spans="1:59" ht="15.75">
      <c r="A238" s="333">
        <v>19</v>
      </c>
      <c r="B238" s="333" t="s">
        <v>1607</v>
      </c>
      <c r="C238" s="256">
        <v>45</v>
      </c>
      <c r="D238" s="322" t="s">
        <v>10</v>
      </c>
      <c r="E238" s="256" t="s">
        <v>9</v>
      </c>
      <c r="F238" s="425">
        <f t="array" ref="F238">MAX((IF(MNU_CODIGO_ALIMENTO_ENTREGA=CONCATENATE($C238,"_","P_"),MNU_GRAMAJE_REQUERIDO_TIPOA,"")))</f>
        <v>20</v>
      </c>
      <c r="G238" s="257">
        <f t="shared" si="140"/>
        <v>96544</v>
      </c>
      <c r="H238" s="257">
        <f t="shared" si="141"/>
        <v>7920</v>
      </c>
      <c r="I238" s="257">
        <f t="shared" si="142"/>
        <v>104464</v>
      </c>
      <c r="J238" s="258">
        <f t="shared" si="143"/>
        <v>19212256</v>
      </c>
      <c r="K238" s="258">
        <f t="shared" si="144"/>
        <v>1576080</v>
      </c>
      <c r="L238" s="258">
        <f t="shared" si="145"/>
        <v>20788336</v>
      </c>
      <c r="M238" s="426">
        <f t="array" ref="M238">MAX((IF(MNU_CODIGO_ALIMENTO_ENTREGA=CONCATENATE($C238,"_","P_"),MNU_GRAMAJE_REQUERIDO_TIPOB,"")))</f>
        <v>30</v>
      </c>
      <c r="N238" s="343">
        <f t="shared" si="146"/>
        <v>140720</v>
      </c>
      <c r="O238" s="343">
        <f t="shared" si="147"/>
        <v>17820</v>
      </c>
      <c r="P238" s="343">
        <f t="shared" si="148"/>
        <v>158540</v>
      </c>
      <c r="Q238" s="344">
        <f t="shared" si="149"/>
        <v>41934560</v>
      </c>
      <c r="R238" s="344">
        <f t="shared" si="150"/>
        <v>5310360</v>
      </c>
      <c r="S238" s="344">
        <f t="shared" si="151"/>
        <v>47244920</v>
      </c>
      <c r="T238" s="348">
        <f t="array" ref="T238">MAX((IF(MNU_CODIGO_ALIMENTO_ENTREGA=CONCATENATE($C238,"_","P_"),MNU_GRAMAJE_REQUERIDO_TIPOC,"")))</f>
        <v>60</v>
      </c>
      <c r="U238" s="257">
        <f t="shared" si="152"/>
        <v>176976</v>
      </c>
      <c r="V238" s="257">
        <f t="shared" si="153"/>
        <v>21100</v>
      </c>
      <c r="W238" s="257">
        <f t="shared" si="154"/>
        <v>198076</v>
      </c>
      <c r="X238" s="258">
        <f t="shared" si="155"/>
        <v>105654672</v>
      </c>
      <c r="Y238" s="258">
        <f t="shared" si="156"/>
        <v>12596700</v>
      </c>
      <c r="Z238" s="258">
        <f t="shared" si="157"/>
        <v>118251372</v>
      </c>
      <c r="AA238" s="256">
        <f t="array" ref="AA238">MAX((IF(MNU_CODIGO_ALIMENTO_ENTREGA=CONCATENATE($C238,"_","P_"),MNU_GRAMAJE_REQUERIDO_TIPOM,"")))</f>
        <v>30</v>
      </c>
      <c r="AB238" s="259">
        <f t="shared" si="158"/>
        <v>3008</v>
      </c>
      <c r="AC238" s="259">
        <v>0</v>
      </c>
      <c r="AD238" s="259">
        <f t="shared" si="159"/>
        <v>3008</v>
      </c>
      <c r="AE238" s="260">
        <f t="shared" si="160"/>
        <v>896384</v>
      </c>
      <c r="AF238" s="260">
        <v>0</v>
      </c>
      <c r="AG238" s="260">
        <f t="shared" si="161"/>
        <v>896384</v>
      </c>
      <c r="AH238" s="348">
        <f t="array" ref="AH238">MAX((IF(MNU_CODIGO_ALIMENTO_ENTREGA=CONCATENATE($C238,"_","P_"),MNU_GRAMAJE_REQUERIDO_TIPOH,"")))</f>
        <v>60</v>
      </c>
      <c r="AI238" s="257">
        <f t="shared" si="162"/>
        <v>2928</v>
      </c>
      <c r="AJ238" s="257">
        <v>0</v>
      </c>
      <c r="AK238" s="257">
        <f t="shared" si="163"/>
        <v>2928</v>
      </c>
      <c r="AL238" s="258">
        <f t="shared" si="164"/>
        <v>1748016</v>
      </c>
      <c r="AM238" s="258">
        <v>0</v>
      </c>
      <c r="AN238" s="258">
        <f t="shared" si="165"/>
        <v>1748016</v>
      </c>
      <c r="AO238" s="451">
        <f t="shared" si="166"/>
        <v>467016</v>
      </c>
      <c r="AP238" s="450">
        <f t="shared" si="167"/>
        <v>188929028</v>
      </c>
      <c r="AQ238" s="261" t="e">
        <f>#REF!+AH238+AA238+T238+M238</f>
        <v>#REF!</v>
      </c>
      <c r="AR238" s="261">
        <f t="shared" si="126"/>
        <v>189252660</v>
      </c>
      <c r="AS238" s="261" t="e">
        <f t="shared" si="127"/>
        <v>#REF!</v>
      </c>
      <c r="AT238" s="261">
        <f t="shared" si="128"/>
        <v>189615212</v>
      </c>
      <c r="AU238" s="261" t="e">
        <f t="shared" si="129"/>
        <v>#REF!</v>
      </c>
      <c r="AV238" s="261">
        <f t="shared" si="130"/>
        <v>207522272</v>
      </c>
      <c r="AW238" s="261" t="e">
        <f t="shared" si="131"/>
        <v>#REF!</v>
      </c>
      <c r="AX238" s="261" t="e">
        <f>AV238+#REF!+AH238+AA238+T238</f>
        <v>#REF!</v>
      </c>
      <c r="AY238" s="261" t="e">
        <f t="shared" si="132"/>
        <v>#REF!</v>
      </c>
      <c r="AZ238" s="261" t="e">
        <f t="shared" si="133"/>
        <v>#REF!</v>
      </c>
      <c r="BA238" s="261" t="e">
        <f t="shared" si="134"/>
        <v>#REF!</v>
      </c>
      <c r="BB238" s="261" t="e">
        <f t="shared" si="135"/>
        <v>#REF!</v>
      </c>
      <c r="BC238" s="261" t="e">
        <f t="shared" si="136"/>
        <v>#REF!</v>
      </c>
      <c r="BD238" s="261" t="e">
        <f t="shared" si="137"/>
        <v>#REF!</v>
      </c>
      <c r="BE238" s="261" t="e">
        <f>BC238+AV238+#REF!+AH238+AA238</f>
        <v>#REF!</v>
      </c>
      <c r="BF238" s="261" t="e">
        <f t="shared" si="138"/>
        <v>#REF!</v>
      </c>
      <c r="BG238" s="261" t="e">
        <f t="shared" si="139"/>
        <v>#REF!</v>
      </c>
    </row>
    <row r="239" spans="1:59" ht="15.75">
      <c r="A239" s="333">
        <v>19</v>
      </c>
      <c r="B239" s="333" t="s">
        <v>1607</v>
      </c>
      <c r="C239" s="256">
        <v>50</v>
      </c>
      <c r="D239" s="322" t="s">
        <v>65</v>
      </c>
      <c r="E239" s="256" t="s">
        <v>9</v>
      </c>
      <c r="F239" s="425">
        <f t="array" ref="F239">MAX((IF(MNU_CODIGO_ALIMENTO_ENTREGA=CONCATENATE($C239,"_","P_"),MNU_GRAMAJE_REQUERIDO_TIPOA,"")))</f>
        <v>30</v>
      </c>
      <c r="G239" s="257">
        <f t="shared" si="140"/>
        <v>102578</v>
      </c>
      <c r="H239" s="257">
        <f t="shared" si="141"/>
        <v>0</v>
      </c>
      <c r="I239" s="257">
        <f t="shared" si="142"/>
        <v>102578</v>
      </c>
      <c r="J239" s="258">
        <f t="shared" si="143"/>
        <v>32927538</v>
      </c>
      <c r="K239" s="258">
        <f t="shared" si="144"/>
        <v>0</v>
      </c>
      <c r="L239" s="258">
        <f t="shared" si="145"/>
        <v>32927538</v>
      </c>
      <c r="M239" s="426">
        <f t="array" ref="M239">MAX((IF(MNU_CODIGO_ALIMENTO_ENTREGA=CONCATENATE($C239,"_","P_"),MNU_GRAMAJE_REQUERIDO_TIPOB,"")))</f>
        <v>40</v>
      </c>
      <c r="N239" s="343">
        <f t="shared" si="146"/>
        <v>149515</v>
      </c>
      <c r="O239" s="343">
        <f t="shared" si="147"/>
        <v>0</v>
      </c>
      <c r="P239" s="343">
        <f t="shared" si="148"/>
        <v>149515</v>
      </c>
      <c r="Q239" s="344">
        <f t="shared" si="149"/>
        <v>63992420</v>
      </c>
      <c r="R239" s="344">
        <f t="shared" si="150"/>
        <v>0</v>
      </c>
      <c r="S239" s="344">
        <f t="shared" si="151"/>
        <v>63992420</v>
      </c>
      <c r="T239" s="348">
        <f t="array" ref="T239">MAX((IF(MNU_CODIGO_ALIMENTO_ENTREGA=CONCATENATE($C239,"_","P_"),MNU_GRAMAJE_REQUERIDO_TIPOC,"")))</f>
        <v>80</v>
      </c>
      <c r="U239" s="257">
        <f t="shared" si="152"/>
        <v>188037</v>
      </c>
      <c r="V239" s="257">
        <f t="shared" si="153"/>
        <v>0</v>
      </c>
      <c r="W239" s="257">
        <f t="shared" si="154"/>
        <v>188037</v>
      </c>
      <c r="X239" s="258">
        <f t="shared" si="155"/>
        <v>160771635</v>
      </c>
      <c r="Y239" s="258">
        <f t="shared" si="156"/>
        <v>0</v>
      </c>
      <c r="Z239" s="258">
        <f t="shared" si="157"/>
        <v>160771635</v>
      </c>
      <c r="AA239" s="256">
        <f t="array" ref="AA239">MAX((IF(MNU_CODIGO_ALIMENTO_ENTREGA=CONCATENATE($C239,"_","P_"),MNU_GRAMAJE_REQUERIDO_TIPOM,"")))</f>
        <v>40</v>
      </c>
      <c r="AB239" s="259">
        <f t="shared" si="158"/>
        <v>3196</v>
      </c>
      <c r="AC239" s="259">
        <v>0</v>
      </c>
      <c r="AD239" s="259">
        <f t="shared" si="159"/>
        <v>3196</v>
      </c>
      <c r="AE239" s="260">
        <f t="shared" si="160"/>
        <v>1367888</v>
      </c>
      <c r="AF239" s="260">
        <v>0</v>
      </c>
      <c r="AG239" s="260">
        <f t="shared" si="161"/>
        <v>1367888</v>
      </c>
      <c r="AH239" s="348">
        <f t="array" ref="AH239">MAX((IF(MNU_CODIGO_ALIMENTO_ENTREGA=CONCATENATE($C239,"_","P_"),MNU_GRAMAJE_REQUERIDO_TIPOH,"")))</f>
        <v>80</v>
      </c>
      <c r="AI239" s="257">
        <f t="shared" si="162"/>
        <v>3111</v>
      </c>
      <c r="AJ239" s="257">
        <v>0</v>
      </c>
      <c r="AK239" s="257">
        <f t="shared" si="163"/>
        <v>3111</v>
      </c>
      <c r="AL239" s="258">
        <f t="shared" si="164"/>
        <v>2659905</v>
      </c>
      <c r="AM239" s="258">
        <v>0</v>
      </c>
      <c r="AN239" s="258">
        <f t="shared" si="165"/>
        <v>2659905</v>
      </c>
      <c r="AO239" s="451">
        <f t="shared" si="166"/>
        <v>446437</v>
      </c>
      <c r="AP239" s="450">
        <f t="shared" si="167"/>
        <v>261719386</v>
      </c>
      <c r="AQ239" s="261" t="e">
        <f>#REF!+AH239+AA239+T239+M239</f>
        <v>#REF!</v>
      </c>
      <c r="AR239" s="261">
        <f t="shared" ref="AR239:AR302" si="168">AP239+AI239+AB239+U239+N239</f>
        <v>262063245</v>
      </c>
      <c r="AS239" s="261" t="e">
        <f t="shared" ref="AS239:AS302" si="169">AQ239+AJ239+AC239+V239+O239</f>
        <v>#REF!</v>
      </c>
      <c r="AT239" s="261">
        <f t="shared" ref="AT239:AT302" si="170">AR239+AK239+AD239+W239+P239</f>
        <v>262407104</v>
      </c>
      <c r="AU239" s="261" t="e">
        <f t="shared" ref="AU239:AU302" si="171">AS239+AL239+AE239+X239+Q239</f>
        <v>#REF!</v>
      </c>
      <c r="AV239" s="261">
        <f t="shared" ref="AV239:AV302" si="172">AT239+AM239+AF239+Y239+R239</f>
        <v>262407104</v>
      </c>
      <c r="AW239" s="261" t="e">
        <f t="shared" ref="AW239:AW302" si="173">AU239+AN239+AG239+Z239+S239</f>
        <v>#REF!</v>
      </c>
      <c r="AX239" s="261" t="e">
        <f>AV239+#REF!+AH239+AA239+T239</f>
        <v>#REF!</v>
      </c>
      <c r="AY239" s="261" t="e">
        <f t="shared" ref="AY239:AY302" si="174">AW239+AP239+AI239+AB239+U239</f>
        <v>#REF!</v>
      </c>
      <c r="AZ239" s="261" t="e">
        <f t="shared" ref="AZ239:AZ302" si="175">AX239+AQ239+AJ239+AC239+V239</f>
        <v>#REF!</v>
      </c>
      <c r="BA239" s="261" t="e">
        <f t="shared" ref="BA239:BA302" si="176">AY239+AR239+AK239+AD239+W239</f>
        <v>#REF!</v>
      </c>
      <c r="BB239" s="261" t="e">
        <f t="shared" ref="BB239:BB302" si="177">AZ239+AS239+AL239+AE239+X239</f>
        <v>#REF!</v>
      </c>
      <c r="BC239" s="261" t="e">
        <f t="shared" ref="BC239:BC302" si="178">BA239+AT239+AM239+AF239+Y239</f>
        <v>#REF!</v>
      </c>
      <c r="BD239" s="261" t="e">
        <f t="shared" ref="BD239:BD302" si="179">BB239+AU239+AN239+AG239+Z239</f>
        <v>#REF!</v>
      </c>
      <c r="BE239" s="261" t="e">
        <f>BC239+AV239+#REF!+AH239+AA239</f>
        <v>#REF!</v>
      </c>
      <c r="BF239" s="261" t="e">
        <f t="shared" ref="BF239:BF302" si="180">BD239+AW239+AP239+AI239+AB239</f>
        <v>#REF!</v>
      </c>
      <c r="BG239" s="261" t="e">
        <f t="shared" ref="BG239:BG302" si="181">BE239+AX239+AQ239+AJ239+AC239</f>
        <v>#REF!</v>
      </c>
    </row>
    <row r="240" spans="1:59" ht="15.75">
      <c r="A240" s="333">
        <v>19</v>
      </c>
      <c r="B240" s="333" t="s">
        <v>1607</v>
      </c>
      <c r="C240" s="256">
        <v>61</v>
      </c>
      <c r="D240" s="322" t="s">
        <v>13</v>
      </c>
      <c r="E240" s="256" t="s">
        <v>9</v>
      </c>
      <c r="F240" s="425">
        <f t="array" ref="F240">MAX((IF(MNU_CODIGO_ALIMENTO_ENTREGA=CONCATENATE($C240,"_","P_"),MNU_GRAMAJE_REQUERIDO_TIPOA,"")))</f>
        <v>20</v>
      </c>
      <c r="G240" s="257">
        <f t="shared" si="140"/>
        <v>96544</v>
      </c>
      <c r="H240" s="257">
        <f t="shared" si="141"/>
        <v>7920</v>
      </c>
      <c r="I240" s="257">
        <f t="shared" si="142"/>
        <v>104464</v>
      </c>
      <c r="J240" s="258">
        <f t="shared" si="143"/>
        <v>22494752</v>
      </c>
      <c r="K240" s="258">
        <f t="shared" si="144"/>
        <v>1845360</v>
      </c>
      <c r="L240" s="258">
        <f t="shared" si="145"/>
        <v>24340112</v>
      </c>
      <c r="M240" s="426">
        <f t="array" ref="M240">MAX((IF(MNU_CODIGO_ALIMENTO_ENTREGA=CONCATENATE($C240,"_","P_"),MNU_GRAMAJE_REQUERIDO_TIPOB,"")))</f>
        <v>30</v>
      </c>
      <c r="N240" s="343">
        <f t="shared" si="146"/>
        <v>140720</v>
      </c>
      <c r="O240" s="343">
        <f t="shared" si="147"/>
        <v>17820</v>
      </c>
      <c r="P240" s="343">
        <f t="shared" si="148"/>
        <v>158540</v>
      </c>
      <c r="Q240" s="344">
        <f t="shared" si="149"/>
        <v>49392720</v>
      </c>
      <c r="R240" s="344">
        <f t="shared" si="150"/>
        <v>6254820</v>
      </c>
      <c r="S240" s="344">
        <f t="shared" si="151"/>
        <v>55647540</v>
      </c>
      <c r="T240" s="348">
        <f t="array" ref="T240">MAX((IF(MNU_CODIGO_ALIMENTO_ENTREGA=CONCATENATE($C240,"_","P_"),MNU_GRAMAJE_REQUERIDO_TIPOC,"")))</f>
        <v>70</v>
      </c>
      <c r="U240" s="257">
        <f t="shared" si="152"/>
        <v>176976</v>
      </c>
      <c r="V240" s="257">
        <f t="shared" si="153"/>
        <v>21100</v>
      </c>
      <c r="W240" s="257">
        <f t="shared" si="154"/>
        <v>198076</v>
      </c>
      <c r="X240" s="258">
        <f t="shared" si="155"/>
        <v>144766368</v>
      </c>
      <c r="Y240" s="258">
        <f t="shared" si="156"/>
        <v>17259800</v>
      </c>
      <c r="Z240" s="258">
        <f t="shared" si="157"/>
        <v>162026168</v>
      </c>
      <c r="AA240" s="256">
        <f t="array" ref="AA240">MAX((IF(MNU_CODIGO_ALIMENTO_ENTREGA=CONCATENATE($C240,"_","P_"),MNU_GRAMAJE_REQUERIDO_TIPOM,"")))</f>
        <v>30</v>
      </c>
      <c r="AB240" s="259">
        <f t="shared" si="158"/>
        <v>3008</v>
      </c>
      <c r="AC240" s="259">
        <v>0</v>
      </c>
      <c r="AD240" s="259">
        <f t="shared" si="159"/>
        <v>3008</v>
      </c>
      <c r="AE240" s="260">
        <f t="shared" si="160"/>
        <v>1055808</v>
      </c>
      <c r="AF240" s="260">
        <v>0</v>
      </c>
      <c r="AG240" s="260">
        <f t="shared" si="161"/>
        <v>1055808</v>
      </c>
      <c r="AH240" s="348">
        <f t="array" ref="AH240">MAX((IF(MNU_CODIGO_ALIMENTO_ENTREGA=CONCATENATE($C240,"_","P_"),MNU_GRAMAJE_REQUERIDO_TIPOH,"")))</f>
        <v>70</v>
      </c>
      <c r="AI240" s="257">
        <f t="shared" si="162"/>
        <v>2928</v>
      </c>
      <c r="AJ240" s="257">
        <v>0</v>
      </c>
      <c r="AK240" s="257">
        <f t="shared" si="163"/>
        <v>2928</v>
      </c>
      <c r="AL240" s="258">
        <f t="shared" si="164"/>
        <v>2395104</v>
      </c>
      <c r="AM240" s="258">
        <v>0</v>
      </c>
      <c r="AN240" s="258">
        <f t="shared" si="165"/>
        <v>2395104</v>
      </c>
      <c r="AO240" s="451">
        <f t="shared" si="166"/>
        <v>467016</v>
      </c>
      <c r="AP240" s="450">
        <f t="shared" si="167"/>
        <v>245464732</v>
      </c>
      <c r="AQ240" s="261" t="e">
        <f>#REF!+AH240+AA240+T240+M240</f>
        <v>#REF!</v>
      </c>
      <c r="AR240" s="261">
        <f t="shared" si="168"/>
        <v>245788364</v>
      </c>
      <c r="AS240" s="261" t="e">
        <f t="shared" si="169"/>
        <v>#REF!</v>
      </c>
      <c r="AT240" s="261">
        <f t="shared" si="170"/>
        <v>246150916</v>
      </c>
      <c r="AU240" s="261" t="e">
        <f t="shared" si="171"/>
        <v>#REF!</v>
      </c>
      <c r="AV240" s="261">
        <f t="shared" si="172"/>
        <v>269665536</v>
      </c>
      <c r="AW240" s="261" t="e">
        <f t="shared" si="173"/>
        <v>#REF!</v>
      </c>
      <c r="AX240" s="261" t="e">
        <f>AV240+#REF!+AH240+AA240+T240</f>
        <v>#REF!</v>
      </c>
      <c r="AY240" s="261" t="e">
        <f t="shared" si="174"/>
        <v>#REF!</v>
      </c>
      <c r="AZ240" s="261" t="e">
        <f t="shared" si="175"/>
        <v>#REF!</v>
      </c>
      <c r="BA240" s="261" t="e">
        <f t="shared" si="176"/>
        <v>#REF!</v>
      </c>
      <c r="BB240" s="261" t="e">
        <f t="shared" si="177"/>
        <v>#REF!</v>
      </c>
      <c r="BC240" s="261" t="e">
        <f t="shared" si="178"/>
        <v>#REF!</v>
      </c>
      <c r="BD240" s="261" t="e">
        <f t="shared" si="179"/>
        <v>#REF!</v>
      </c>
      <c r="BE240" s="261" t="e">
        <f>BC240+AV240+#REF!+AH240+AA240</f>
        <v>#REF!</v>
      </c>
      <c r="BF240" s="261" t="e">
        <f t="shared" si="180"/>
        <v>#REF!</v>
      </c>
      <c r="BG240" s="261" t="e">
        <f t="shared" si="181"/>
        <v>#REF!</v>
      </c>
    </row>
    <row r="241" spans="1:59" ht="15.75">
      <c r="A241" s="333">
        <v>19</v>
      </c>
      <c r="B241" s="333" t="s">
        <v>1607</v>
      </c>
      <c r="C241" s="256">
        <v>62</v>
      </c>
      <c r="D241" s="322" t="s">
        <v>68</v>
      </c>
      <c r="E241" s="256" t="s">
        <v>9</v>
      </c>
      <c r="F241" s="425">
        <f t="array" ref="F241">MAX((IF(MNU_CODIGO_ALIMENTO_ENTREGA=CONCATENATE($C241,"_","P_"),MNU_GRAMAJE_REQUERIDO_TIPOA,"")))</f>
        <v>50</v>
      </c>
      <c r="G241" s="257">
        <f t="shared" si="140"/>
        <v>30170</v>
      </c>
      <c r="H241" s="257">
        <f t="shared" si="141"/>
        <v>0</v>
      </c>
      <c r="I241" s="257">
        <f t="shared" si="142"/>
        <v>30170</v>
      </c>
      <c r="J241" s="258">
        <f t="shared" si="143"/>
        <v>18856250</v>
      </c>
      <c r="K241" s="258">
        <f t="shared" si="144"/>
        <v>0</v>
      </c>
      <c r="L241" s="258">
        <f t="shared" si="145"/>
        <v>18856250</v>
      </c>
      <c r="M241" s="426">
        <f t="array" ref="M241">MAX((IF(MNU_CODIGO_ALIMENTO_ENTREGA=CONCATENATE($C241,"_","P_"),MNU_GRAMAJE_REQUERIDO_TIPOB,"")))</f>
        <v>50</v>
      </c>
      <c r="N241" s="343">
        <f t="shared" si="146"/>
        <v>43975</v>
      </c>
      <c r="O241" s="343">
        <f t="shared" si="147"/>
        <v>0</v>
      </c>
      <c r="P241" s="343">
        <f t="shared" si="148"/>
        <v>43975</v>
      </c>
      <c r="Q241" s="344">
        <f t="shared" si="149"/>
        <v>27484375</v>
      </c>
      <c r="R241" s="344">
        <f t="shared" si="150"/>
        <v>0</v>
      </c>
      <c r="S241" s="344">
        <f t="shared" si="151"/>
        <v>27484375</v>
      </c>
      <c r="T241" s="348">
        <f t="array" ref="T241">MAX((IF(MNU_CODIGO_ALIMENTO_ENTREGA=CONCATENATE($C241,"_","P_"),MNU_GRAMAJE_REQUERIDO_TIPOC,"")))</f>
        <v>50</v>
      </c>
      <c r="U241" s="257">
        <f t="shared" si="152"/>
        <v>55305</v>
      </c>
      <c r="V241" s="257">
        <f t="shared" si="153"/>
        <v>0</v>
      </c>
      <c r="W241" s="257">
        <f t="shared" si="154"/>
        <v>55305</v>
      </c>
      <c r="X241" s="258">
        <f t="shared" si="155"/>
        <v>34565625</v>
      </c>
      <c r="Y241" s="258">
        <f t="shared" si="156"/>
        <v>0</v>
      </c>
      <c r="Z241" s="258">
        <f t="shared" si="157"/>
        <v>34565625</v>
      </c>
      <c r="AA241" s="256">
        <f t="array" ref="AA241">MAX((IF(MNU_CODIGO_ALIMENTO_ENTREGA=CONCATENATE($C241,"_","P_"),MNU_GRAMAJE_REQUERIDO_TIPOM,"")))</f>
        <v>50</v>
      </c>
      <c r="AB241" s="259">
        <f t="shared" si="158"/>
        <v>940</v>
      </c>
      <c r="AC241" s="259">
        <v>0</v>
      </c>
      <c r="AD241" s="259">
        <f t="shared" si="159"/>
        <v>940</v>
      </c>
      <c r="AE241" s="260">
        <f t="shared" si="160"/>
        <v>587500</v>
      </c>
      <c r="AF241" s="260">
        <v>0</v>
      </c>
      <c r="AG241" s="260">
        <f t="shared" si="161"/>
        <v>587500</v>
      </c>
      <c r="AH241" s="348">
        <f t="array" ref="AH241">MAX((IF(MNU_CODIGO_ALIMENTO_ENTREGA=CONCATENATE($C241,"_","P_"),MNU_GRAMAJE_REQUERIDO_TIPOH,"")))</f>
        <v>50</v>
      </c>
      <c r="AI241" s="257">
        <f t="shared" si="162"/>
        <v>915</v>
      </c>
      <c r="AJ241" s="257">
        <v>0</v>
      </c>
      <c r="AK241" s="257">
        <f t="shared" si="163"/>
        <v>915</v>
      </c>
      <c r="AL241" s="258">
        <f t="shared" si="164"/>
        <v>571875</v>
      </c>
      <c r="AM241" s="258">
        <v>0</v>
      </c>
      <c r="AN241" s="258">
        <f t="shared" si="165"/>
        <v>571875</v>
      </c>
      <c r="AO241" s="451">
        <f t="shared" si="166"/>
        <v>131305</v>
      </c>
      <c r="AP241" s="450">
        <f t="shared" si="167"/>
        <v>82065625</v>
      </c>
      <c r="AQ241" s="261" t="e">
        <f>#REF!+AH241+AA241+T241+M241</f>
        <v>#REF!</v>
      </c>
      <c r="AR241" s="261">
        <f t="shared" si="168"/>
        <v>82166760</v>
      </c>
      <c r="AS241" s="261" t="e">
        <f t="shared" si="169"/>
        <v>#REF!</v>
      </c>
      <c r="AT241" s="261">
        <f t="shared" si="170"/>
        <v>82267895</v>
      </c>
      <c r="AU241" s="261" t="e">
        <f t="shared" si="171"/>
        <v>#REF!</v>
      </c>
      <c r="AV241" s="261">
        <f t="shared" si="172"/>
        <v>82267895</v>
      </c>
      <c r="AW241" s="261" t="e">
        <f t="shared" si="173"/>
        <v>#REF!</v>
      </c>
      <c r="AX241" s="261" t="e">
        <f>AV241+#REF!+AH241+AA241+T241</f>
        <v>#REF!</v>
      </c>
      <c r="AY241" s="261" t="e">
        <f t="shared" si="174"/>
        <v>#REF!</v>
      </c>
      <c r="AZ241" s="261" t="e">
        <f t="shared" si="175"/>
        <v>#REF!</v>
      </c>
      <c r="BA241" s="261" t="e">
        <f t="shared" si="176"/>
        <v>#REF!</v>
      </c>
      <c r="BB241" s="261" t="e">
        <f t="shared" si="177"/>
        <v>#REF!</v>
      </c>
      <c r="BC241" s="261" t="e">
        <f t="shared" si="178"/>
        <v>#REF!</v>
      </c>
      <c r="BD241" s="261" t="e">
        <f t="shared" si="179"/>
        <v>#REF!</v>
      </c>
      <c r="BE241" s="261" t="e">
        <f>BC241+AV241+#REF!+AH241+AA241</f>
        <v>#REF!</v>
      </c>
      <c r="BF241" s="261" t="e">
        <f t="shared" si="180"/>
        <v>#REF!</v>
      </c>
      <c r="BG241" s="261" t="e">
        <f t="shared" si="181"/>
        <v>#REF!</v>
      </c>
    </row>
    <row r="242" spans="1:59" ht="15.75">
      <c r="A242" s="333">
        <v>20</v>
      </c>
      <c r="B242" s="333" t="s">
        <v>1607</v>
      </c>
      <c r="C242" s="256">
        <v>1</v>
      </c>
      <c r="D242" s="322" t="s">
        <v>16</v>
      </c>
      <c r="E242" s="256" t="s">
        <v>9</v>
      </c>
      <c r="F242" s="425">
        <f t="array" ref="F242">MAX((IF(MNU_CODIGO_ALIMENTO_ENTREGA=CONCATENATE($C242,"_","P_"),MNU_GRAMAJE_REQUERIDO_TIPOA,"")))</f>
        <v>30</v>
      </c>
      <c r="G242" s="257">
        <f t="shared" ref="G242:G305" si="182">SUMIF(COSTPE_G_ALIMENTO_GRUPO,CONCATENATE($C242,"_",$A242),COSTPE_G_VOLUMEN_TOTAL_TIPOA)</f>
        <v>85185</v>
      </c>
      <c r="H242" s="257">
        <f t="shared" ref="H242:H305" si="183">SUMIF(COSTSE_G_ALIMENTO_GRUPO,CONCATENATE($C242,"_",$A242),COSTSE_G_VOLUMEN_TOTAL_TIPOA)</f>
        <v>0</v>
      </c>
      <c r="I242" s="257">
        <f t="shared" ref="I242:I305" si="184">G242+H242</f>
        <v>85185</v>
      </c>
      <c r="J242" s="258">
        <f t="shared" ref="J242:J305" si="185">SUMIF(COSTPE_G_ALIMENTO_GRUPO,CONCATENATE($C242,"_",$A242),COSTPE_G_VALOR_TOTAL_TIPOA)</f>
        <v>68829480</v>
      </c>
      <c r="K242" s="258">
        <f t="shared" ref="K242:K305" si="186">SUMIF(COSTSE_G_ALIMENTO_GRUPO,CONCATENATE($C242,"_",$A242),COSTSE_G_VALOR_TOTAL_TIPOA)</f>
        <v>0</v>
      </c>
      <c r="L242" s="258">
        <f t="shared" ref="L242:L305" si="187">J242+K242</f>
        <v>68829480</v>
      </c>
      <c r="M242" s="426">
        <f t="array" ref="M242">MAX((IF(MNU_CODIGO_ALIMENTO_ENTREGA=CONCATENATE($C242,"_","P_"),MNU_GRAMAJE_REQUERIDO_TIPOB,"")))</f>
        <v>40</v>
      </c>
      <c r="N242" s="343">
        <f t="shared" ref="N242:N305" si="188">SUMIF(COSTPE_G_ALIMENTO_GRUPO,CONCATENATE($C242,"_",$A242),COSTPE_G_VOLUMEN_TOTAL_TIPOB)</f>
        <v>133815</v>
      </c>
      <c r="O242" s="343">
        <f t="shared" ref="O242:O305" si="189">SUMIF(COSTSE_G_ALIMENTO_GRUPO,CONCATENATE($C242,"_",$A242),COSTSE_G_VOLUMEN_TOTAL_TIPOB)</f>
        <v>0</v>
      </c>
      <c r="P242" s="343">
        <f t="shared" ref="P242:P305" si="190">N242+O242</f>
        <v>133815</v>
      </c>
      <c r="Q242" s="344">
        <f t="shared" ref="Q242:Q305" si="191">SUMIF(COSTPE_G_ALIMENTO_GRUPO,CONCATENATE($C242,"_",$A242),COSTPE_G_VALOR_TOTAL_TIPOB)</f>
        <v>144252570</v>
      </c>
      <c r="R242" s="344">
        <f t="shared" ref="R242:R305" si="192">SUMIF(COSTSE_G_ALIMENTO_GRUPO,CONCATENATE($C242,"_",$A242),COSTSE_G_VALOR_TOTAL_TIPOB)</f>
        <v>0</v>
      </c>
      <c r="S242" s="344">
        <f t="shared" ref="S242:S305" si="193">Q242+R242</f>
        <v>144252570</v>
      </c>
      <c r="T242" s="348">
        <f t="array" ref="T242">MAX((IF(MNU_CODIGO_ALIMENTO_ENTREGA=CONCATENATE($C242,"_","P_"),MNU_GRAMAJE_REQUERIDO_TIPOC,"")))</f>
        <v>60</v>
      </c>
      <c r="U242" s="257">
        <f t="shared" ref="U242:U305" si="194">SUMIF(COSTPE_G_ALIMENTO_GRUPO,CONCATENATE($C242,"_",$A242),COSTPE_G_VOLUMEN_TOTAL_TIPOC)</f>
        <v>163230</v>
      </c>
      <c r="V242" s="257">
        <f t="shared" ref="V242:V305" si="195">SUMIF(COSTSE_G_ALIMENTO_GRUPO,CONCATENATE($C242,"_",$A242),COSTSE_G_VOLUMEN_TOTAL_TIPOC)</f>
        <v>0</v>
      </c>
      <c r="W242" s="257">
        <f t="shared" ref="W242:W305" si="196">U242+V242</f>
        <v>163230</v>
      </c>
      <c r="X242" s="258">
        <f t="shared" ref="X242:X305" si="197">SUMIF(COSTPE_G_ALIMENTO_GRUPO,CONCATENATE($C242,"_",$A242),COSTPE_G_VALOR_TOTAL_TIPOC)</f>
        <v>263779680</v>
      </c>
      <c r="Y242" s="258">
        <f t="shared" ref="Y242:Y305" si="198">SUMIF(COSTSE_G_ALIMENTO_GRUPO,CONCATENATE($C242,"_",$A242),COSTSE_G_VALOR_TOTAL_TIPOC)</f>
        <v>0</v>
      </c>
      <c r="Z242" s="258">
        <f t="shared" ref="Z242:Z305" si="199">X242+Y242</f>
        <v>263779680</v>
      </c>
      <c r="AA242" s="256">
        <f t="array" ref="AA242">MAX((IF(MNU_CODIGO_ALIMENTO_ENTREGA=CONCATENATE($C242,"_","P_"),MNU_GRAMAJE_REQUERIDO_TIPOM,"")))</f>
        <v>40</v>
      </c>
      <c r="AB242" s="259">
        <f t="shared" ref="AB242:AB305" si="200">SUMIF(COSTPE_G_ALIMENTO_GRUPO,CONCATENATE($C242,"_",$A242),COSTPE_G_VOLUMEN_TOTAL_TIPOM)</f>
        <v>2190</v>
      </c>
      <c r="AC242" s="259">
        <v>0</v>
      </c>
      <c r="AD242" s="259">
        <f t="shared" ref="AD242:AD305" si="201">AB242+AC242</f>
        <v>2190</v>
      </c>
      <c r="AE242" s="260">
        <f t="shared" ref="AE242:AE305" si="202">SUMIF(COSTPE_G_ALIMENTO_GRUPO,CONCATENATE($C242,"_",$A242),COSTPE_G_VALOR_TOTAL_TIPOM)</f>
        <v>2360820</v>
      </c>
      <c r="AF242" s="260">
        <v>0</v>
      </c>
      <c r="AG242" s="260">
        <f t="shared" ref="AG242:AG305" si="203">AE242+AF242</f>
        <v>2360820</v>
      </c>
      <c r="AH242" s="348">
        <f t="array" ref="AH242">MAX((IF(MNU_CODIGO_ALIMENTO_ENTREGA=CONCATENATE($C242,"_","P_"),MNU_GRAMAJE_REQUERIDO_TIPOH,"")))</f>
        <v>60</v>
      </c>
      <c r="AI242" s="257">
        <f t="shared" ref="AI242:AI305" si="204">SUMIF(COSTPE_G_ALIMENTO_GRUPO,CONCATENATE($C242,"_",$A242),COSTPE_G_VOLUMEN_TOTAL_TIPOH)</f>
        <v>2265</v>
      </c>
      <c r="AJ242" s="257">
        <v>0</v>
      </c>
      <c r="AK242" s="257">
        <f t="shared" ref="AK242:AK305" si="205">AI242+AJ242</f>
        <v>2265</v>
      </c>
      <c r="AL242" s="258">
        <f t="shared" ref="AL242:AL305" si="206">SUMIF(COSTPE_G_ALIMENTO_GRUPO,CONCATENATE($C242,"_",$A242),COSTPE_G_VALOR_TOTAL_TIPOH)</f>
        <v>3660240</v>
      </c>
      <c r="AM242" s="258">
        <v>0</v>
      </c>
      <c r="AN242" s="258">
        <f t="shared" ref="AN242:AN305" si="207">AL242+AM242</f>
        <v>3660240</v>
      </c>
      <c r="AO242" s="451">
        <f t="shared" ref="AO242:AO305" si="208">AK242+AD242+W242+P242+I242</f>
        <v>386685</v>
      </c>
      <c r="AP242" s="450">
        <f t="shared" ref="AP242:AP305" si="209">AN242+AG242+Z242+S242+L242</f>
        <v>482882790</v>
      </c>
      <c r="AQ242" s="261" t="e">
        <f>#REF!+AH242+AA242+T242+M242</f>
        <v>#REF!</v>
      </c>
      <c r="AR242" s="261">
        <f t="shared" si="168"/>
        <v>483184290</v>
      </c>
      <c r="AS242" s="261" t="e">
        <f t="shared" si="169"/>
        <v>#REF!</v>
      </c>
      <c r="AT242" s="261">
        <f t="shared" si="170"/>
        <v>483485790</v>
      </c>
      <c r="AU242" s="261" t="e">
        <f t="shared" si="171"/>
        <v>#REF!</v>
      </c>
      <c r="AV242" s="261">
        <f t="shared" si="172"/>
        <v>483485790</v>
      </c>
      <c r="AW242" s="261" t="e">
        <f t="shared" si="173"/>
        <v>#REF!</v>
      </c>
      <c r="AX242" s="261" t="e">
        <f>AV242+#REF!+AH242+AA242+T242</f>
        <v>#REF!</v>
      </c>
      <c r="AY242" s="261" t="e">
        <f t="shared" si="174"/>
        <v>#REF!</v>
      </c>
      <c r="AZ242" s="261" t="e">
        <f t="shared" si="175"/>
        <v>#REF!</v>
      </c>
      <c r="BA242" s="261" t="e">
        <f t="shared" si="176"/>
        <v>#REF!</v>
      </c>
      <c r="BB242" s="261" t="e">
        <f t="shared" si="177"/>
        <v>#REF!</v>
      </c>
      <c r="BC242" s="261" t="e">
        <f t="shared" si="178"/>
        <v>#REF!</v>
      </c>
      <c r="BD242" s="261" t="e">
        <f t="shared" si="179"/>
        <v>#REF!</v>
      </c>
      <c r="BE242" s="261" t="e">
        <f>BC242+AV242+#REF!+AH242+AA242</f>
        <v>#REF!</v>
      </c>
      <c r="BF242" s="261" t="e">
        <f t="shared" si="180"/>
        <v>#REF!</v>
      </c>
      <c r="BG242" s="261" t="e">
        <f t="shared" si="181"/>
        <v>#REF!</v>
      </c>
    </row>
    <row r="243" spans="1:59" ht="15.75">
      <c r="A243" s="333">
        <v>20</v>
      </c>
      <c r="B243" s="333" t="s">
        <v>1607</v>
      </c>
      <c r="C243" s="256">
        <v>3</v>
      </c>
      <c r="D243" s="322" t="s">
        <v>12</v>
      </c>
      <c r="E243" s="256" t="s">
        <v>9</v>
      </c>
      <c r="F243" s="425">
        <f t="array" ref="F243">MAX((IF(MNU_CODIGO_ALIMENTO_ENTREGA=CONCATENATE($C243,"_","P_"),MNU_GRAMAJE_REQUERIDO_TIPOA,"")))</f>
        <v>50</v>
      </c>
      <c r="G243" s="257">
        <f t="shared" si="182"/>
        <v>96543</v>
      </c>
      <c r="H243" s="257">
        <f t="shared" si="183"/>
        <v>24776</v>
      </c>
      <c r="I243" s="257">
        <f t="shared" si="184"/>
        <v>121319</v>
      </c>
      <c r="J243" s="258">
        <f t="shared" si="185"/>
        <v>48754215</v>
      </c>
      <c r="K243" s="258">
        <f t="shared" si="186"/>
        <v>12511880</v>
      </c>
      <c r="L243" s="258">
        <f t="shared" si="187"/>
        <v>61266095</v>
      </c>
      <c r="M243" s="426">
        <f t="array" ref="M243">MAX((IF(MNU_CODIGO_ALIMENTO_ENTREGA=CONCATENATE($C243,"_","P_"),MNU_GRAMAJE_REQUERIDO_TIPOB,"")))</f>
        <v>50</v>
      </c>
      <c r="N243" s="343">
        <f t="shared" si="188"/>
        <v>151657</v>
      </c>
      <c r="O243" s="343">
        <f t="shared" si="189"/>
        <v>10925</v>
      </c>
      <c r="P243" s="343">
        <f t="shared" si="190"/>
        <v>162582</v>
      </c>
      <c r="Q243" s="344">
        <f t="shared" si="191"/>
        <v>76586785</v>
      </c>
      <c r="R243" s="344">
        <f t="shared" si="192"/>
        <v>5517125</v>
      </c>
      <c r="S243" s="344">
        <f t="shared" si="193"/>
        <v>82103910</v>
      </c>
      <c r="T243" s="348">
        <f t="array" ref="T243">MAX((IF(MNU_CODIGO_ALIMENTO_ENTREGA=CONCATENATE($C243,"_","P_"),MNU_GRAMAJE_REQUERIDO_TIPOC,"")))</f>
        <v>80</v>
      </c>
      <c r="U243" s="257">
        <f t="shared" si="194"/>
        <v>184994</v>
      </c>
      <c r="V243" s="257">
        <f t="shared" si="195"/>
        <v>16492</v>
      </c>
      <c r="W243" s="257">
        <f t="shared" si="196"/>
        <v>201486</v>
      </c>
      <c r="X243" s="258">
        <f t="shared" si="197"/>
        <v>141150422</v>
      </c>
      <c r="Y243" s="258">
        <f t="shared" si="198"/>
        <v>12583396</v>
      </c>
      <c r="Z243" s="258">
        <f t="shared" si="199"/>
        <v>153733818</v>
      </c>
      <c r="AA243" s="256">
        <f t="array" ref="AA243">MAX((IF(MNU_CODIGO_ALIMENTO_ENTREGA=CONCATENATE($C243,"_","P_"),MNU_GRAMAJE_REQUERIDO_TIPOM,"")))</f>
        <v>50</v>
      </c>
      <c r="AB243" s="259">
        <f t="shared" si="200"/>
        <v>2482</v>
      </c>
      <c r="AC243" s="259">
        <v>0</v>
      </c>
      <c r="AD243" s="259">
        <f t="shared" si="201"/>
        <v>2482</v>
      </c>
      <c r="AE243" s="260">
        <f t="shared" si="202"/>
        <v>1253410</v>
      </c>
      <c r="AF243" s="260">
        <v>0</v>
      </c>
      <c r="AG243" s="260">
        <f t="shared" si="203"/>
        <v>1253410</v>
      </c>
      <c r="AH243" s="348">
        <f t="array" ref="AH243">MAX((IF(MNU_CODIGO_ALIMENTO_ENTREGA=CONCATENATE($C243,"_","P_"),MNU_GRAMAJE_REQUERIDO_TIPOH,"")))</f>
        <v>80</v>
      </c>
      <c r="AI243" s="257">
        <f t="shared" si="204"/>
        <v>2567</v>
      </c>
      <c r="AJ243" s="257">
        <v>0</v>
      </c>
      <c r="AK243" s="257">
        <f t="shared" si="205"/>
        <v>2567</v>
      </c>
      <c r="AL243" s="258">
        <f t="shared" si="206"/>
        <v>1958621</v>
      </c>
      <c r="AM243" s="258">
        <v>0</v>
      </c>
      <c r="AN243" s="258">
        <f t="shared" si="207"/>
        <v>1958621</v>
      </c>
      <c r="AO243" s="451">
        <f t="shared" si="208"/>
        <v>490436</v>
      </c>
      <c r="AP243" s="450">
        <f t="shared" si="209"/>
        <v>300315854</v>
      </c>
      <c r="AQ243" s="261" t="e">
        <f>#REF!+AH243+AA243+T243+M243</f>
        <v>#REF!</v>
      </c>
      <c r="AR243" s="261">
        <f t="shared" si="168"/>
        <v>300657554</v>
      </c>
      <c r="AS243" s="261" t="e">
        <f t="shared" si="169"/>
        <v>#REF!</v>
      </c>
      <c r="AT243" s="261">
        <f t="shared" si="170"/>
        <v>301026671</v>
      </c>
      <c r="AU243" s="261" t="e">
        <f t="shared" si="171"/>
        <v>#REF!</v>
      </c>
      <c r="AV243" s="261">
        <f t="shared" si="172"/>
        <v>319127192</v>
      </c>
      <c r="AW243" s="261" t="e">
        <f t="shared" si="173"/>
        <v>#REF!</v>
      </c>
      <c r="AX243" s="261" t="e">
        <f>AV243+#REF!+AH243+AA243+T243</f>
        <v>#REF!</v>
      </c>
      <c r="AY243" s="261" t="e">
        <f t="shared" si="174"/>
        <v>#REF!</v>
      </c>
      <c r="AZ243" s="261" t="e">
        <f t="shared" si="175"/>
        <v>#REF!</v>
      </c>
      <c r="BA243" s="261" t="e">
        <f t="shared" si="176"/>
        <v>#REF!</v>
      </c>
      <c r="BB243" s="261" t="e">
        <f t="shared" si="177"/>
        <v>#REF!</v>
      </c>
      <c r="BC243" s="261" t="e">
        <f t="shared" si="178"/>
        <v>#REF!</v>
      </c>
      <c r="BD243" s="261" t="e">
        <f t="shared" si="179"/>
        <v>#REF!</v>
      </c>
      <c r="BE243" s="261" t="e">
        <f>BC243+AV243+#REF!+AH243+AA243</f>
        <v>#REF!</v>
      </c>
      <c r="BF243" s="261" t="e">
        <f t="shared" si="180"/>
        <v>#REF!</v>
      </c>
      <c r="BG243" s="261" t="e">
        <f t="shared" si="181"/>
        <v>#REF!</v>
      </c>
    </row>
    <row r="244" spans="1:59" ht="15.75">
      <c r="A244" s="333">
        <v>20</v>
      </c>
      <c r="B244" s="333" t="s">
        <v>1607</v>
      </c>
      <c r="C244" s="256">
        <v>15</v>
      </c>
      <c r="D244" s="322" t="s">
        <v>66</v>
      </c>
      <c r="E244" s="256" t="s">
        <v>9</v>
      </c>
      <c r="F244" s="425">
        <f t="array" ref="F244">MAX((IF(MNU_CODIGO_ALIMENTO_ENTREGA=CONCATENATE($C244,"_","P_"),MNU_GRAMAJE_REQUERIDO_TIPOA,"")))</f>
        <v>50</v>
      </c>
      <c r="G244" s="257">
        <f t="shared" si="182"/>
        <v>96543</v>
      </c>
      <c r="H244" s="257">
        <f t="shared" si="183"/>
        <v>14344</v>
      </c>
      <c r="I244" s="257">
        <f t="shared" si="184"/>
        <v>110887</v>
      </c>
      <c r="J244" s="258">
        <f t="shared" si="185"/>
        <v>64973439</v>
      </c>
      <c r="K244" s="258">
        <f t="shared" si="186"/>
        <v>9653512</v>
      </c>
      <c r="L244" s="258">
        <f t="shared" si="187"/>
        <v>74626951</v>
      </c>
      <c r="M244" s="426">
        <f t="array" ref="M244">MAX((IF(MNU_CODIGO_ALIMENTO_ENTREGA=CONCATENATE($C244,"_","P_"),MNU_GRAMAJE_REQUERIDO_TIPOB,"")))</f>
        <v>50</v>
      </c>
      <c r="N244" s="343">
        <f t="shared" si="188"/>
        <v>151657</v>
      </c>
      <c r="O244" s="343">
        <f t="shared" si="189"/>
        <v>6325</v>
      </c>
      <c r="P244" s="343">
        <f t="shared" si="190"/>
        <v>157982</v>
      </c>
      <c r="Q244" s="344">
        <f t="shared" si="191"/>
        <v>102065161</v>
      </c>
      <c r="R244" s="344">
        <f t="shared" si="192"/>
        <v>4256725</v>
      </c>
      <c r="S244" s="344">
        <f t="shared" si="193"/>
        <v>106321886</v>
      </c>
      <c r="T244" s="348">
        <f t="array" ref="T244">MAX((IF(MNU_CODIGO_ALIMENTO_ENTREGA=CONCATENATE($C244,"_","P_"),MNU_GRAMAJE_REQUERIDO_TIPOC,"")))</f>
        <v>80</v>
      </c>
      <c r="U244" s="257">
        <f t="shared" si="194"/>
        <v>184994</v>
      </c>
      <c r="V244" s="257">
        <f t="shared" si="195"/>
        <v>9548</v>
      </c>
      <c r="W244" s="257">
        <f t="shared" si="196"/>
        <v>194542</v>
      </c>
      <c r="X244" s="258">
        <f t="shared" si="197"/>
        <v>199053544</v>
      </c>
      <c r="Y244" s="258">
        <f t="shared" si="198"/>
        <v>10273648</v>
      </c>
      <c r="Z244" s="258">
        <f t="shared" si="199"/>
        <v>209327192</v>
      </c>
      <c r="AA244" s="256">
        <f t="array" ref="AA244">MAX((IF(MNU_CODIGO_ALIMENTO_ENTREGA=CONCATENATE($C244,"_","P_"),MNU_GRAMAJE_REQUERIDO_TIPOM,"")))</f>
        <v>50</v>
      </c>
      <c r="AB244" s="259">
        <f t="shared" si="200"/>
        <v>2482</v>
      </c>
      <c r="AC244" s="259">
        <v>0</v>
      </c>
      <c r="AD244" s="259">
        <f t="shared" si="201"/>
        <v>2482</v>
      </c>
      <c r="AE244" s="260">
        <f t="shared" si="202"/>
        <v>1670386</v>
      </c>
      <c r="AF244" s="260">
        <v>0</v>
      </c>
      <c r="AG244" s="260">
        <f t="shared" si="203"/>
        <v>1670386</v>
      </c>
      <c r="AH244" s="348">
        <f t="array" ref="AH244">MAX((IF(MNU_CODIGO_ALIMENTO_ENTREGA=CONCATENATE($C244,"_","P_"),MNU_GRAMAJE_REQUERIDO_TIPOH,"")))</f>
        <v>80</v>
      </c>
      <c r="AI244" s="257">
        <f t="shared" si="204"/>
        <v>2567</v>
      </c>
      <c r="AJ244" s="257">
        <v>0</v>
      </c>
      <c r="AK244" s="257">
        <f t="shared" si="205"/>
        <v>2567</v>
      </c>
      <c r="AL244" s="258">
        <f t="shared" si="206"/>
        <v>2762092</v>
      </c>
      <c r="AM244" s="258">
        <v>0</v>
      </c>
      <c r="AN244" s="258">
        <f t="shared" si="207"/>
        <v>2762092</v>
      </c>
      <c r="AO244" s="451">
        <f t="shared" si="208"/>
        <v>468460</v>
      </c>
      <c r="AP244" s="450">
        <f t="shared" si="209"/>
        <v>394708507</v>
      </c>
      <c r="AQ244" s="261" t="e">
        <f>#REF!+AH244+AA244+T244+M244</f>
        <v>#REF!</v>
      </c>
      <c r="AR244" s="261">
        <f t="shared" si="168"/>
        <v>395050207</v>
      </c>
      <c r="AS244" s="261" t="e">
        <f t="shared" si="169"/>
        <v>#REF!</v>
      </c>
      <c r="AT244" s="261">
        <f t="shared" si="170"/>
        <v>395407780</v>
      </c>
      <c r="AU244" s="261" t="e">
        <f t="shared" si="171"/>
        <v>#REF!</v>
      </c>
      <c r="AV244" s="261">
        <f t="shared" si="172"/>
        <v>409938153</v>
      </c>
      <c r="AW244" s="261" t="e">
        <f t="shared" si="173"/>
        <v>#REF!</v>
      </c>
      <c r="AX244" s="261" t="e">
        <f>AV244+#REF!+AH244+AA244+T244</f>
        <v>#REF!</v>
      </c>
      <c r="AY244" s="261" t="e">
        <f t="shared" si="174"/>
        <v>#REF!</v>
      </c>
      <c r="AZ244" s="261" t="e">
        <f t="shared" si="175"/>
        <v>#REF!</v>
      </c>
      <c r="BA244" s="261" t="e">
        <f t="shared" si="176"/>
        <v>#REF!</v>
      </c>
      <c r="BB244" s="261" t="e">
        <f t="shared" si="177"/>
        <v>#REF!</v>
      </c>
      <c r="BC244" s="261" t="e">
        <f t="shared" si="178"/>
        <v>#REF!</v>
      </c>
      <c r="BD244" s="261" t="e">
        <f t="shared" si="179"/>
        <v>#REF!</v>
      </c>
      <c r="BE244" s="261" t="e">
        <f>BC244+AV244+#REF!+AH244+AA244</f>
        <v>#REF!</v>
      </c>
      <c r="BF244" s="261" t="e">
        <f t="shared" si="180"/>
        <v>#REF!</v>
      </c>
      <c r="BG244" s="261" t="e">
        <f t="shared" si="181"/>
        <v>#REF!</v>
      </c>
    </row>
    <row r="245" spans="1:59" ht="15.75">
      <c r="A245" s="333">
        <v>20</v>
      </c>
      <c r="B245" s="333" t="s">
        <v>1607</v>
      </c>
      <c r="C245" s="256">
        <v>24</v>
      </c>
      <c r="D245" s="322" t="s">
        <v>61</v>
      </c>
      <c r="E245" s="256" t="s">
        <v>9</v>
      </c>
      <c r="F245" s="425">
        <f t="array" ref="F245">MAX((IF(MNU_CODIGO_ALIMENTO_ENTREGA=CONCATENATE($C245,"_","P_"),MNU_GRAMAJE_REQUERIDO_TIPOA,"")))</f>
        <v>20</v>
      </c>
      <c r="G245" s="257">
        <f t="shared" si="182"/>
        <v>96543</v>
      </c>
      <c r="H245" s="257">
        <f t="shared" si="183"/>
        <v>14344</v>
      </c>
      <c r="I245" s="257">
        <f t="shared" si="184"/>
        <v>110887</v>
      </c>
      <c r="J245" s="258">
        <f t="shared" si="185"/>
        <v>12357504</v>
      </c>
      <c r="K245" s="258">
        <f t="shared" si="186"/>
        <v>1836032</v>
      </c>
      <c r="L245" s="258">
        <f t="shared" si="187"/>
        <v>14193536</v>
      </c>
      <c r="M245" s="426">
        <f t="array" ref="M245">MAX((IF(MNU_CODIGO_ALIMENTO_ENTREGA=CONCATENATE($C245,"_","P_"),MNU_GRAMAJE_REQUERIDO_TIPOB,"")))</f>
        <v>30</v>
      </c>
      <c r="N245" s="343">
        <f t="shared" si="188"/>
        <v>151657</v>
      </c>
      <c r="O245" s="343">
        <f t="shared" si="189"/>
        <v>6325</v>
      </c>
      <c r="P245" s="343">
        <f t="shared" si="190"/>
        <v>157982</v>
      </c>
      <c r="Q245" s="344">
        <f t="shared" si="191"/>
        <v>30331400</v>
      </c>
      <c r="R245" s="344">
        <f t="shared" si="192"/>
        <v>1265000</v>
      </c>
      <c r="S245" s="344">
        <f t="shared" si="193"/>
        <v>31596400</v>
      </c>
      <c r="T245" s="348">
        <f t="array" ref="T245">MAX((IF(MNU_CODIGO_ALIMENTO_ENTREGA=CONCATENATE($C245,"_","P_"),MNU_GRAMAJE_REQUERIDO_TIPOC,"")))</f>
        <v>60</v>
      </c>
      <c r="U245" s="257">
        <f t="shared" si="194"/>
        <v>184994</v>
      </c>
      <c r="V245" s="257">
        <f t="shared" si="195"/>
        <v>9548</v>
      </c>
      <c r="W245" s="257">
        <f t="shared" si="196"/>
        <v>194542</v>
      </c>
      <c r="X245" s="258">
        <f t="shared" si="197"/>
        <v>71222690</v>
      </c>
      <c r="Y245" s="258">
        <f t="shared" si="198"/>
        <v>3675980</v>
      </c>
      <c r="Z245" s="258">
        <f t="shared" si="199"/>
        <v>74898670</v>
      </c>
      <c r="AA245" s="256">
        <f t="array" ref="AA245">MAX((IF(MNU_CODIGO_ALIMENTO_ENTREGA=CONCATENATE($C245,"_","P_"),MNU_GRAMAJE_REQUERIDO_TIPOM,"")))</f>
        <v>30</v>
      </c>
      <c r="AB245" s="259">
        <f t="shared" si="200"/>
        <v>2482</v>
      </c>
      <c r="AC245" s="259">
        <v>0</v>
      </c>
      <c r="AD245" s="259">
        <f t="shared" si="201"/>
        <v>2482</v>
      </c>
      <c r="AE245" s="260">
        <f t="shared" si="202"/>
        <v>496400</v>
      </c>
      <c r="AF245" s="260">
        <v>0</v>
      </c>
      <c r="AG245" s="260">
        <f t="shared" si="203"/>
        <v>496400</v>
      </c>
      <c r="AH245" s="348">
        <f t="array" ref="AH245">MAX((IF(MNU_CODIGO_ALIMENTO_ENTREGA=CONCATENATE($C245,"_","P_"),MNU_GRAMAJE_REQUERIDO_TIPOH,"")))</f>
        <v>60</v>
      </c>
      <c r="AI245" s="257">
        <f t="shared" si="204"/>
        <v>2567</v>
      </c>
      <c r="AJ245" s="257">
        <v>0</v>
      </c>
      <c r="AK245" s="257">
        <f t="shared" si="205"/>
        <v>2567</v>
      </c>
      <c r="AL245" s="258">
        <f t="shared" si="206"/>
        <v>988295</v>
      </c>
      <c r="AM245" s="258">
        <v>0</v>
      </c>
      <c r="AN245" s="258">
        <f t="shared" si="207"/>
        <v>988295</v>
      </c>
      <c r="AO245" s="451">
        <f t="shared" si="208"/>
        <v>468460</v>
      </c>
      <c r="AP245" s="450">
        <f t="shared" si="209"/>
        <v>122173301</v>
      </c>
      <c r="AQ245" s="261" t="e">
        <f>#REF!+AH245+AA245+T245+M245</f>
        <v>#REF!</v>
      </c>
      <c r="AR245" s="261">
        <f t="shared" si="168"/>
        <v>122515001</v>
      </c>
      <c r="AS245" s="261" t="e">
        <f t="shared" si="169"/>
        <v>#REF!</v>
      </c>
      <c r="AT245" s="261">
        <f t="shared" si="170"/>
        <v>122872574</v>
      </c>
      <c r="AU245" s="261" t="e">
        <f t="shared" si="171"/>
        <v>#REF!</v>
      </c>
      <c r="AV245" s="261">
        <f t="shared" si="172"/>
        <v>127813554</v>
      </c>
      <c r="AW245" s="261" t="e">
        <f t="shared" si="173"/>
        <v>#REF!</v>
      </c>
      <c r="AX245" s="261" t="e">
        <f>AV245+#REF!+AH245+AA245+T245</f>
        <v>#REF!</v>
      </c>
      <c r="AY245" s="261" t="e">
        <f t="shared" si="174"/>
        <v>#REF!</v>
      </c>
      <c r="AZ245" s="261" t="e">
        <f t="shared" si="175"/>
        <v>#REF!</v>
      </c>
      <c r="BA245" s="261" t="e">
        <f t="shared" si="176"/>
        <v>#REF!</v>
      </c>
      <c r="BB245" s="261" t="e">
        <f t="shared" si="177"/>
        <v>#REF!</v>
      </c>
      <c r="BC245" s="261" t="e">
        <f t="shared" si="178"/>
        <v>#REF!</v>
      </c>
      <c r="BD245" s="261" t="e">
        <f t="shared" si="179"/>
        <v>#REF!</v>
      </c>
      <c r="BE245" s="261" t="e">
        <f>BC245+AV245+#REF!+AH245+AA245</f>
        <v>#REF!</v>
      </c>
      <c r="BF245" s="261" t="e">
        <f t="shared" si="180"/>
        <v>#REF!</v>
      </c>
      <c r="BG245" s="261" t="e">
        <f t="shared" si="181"/>
        <v>#REF!</v>
      </c>
    </row>
    <row r="246" spans="1:59" ht="15.75">
      <c r="A246" s="333">
        <v>20</v>
      </c>
      <c r="B246" s="333" t="s">
        <v>1607</v>
      </c>
      <c r="C246" s="256">
        <v>25</v>
      </c>
      <c r="D246" s="322" t="s">
        <v>64</v>
      </c>
      <c r="E246" s="256" t="s">
        <v>9</v>
      </c>
      <c r="F246" s="425">
        <f t="array" ref="F246">MAX((IF(MNU_CODIGO_ALIMENTO_ENTREGA=CONCATENATE($C246,"_","P_"),MNU_GRAMAJE_REQUERIDO_TIPOA,"")))</f>
        <v>40</v>
      </c>
      <c r="G246" s="257">
        <f t="shared" si="182"/>
        <v>96543</v>
      </c>
      <c r="H246" s="257">
        <f t="shared" si="183"/>
        <v>28688</v>
      </c>
      <c r="I246" s="257">
        <f t="shared" si="184"/>
        <v>125231</v>
      </c>
      <c r="J246" s="258">
        <f t="shared" si="185"/>
        <v>24715008</v>
      </c>
      <c r="K246" s="258">
        <f t="shared" si="186"/>
        <v>7344128</v>
      </c>
      <c r="L246" s="258">
        <f t="shared" si="187"/>
        <v>32059136</v>
      </c>
      <c r="M246" s="426">
        <f t="array" ref="M246">MAX((IF(MNU_CODIGO_ALIMENTO_ENTREGA=CONCATENATE($C246,"_","P_"),MNU_GRAMAJE_REQUERIDO_TIPOB,"")))</f>
        <v>40</v>
      </c>
      <c r="N246" s="343">
        <f t="shared" si="188"/>
        <v>151657</v>
      </c>
      <c r="O246" s="343">
        <f t="shared" si="189"/>
        <v>12650</v>
      </c>
      <c r="P246" s="343">
        <f t="shared" si="190"/>
        <v>164307</v>
      </c>
      <c r="Q246" s="344">
        <f t="shared" si="191"/>
        <v>38824192</v>
      </c>
      <c r="R246" s="344">
        <f t="shared" si="192"/>
        <v>3238400</v>
      </c>
      <c r="S246" s="344">
        <f t="shared" si="193"/>
        <v>42062592</v>
      </c>
      <c r="T246" s="348">
        <f t="array" ref="T246">MAX((IF(MNU_CODIGO_ALIMENTO_ENTREGA=CONCATENATE($C246,"_","P_"),MNU_GRAMAJE_REQUERIDO_TIPOC,"")))</f>
        <v>60</v>
      </c>
      <c r="U246" s="257">
        <f t="shared" si="194"/>
        <v>184994</v>
      </c>
      <c r="V246" s="257">
        <f t="shared" si="195"/>
        <v>19096</v>
      </c>
      <c r="W246" s="257">
        <f t="shared" si="196"/>
        <v>204090</v>
      </c>
      <c r="X246" s="258">
        <f t="shared" si="197"/>
        <v>71037696</v>
      </c>
      <c r="Y246" s="258">
        <f t="shared" si="198"/>
        <v>7332864</v>
      </c>
      <c r="Z246" s="258">
        <f t="shared" si="199"/>
        <v>78370560</v>
      </c>
      <c r="AA246" s="256">
        <f t="array" ref="AA246">MAX((IF(MNU_CODIGO_ALIMENTO_ENTREGA=CONCATENATE($C246,"_","P_"),MNU_GRAMAJE_REQUERIDO_TIPOM,"")))</f>
        <v>40</v>
      </c>
      <c r="AB246" s="259">
        <f t="shared" si="200"/>
        <v>2482</v>
      </c>
      <c r="AC246" s="259">
        <v>0</v>
      </c>
      <c r="AD246" s="259">
        <f t="shared" si="201"/>
        <v>2482</v>
      </c>
      <c r="AE246" s="260">
        <f t="shared" si="202"/>
        <v>635392</v>
      </c>
      <c r="AF246" s="260">
        <v>0</v>
      </c>
      <c r="AG246" s="260">
        <f t="shared" si="203"/>
        <v>635392</v>
      </c>
      <c r="AH246" s="348">
        <f t="array" ref="AH246">MAX((IF(MNU_CODIGO_ALIMENTO_ENTREGA=CONCATENATE($C246,"_","P_"),MNU_GRAMAJE_REQUERIDO_TIPOH,"")))</f>
        <v>60</v>
      </c>
      <c r="AI246" s="257">
        <f t="shared" si="204"/>
        <v>2567</v>
      </c>
      <c r="AJ246" s="257">
        <v>0</v>
      </c>
      <c r="AK246" s="257">
        <f t="shared" si="205"/>
        <v>2567</v>
      </c>
      <c r="AL246" s="258">
        <f t="shared" si="206"/>
        <v>985728</v>
      </c>
      <c r="AM246" s="258">
        <v>0</v>
      </c>
      <c r="AN246" s="258">
        <f t="shared" si="207"/>
        <v>985728</v>
      </c>
      <c r="AO246" s="451">
        <f t="shared" si="208"/>
        <v>498677</v>
      </c>
      <c r="AP246" s="450">
        <f t="shared" si="209"/>
        <v>154113408</v>
      </c>
      <c r="AQ246" s="261" t="e">
        <f>#REF!+AH246+AA246+T246+M246</f>
        <v>#REF!</v>
      </c>
      <c r="AR246" s="261">
        <f t="shared" si="168"/>
        <v>154455108</v>
      </c>
      <c r="AS246" s="261" t="e">
        <f t="shared" si="169"/>
        <v>#REF!</v>
      </c>
      <c r="AT246" s="261">
        <f t="shared" si="170"/>
        <v>154828554</v>
      </c>
      <c r="AU246" s="261" t="e">
        <f t="shared" si="171"/>
        <v>#REF!</v>
      </c>
      <c r="AV246" s="261">
        <f t="shared" si="172"/>
        <v>165399818</v>
      </c>
      <c r="AW246" s="261" t="e">
        <f t="shared" si="173"/>
        <v>#REF!</v>
      </c>
      <c r="AX246" s="261" t="e">
        <f>AV246+#REF!+AH246+AA246+T246</f>
        <v>#REF!</v>
      </c>
      <c r="AY246" s="261" t="e">
        <f t="shared" si="174"/>
        <v>#REF!</v>
      </c>
      <c r="AZ246" s="261" t="e">
        <f t="shared" si="175"/>
        <v>#REF!</v>
      </c>
      <c r="BA246" s="261" t="e">
        <f t="shared" si="176"/>
        <v>#REF!</v>
      </c>
      <c r="BB246" s="261" t="e">
        <f t="shared" si="177"/>
        <v>#REF!</v>
      </c>
      <c r="BC246" s="261" t="e">
        <f t="shared" si="178"/>
        <v>#REF!</v>
      </c>
      <c r="BD246" s="261" t="e">
        <f t="shared" si="179"/>
        <v>#REF!</v>
      </c>
      <c r="BE246" s="261" t="e">
        <f>BC246+AV246+#REF!+AH246+AA246</f>
        <v>#REF!</v>
      </c>
      <c r="BF246" s="261" t="e">
        <f t="shared" si="180"/>
        <v>#REF!</v>
      </c>
      <c r="BG246" s="261" t="e">
        <f t="shared" si="181"/>
        <v>#REF!</v>
      </c>
    </row>
    <row r="247" spans="1:59" ht="15.75">
      <c r="A247" s="333">
        <v>20</v>
      </c>
      <c r="B247" s="333" t="s">
        <v>1607</v>
      </c>
      <c r="C247" s="256">
        <v>26</v>
      </c>
      <c r="D247" s="322" t="s">
        <v>69</v>
      </c>
      <c r="E247" s="256" t="s">
        <v>9</v>
      </c>
      <c r="F247" s="425">
        <f t="array" ref="F247">MAX((IF(MNU_CODIGO_ALIMENTO_ENTREGA=CONCATENATE($C247,"_","P_"),MNU_GRAMAJE_REQUERIDO_TIPOA,"")))</f>
        <v>30</v>
      </c>
      <c r="G247" s="257">
        <f t="shared" si="182"/>
        <v>34074</v>
      </c>
      <c r="H247" s="257">
        <f t="shared" si="183"/>
        <v>0</v>
      </c>
      <c r="I247" s="257">
        <f t="shared" si="184"/>
        <v>34074</v>
      </c>
      <c r="J247" s="258">
        <f t="shared" si="185"/>
        <v>5826654</v>
      </c>
      <c r="K247" s="258">
        <f t="shared" si="186"/>
        <v>0</v>
      </c>
      <c r="L247" s="258">
        <f t="shared" si="187"/>
        <v>5826654</v>
      </c>
      <c r="M247" s="426">
        <f t="array" ref="M247">MAX((IF(MNU_CODIGO_ALIMENTO_ENTREGA=CONCATENATE($C247,"_","P_"),MNU_GRAMAJE_REQUERIDO_TIPOB,"")))</f>
        <v>30</v>
      </c>
      <c r="N247" s="343">
        <f t="shared" si="188"/>
        <v>53526</v>
      </c>
      <c r="O247" s="343">
        <f t="shared" si="189"/>
        <v>0</v>
      </c>
      <c r="P247" s="343">
        <f t="shared" si="190"/>
        <v>53526</v>
      </c>
      <c r="Q247" s="344">
        <f t="shared" si="191"/>
        <v>9152946</v>
      </c>
      <c r="R247" s="344">
        <f t="shared" si="192"/>
        <v>0</v>
      </c>
      <c r="S247" s="344">
        <f t="shared" si="193"/>
        <v>9152946</v>
      </c>
      <c r="T247" s="348">
        <f t="array" ref="T247">MAX((IF(MNU_CODIGO_ALIMENTO_ENTREGA=CONCATENATE($C247,"_","P_"),MNU_GRAMAJE_REQUERIDO_TIPOC,"")))</f>
        <v>30</v>
      </c>
      <c r="U247" s="257">
        <f t="shared" si="194"/>
        <v>65292</v>
      </c>
      <c r="V247" s="257">
        <f t="shared" si="195"/>
        <v>0</v>
      </c>
      <c r="W247" s="257">
        <f t="shared" si="196"/>
        <v>65292</v>
      </c>
      <c r="X247" s="258">
        <f t="shared" si="197"/>
        <v>11164932</v>
      </c>
      <c r="Y247" s="258">
        <f t="shared" si="198"/>
        <v>0</v>
      </c>
      <c r="Z247" s="258">
        <f t="shared" si="199"/>
        <v>11164932</v>
      </c>
      <c r="AA247" s="256">
        <f t="array" ref="AA247">MAX((IF(MNU_CODIGO_ALIMENTO_ENTREGA=CONCATENATE($C247,"_","P_"),MNU_GRAMAJE_REQUERIDO_TIPOM,"")))</f>
        <v>30</v>
      </c>
      <c r="AB247" s="259">
        <f t="shared" si="200"/>
        <v>876</v>
      </c>
      <c r="AC247" s="259">
        <v>0</v>
      </c>
      <c r="AD247" s="259">
        <f t="shared" si="201"/>
        <v>876</v>
      </c>
      <c r="AE247" s="260">
        <f t="shared" si="202"/>
        <v>149796</v>
      </c>
      <c r="AF247" s="260">
        <v>0</v>
      </c>
      <c r="AG247" s="260">
        <f t="shared" si="203"/>
        <v>149796</v>
      </c>
      <c r="AH247" s="348">
        <f t="array" ref="AH247">MAX((IF(MNU_CODIGO_ALIMENTO_ENTREGA=CONCATENATE($C247,"_","P_"),MNU_GRAMAJE_REQUERIDO_TIPOH,"")))</f>
        <v>30</v>
      </c>
      <c r="AI247" s="257">
        <f t="shared" si="204"/>
        <v>906</v>
      </c>
      <c r="AJ247" s="257">
        <v>0</v>
      </c>
      <c r="AK247" s="257">
        <f t="shared" si="205"/>
        <v>906</v>
      </c>
      <c r="AL247" s="258">
        <f t="shared" si="206"/>
        <v>154926</v>
      </c>
      <c r="AM247" s="258">
        <v>0</v>
      </c>
      <c r="AN247" s="258">
        <f t="shared" si="207"/>
        <v>154926</v>
      </c>
      <c r="AO247" s="451">
        <f t="shared" si="208"/>
        <v>154674</v>
      </c>
      <c r="AP247" s="450">
        <f t="shared" si="209"/>
        <v>26449254</v>
      </c>
      <c r="AQ247" s="261" t="e">
        <f>#REF!+AH247+AA247+T247+M247</f>
        <v>#REF!</v>
      </c>
      <c r="AR247" s="261">
        <f t="shared" si="168"/>
        <v>26569854</v>
      </c>
      <c r="AS247" s="261" t="e">
        <f t="shared" si="169"/>
        <v>#REF!</v>
      </c>
      <c r="AT247" s="261">
        <f t="shared" si="170"/>
        <v>26690454</v>
      </c>
      <c r="AU247" s="261" t="e">
        <f t="shared" si="171"/>
        <v>#REF!</v>
      </c>
      <c r="AV247" s="261">
        <f t="shared" si="172"/>
        <v>26690454</v>
      </c>
      <c r="AW247" s="261" t="e">
        <f t="shared" si="173"/>
        <v>#REF!</v>
      </c>
      <c r="AX247" s="261" t="e">
        <f>AV247+#REF!+AH247+AA247+T247</f>
        <v>#REF!</v>
      </c>
      <c r="AY247" s="261" t="e">
        <f t="shared" si="174"/>
        <v>#REF!</v>
      </c>
      <c r="AZ247" s="261" t="e">
        <f t="shared" si="175"/>
        <v>#REF!</v>
      </c>
      <c r="BA247" s="261" t="e">
        <f t="shared" si="176"/>
        <v>#REF!</v>
      </c>
      <c r="BB247" s="261" t="e">
        <f t="shared" si="177"/>
        <v>#REF!</v>
      </c>
      <c r="BC247" s="261" t="e">
        <f t="shared" si="178"/>
        <v>#REF!</v>
      </c>
      <c r="BD247" s="261" t="e">
        <f t="shared" si="179"/>
        <v>#REF!</v>
      </c>
      <c r="BE247" s="261" t="e">
        <f>BC247+AV247+#REF!+AH247+AA247</f>
        <v>#REF!</v>
      </c>
      <c r="BF247" s="261" t="e">
        <f t="shared" si="180"/>
        <v>#REF!</v>
      </c>
      <c r="BG247" s="261" t="e">
        <f t="shared" si="181"/>
        <v>#REF!</v>
      </c>
    </row>
    <row r="248" spans="1:59" ht="27">
      <c r="A248" s="333">
        <v>20</v>
      </c>
      <c r="B248" s="333" t="s">
        <v>1607</v>
      </c>
      <c r="C248" s="256">
        <v>28</v>
      </c>
      <c r="D248" s="322" t="s">
        <v>67</v>
      </c>
      <c r="E248" s="256" t="s">
        <v>9</v>
      </c>
      <c r="F248" s="425">
        <f t="array" ref="F248">MAX((IF(MNU_CODIGO_ALIMENTO_ENTREGA=CONCATENATE($C248,"_","P_"),MNU_GRAMAJE_REQUERIDO_TIPOA,"")))</f>
        <v>30</v>
      </c>
      <c r="G248" s="257">
        <f t="shared" si="182"/>
        <v>34074</v>
      </c>
      <c r="H248" s="257">
        <f t="shared" si="183"/>
        <v>24776</v>
      </c>
      <c r="I248" s="257">
        <f t="shared" si="184"/>
        <v>58850</v>
      </c>
      <c r="J248" s="258">
        <f t="shared" si="185"/>
        <v>7700724</v>
      </c>
      <c r="K248" s="258">
        <f t="shared" si="186"/>
        <v>5599376</v>
      </c>
      <c r="L248" s="258">
        <f t="shared" si="187"/>
        <v>13300100</v>
      </c>
      <c r="M248" s="426">
        <f t="array" ref="M248">MAX((IF(MNU_CODIGO_ALIMENTO_ENTREGA=CONCATENATE($C248,"_","P_"),MNU_GRAMAJE_REQUERIDO_TIPOB,"")))</f>
        <v>40</v>
      </c>
      <c r="N248" s="343">
        <f t="shared" si="188"/>
        <v>53526</v>
      </c>
      <c r="O248" s="343">
        <f t="shared" si="189"/>
        <v>10925</v>
      </c>
      <c r="P248" s="343">
        <f t="shared" si="190"/>
        <v>64451</v>
      </c>
      <c r="Q248" s="344">
        <f t="shared" si="191"/>
        <v>16111326</v>
      </c>
      <c r="R248" s="344">
        <f t="shared" si="192"/>
        <v>3288425</v>
      </c>
      <c r="S248" s="344">
        <f t="shared" si="193"/>
        <v>19399751</v>
      </c>
      <c r="T248" s="348">
        <f t="array" ref="T248">MAX((IF(MNU_CODIGO_ALIMENTO_ENTREGA=CONCATENATE($C248,"_","P_"),MNU_GRAMAJE_REQUERIDO_TIPOC,"")))</f>
        <v>60</v>
      </c>
      <c r="U248" s="257">
        <f t="shared" si="194"/>
        <v>65292</v>
      </c>
      <c r="V248" s="257">
        <f t="shared" si="195"/>
        <v>16492</v>
      </c>
      <c r="W248" s="257">
        <f t="shared" si="196"/>
        <v>81784</v>
      </c>
      <c r="X248" s="258">
        <f t="shared" si="197"/>
        <v>29446692</v>
      </c>
      <c r="Y248" s="258">
        <f t="shared" si="198"/>
        <v>7437892</v>
      </c>
      <c r="Z248" s="258">
        <f t="shared" si="199"/>
        <v>36884584</v>
      </c>
      <c r="AA248" s="256">
        <f t="array" ref="AA248">MAX((IF(MNU_CODIGO_ALIMENTO_ENTREGA=CONCATENATE($C248,"_","P_"),MNU_GRAMAJE_REQUERIDO_TIPOM,"")))</f>
        <v>40</v>
      </c>
      <c r="AB248" s="259">
        <f t="shared" si="200"/>
        <v>876</v>
      </c>
      <c r="AC248" s="259">
        <v>0</v>
      </c>
      <c r="AD248" s="259">
        <f t="shared" si="201"/>
        <v>876</v>
      </c>
      <c r="AE248" s="260">
        <f t="shared" si="202"/>
        <v>263676</v>
      </c>
      <c r="AF248" s="260">
        <v>0</v>
      </c>
      <c r="AG248" s="260">
        <f t="shared" si="203"/>
        <v>263676</v>
      </c>
      <c r="AH248" s="348">
        <f t="array" ref="AH248">MAX((IF(MNU_CODIGO_ALIMENTO_ENTREGA=CONCATENATE($C248,"_","P_"),MNU_GRAMAJE_REQUERIDO_TIPOH,"")))</f>
        <v>60</v>
      </c>
      <c r="AI248" s="257">
        <f t="shared" si="204"/>
        <v>906</v>
      </c>
      <c r="AJ248" s="257">
        <v>0</v>
      </c>
      <c r="AK248" s="257">
        <f t="shared" si="205"/>
        <v>906</v>
      </c>
      <c r="AL248" s="258">
        <f t="shared" si="206"/>
        <v>408606</v>
      </c>
      <c r="AM248" s="258">
        <v>0</v>
      </c>
      <c r="AN248" s="258">
        <f t="shared" si="207"/>
        <v>408606</v>
      </c>
      <c r="AO248" s="451">
        <f t="shared" si="208"/>
        <v>206867</v>
      </c>
      <c r="AP248" s="450">
        <f t="shared" si="209"/>
        <v>70256717</v>
      </c>
      <c r="AQ248" s="261" t="e">
        <f>#REF!+AH248+AA248+T248+M248</f>
        <v>#REF!</v>
      </c>
      <c r="AR248" s="261">
        <f t="shared" si="168"/>
        <v>70377317</v>
      </c>
      <c r="AS248" s="261" t="e">
        <f t="shared" si="169"/>
        <v>#REF!</v>
      </c>
      <c r="AT248" s="261">
        <f t="shared" si="170"/>
        <v>70525334</v>
      </c>
      <c r="AU248" s="261" t="e">
        <f t="shared" si="171"/>
        <v>#REF!</v>
      </c>
      <c r="AV248" s="261">
        <f t="shared" si="172"/>
        <v>81251651</v>
      </c>
      <c r="AW248" s="261" t="e">
        <f t="shared" si="173"/>
        <v>#REF!</v>
      </c>
      <c r="AX248" s="261" t="e">
        <f>AV248+#REF!+AH248+AA248+T248</f>
        <v>#REF!</v>
      </c>
      <c r="AY248" s="261" t="e">
        <f t="shared" si="174"/>
        <v>#REF!</v>
      </c>
      <c r="AZ248" s="261" t="e">
        <f t="shared" si="175"/>
        <v>#REF!</v>
      </c>
      <c r="BA248" s="261" t="e">
        <f t="shared" si="176"/>
        <v>#REF!</v>
      </c>
      <c r="BB248" s="261" t="e">
        <f t="shared" si="177"/>
        <v>#REF!</v>
      </c>
      <c r="BC248" s="261" t="e">
        <f t="shared" si="178"/>
        <v>#REF!</v>
      </c>
      <c r="BD248" s="261" t="e">
        <f t="shared" si="179"/>
        <v>#REF!</v>
      </c>
      <c r="BE248" s="261" t="e">
        <f>BC248+AV248+#REF!+AH248+AA248</f>
        <v>#REF!</v>
      </c>
      <c r="BF248" s="261" t="e">
        <f t="shared" si="180"/>
        <v>#REF!</v>
      </c>
      <c r="BG248" s="261" t="e">
        <f t="shared" si="181"/>
        <v>#REF!</v>
      </c>
    </row>
    <row r="249" spans="1:59" ht="15.75">
      <c r="A249" s="333">
        <v>20</v>
      </c>
      <c r="B249" s="333" t="s">
        <v>1607</v>
      </c>
      <c r="C249" s="256">
        <v>30</v>
      </c>
      <c r="D249" s="322" t="s">
        <v>63</v>
      </c>
      <c r="E249" s="256" t="s">
        <v>9</v>
      </c>
      <c r="F249" s="425">
        <f t="array" ref="F249">MAX((IF(MNU_CODIGO_ALIMENTO_ENTREGA=CONCATENATE($C249,"_","P_"),MNU_GRAMAJE_REQUERIDO_TIPOA,"")))</f>
        <v>30</v>
      </c>
      <c r="G249" s="257">
        <f t="shared" si="182"/>
        <v>90864</v>
      </c>
      <c r="H249" s="257">
        <f t="shared" si="183"/>
        <v>0</v>
      </c>
      <c r="I249" s="257">
        <f t="shared" si="184"/>
        <v>90864</v>
      </c>
      <c r="J249" s="258">
        <f t="shared" si="185"/>
        <v>30166848</v>
      </c>
      <c r="K249" s="258">
        <f t="shared" si="186"/>
        <v>0</v>
      </c>
      <c r="L249" s="258">
        <f t="shared" si="187"/>
        <v>30166848</v>
      </c>
      <c r="M249" s="426">
        <f t="array" ref="M249">MAX((IF(MNU_CODIGO_ALIMENTO_ENTREGA=CONCATENATE($C249,"_","P_"),MNU_GRAMAJE_REQUERIDO_TIPOB,"")))</f>
        <v>30</v>
      </c>
      <c r="N249" s="343">
        <f t="shared" si="188"/>
        <v>142736</v>
      </c>
      <c r="O249" s="343">
        <f t="shared" si="189"/>
        <v>0</v>
      </c>
      <c r="P249" s="343">
        <f t="shared" si="190"/>
        <v>142736</v>
      </c>
      <c r="Q249" s="344">
        <f t="shared" si="191"/>
        <v>47388352</v>
      </c>
      <c r="R249" s="344">
        <f t="shared" si="192"/>
        <v>0</v>
      </c>
      <c r="S249" s="344">
        <f t="shared" si="193"/>
        <v>47388352</v>
      </c>
      <c r="T249" s="348">
        <f t="array" ref="T249">MAX((IF(MNU_CODIGO_ALIMENTO_ENTREGA=CONCATENATE($C249,"_","P_"),MNU_GRAMAJE_REQUERIDO_TIPOC,"")))</f>
        <v>30</v>
      </c>
      <c r="U249" s="257">
        <f t="shared" si="194"/>
        <v>174112</v>
      </c>
      <c r="V249" s="257">
        <f t="shared" si="195"/>
        <v>0</v>
      </c>
      <c r="W249" s="257">
        <f t="shared" si="196"/>
        <v>174112</v>
      </c>
      <c r="X249" s="258">
        <f t="shared" si="197"/>
        <v>57805184</v>
      </c>
      <c r="Y249" s="258">
        <f t="shared" si="198"/>
        <v>0</v>
      </c>
      <c r="Z249" s="258">
        <f t="shared" si="199"/>
        <v>57805184</v>
      </c>
      <c r="AA249" s="256">
        <f t="array" ref="AA249">MAX((IF(MNU_CODIGO_ALIMENTO_ENTREGA=CONCATENATE($C249,"_","P_"),MNU_GRAMAJE_REQUERIDO_TIPOM,"")))</f>
        <v>30</v>
      </c>
      <c r="AB249" s="259">
        <f t="shared" si="200"/>
        <v>2336</v>
      </c>
      <c r="AC249" s="259">
        <v>0</v>
      </c>
      <c r="AD249" s="259">
        <f t="shared" si="201"/>
        <v>2336</v>
      </c>
      <c r="AE249" s="260">
        <f t="shared" si="202"/>
        <v>775552</v>
      </c>
      <c r="AF249" s="260">
        <v>0</v>
      </c>
      <c r="AG249" s="260">
        <f t="shared" si="203"/>
        <v>775552</v>
      </c>
      <c r="AH249" s="348">
        <f t="array" ref="AH249">MAX((IF(MNU_CODIGO_ALIMENTO_ENTREGA=CONCATENATE($C249,"_","P_"),MNU_GRAMAJE_REQUERIDO_TIPOH,"")))</f>
        <v>30</v>
      </c>
      <c r="AI249" s="257">
        <f t="shared" si="204"/>
        <v>2416</v>
      </c>
      <c r="AJ249" s="257">
        <v>0</v>
      </c>
      <c r="AK249" s="257">
        <f t="shared" si="205"/>
        <v>2416</v>
      </c>
      <c r="AL249" s="258">
        <f t="shared" si="206"/>
        <v>802112</v>
      </c>
      <c r="AM249" s="258">
        <v>0</v>
      </c>
      <c r="AN249" s="258">
        <f t="shared" si="207"/>
        <v>802112</v>
      </c>
      <c r="AO249" s="451">
        <f t="shared" si="208"/>
        <v>412464</v>
      </c>
      <c r="AP249" s="450">
        <f t="shared" si="209"/>
        <v>136938048</v>
      </c>
      <c r="AQ249" s="261" t="e">
        <f>#REF!+AH249+AA249+T249+M249</f>
        <v>#REF!</v>
      </c>
      <c r="AR249" s="261">
        <f t="shared" si="168"/>
        <v>137259648</v>
      </c>
      <c r="AS249" s="261" t="e">
        <f t="shared" si="169"/>
        <v>#REF!</v>
      </c>
      <c r="AT249" s="261">
        <f t="shared" si="170"/>
        <v>137581248</v>
      </c>
      <c r="AU249" s="261" t="e">
        <f t="shared" si="171"/>
        <v>#REF!</v>
      </c>
      <c r="AV249" s="261">
        <f t="shared" si="172"/>
        <v>137581248</v>
      </c>
      <c r="AW249" s="261" t="e">
        <f t="shared" si="173"/>
        <v>#REF!</v>
      </c>
      <c r="AX249" s="261" t="e">
        <f>AV249+#REF!+AH249+AA249+T249</f>
        <v>#REF!</v>
      </c>
      <c r="AY249" s="261" t="e">
        <f t="shared" si="174"/>
        <v>#REF!</v>
      </c>
      <c r="AZ249" s="261" t="e">
        <f t="shared" si="175"/>
        <v>#REF!</v>
      </c>
      <c r="BA249" s="261" t="e">
        <f t="shared" si="176"/>
        <v>#REF!</v>
      </c>
      <c r="BB249" s="261" t="e">
        <f t="shared" si="177"/>
        <v>#REF!</v>
      </c>
      <c r="BC249" s="261" t="e">
        <f t="shared" si="178"/>
        <v>#REF!</v>
      </c>
      <c r="BD249" s="261" t="e">
        <f t="shared" si="179"/>
        <v>#REF!</v>
      </c>
      <c r="BE249" s="261" t="e">
        <f>BC249+AV249+#REF!+AH249+AA249</f>
        <v>#REF!</v>
      </c>
      <c r="BF249" s="261" t="e">
        <f t="shared" si="180"/>
        <v>#REF!</v>
      </c>
      <c r="BG249" s="261" t="e">
        <f t="shared" si="181"/>
        <v>#REF!</v>
      </c>
    </row>
    <row r="250" spans="1:59" ht="15.75">
      <c r="A250" s="333">
        <v>20</v>
      </c>
      <c r="B250" s="333" t="s">
        <v>1607</v>
      </c>
      <c r="C250" s="256">
        <v>45</v>
      </c>
      <c r="D250" s="322" t="s">
        <v>10</v>
      </c>
      <c r="E250" s="256" t="s">
        <v>9</v>
      </c>
      <c r="F250" s="425">
        <f t="array" ref="F250">MAX((IF(MNU_CODIGO_ALIMENTO_ENTREGA=CONCATENATE($C250,"_","P_"),MNU_GRAMAJE_REQUERIDO_TIPOA,"")))</f>
        <v>20</v>
      </c>
      <c r="G250" s="257">
        <f t="shared" si="182"/>
        <v>90864</v>
      </c>
      <c r="H250" s="257">
        <f t="shared" si="183"/>
        <v>26080</v>
      </c>
      <c r="I250" s="257">
        <f t="shared" si="184"/>
        <v>116944</v>
      </c>
      <c r="J250" s="258">
        <f t="shared" si="185"/>
        <v>18081936</v>
      </c>
      <c r="K250" s="258">
        <f t="shared" si="186"/>
        <v>5189920</v>
      </c>
      <c r="L250" s="258">
        <f t="shared" si="187"/>
        <v>23271856</v>
      </c>
      <c r="M250" s="426">
        <f t="array" ref="M250">MAX((IF(MNU_CODIGO_ALIMENTO_ENTREGA=CONCATENATE($C250,"_","P_"),MNU_GRAMAJE_REQUERIDO_TIPOB,"")))</f>
        <v>30</v>
      </c>
      <c r="N250" s="343">
        <f t="shared" si="188"/>
        <v>142736</v>
      </c>
      <c r="O250" s="343">
        <f t="shared" si="189"/>
        <v>11500</v>
      </c>
      <c r="P250" s="343">
        <f t="shared" si="190"/>
        <v>154236</v>
      </c>
      <c r="Q250" s="344">
        <f t="shared" si="191"/>
        <v>42535328</v>
      </c>
      <c r="R250" s="344">
        <f t="shared" si="192"/>
        <v>3427000</v>
      </c>
      <c r="S250" s="344">
        <f t="shared" si="193"/>
        <v>45962328</v>
      </c>
      <c r="T250" s="348">
        <f t="array" ref="T250">MAX((IF(MNU_CODIGO_ALIMENTO_ENTREGA=CONCATENATE($C250,"_","P_"),MNU_GRAMAJE_REQUERIDO_TIPOC,"")))</f>
        <v>60</v>
      </c>
      <c r="U250" s="257">
        <f t="shared" si="194"/>
        <v>174112</v>
      </c>
      <c r="V250" s="257">
        <f t="shared" si="195"/>
        <v>17360</v>
      </c>
      <c r="W250" s="257">
        <f t="shared" si="196"/>
        <v>191472</v>
      </c>
      <c r="X250" s="258">
        <f t="shared" si="197"/>
        <v>103944864</v>
      </c>
      <c r="Y250" s="258">
        <f t="shared" si="198"/>
        <v>10363920</v>
      </c>
      <c r="Z250" s="258">
        <f t="shared" si="199"/>
        <v>114308784</v>
      </c>
      <c r="AA250" s="256">
        <f t="array" ref="AA250">MAX((IF(MNU_CODIGO_ALIMENTO_ENTREGA=CONCATENATE($C250,"_","P_"),MNU_GRAMAJE_REQUERIDO_TIPOM,"")))</f>
        <v>30</v>
      </c>
      <c r="AB250" s="259">
        <f t="shared" si="200"/>
        <v>2336</v>
      </c>
      <c r="AC250" s="259">
        <v>0</v>
      </c>
      <c r="AD250" s="259">
        <f t="shared" si="201"/>
        <v>2336</v>
      </c>
      <c r="AE250" s="260">
        <f t="shared" si="202"/>
        <v>696128</v>
      </c>
      <c r="AF250" s="260">
        <v>0</v>
      </c>
      <c r="AG250" s="260">
        <f t="shared" si="203"/>
        <v>696128</v>
      </c>
      <c r="AH250" s="348">
        <f t="array" ref="AH250">MAX((IF(MNU_CODIGO_ALIMENTO_ENTREGA=CONCATENATE($C250,"_","P_"),MNU_GRAMAJE_REQUERIDO_TIPOH,"")))</f>
        <v>60</v>
      </c>
      <c r="AI250" s="257">
        <f t="shared" si="204"/>
        <v>2416</v>
      </c>
      <c r="AJ250" s="257">
        <v>0</v>
      </c>
      <c r="AK250" s="257">
        <f t="shared" si="205"/>
        <v>2416</v>
      </c>
      <c r="AL250" s="258">
        <f t="shared" si="206"/>
        <v>1442352</v>
      </c>
      <c r="AM250" s="258">
        <v>0</v>
      </c>
      <c r="AN250" s="258">
        <f t="shared" si="207"/>
        <v>1442352</v>
      </c>
      <c r="AO250" s="451">
        <f t="shared" si="208"/>
        <v>467404</v>
      </c>
      <c r="AP250" s="450">
        <f t="shared" si="209"/>
        <v>185681448</v>
      </c>
      <c r="AQ250" s="261" t="e">
        <f>#REF!+AH250+AA250+T250+M250</f>
        <v>#REF!</v>
      </c>
      <c r="AR250" s="261">
        <f t="shared" si="168"/>
        <v>186003048</v>
      </c>
      <c r="AS250" s="261" t="e">
        <f t="shared" si="169"/>
        <v>#REF!</v>
      </c>
      <c r="AT250" s="261">
        <f t="shared" si="170"/>
        <v>186353508</v>
      </c>
      <c r="AU250" s="261" t="e">
        <f t="shared" si="171"/>
        <v>#REF!</v>
      </c>
      <c r="AV250" s="261">
        <f t="shared" si="172"/>
        <v>200144428</v>
      </c>
      <c r="AW250" s="261" t="e">
        <f t="shared" si="173"/>
        <v>#REF!</v>
      </c>
      <c r="AX250" s="261" t="e">
        <f>AV250+#REF!+AH250+AA250+T250</f>
        <v>#REF!</v>
      </c>
      <c r="AY250" s="261" t="e">
        <f t="shared" si="174"/>
        <v>#REF!</v>
      </c>
      <c r="AZ250" s="261" t="e">
        <f t="shared" si="175"/>
        <v>#REF!</v>
      </c>
      <c r="BA250" s="261" t="e">
        <f t="shared" si="176"/>
        <v>#REF!</v>
      </c>
      <c r="BB250" s="261" t="e">
        <f t="shared" si="177"/>
        <v>#REF!</v>
      </c>
      <c r="BC250" s="261" t="e">
        <f t="shared" si="178"/>
        <v>#REF!</v>
      </c>
      <c r="BD250" s="261" t="e">
        <f t="shared" si="179"/>
        <v>#REF!</v>
      </c>
      <c r="BE250" s="261" t="e">
        <f>BC250+AV250+#REF!+AH250+AA250</f>
        <v>#REF!</v>
      </c>
      <c r="BF250" s="261" t="e">
        <f t="shared" si="180"/>
        <v>#REF!</v>
      </c>
      <c r="BG250" s="261" t="e">
        <f t="shared" si="181"/>
        <v>#REF!</v>
      </c>
    </row>
    <row r="251" spans="1:59" ht="15.75">
      <c r="A251" s="333">
        <v>20</v>
      </c>
      <c r="B251" s="333" t="s">
        <v>1607</v>
      </c>
      <c r="C251" s="256">
        <v>50</v>
      </c>
      <c r="D251" s="322" t="s">
        <v>65</v>
      </c>
      <c r="E251" s="256" t="s">
        <v>9</v>
      </c>
      <c r="F251" s="425">
        <f t="array" ref="F251">MAX((IF(MNU_CODIGO_ALIMENTO_ENTREGA=CONCATENATE($C251,"_","P_"),MNU_GRAMAJE_REQUERIDO_TIPOA,"")))</f>
        <v>30</v>
      </c>
      <c r="G251" s="257">
        <f t="shared" si="182"/>
        <v>96543</v>
      </c>
      <c r="H251" s="257">
        <f t="shared" si="183"/>
        <v>0</v>
      </c>
      <c r="I251" s="257">
        <f t="shared" si="184"/>
        <v>96543</v>
      </c>
      <c r="J251" s="258">
        <f t="shared" si="185"/>
        <v>30990303</v>
      </c>
      <c r="K251" s="258">
        <f t="shared" si="186"/>
        <v>0</v>
      </c>
      <c r="L251" s="258">
        <f t="shared" si="187"/>
        <v>30990303</v>
      </c>
      <c r="M251" s="426">
        <f t="array" ref="M251">MAX((IF(MNU_CODIGO_ALIMENTO_ENTREGA=CONCATENATE($C251,"_","P_"),MNU_GRAMAJE_REQUERIDO_TIPOB,"")))</f>
        <v>40</v>
      </c>
      <c r="N251" s="343">
        <f t="shared" si="188"/>
        <v>151657</v>
      </c>
      <c r="O251" s="343">
        <f t="shared" si="189"/>
        <v>0</v>
      </c>
      <c r="P251" s="343">
        <f t="shared" si="190"/>
        <v>151657</v>
      </c>
      <c r="Q251" s="344">
        <f t="shared" si="191"/>
        <v>64909196</v>
      </c>
      <c r="R251" s="344">
        <f t="shared" si="192"/>
        <v>0</v>
      </c>
      <c r="S251" s="344">
        <f t="shared" si="193"/>
        <v>64909196</v>
      </c>
      <c r="T251" s="348">
        <f t="array" ref="T251">MAX((IF(MNU_CODIGO_ALIMENTO_ENTREGA=CONCATENATE($C251,"_","P_"),MNU_GRAMAJE_REQUERIDO_TIPOC,"")))</f>
        <v>80</v>
      </c>
      <c r="U251" s="257">
        <f t="shared" si="194"/>
        <v>184994</v>
      </c>
      <c r="V251" s="257">
        <f t="shared" si="195"/>
        <v>0</v>
      </c>
      <c r="W251" s="257">
        <f t="shared" si="196"/>
        <v>184994</v>
      </c>
      <c r="X251" s="258">
        <f t="shared" si="197"/>
        <v>158169870</v>
      </c>
      <c r="Y251" s="258">
        <f t="shared" si="198"/>
        <v>0</v>
      </c>
      <c r="Z251" s="258">
        <f t="shared" si="199"/>
        <v>158169870</v>
      </c>
      <c r="AA251" s="256">
        <f t="array" ref="AA251">MAX((IF(MNU_CODIGO_ALIMENTO_ENTREGA=CONCATENATE($C251,"_","P_"),MNU_GRAMAJE_REQUERIDO_TIPOM,"")))</f>
        <v>40</v>
      </c>
      <c r="AB251" s="259">
        <f t="shared" si="200"/>
        <v>2482</v>
      </c>
      <c r="AC251" s="259">
        <v>0</v>
      </c>
      <c r="AD251" s="259">
        <f t="shared" si="201"/>
        <v>2482</v>
      </c>
      <c r="AE251" s="260">
        <f t="shared" si="202"/>
        <v>1062296</v>
      </c>
      <c r="AF251" s="260">
        <v>0</v>
      </c>
      <c r="AG251" s="260">
        <f t="shared" si="203"/>
        <v>1062296</v>
      </c>
      <c r="AH251" s="348">
        <f t="array" ref="AH251">MAX((IF(MNU_CODIGO_ALIMENTO_ENTREGA=CONCATENATE($C251,"_","P_"),MNU_GRAMAJE_REQUERIDO_TIPOH,"")))</f>
        <v>80</v>
      </c>
      <c r="AI251" s="257">
        <f t="shared" si="204"/>
        <v>2567</v>
      </c>
      <c r="AJ251" s="257">
        <v>0</v>
      </c>
      <c r="AK251" s="257">
        <f t="shared" si="205"/>
        <v>2567</v>
      </c>
      <c r="AL251" s="258">
        <f t="shared" si="206"/>
        <v>2194785</v>
      </c>
      <c r="AM251" s="258">
        <v>0</v>
      </c>
      <c r="AN251" s="258">
        <f t="shared" si="207"/>
        <v>2194785</v>
      </c>
      <c r="AO251" s="451">
        <f t="shared" si="208"/>
        <v>438243</v>
      </c>
      <c r="AP251" s="450">
        <f t="shared" si="209"/>
        <v>257326450</v>
      </c>
      <c r="AQ251" s="261" t="e">
        <f>#REF!+AH251+AA251+T251+M251</f>
        <v>#REF!</v>
      </c>
      <c r="AR251" s="261">
        <f t="shared" si="168"/>
        <v>257668150</v>
      </c>
      <c r="AS251" s="261" t="e">
        <f t="shared" si="169"/>
        <v>#REF!</v>
      </c>
      <c r="AT251" s="261">
        <f t="shared" si="170"/>
        <v>258009850</v>
      </c>
      <c r="AU251" s="261" t="e">
        <f t="shared" si="171"/>
        <v>#REF!</v>
      </c>
      <c r="AV251" s="261">
        <f t="shared" si="172"/>
        <v>258009850</v>
      </c>
      <c r="AW251" s="261" t="e">
        <f t="shared" si="173"/>
        <v>#REF!</v>
      </c>
      <c r="AX251" s="261" t="e">
        <f>AV251+#REF!+AH251+AA251+T251</f>
        <v>#REF!</v>
      </c>
      <c r="AY251" s="261" t="e">
        <f t="shared" si="174"/>
        <v>#REF!</v>
      </c>
      <c r="AZ251" s="261" t="e">
        <f t="shared" si="175"/>
        <v>#REF!</v>
      </c>
      <c r="BA251" s="261" t="e">
        <f t="shared" si="176"/>
        <v>#REF!</v>
      </c>
      <c r="BB251" s="261" t="e">
        <f t="shared" si="177"/>
        <v>#REF!</v>
      </c>
      <c r="BC251" s="261" t="e">
        <f t="shared" si="178"/>
        <v>#REF!</v>
      </c>
      <c r="BD251" s="261" t="e">
        <f t="shared" si="179"/>
        <v>#REF!</v>
      </c>
      <c r="BE251" s="261" t="e">
        <f>BC251+AV251+#REF!+AH251+AA251</f>
        <v>#REF!</v>
      </c>
      <c r="BF251" s="261" t="e">
        <f t="shared" si="180"/>
        <v>#REF!</v>
      </c>
      <c r="BG251" s="261" t="e">
        <f t="shared" si="181"/>
        <v>#REF!</v>
      </c>
    </row>
    <row r="252" spans="1:59" ht="15.75">
      <c r="A252" s="333">
        <v>20</v>
      </c>
      <c r="B252" s="333" t="s">
        <v>1607</v>
      </c>
      <c r="C252" s="256">
        <v>61</v>
      </c>
      <c r="D252" s="322" t="s">
        <v>13</v>
      </c>
      <c r="E252" s="256" t="s">
        <v>9</v>
      </c>
      <c r="F252" s="425">
        <f t="array" ref="F252">MAX((IF(MNU_CODIGO_ALIMENTO_ENTREGA=CONCATENATE($C252,"_","P_"),MNU_GRAMAJE_REQUERIDO_TIPOA,"")))</f>
        <v>20</v>
      </c>
      <c r="G252" s="257">
        <f t="shared" si="182"/>
        <v>90864</v>
      </c>
      <c r="H252" s="257">
        <f t="shared" si="183"/>
        <v>26080</v>
      </c>
      <c r="I252" s="257">
        <f t="shared" si="184"/>
        <v>116944</v>
      </c>
      <c r="J252" s="258">
        <f t="shared" si="185"/>
        <v>21171312</v>
      </c>
      <c r="K252" s="258">
        <f t="shared" si="186"/>
        <v>6076640</v>
      </c>
      <c r="L252" s="258">
        <f t="shared" si="187"/>
        <v>27247952</v>
      </c>
      <c r="M252" s="426">
        <f t="array" ref="M252">MAX((IF(MNU_CODIGO_ALIMENTO_ENTREGA=CONCATENATE($C252,"_","P_"),MNU_GRAMAJE_REQUERIDO_TIPOB,"")))</f>
        <v>30</v>
      </c>
      <c r="N252" s="343">
        <f t="shared" si="188"/>
        <v>142736</v>
      </c>
      <c r="O252" s="343">
        <f t="shared" si="189"/>
        <v>11500</v>
      </c>
      <c r="P252" s="343">
        <f t="shared" si="190"/>
        <v>154236</v>
      </c>
      <c r="Q252" s="344">
        <f t="shared" si="191"/>
        <v>50100336</v>
      </c>
      <c r="R252" s="344">
        <f t="shared" si="192"/>
        <v>4036500</v>
      </c>
      <c r="S252" s="344">
        <f t="shared" si="193"/>
        <v>54136836</v>
      </c>
      <c r="T252" s="348">
        <f t="array" ref="T252">MAX((IF(MNU_CODIGO_ALIMENTO_ENTREGA=CONCATENATE($C252,"_","P_"),MNU_GRAMAJE_REQUERIDO_TIPOC,"")))</f>
        <v>70</v>
      </c>
      <c r="U252" s="257">
        <f t="shared" si="194"/>
        <v>174112</v>
      </c>
      <c r="V252" s="257">
        <f t="shared" si="195"/>
        <v>17360</v>
      </c>
      <c r="W252" s="257">
        <f t="shared" si="196"/>
        <v>191472</v>
      </c>
      <c r="X252" s="258">
        <f t="shared" si="197"/>
        <v>142423616</v>
      </c>
      <c r="Y252" s="258">
        <f t="shared" si="198"/>
        <v>14200480</v>
      </c>
      <c r="Z252" s="258">
        <f t="shared" si="199"/>
        <v>156624096</v>
      </c>
      <c r="AA252" s="256">
        <f t="array" ref="AA252">MAX((IF(MNU_CODIGO_ALIMENTO_ENTREGA=CONCATENATE($C252,"_","P_"),MNU_GRAMAJE_REQUERIDO_TIPOM,"")))</f>
        <v>30</v>
      </c>
      <c r="AB252" s="259">
        <f t="shared" si="200"/>
        <v>2336</v>
      </c>
      <c r="AC252" s="259">
        <v>0</v>
      </c>
      <c r="AD252" s="259">
        <f t="shared" si="201"/>
        <v>2336</v>
      </c>
      <c r="AE252" s="260">
        <f t="shared" si="202"/>
        <v>819936</v>
      </c>
      <c r="AF252" s="260">
        <v>0</v>
      </c>
      <c r="AG252" s="260">
        <f t="shared" si="203"/>
        <v>819936</v>
      </c>
      <c r="AH252" s="348">
        <f t="array" ref="AH252">MAX((IF(MNU_CODIGO_ALIMENTO_ENTREGA=CONCATENATE($C252,"_","P_"),MNU_GRAMAJE_REQUERIDO_TIPOH,"")))</f>
        <v>70</v>
      </c>
      <c r="AI252" s="257">
        <f t="shared" si="204"/>
        <v>2416</v>
      </c>
      <c r="AJ252" s="257">
        <v>0</v>
      </c>
      <c r="AK252" s="257">
        <f t="shared" si="205"/>
        <v>2416</v>
      </c>
      <c r="AL252" s="258">
        <f t="shared" si="206"/>
        <v>1976288</v>
      </c>
      <c r="AM252" s="258">
        <v>0</v>
      </c>
      <c r="AN252" s="258">
        <f t="shared" si="207"/>
        <v>1976288</v>
      </c>
      <c r="AO252" s="451">
        <f t="shared" si="208"/>
        <v>467404</v>
      </c>
      <c r="AP252" s="450">
        <f t="shared" si="209"/>
        <v>240805108</v>
      </c>
      <c r="AQ252" s="261" t="e">
        <f>#REF!+AH252+AA252+T252+M252</f>
        <v>#REF!</v>
      </c>
      <c r="AR252" s="261">
        <f t="shared" si="168"/>
        <v>241126708</v>
      </c>
      <c r="AS252" s="261" t="e">
        <f t="shared" si="169"/>
        <v>#REF!</v>
      </c>
      <c r="AT252" s="261">
        <f t="shared" si="170"/>
        <v>241477168</v>
      </c>
      <c r="AU252" s="261" t="e">
        <f t="shared" si="171"/>
        <v>#REF!</v>
      </c>
      <c r="AV252" s="261">
        <f t="shared" si="172"/>
        <v>259714148</v>
      </c>
      <c r="AW252" s="261" t="e">
        <f t="shared" si="173"/>
        <v>#REF!</v>
      </c>
      <c r="AX252" s="261" t="e">
        <f>AV252+#REF!+AH252+AA252+T252</f>
        <v>#REF!</v>
      </c>
      <c r="AY252" s="261" t="e">
        <f t="shared" si="174"/>
        <v>#REF!</v>
      </c>
      <c r="AZ252" s="261" t="e">
        <f t="shared" si="175"/>
        <v>#REF!</v>
      </c>
      <c r="BA252" s="261" t="e">
        <f t="shared" si="176"/>
        <v>#REF!</v>
      </c>
      <c r="BB252" s="261" t="e">
        <f t="shared" si="177"/>
        <v>#REF!</v>
      </c>
      <c r="BC252" s="261" t="e">
        <f t="shared" si="178"/>
        <v>#REF!</v>
      </c>
      <c r="BD252" s="261" t="e">
        <f t="shared" si="179"/>
        <v>#REF!</v>
      </c>
      <c r="BE252" s="261" t="e">
        <f>BC252+AV252+#REF!+AH252+AA252</f>
        <v>#REF!</v>
      </c>
      <c r="BF252" s="261" t="e">
        <f t="shared" si="180"/>
        <v>#REF!</v>
      </c>
      <c r="BG252" s="261" t="e">
        <f t="shared" si="181"/>
        <v>#REF!</v>
      </c>
    </row>
    <row r="253" spans="1:59" ht="15.75">
      <c r="A253" s="333">
        <v>20</v>
      </c>
      <c r="B253" s="333" t="s">
        <v>1607</v>
      </c>
      <c r="C253" s="256">
        <v>62</v>
      </c>
      <c r="D253" s="322" t="s">
        <v>68</v>
      </c>
      <c r="E253" s="256" t="s">
        <v>9</v>
      </c>
      <c r="F253" s="425">
        <f t="array" ref="F253">MAX((IF(MNU_CODIGO_ALIMENTO_ENTREGA=CONCATENATE($C253,"_","P_"),MNU_GRAMAJE_REQUERIDO_TIPOA,"")))</f>
        <v>50</v>
      </c>
      <c r="G253" s="257">
        <f t="shared" si="182"/>
        <v>28395</v>
      </c>
      <c r="H253" s="257">
        <f t="shared" si="183"/>
        <v>0</v>
      </c>
      <c r="I253" s="257">
        <f t="shared" si="184"/>
        <v>28395</v>
      </c>
      <c r="J253" s="258">
        <f t="shared" si="185"/>
        <v>17746875</v>
      </c>
      <c r="K253" s="258">
        <f t="shared" si="186"/>
        <v>0</v>
      </c>
      <c r="L253" s="258">
        <f t="shared" si="187"/>
        <v>17746875</v>
      </c>
      <c r="M253" s="426">
        <f t="array" ref="M253">MAX((IF(MNU_CODIGO_ALIMENTO_ENTREGA=CONCATENATE($C253,"_","P_"),MNU_GRAMAJE_REQUERIDO_TIPOB,"")))</f>
        <v>50</v>
      </c>
      <c r="N253" s="343">
        <f t="shared" si="188"/>
        <v>44605</v>
      </c>
      <c r="O253" s="343">
        <f t="shared" si="189"/>
        <v>0</v>
      </c>
      <c r="P253" s="343">
        <f t="shared" si="190"/>
        <v>44605</v>
      </c>
      <c r="Q253" s="344">
        <f t="shared" si="191"/>
        <v>27878125</v>
      </c>
      <c r="R253" s="344">
        <f t="shared" si="192"/>
        <v>0</v>
      </c>
      <c r="S253" s="344">
        <f t="shared" si="193"/>
        <v>27878125</v>
      </c>
      <c r="T253" s="348">
        <f t="array" ref="T253">MAX((IF(MNU_CODIGO_ALIMENTO_ENTREGA=CONCATENATE($C253,"_","P_"),MNU_GRAMAJE_REQUERIDO_TIPOC,"")))</f>
        <v>50</v>
      </c>
      <c r="U253" s="257">
        <f t="shared" si="194"/>
        <v>54410</v>
      </c>
      <c r="V253" s="257">
        <f t="shared" si="195"/>
        <v>0</v>
      </c>
      <c r="W253" s="257">
        <f t="shared" si="196"/>
        <v>54410</v>
      </c>
      <c r="X253" s="258">
        <f t="shared" si="197"/>
        <v>34006250</v>
      </c>
      <c r="Y253" s="258">
        <f t="shared" si="198"/>
        <v>0</v>
      </c>
      <c r="Z253" s="258">
        <f t="shared" si="199"/>
        <v>34006250</v>
      </c>
      <c r="AA253" s="256">
        <f t="array" ref="AA253">MAX((IF(MNU_CODIGO_ALIMENTO_ENTREGA=CONCATENATE($C253,"_","P_"),MNU_GRAMAJE_REQUERIDO_TIPOM,"")))</f>
        <v>50</v>
      </c>
      <c r="AB253" s="259">
        <f t="shared" si="200"/>
        <v>730</v>
      </c>
      <c r="AC253" s="259">
        <v>0</v>
      </c>
      <c r="AD253" s="259">
        <f t="shared" si="201"/>
        <v>730</v>
      </c>
      <c r="AE253" s="260">
        <f t="shared" si="202"/>
        <v>456250</v>
      </c>
      <c r="AF253" s="260">
        <v>0</v>
      </c>
      <c r="AG253" s="260">
        <f t="shared" si="203"/>
        <v>456250</v>
      </c>
      <c r="AH253" s="348">
        <f t="array" ref="AH253">MAX((IF(MNU_CODIGO_ALIMENTO_ENTREGA=CONCATENATE($C253,"_","P_"),MNU_GRAMAJE_REQUERIDO_TIPOH,"")))</f>
        <v>50</v>
      </c>
      <c r="AI253" s="257">
        <f t="shared" si="204"/>
        <v>755</v>
      </c>
      <c r="AJ253" s="257">
        <v>0</v>
      </c>
      <c r="AK253" s="257">
        <f t="shared" si="205"/>
        <v>755</v>
      </c>
      <c r="AL253" s="258">
        <f t="shared" si="206"/>
        <v>471875</v>
      </c>
      <c r="AM253" s="258">
        <v>0</v>
      </c>
      <c r="AN253" s="258">
        <f t="shared" si="207"/>
        <v>471875</v>
      </c>
      <c r="AO253" s="451">
        <f t="shared" si="208"/>
        <v>128895</v>
      </c>
      <c r="AP253" s="450">
        <f t="shared" si="209"/>
        <v>80559375</v>
      </c>
      <c r="AQ253" s="261" t="e">
        <f>#REF!+AH253+AA253+T253+M253</f>
        <v>#REF!</v>
      </c>
      <c r="AR253" s="261">
        <f t="shared" si="168"/>
        <v>80659875</v>
      </c>
      <c r="AS253" s="261" t="e">
        <f t="shared" si="169"/>
        <v>#REF!</v>
      </c>
      <c r="AT253" s="261">
        <f t="shared" si="170"/>
        <v>80760375</v>
      </c>
      <c r="AU253" s="261" t="e">
        <f t="shared" si="171"/>
        <v>#REF!</v>
      </c>
      <c r="AV253" s="261">
        <f t="shared" si="172"/>
        <v>80760375</v>
      </c>
      <c r="AW253" s="261" t="e">
        <f t="shared" si="173"/>
        <v>#REF!</v>
      </c>
      <c r="AX253" s="261" t="e">
        <f>AV253+#REF!+AH253+AA253+T253</f>
        <v>#REF!</v>
      </c>
      <c r="AY253" s="261" t="e">
        <f t="shared" si="174"/>
        <v>#REF!</v>
      </c>
      <c r="AZ253" s="261" t="e">
        <f t="shared" si="175"/>
        <v>#REF!</v>
      </c>
      <c r="BA253" s="261" t="e">
        <f t="shared" si="176"/>
        <v>#REF!</v>
      </c>
      <c r="BB253" s="261" t="e">
        <f t="shared" si="177"/>
        <v>#REF!</v>
      </c>
      <c r="BC253" s="261" t="e">
        <f t="shared" si="178"/>
        <v>#REF!</v>
      </c>
      <c r="BD253" s="261" t="e">
        <f t="shared" si="179"/>
        <v>#REF!</v>
      </c>
      <c r="BE253" s="261" t="e">
        <f>BC253+AV253+#REF!+AH253+AA253</f>
        <v>#REF!</v>
      </c>
      <c r="BF253" s="261" t="e">
        <f t="shared" si="180"/>
        <v>#REF!</v>
      </c>
      <c r="BG253" s="261" t="e">
        <f t="shared" si="181"/>
        <v>#REF!</v>
      </c>
    </row>
    <row r="254" spans="1:59" ht="15.75">
      <c r="A254" s="333">
        <v>21</v>
      </c>
      <c r="B254" s="333" t="s">
        <v>1607</v>
      </c>
      <c r="C254" s="256">
        <v>1</v>
      </c>
      <c r="D254" s="322" t="s">
        <v>16</v>
      </c>
      <c r="E254" s="256" t="s">
        <v>9</v>
      </c>
      <c r="F254" s="425">
        <f t="array" ref="F254">MAX((IF(MNU_CODIGO_ALIMENTO_ENTREGA=CONCATENATE($C254,"_","P_"),MNU_GRAMAJE_REQUERIDO_TIPOA,"")))</f>
        <v>30</v>
      </c>
      <c r="G254" s="257">
        <f t="shared" si="182"/>
        <v>67320</v>
      </c>
      <c r="H254" s="257">
        <f t="shared" si="183"/>
        <v>0</v>
      </c>
      <c r="I254" s="257">
        <f t="shared" si="184"/>
        <v>67320</v>
      </c>
      <c r="J254" s="258">
        <f t="shared" si="185"/>
        <v>54394560</v>
      </c>
      <c r="K254" s="258">
        <f t="shared" si="186"/>
        <v>0</v>
      </c>
      <c r="L254" s="258">
        <f t="shared" si="187"/>
        <v>54394560</v>
      </c>
      <c r="M254" s="426">
        <f t="array" ref="M254">MAX((IF(MNU_CODIGO_ALIMENTO_ENTREGA=CONCATENATE($C254,"_","P_"),MNU_GRAMAJE_REQUERIDO_TIPOB,"")))</f>
        <v>40</v>
      </c>
      <c r="N254" s="343">
        <f t="shared" si="188"/>
        <v>87810</v>
      </c>
      <c r="O254" s="343">
        <f t="shared" si="189"/>
        <v>0</v>
      </c>
      <c r="P254" s="343">
        <f t="shared" si="190"/>
        <v>87810</v>
      </c>
      <c r="Q254" s="344">
        <f t="shared" si="191"/>
        <v>94659180</v>
      </c>
      <c r="R254" s="344">
        <f t="shared" si="192"/>
        <v>0</v>
      </c>
      <c r="S254" s="344">
        <f t="shared" si="193"/>
        <v>94659180</v>
      </c>
      <c r="T254" s="348">
        <f t="array" ref="T254">MAX((IF(MNU_CODIGO_ALIMENTO_ENTREGA=CONCATENATE($C254,"_","P_"),MNU_GRAMAJE_REQUERIDO_TIPOC,"")))</f>
        <v>60</v>
      </c>
      <c r="U254" s="257">
        <f t="shared" si="194"/>
        <v>86235</v>
      </c>
      <c r="V254" s="257">
        <f t="shared" si="195"/>
        <v>0</v>
      </c>
      <c r="W254" s="257">
        <f t="shared" si="196"/>
        <v>86235</v>
      </c>
      <c r="X254" s="258">
        <f t="shared" si="197"/>
        <v>139355760</v>
      </c>
      <c r="Y254" s="258">
        <f t="shared" si="198"/>
        <v>0</v>
      </c>
      <c r="Z254" s="258">
        <f t="shared" si="199"/>
        <v>139355760</v>
      </c>
      <c r="AA254" s="256">
        <f t="array" ref="AA254">MAX((IF(MNU_CODIGO_ALIMENTO_ENTREGA=CONCATENATE($C254,"_","P_"),MNU_GRAMAJE_REQUERIDO_TIPOM,"")))</f>
        <v>40</v>
      </c>
      <c r="AB254" s="259">
        <f t="shared" si="200"/>
        <v>1695</v>
      </c>
      <c r="AC254" s="259">
        <v>0</v>
      </c>
      <c r="AD254" s="259">
        <f t="shared" si="201"/>
        <v>1695</v>
      </c>
      <c r="AE254" s="260">
        <f t="shared" si="202"/>
        <v>1827210</v>
      </c>
      <c r="AF254" s="260">
        <v>0</v>
      </c>
      <c r="AG254" s="260">
        <f t="shared" si="203"/>
        <v>1827210</v>
      </c>
      <c r="AH254" s="348">
        <f t="array" ref="AH254">MAX((IF(MNU_CODIGO_ALIMENTO_ENTREGA=CONCATENATE($C254,"_","P_"),MNU_GRAMAJE_REQUERIDO_TIPOH,"")))</f>
        <v>60</v>
      </c>
      <c r="AI254" s="257">
        <f t="shared" si="204"/>
        <v>1665</v>
      </c>
      <c r="AJ254" s="257">
        <v>0</v>
      </c>
      <c r="AK254" s="257">
        <f t="shared" si="205"/>
        <v>1665</v>
      </c>
      <c r="AL254" s="258">
        <f t="shared" si="206"/>
        <v>2690640</v>
      </c>
      <c r="AM254" s="258">
        <v>0</v>
      </c>
      <c r="AN254" s="258">
        <f t="shared" si="207"/>
        <v>2690640</v>
      </c>
      <c r="AO254" s="451">
        <f t="shared" si="208"/>
        <v>244725</v>
      </c>
      <c r="AP254" s="450">
        <f t="shared" si="209"/>
        <v>292927350</v>
      </c>
      <c r="AQ254" s="261" t="e">
        <f>#REF!+AH254+AA254+T254+M254</f>
        <v>#REF!</v>
      </c>
      <c r="AR254" s="261">
        <f t="shared" si="168"/>
        <v>293104755</v>
      </c>
      <c r="AS254" s="261" t="e">
        <f t="shared" si="169"/>
        <v>#REF!</v>
      </c>
      <c r="AT254" s="261">
        <f t="shared" si="170"/>
        <v>293282160</v>
      </c>
      <c r="AU254" s="261" t="e">
        <f t="shared" si="171"/>
        <v>#REF!</v>
      </c>
      <c r="AV254" s="261">
        <f t="shared" si="172"/>
        <v>293282160</v>
      </c>
      <c r="AW254" s="261" t="e">
        <f t="shared" si="173"/>
        <v>#REF!</v>
      </c>
      <c r="AX254" s="261" t="e">
        <f>AV254+#REF!+AH254+AA254+T254</f>
        <v>#REF!</v>
      </c>
      <c r="AY254" s="261" t="e">
        <f t="shared" si="174"/>
        <v>#REF!</v>
      </c>
      <c r="AZ254" s="261" t="e">
        <f t="shared" si="175"/>
        <v>#REF!</v>
      </c>
      <c r="BA254" s="261" t="e">
        <f t="shared" si="176"/>
        <v>#REF!</v>
      </c>
      <c r="BB254" s="261" t="e">
        <f t="shared" si="177"/>
        <v>#REF!</v>
      </c>
      <c r="BC254" s="261" t="e">
        <f t="shared" si="178"/>
        <v>#REF!</v>
      </c>
      <c r="BD254" s="261" t="e">
        <f t="shared" si="179"/>
        <v>#REF!</v>
      </c>
      <c r="BE254" s="261" t="e">
        <f>BC254+AV254+#REF!+AH254+AA254</f>
        <v>#REF!</v>
      </c>
      <c r="BF254" s="261" t="e">
        <f t="shared" si="180"/>
        <v>#REF!</v>
      </c>
      <c r="BG254" s="261" t="e">
        <f t="shared" si="181"/>
        <v>#REF!</v>
      </c>
    </row>
    <row r="255" spans="1:59" ht="15.75">
      <c r="A255" s="333">
        <v>21</v>
      </c>
      <c r="B255" s="333" t="s">
        <v>1607</v>
      </c>
      <c r="C255" s="256">
        <v>3</v>
      </c>
      <c r="D255" s="322" t="s">
        <v>12</v>
      </c>
      <c r="E255" s="256" t="s">
        <v>9</v>
      </c>
      <c r="F255" s="425">
        <f t="array" ref="F255">MAX((IF(MNU_CODIGO_ALIMENTO_ENTREGA=CONCATENATE($C255,"_","P_"),MNU_GRAMAJE_REQUERIDO_TIPOA,"")))</f>
        <v>50</v>
      </c>
      <c r="G255" s="257">
        <f t="shared" si="182"/>
        <v>76296</v>
      </c>
      <c r="H255" s="257">
        <f t="shared" si="183"/>
        <v>22667</v>
      </c>
      <c r="I255" s="257">
        <f t="shared" si="184"/>
        <v>98963</v>
      </c>
      <c r="J255" s="258">
        <f t="shared" si="185"/>
        <v>38529480</v>
      </c>
      <c r="K255" s="258">
        <f t="shared" si="186"/>
        <v>11446835</v>
      </c>
      <c r="L255" s="258">
        <f t="shared" si="187"/>
        <v>49976315</v>
      </c>
      <c r="M255" s="426">
        <f t="array" ref="M255">MAX((IF(MNU_CODIGO_ALIMENTO_ENTREGA=CONCATENATE($C255,"_","P_"),MNU_GRAMAJE_REQUERIDO_TIPOB,"")))</f>
        <v>50</v>
      </c>
      <c r="N255" s="343">
        <f t="shared" si="188"/>
        <v>99518</v>
      </c>
      <c r="O255" s="343">
        <f t="shared" si="189"/>
        <v>13376</v>
      </c>
      <c r="P255" s="343">
        <f t="shared" si="190"/>
        <v>112894</v>
      </c>
      <c r="Q255" s="344">
        <f t="shared" si="191"/>
        <v>50256590</v>
      </c>
      <c r="R255" s="344">
        <f t="shared" si="192"/>
        <v>6754880</v>
      </c>
      <c r="S255" s="344">
        <f t="shared" si="193"/>
        <v>57011470</v>
      </c>
      <c r="T255" s="348">
        <f t="array" ref="T255">MAX((IF(MNU_CODIGO_ALIMENTO_ENTREGA=CONCATENATE($C255,"_","P_"),MNU_GRAMAJE_REQUERIDO_TIPOC,"")))</f>
        <v>80</v>
      </c>
      <c r="U255" s="257">
        <f t="shared" si="194"/>
        <v>97733</v>
      </c>
      <c r="V255" s="257">
        <f t="shared" si="195"/>
        <v>20919</v>
      </c>
      <c r="W255" s="257">
        <f t="shared" si="196"/>
        <v>118652</v>
      </c>
      <c r="X255" s="258">
        <f t="shared" si="197"/>
        <v>74570279</v>
      </c>
      <c r="Y255" s="258">
        <f t="shared" si="198"/>
        <v>15961197</v>
      </c>
      <c r="Z255" s="258">
        <f t="shared" si="199"/>
        <v>90531476</v>
      </c>
      <c r="AA255" s="256">
        <f t="array" ref="AA255">MAX((IF(MNU_CODIGO_ALIMENTO_ENTREGA=CONCATENATE($C255,"_","P_"),MNU_GRAMAJE_REQUERIDO_TIPOM,"")))</f>
        <v>50</v>
      </c>
      <c r="AB255" s="259">
        <f t="shared" si="200"/>
        <v>1921</v>
      </c>
      <c r="AC255" s="259">
        <v>0</v>
      </c>
      <c r="AD255" s="259">
        <f t="shared" si="201"/>
        <v>1921</v>
      </c>
      <c r="AE255" s="260">
        <f t="shared" si="202"/>
        <v>970105</v>
      </c>
      <c r="AF255" s="260">
        <v>0</v>
      </c>
      <c r="AG255" s="260">
        <f t="shared" si="203"/>
        <v>970105</v>
      </c>
      <c r="AH255" s="348">
        <f t="array" ref="AH255">MAX((IF(MNU_CODIGO_ALIMENTO_ENTREGA=CONCATENATE($C255,"_","P_"),MNU_GRAMAJE_REQUERIDO_TIPOH,"")))</f>
        <v>80</v>
      </c>
      <c r="AI255" s="257">
        <f t="shared" si="204"/>
        <v>1887</v>
      </c>
      <c r="AJ255" s="257">
        <v>0</v>
      </c>
      <c r="AK255" s="257">
        <f t="shared" si="205"/>
        <v>1887</v>
      </c>
      <c r="AL255" s="258">
        <f t="shared" si="206"/>
        <v>1439781</v>
      </c>
      <c r="AM255" s="258">
        <v>0</v>
      </c>
      <c r="AN255" s="258">
        <f t="shared" si="207"/>
        <v>1439781</v>
      </c>
      <c r="AO255" s="451">
        <f t="shared" si="208"/>
        <v>334317</v>
      </c>
      <c r="AP255" s="450">
        <f t="shared" si="209"/>
        <v>199929147</v>
      </c>
      <c r="AQ255" s="261" t="e">
        <f>#REF!+AH255+AA255+T255+M255</f>
        <v>#REF!</v>
      </c>
      <c r="AR255" s="261">
        <f t="shared" si="168"/>
        <v>200130206</v>
      </c>
      <c r="AS255" s="261" t="e">
        <f t="shared" si="169"/>
        <v>#REF!</v>
      </c>
      <c r="AT255" s="261">
        <f t="shared" si="170"/>
        <v>200365560</v>
      </c>
      <c r="AU255" s="261" t="e">
        <f t="shared" si="171"/>
        <v>#REF!</v>
      </c>
      <c r="AV255" s="261">
        <f t="shared" si="172"/>
        <v>223081637</v>
      </c>
      <c r="AW255" s="261" t="e">
        <f t="shared" si="173"/>
        <v>#REF!</v>
      </c>
      <c r="AX255" s="261" t="e">
        <f>AV255+#REF!+AH255+AA255+T255</f>
        <v>#REF!</v>
      </c>
      <c r="AY255" s="261" t="e">
        <f t="shared" si="174"/>
        <v>#REF!</v>
      </c>
      <c r="AZ255" s="261" t="e">
        <f t="shared" si="175"/>
        <v>#REF!</v>
      </c>
      <c r="BA255" s="261" t="e">
        <f t="shared" si="176"/>
        <v>#REF!</v>
      </c>
      <c r="BB255" s="261" t="e">
        <f t="shared" si="177"/>
        <v>#REF!</v>
      </c>
      <c r="BC255" s="261" t="e">
        <f t="shared" si="178"/>
        <v>#REF!</v>
      </c>
      <c r="BD255" s="261" t="e">
        <f t="shared" si="179"/>
        <v>#REF!</v>
      </c>
      <c r="BE255" s="261" t="e">
        <f>BC255+AV255+#REF!+AH255+AA255</f>
        <v>#REF!</v>
      </c>
      <c r="BF255" s="261" t="e">
        <f t="shared" si="180"/>
        <v>#REF!</v>
      </c>
      <c r="BG255" s="261" t="e">
        <f t="shared" si="181"/>
        <v>#REF!</v>
      </c>
    </row>
    <row r="256" spans="1:59" ht="15.75">
      <c r="A256" s="333">
        <v>21</v>
      </c>
      <c r="B256" s="333" t="s">
        <v>1607</v>
      </c>
      <c r="C256" s="256">
        <v>15</v>
      </c>
      <c r="D256" s="322" t="s">
        <v>66</v>
      </c>
      <c r="E256" s="256" t="s">
        <v>9</v>
      </c>
      <c r="F256" s="425">
        <f t="array" ref="F256">MAX((IF(MNU_CODIGO_ALIMENTO_ENTREGA=CONCATENATE($C256,"_","P_"),MNU_GRAMAJE_REQUERIDO_TIPOA,"")))</f>
        <v>50</v>
      </c>
      <c r="G256" s="257">
        <f t="shared" si="182"/>
        <v>76296</v>
      </c>
      <c r="H256" s="257">
        <f t="shared" si="183"/>
        <v>13123</v>
      </c>
      <c r="I256" s="257">
        <f t="shared" si="184"/>
        <v>89419</v>
      </c>
      <c r="J256" s="258">
        <f t="shared" si="185"/>
        <v>51347208</v>
      </c>
      <c r="K256" s="258">
        <f t="shared" si="186"/>
        <v>8831779</v>
      </c>
      <c r="L256" s="258">
        <f t="shared" si="187"/>
        <v>60178987</v>
      </c>
      <c r="M256" s="426">
        <f t="array" ref="M256">MAX((IF(MNU_CODIGO_ALIMENTO_ENTREGA=CONCATENATE($C256,"_","P_"),MNU_GRAMAJE_REQUERIDO_TIPOB,"")))</f>
        <v>50</v>
      </c>
      <c r="N256" s="343">
        <f t="shared" si="188"/>
        <v>99518</v>
      </c>
      <c r="O256" s="343">
        <f t="shared" si="189"/>
        <v>7744</v>
      </c>
      <c r="P256" s="343">
        <f t="shared" si="190"/>
        <v>107262</v>
      </c>
      <c r="Q256" s="344">
        <f t="shared" si="191"/>
        <v>66975614</v>
      </c>
      <c r="R256" s="344">
        <f t="shared" si="192"/>
        <v>5211712</v>
      </c>
      <c r="S256" s="344">
        <f t="shared" si="193"/>
        <v>72187326</v>
      </c>
      <c r="T256" s="348">
        <f t="array" ref="T256">MAX((IF(MNU_CODIGO_ALIMENTO_ENTREGA=CONCATENATE($C256,"_","P_"),MNU_GRAMAJE_REQUERIDO_TIPOC,"")))</f>
        <v>80</v>
      </c>
      <c r="U256" s="257">
        <f t="shared" si="194"/>
        <v>97733</v>
      </c>
      <c r="V256" s="257">
        <f t="shared" si="195"/>
        <v>12111</v>
      </c>
      <c r="W256" s="257">
        <f t="shared" si="196"/>
        <v>109844</v>
      </c>
      <c r="X256" s="258">
        <f t="shared" si="197"/>
        <v>105160708</v>
      </c>
      <c r="Y256" s="258">
        <f t="shared" si="198"/>
        <v>13031436</v>
      </c>
      <c r="Z256" s="258">
        <f t="shared" si="199"/>
        <v>118192144</v>
      </c>
      <c r="AA256" s="256">
        <f t="array" ref="AA256">MAX((IF(MNU_CODIGO_ALIMENTO_ENTREGA=CONCATENATE($C256,"_","P_"),MNU_GRAMAJE_REQUERIDO_TIPOM,"")))</f>
        <v>50</v>
      </c>
      <c r="AB256" s="259">
        <f t="shared" si="200"/>
        <v>1921</v>
      </c>
      <c r="AC256" s="259">
        <v>0</v>
      </c>
      <c r="AD256" s="259">
        <f t="shared" si="201"/>
        <v>1921</v>
      </c>
      <c r="AE256" s="260">
        <f t="shared" si="202"/>
        <v>1292833</v>
      </c>
      <c r="AF256" s="260">
        <v>0</v>
      </c>
      <c r="AG256" s="260">
        <f t="shared" si="203"/>
        <v>1292833</v>
      </c>
      <c r="AH256" s="348">
        <f t="array" ref="AH256">MAX((IF(MNU_CODIGO_ALIMENTO_ENTREGA=CONCATENATE($C256,"_","P_"),MNU_GRAMAJE_REQUERIDO_TIPOH,"")))</f>
        <v>80</v>
      </c>
      <c r="AI256" s="257">
        <f t="shared" si="204"/>
        <v>1887</v>
      </c>
      <c r="AJ256" s="257">
        <v>0</v>
      </c>
      <c r="AK256" s="257">
        <f t="shared" si="205"/>
        <v>1887</v>
      </c>
      <c r="AL256" s="258">
        <f t="shared" si="206"/>
        <v>2030412</v>
      </c>
      <c r="AM256" s="258">
        <v>0</v>
      </c>
      <c r="AN256" s="258">
        <f t="shared" si="207"/>
        <v>2030412</v>
      </c>
      <c r="AO256" s="451">
        <f t="shared" si="208"/>
        <v>310333</v>
      </c>
      <c r="AP256" s="450">
        <f t="shared" si="209"/>
        <v>253881702</v>
      </c>
      <c r="AQ256" s="261" t="e">
        <f>#REF!+AH256+AA256+T256+M256</f>
        <v>#REF!</v>
      </c>
      <c r="AR256" s="261">
        <f t="shared" si="168"/>
        <v>254082761</v>
      </c>
      <c r="AS256" s="261" t="e">
        <f t="shared" si="169"/>
        <v>#REF!</v>
      </c>
      <c r="AT256" s="261">
        <f t="shared" si="170"/>
        <v>254303675</v>
      </c>
      <c r="AU256" s="261" t="e">
        <f t="shared" si="171"/>
        <v>#REF!</v>
      </c>
      <c r="AV256" s="261">
        <f t="shared" si="172"/>
        <v>272546823</v>
      </c>
      <c r="AW256" s="261" t="e">
        <f t="shared" si="173"/>
        <v>#REF!</v>
      </c>
      <c r="AX256" s="261" t="e">
        <f>AV256+#REF!+AH256+AA256+T256</f>
        <v>#REF!</v>
      </c>
      <c r="AY256" s="261" t="e">
        <f t="shared" si="174"/>
        <v>#REF!</v>
      </c>
      <c r="AZ256" s="261" t="e">
        <f t="shared" si="175"/>
        <v>#REF!</v>
      </c>
      <c r="BA256" s="261" t="e">
        <f t="shared" si="176"/>
        <v>#REF!</v>
      </c>
      <c r="BB256" s="261" t="e">
        <f t="shared" si="177"/>
        <v>#REF!</v>
      </c>
      <c r="BC256" s="261" t="e">
        <f t="shared" si="178"/>
        <v>#REF!</v>
      </c>
      <c r="BD256" s="261" t="e">
        <f t="shared" si="179"/>
        <v>#REF!</v>
      </c>
      <c r="BE256" s="261" t="e">
        <f>BC256+AV256+#REF!+AH256+AA256</f>
        <v>#REF!</v>
      </c>
      <c r="BF256" s="261" t="e">
        <f t="shared" si="180"/>
        <v>#REF!</v>
      </c>
      <c r="BG256" s="261" t="e">
        <f t="shared" si="181"/>
        <v>#REF!</v>
      </c>
    </row>
    <row r="257" spans="1:59" ht="15.75">
      <c r="A257" s="333">
        <v>21</v>
      </c>
      <c r="B257" s="333" t="s">
        <v>1607</v>
      </c>
      <c r="C257" s="256">
        <v>24</v>
      </c>
      <c r="D257" s="322" t="s">
        <v>61</v>
      </c>
      <c r="E257" s="256" t="s">
        <v>9</v>
      </c>
      <c r="F257" s="425">
        <f t="array" ref="F257">MAX((IF(MNU_CODIGO_ALIMENTO_ENTREGA=CONCATENATE($C257,"_","P_"),MNU_GRAMAJE_REQUERIDO_TIPOA,"")))</f>
        <v>20</v>
      </c>
      <c r="G257" s="257">
        <f t="shared" si="182"/>
        <v>76296</v>
      </c>
      <c r="H257" s="257">
        <f t="shared" si="183"/>
        <v>13123</v>
      </c>
      <c r="I257" s="257">
        <f t="shared" si="184"/>
        <v>89419</v>
      </c>
      <c r="J257" s="258">
        <f t="shared" si="185"/>
        <v>9765888</v>
      </c>
      <c r="K257" s="258">
        <f t="shared" si="186"/>
        <v>1679744</v>
      </c>
      <c r="L257" s="258">
        <f t="shared" si="187"/>
        <v>11445632</v>
      </c>
      <c r="M257" s="426">
        <f t="array" ref="M257">MAX((IF(MNU_CODIGO_ALIMENTO_ENTREGA=CONCATENATE($C257,"_","P_"),MNU_GRAMAJE_REQUERIDO_TIPOB,"")))</f>
        <v>30</v>
      </c>
      <c r="N257" s="343">
        <f t="shared" si="188"/>
        <v>99518</v>
      </c>
      <c r="O257" s="343">
        <f t="shared" si="189"/>
        <v>7744</v>
      </c>
      <c r="P257" s="343">
        <f t="shared" si="190"/>
        <v>107262</v>
      </c>
      <c r="Q257" s="344">
        <f t="shared" si="191"/>
        <v>19903600</v>
      </c>
      <c r="R257" s="344">
        <f t="shared" si="192"/>
        <v>1548800</v>
      </c>
      <c r="S257" s="344">
        <f t="shared" si="193"/>
        <v>21452400</v>
      </c>
      <c r="T257" s="348">
        <f t="array" ref="T257">MAX((IF(MNU_CODIGO_ALIMENTO_ENTREGA=CONCATENATE($C257,"_","P_"),MNU_GRAMAJE_REQUERIDO_TIPOC,"")))</f>
        <v>60</v>
      </c>
      <c r="U257" s="257">
        <f t="shared" si="194"/>
        <v>97733</v>
      </c>
      <c r="V257" s="257">
        <f t="shared" si="195"/>
        <v>12111</v>
      </c>
      <c r="W257" s="257">
        <f t="shared" si="196"/>
        <v>109844</v>
      </c>
      <c r="X257" s="258">
        <f t="shared" si="197"/>
        <v>37627205</v>
      </c>
      <c r="Y257" s="258">
        <f t="shared" si="198"/>
        <v>4662735</v>
      </c>
      <c r="Z257" s="258">
        <f t="shared" si="199"/>
        <v>42289940</v>
      </c>
      <c r="AA257" s="256">
        <f t="array" ref="AA257">MAX((IF(MNU_CODIGO_ALIMENTO_ENTREGA=CONCATENATE($C257,"_","P_"),MNU_GRAMAJE_REQUERIDO_TIPOM,"")))</f>
        <v>30</v>
      </c>
      <c r="AB257" s="259">
        <f t="shared" si="200"/>
        <v>1921</v>
      </c>
      <c r="AC257" s="259">
        <v>0</v>
      </c>
      <c r="AD257" s="259">
        <f t="shared" si="201"/>
        <v>1921</v>
      </c>
      <c r="AE257" s="260">
        <f t="shared" si="202"/>
        <v>384200</v>
      </c>
      <c r="AF257" s="260">
        <v>0</v>
      </c>
      <c r="AG257" s="260">
        <f t="shared" si="203"/>
        <v>384200</v>
      </c>
      <c r="AH257" s="348">
        <f t="array" ref="AH257">MAX((IF(MNU_CODIGO_ALIMENTO_ENTREGA=CONCATENATE($C257,"_","P_"),MNU_GRAMAJE_REQUERIDO_TIPOH,"")))</f>
        <v>60</v>
      </c>
      <c r="AI257" s="257">
        <f t="shared" si="204"/>
        <v>1887</v>
      </c>
      <c r="AJ257" s="257">
        <v>0</v>
      </c>
      <c r="AK257" s="257">
        <f t="shared" si="205"/>
        <v>1887</v>
      </c>
      <c r="AL257" s="258">
        <f t="shared" si="206"/>
        <v>726495</v>
      </c>
      <c r="AM257" s="258">
        <v>0</v>
      </c>
      <c r="AN257" s="258">
        <f t="shared" si="207"/>
        <v>726495</v>
      </c>
      <c r="AO257" s="451">
        <f t="shared" si="208"/>
        <v>310333</v>
      </c>
      <c r="AP257" s="450">
        <f t="shared" si="209"/>
        <v>76298667</v>
      </c>
      <c r="AQ257" s="261" t="e">
        <f>#REF!+AH257+AA257+T257+M257</f>
        <v>#REF!</v>
      </c>
      <c r="AR257" s="261">
        <f t="shared" si="168"/>
        <v>76499726</v>
      </c>
      <c r="AS257" s="261" t="e">
        <f t="shared" si="169"/>
        <v>#REF!</v>
      </c>
      <c r="AT257" s="261">
        <f t="shared" si="170"/>
        <v>76720640</v>
      </c>
      <c r="AU257" s="261" t="e">
        <f t="shared" si="171"/>
        <v>#REF!</v>
      </c>
      <c r="AV257" s="261">
        <f t="shared" si="172"/>
        <v>82932175</v>
      </c>
      <c r="AW257" s="261" t="e">
        <f t="shared" si="173"/>
        <v>#REF!</v>
      </c>
      <c r="AX257" s="261" t="e">
        <f>AV257+#REF!+AH257+AA257+T257</f>
        <v>#REF!</v>
      </c>
      <c r="AY257" s="261" t="e">
        <f t="shared" si="174"/>
        <v>#REF!</v>
      </c>
      <c r="AZ257" s="261" t="e">
        <f t="shared" si="175"/>
        <v>#REF!</v>
      </c>
      <c r="BA257" s="261" t="e">
        <f t="shared" si="176"/>
        <v>#REF!</v>
      </c>
      <c r="BB257" s="261" t="e">
        <f t="shared" si="177"/>
        <v>#REF!</v>
      </c>
      <c r="BC257" s="261" t="e">
        <f t="shared" si="178"/>
        <v>#REF!</v>
      </c>
      <c r="BD257" s="261" t="e">
        <f t="shared" si="179"/>
        <v>#REF!</v>
      </c>
      <c r="BE257" s="261" t="e">
        <f>BC257+AV257+#REF!+AH257+AA257</f>
        <v>#REF!</v>
      </c>
      <c r="BF257" s="261" t="e">
        <f t="shared" si="180"/>
        <v>#REF!</v>
      </c>
      <c r="BG257" s="261" t="e">
        <f t="shared" si="181"/>
        <v>#REF!</v>
      </c>
    </row>
    <row r="258" spans="1:59" ht="15.75">
      <c r="A258" s="333">
        <v>21</v>
      </c>
      <c r="B258" s="333" t="s">
        <v>1607</v>
      </c>
      <c r="C258" s="256">
        <v>25</v>
      </c>
      <c r="D258" s="322" t="s">
        <v>64</v>
      </c>
      <c r="E258" s="256" t="s">
        <v>9</v>
      </c>
      <c r="F258" s="425">
        <f t="array" ref="F258">MAX((IF(MNU_CODIGO_ALIMENTO_ENTREGA=CONCATENATE($C258,"_","P_"),MNU_GRAMAJE_REQUERIDO_TIPOA,"")))</f>
        <v>40</v>
      </c>
      <c r="G258" s="257">
        <f t="shared" si="182"/>
        <v>76296</v>
      </c>
      <c r="H258" s="257">
        <f t="shared" si="183"/>
        <v>26246</v>
      </c>
      <c r="I258" s="257">
        <f t="shared" si="184"/>
        <v>102542</v>
      </c>
      <c r="J258" s="258">
        <f t="shared" si="185"/>
        <v>19531776</v>
      </c>
      <c r="K258" s="258">
        <f t="shared" si="186"/>
        <v>6718976</v>
      </c>
      <c r="L258" s="258">
        <f t="shared" si="187"/>
        <v>26250752</v>
      </c>
      <c r="M258" s="426">
        <f t="array" ref="M258">MAX((IF(MNU_CODIGO_ALIMENTO_ENTREGA=CONCATENATE($C258,"_","P_"),MNU_GRAMAJE_REQUERIDO_TIPOB,"")))</f>
        <v>40</v>
      </c>
      <c r="N258" s="343">
        <f t="shared" si="188"/>
        <v>99518</v>
      </c>
      <c r="O258" s="343">
        <f t="shared" si="189"/>
        <v>15488</v>
      </c>
      <c r="P258" s="343">
        <f t="shared" si="190"/>
        <v>115006</v>
      </c>
      <c r="Q258" s="344">
        <f t="shared" si="191"/>
        <v>25476608</v>
      </c>
      <c r="R258" s="344">
        <f t="shared" si="192"/>
        <v>3964928</v>
      </c>
      <c r="S258" s="344">
        <f t="shared" si="193"/>
        <v>29441536</v>
      </c>
      <c r="T258" s="348">
        <f t="array" ref="T258">MAX((IF(MNU_CODIGO_ALIMENTO_ENTREGA=CONCATENATE($C258,"_","P_"),MNU_GRAMAJE_REQUERIDO_TIPOC,"")))</f>
        <v>60</v>
      </c>
      <c r="U258" s="257">
        <f t="shared" si="194"/>
        <v>97733</v>
      </c>
      <c r="V258" s="257">
        <f t="shared" si="195"/>
        <v>24222</v>
      </c>
      <c r="W258" s="257">
        <f t="shared" si="196"/>
        <v>121955</v>
      </c>
      <c r="X258" s="258">
        <f t="shared" si="197"/>
        <v>37529472</v>
      </c>
      <c r="Y258" s="258">
        <f t="shared" si="198"/>
        <v>9301248</v>
      </c>
      <c r="Z258" s="258">
        <f t="shared" si="199"/>
        <v>46830720</v>
      </c>
      <c r="AA258" s="256">
        <f t="array" ref="AA258">MAX((IF(MNU_CODIGO_ALIMENTO_ENTREGA=CONCATENATE($C258,"_","P_"),MNU_GRAMAJE_REQUERIDO_TIPOM,"")))</f>
        <v>40</v>
      </c>
      <c r="AB258" s="259">
        <f t="shared" si="200"/>
        <v>1921</v>
      </c>
      <c r="AC258" s="259">
        <v>0</v>
      </c>
      <c r="AD258" s="259">
        <f t="shared" si="201"/>
        <v>1921</v>
      </c>
      <c r="AE258" s="260">
        <f t="shared" si="202"/>
        <v>491776</v>
      </c>
      <c r="AF258" s="260">
        <v>0</v>
      </c>
      <c r="AG258" s="260">
        <f t="shared" si="203"/>
        <v>491776</v>
      </c>
      <c r="AH258" s="348">
        <f t="array" ref="AH258">MAX((IF(MNU_CODIGO_ALIMENTO_ENTREGA=CONCATENATE($C258,"_","P_"),MNU_GRAMAJE_REQUERIDO_TIPOH,"")))</f>
        <v>60</v>
      </c>
      <c r="AI258" s="257">
        <f t="shared" si="204"/>
        <v>1887</v>
      </c>
      <c r="AJ258" s="257">
        <v>0</v>
      </c>
      <c r="AK258" s="257">
        <f t="shared" si="205"/>
        <v>1887</v>
      </c>
      <c r="AL258" s="258">
        <f t="shared" si="206"/>
        <v>724608</v>
      </c>
      <c r="AM258" s="258">
        <v>0</v>
      </c>
      <c r="AN258" s="258">
        <f t="shared" si="207"/>
        <v>724608</v>
      </c>
      <c r="AO258" s="451">
        <f t="shared" si="208"/>
        <v>343311</v>
      </c>
      <c r="AP258" s="450">
        <f t="shared" si="209"/>
        <v>103739392</v>
      </c>
      <c r="AQ258" s="261" t="e">
        <f>#REF!+AH258+AA258+T258+M258</f>
        <v>#REF!</v>
      </c>
      <c r="AR258" s="261">
        <f t="shared" si="168"/>
        <v>103940451</v>
      </c>
      <c r="AS258" s="261" t="e">
        <f t="shared" si="169"/>
        <v>#REF!</v>
      </c>
      <c r="AT258" s="261">
        <f t="shared" si="170"/>
        <v>104181220</v>
      </c>
      <c r="AU258" s="261" t="e">
        <f t="shared" si="171"/>
        <v>#REF!</v>
      </c>
      <c r="AV258" s="261">
        <f t="shared" si="172"/>
        <v>117447396</v>
      </c>
      <c r="AW258" s="261" t="e">
        <f t="shared" si="173"/>
        <v>#REF!</v>
      </c>
      <c r="AX258" s="261" t="e">
        <f>AV258+#REF!+AH258+AA258+T258</f>
        <v>#REF!</v>
      </c>
      <c r="AY258" s="261" t="e">
        <f t="shared" si="174"/>
        <v>#REF!</v>
      </c>
      <c r="AZ258" s="261" t="e">
        <f t="shared" si="175"/>
        <v>#REF!</v>
      </c>
      <c r="BA258" s="261" t="e">
        <f t="shared" si="176"/>
        <v>#REF!</v>
      </c>
      <c r="BB258" s="261" t="e">
        <f t="shared" si="177"/>
        <v>#REF!</v>
      </c>
      <c r="BC258" s="261" t="e">
        <f t="shared" si="178"/>
        <v>#REF!</v>
      </c>
      <c r="BD258" s="261" t="e">
        <f t="shared" si="179"/>
        <v>#REF!</v>
      </c>
      <c r="BE258" s="261" t="e">
        <f>BC258+AV258+#REF!+AH258+AA258</f>
        <v>#REF!</v>
      </c>
      <c r="BF258" s="261" t="e">
        <f t="shared" si="180"/>
        <v>#REF!</v>
      </c>
      <c r="BG258" s="261" t="e">
        <f t="shared" si="181"/>
        <v>#REF!</v>
      </c>
    </row>
    <row r="259" spans="1:59" ht="15.75">
      <c r="A259" s="333">
        <v>21</v>
      </c>
      <c r="B259" s="333" t="s">
        <v>1607</v>
      </c>
      <c r="C259" s="256">
        <v>26</v>
      </c>
      <c r="D259" s="322" t="s">
        <v>69</v>
      </c>
      <c r="E259" s="256" t="s">
        <v>9</v>
      </c>
      <c r="F259" s="425">
        <f t="array" ref="F259">MAX((IF(MNU_CODIGO_ALIMENTO_ENTREGA=CONCATENATE($C259,"_","P_"),MNU_GRAMAJE_REQUERIDO_TIPOA,"")))</f>
        <v>30</v>
      </c>
      <c r="G259" s="257">
        <f t="shared" si="182"/>
        <v>26928</v>
      </c>
      <c r="H259" s="257">
        <f t="shared" si="183"/>
        <v>0</v>
      </c>
      <c r="I259" s="257">
        <f t="shared" si="184"/>
        <v>26928</v>
      </c>
      <c r="J259" s="258">
        <f t="shared" si="185"/>
        <v>4604688</v>
      </c>
      <c r="K259" s="258">
        <f t="shared" si="186"/>
        <v>0</v>
      </c>
      <c r="L259" s="258">
        <f t="shared" si="187"/>
        <v>4604688</v>
      </c>
      <c r="M259" s="426">
        <f t="array" ref="M259">MAX((IF(MNU_CODIGO_ALIMENTO_ENTREGA=CONCATENATE($C259,"_","P_"),MNU_GRAMAJE_REQUERIDO_TIPOB,"")))</f>
        <v>30</v>
      </c>
      <c r="N259" s="343">
        <f t="shared" si="188"/>
        <v>35124</v>
      </c>
      <c r="O259" s="343">
        <f t="shared" si="189"/>
        <v>0</v>
      </c>
      <c r="P259" s="343">
        <f t="shared" si="190"/>
        <v>35124</v>
      </c>
      <c r="Q259" s="344">
        <f t="shared" si="191"/>
        <v>6006204</v>
      </c>
      <c r="R259" s="344">
        <f t="shared" si="192"/>
        <v>0</v>
      </c>
      <c r="S259" s="344">
        <f t="shared" si="193"/>
        <v>6006204</v>
      </c>
      <c r="T259" s="348">
        <f t="array" ref="T259">MAX((IF(MNU_CODIGO_ALIMENTO_ENTREGA=CONCATENATE($C259,"_","P_"),MNU_GRAMAJE_REQUERIDO_TIPOC,"")))</f>
        <v>30</v>
      </c>
      <c r="U259" s="257">
        <f t="shared" si="194"/>
        <v>34494</v>
      </c>
      <c r="V259" s="257">
        <f t="shared" si="195"/>
        <v>0</v>
      </c>
      <c r="W259" s="257">
        <f t="shared" si="196"/>
        <v>34494</v>
      </c>
      <c r="X259" s="258">
        <f t="shared" si="197"/>
        <v>5898474</v>
      </c>
      <c r="Y259" s="258">
        <f t="shared" si="198"/>
        <v>0</v>
      </c>
      <c r="Z259" s="258">
        <f t="shared" si="199"/>
        <v>5898474</v>
      </c>
      <c r="AA259" s="256">
        <f t="array" ref="AA259">MAX((IF(MNU_CODIGO_ALIMENTO_ENTREGA=CONCATENATE($C259,"_","P_"),MNU_GRAMAJE_REQUERIDO_TIPOM,"")))</f>
        <v>30</v>
      </c>
      <c r="AB259" s="259">
        <f t="shared" si="200"/>
        <v>678</v>
      </c>
      <c r="AC259" s="259">
        <v>0</v>
      </c>
      <c r="AD259" s="259">
        <f t="shared" si="201"/>
        <v>678</v>
      </c>
      <c r="AE259" s="260">
        <f t="shared" si="202"/>
        <v>115938</v>
      </c>
      <c r="AF259" s="260">
        <v>0</v>
      </c>
      <c r="AG259" s="260">
        <f t="shared" si="203"/>
        <v>115938</v>
      </c>
      <c r="AH259" s="348">
        <f t="array" ref="AH259">MAX((IF(MNU_CODIGO_ALIMENTO_ENTREGA=CONCATENATE($C259,"_","P_"),MNU_GRAMAJE_REQUERIDO_TIPOH,"")))</f>
        <v>30</v>
      </c>
      <c r="AI259" s="257">
        <f t="shared" si="204"/>
        <v>666</v>
      </c>
      <c r="AJ259" s="257">
        <v>0</v>
      </c>
      <c r="AK259" s="257">
        <f t="shared" si="205"/>
        <v>666</v>
      </c>
      <c r="AL259" s="258">
        <f t="shared" si="206"/>
        <v>113886</v>
      </c>
      <c r="AM259" s="258">
        <v>0</v>
      </c>
      <c r="AN259" s="258">
        <f t="shared" si="207"/>
        <v>113886</v>
      </c>
      <c r="AO259" s="451">
        <f t="shared" si="208"/>
        <v>97890</v>
      </c>
      <c r="AP259" s="450">
        <f t="shared" si="209"/>
        <v>16739190</v>
      </c>
      <c r="AQ259" s="261" t="e">
        <f>#REF!+AH259+AA259+T259+M259</f>
        <v>#REF!</v>
      </c>
      <c r="AR259" s="261">
        <f t="shared" si="168"/>
        <v>16810152</v>
      </c>
      <c r="AS259" s="261" t="e">
        <f t="shared" si="169"/>
        <v>#REF!</v>
      </c>
      <c r="AT259" s="261">
        <f t="shared" si="170"/>
        <v>16881114</v>
      </c>
      <c r="AU259" s="261" t="e">
        <f t="shared" si="171"/>
        <v>#REF!</v>
      </c>
      <c r="AV259" s="261">
        <f t="shared" si="172"/>
        <v>16881114</v>
      </c>
      <c r="AW259" s="261" t="e">
        <f t="shared" si="173"/>
        <v>#REF!</v>
      </c>
      <c r="AX259" s="261" t="e">
        <f>AV259+#REF!+AH259+AA259+T259</f>
        <v>#REF!</v>
      </c>
      <c r="AY259" s="261" t="e">
        <f t="shared" si="174"/>
        <v>#REF!</v>
      </c>
      <c r="AZ259" s="261" t="e">
        <f t="shared" si="175"/>
        <v>#REF!</v>
      </c>
      <c r="BA259" s="261" t="e">
        <f t="shared" si="176"/>
        <v>#REF!</v>
      </c>
      <c r="BB259" s="261" t="e">
        <f t="shared" si="177"/>
        <v>#REF!</v>
      </c>
      <c r="BC259" s="261" t="e">
        <f t="shared" si="178"/>
        <v>#REF!</v>
      </c>
      <c r="BD259" s="261" t="e">
        <f t="shared" si="179"/>
        <v>#REF!</v>
      </c>
      <c r="BE259" s="261" t="e">
        <f>BC259+AV259+#REF!+AH259+AA259</f>
        <v>#REF!</v>
      </c>
      <c r="BF259" s="261" t="e">
        <f t="shared" si="180"/>
        <v>#REF!</v>
      </c>
      <c r="BG259" s="261" t="e">
        <f t="shared" si="181"/>
        <v>#REF!</v>
      </c>
    </row>
    <row r="260" spans="1:59" ht="27">
      <c r="A260" s="333">
        <v>21</v>
      </c>
      <c r="B260" s="333" t="s">
        <v>1607</v>
      </c>
      <c r="C260" s="256">
        <v>28</v>
      </c>
      <c r="D260" s="322" t="s">
        <v>67</v>
      </c>
      <c r="E260" s="256" t="s">
        <v>9</v>
      </c>
      <c r="F260" s="425">
        <f t="array" ref="F260">MAX((IF(MNU_CODIGO_ALIMENTO_ENTREGA=CONCATENATE($C260,"_","P_"),MNU_GRAMAJE_REQUERIDO_TIPOA,"")))</f>
        <v>30</v>
      </c>
      <c r="G260" s="257">
        <f t="shared" si="182"/>
        <v>26928</v>
      </c>
      <c r="H260" s="257">
        <f t="shared" si="183"/>
        <v>22667</v>
      </c>
      <c r="I260" s="257">
        <f t="shared" si="184"/>
        <v>49595</v>
      </c>
      <c r="J260" s="258">
        <f t="shared" si="185"/>
        <v>6085728</v>
      </c>
      <c r="K260" s="258">
        <f t="shared" si="186"/>
        <v>5122742</v>
      </c>
      <c r="L260" s="258">
        <f t="shared" si="187"/>
        <v>11208470</v>
      </c>
      <c r="M260" s="426">
        <f t="array" ref="M260">MAX((IF(MNU_CODIGO_ALIMENTO_ENTREGA=CONCATENATE($C260,"_","P_"),MNU_GRAMAJE_REQUERIDO_TIPOB,"")))</f>
        <v>40</v>
      </c>
      <c r="N260" s="343">
        <f t="shared" si="188"/>
        <v>35124</v>
      </c>
      <c r="O260" s="343">
        <f t="shared" si="189"/>
        <v>13376</v>
      </c>
      <c r="P260" s="343">
        <f t="shared" si="190"/>
        <v>48500</v>
      </c>
      <c r="Q260" s="344">
        <f t="shared" si="191"/>
        <v>10572324</v>
      </c>
      <c r="R260" s="344">
        <f t="shared" si="192"/>
        <v>4026176</v>
      </c>
      <c r="S260" s="344">
        <f t="shared" si="193"/>
        <v>14598500</v>
      </c>
      <c r="T260" s="348">
        <f t="array" ref="T260">MAX((IF(MNU_CODIGO_ALIMENTO_ENTREGA=CONCATENATE($C260,"_","P_"),MNU_GRAMAJE_REQUERIDO_TIPOC,"")))</f>
        <v>60</v>
      </c>
      <c r="U260" s="257">
        <f t="shared" si="194"/>
        <v>34494</v>
      </c>
      <c r="V260" s="257">
        <f t="shared" si="195"/>
        <v>20919</v>
      </c>
      <c r="W260" s="257">
        <f t="shared" si="196"/>
        <v>55413</v>
      </c>
      <c r="X260" s="258">
        <f t="shared" si="197"/>
        <v>15556794</v>
      </c>
      <c r="Y260" s="258">
        <f t="shared" si="198"/>
        <v>9434469</v>
      </c>
      <c r="Z260" s="258">
        <f t="shared" si="199"/>
        <v>24991263</v>
      </c>
      <c r="AA260" s="256">
        <f t="array" ref="AA260">MAX((IF(MNU_CODIGO_ALIMENTO_ENTREGA=CONCATENATE($C260,"_","P_"),MNU_GRAMAJE_REQUERIDO_TIPOM,"")))</f>
        <v>40</v>
      </c>
      <c r="AB260" s="259">
        <f t="shared" si="200"/>
        <v>678</v>
      </c>
      <c r="AC260" s="259">
        <v>0</v>
      </c>
      <c r="AD260" s="259">
        <f t="shared" si="201"/>
        <v>678</v>
      </c>
      <c r="AE260" s="260">
        <f t="shared" si="202"/>
        <v>204078</v>
      </c>
      <c r="AF260" s="260">
        <v>0</v>
      </c>
      <c r="AG260" s="260">
        <f t="shared" si="203"/>
        <v>204078</v>
      </c>
      <c r="AH260" s="348">
        <f t="array" ref="AH260">MAX((IF(MNU_CODIGO_ALIMENTO_ENTREGA=CONCATENATE($C260,"_","P_"),MNU_GRAMAJE_REQUERIDO_TIPOH,"")))</f>
        <v>60</v>
      </c>
      <c r="AI260" s="257">
        <f t="shared" si="204"/>
        <v>666</v>
      </c>
      <c r="AJ260" s="257">
        <v>0</v>
      </c>
      <c r="AK260" s="257">
        <f t="shared" si="205"/>
        <v>666</v>
      </c>
      <c r="AL260" s="258">
        <f t="shared" si="206"/>
        <v>300366</v>
      </c>
      <c r="AM260" s="258">
        <v>0</v>
      </c>
      <c r="AN260" s="258">
        <f t="shared" si="207"/>
        <v>300366</v>
      </c>
      <c r="AO260" s="451">
        <f t="shared" si="208"/>
        <v>154852</v>
      </c>
      <c r="AP260" s="450">
        <f t="shared" si="209"/>
        <v>51302677</v>
      </c>
      <c r="AQ260" s="261" t="e">
        <f>#REF!+AH260+AA260+T260+M260</f>
        <v>#REF!</v>
      </c>
      <c r="AR260" s="261">
        <f t="shared" si="168"/>
        <v>51373639</v>
      </c>
      <c r="AS260" s="261" t="e">
        <f t="shared" si="169"/>
        <v>#REF!</v>
      </c>
      <c r="AT260" s="261">
        <f t="shared" si="170"/>
        <v>51478896</v>
      </c>
      <c r="AU260" s="261" t="e">
        <f t="shared" si="171"/>
        <v>#REF!</v>
      </c>
      <c r="AV260" s="261">
        <f t="shared" si="172"/>
        <v>64939541</v>
      </c>
      <c r="AW260" s="261" t="e">
        <f t="shared" si="173"/>
        <v>#REF!</v>
      </c>
      <c r="AX260" s="261" t="e">
        <f>AV260+#REF!+AH260+AA260+T260</f>
        <v>#REF!</v>
      </c>
      <c r="AY260" s="261" t="e">
        <f t="shared" si="174"/>
        <v>#REF!</v>
      </c>
      <c r="AZ260" s="261" t="e">
        <f t="shared" si="175"/>
        <v>#REF!</v>
      </c>
      <c r="BA260" s="261" t="e">
        <f t="shared" si="176"/>
        <v>#REF!</v>
      </c>
      <c r="BB260" s="261" t="e">
        <f t="shared" si="177"/>
        <v>#REF!</v>
      </c>
      <c r="BC260" s="261" t="e">
        <f t="shared" si="178"/>
        <v>#REF!</v>
      </c>
      <c r="BD260" s="261" t="e">
        <f t="shared" si="179"/>
        <v>#REF!</v>
      </c>
      <c r="BE260" s="261" t="e">
        <f>BC260+AV260+#REF!+AH260+AA260</f>
        <v>#REF!</v>
      </c>
      <c r="BF260" s="261" t="e">
        <f t="shared" si="180"/>
        <v>#REF!</v>
      </c>
      <c r="BG260" s="261" t="e">
        <f t="shared" si="181"/>
        <v>#REF!</v>
      </c>
    </row>
    <row r="261" spans="1:59" ht="15.75">
      <c r="A261" s="333">
        <v>21</v>
      </c>
      <c r="B261" s="333" t="s">
        <v>1607</v>
      </c>
      <c r="C261" s="256">
        <v>30</v>
      </c>
      <c r="D261" s="322" t="s">
        <v>63</v>
      </c>
      <c r="E261" s="256" t="s">
        <v>9</v>
      </c>
      <c r="F261" s="425">
        <f t="array" ref="F261">MAX((IF(MNU_CODIGO_ALIMENTO_ENTREGA=CONCATENATE($C261,"_","P_"),MNU_GRAMAJE_REQUERIDO_TIPOA,"")))</f>
        <v>30</v>
      </c>
      <c r="G261" s="257">
        <f t="shared" si="182"/>
        <v>71808</v>
      </c>
      <c r="H261" s="257">
        <f t="shared" si="183"/>
        <v>0</v>
      </c>
      <c r="I261" s="257">
        <f t="shared" si="184"/>
        <v>71808</v>
      </c>
      <c r="J261" s="258">
        <f t="shared" si="185"/>
        <v>23840256</v>
      </c>
      <c r="K261" s="258">
        <f t="shared" si="186"/>
        <v>0</v>
      </c>
      <c r="L261" s="258">
        <f t="shared" si="187"/>
        <v>23840256</v>
      </c>
      <c r="M261" s="426">
        <f t="array" ref="M261">MAX((IF(MNU_CODIGO_ALIMENTO_ENTREGA=CONCATENATE($C261,"_","P_"),MNU_GRAMAJE_REQUERIDO_TIPOB,"")))</f>
        <v>30</v>
      </c>
      <c r="N261" s="343">
        <f t="shared" si="188"/>
        <v>93664</v>
      </c>
      <c r="O261" s="343">
        <f t="shared" si="189"/>
        <v>0</v>
      </c>
      <c r="P261" s="343">
        <f t="shared" si="190"/>
        <v>93664</v>
      </c>
      <c r="Q261" s="344">
        <f t="shared" si="191"/>
        <v>31096448</v>
      </c>
      <c r="R261" s="344">
        <f t="shared" si="192"/>
        <v>0</v>
      </c>
      <c r="S261" s="344">
        <f t="shared" si="193"/>
        <v>31096448</v>
      </c>
      <c r="T261" s="348">
        <f t="array" ref="T261">MAX((IF(MNU_CODIGO_ALIMENTO_ENTREGA=CONCATENATE($C261,"_","P_"),MNU_GRAMAJE_REQUERIDO_TIPOC,"")))</f>
        <v>30</v>
      </c>
      <c r="U261" s="257">
        <f t="shared" si="194"/>
        <v>91984</v>
      </c>
      <c r="V261" s="257">
        <f t="shared" si="195"/>
        <v>0</v>
      </c>
      <c r="W261" s="257">
        <f t="shared" si="196"/>
        <v>91984</v>
      </c>
      <c r="X261" s="258">
        <f t="shared" si="197"/>
        <v>30538688</v>
      </c>
      <c r="Y261" s="258">
        <f t="shared" si="198"/>
        <v>0</v>
      </c>
      <c r="Z261" s="258">
        <f t="shared" si="199"/>
        <v>30538688</v>
      </c>
      <c r="AA261" s="256">
        <f t="array" ref="AA261">MAX((IF(MNU_CODIGO_ALIMENTO_ENTREGA=CONCATENATE($C261,"_","P_"),MNU_GRAMAJE_REQUERIDO_TIPOM,"")))</f>
        <v>30</v>
      </c>
      <c r="AB261" s="259">
        <f t="shared" si="200"/>
        <v>1808</v>
      </c>
      <c r="AC261" s="259">
        <v>0</v>
      </c>
      <c r="AD261" s="259">
        <f t="shared" si="201"/>
        <v>1808</v>
      </c>
      <c r="AE261" s="260">
        <f t="shared" si="202"/>
        <v>600256</v>
      </c>
      <c r="AF261" s="260">
        <v>0</v>
      </c>
      <c r="AG261" s="260">
        <f t="shared" si="203"/>
        <v>600256</v>
      </c>
      <c r="AH261" s="348">
        <f t="array" ref="AH261">MAX((IF(MNU_CODIGO_ALIMENTO_ENTREGA=CONCATENATE($C261,"_","P_"),MNU_GRAMAJE_REQUERIDO_TIPOH,"")))</f>
        <v>30</v>
      </c>
      <c r="AI261" s="257">
        <f t="shared" si="204"/>
        <v>1776</v>
      </c>
      <c r="AJ261" s="257">
        <v>0</v>
      </c>
      <c r="AK261" s="257">
        <f t="shared" si="205"/>
        <v>1776</v>
      </c>
      <c r="AL261" s="258">
        <f t="shared" si="206"/>
        <v>589632</v>
      </c>
      <c r="AM261" s="258">
        <v>0</v>
      </c>
      <c r="AN261" s="258">
        <f t="shared" si="207"/>
        <v>589632</v>
      </c>
      <c r="AO261" s="451">
        <f t="shared" si="208"/>
        <v>261040</v>
      </c>
      <c r="AP261" s="450">
        <f t="shared" si="209"/>
        <v>86665280</v>
      </c>
      <c r="AQ261" s="261" t="e">
        <f>#REF!+AH261+AA261+T261+M261</f>
        <v>#REF!</v>
      </c>
      <c r="AR261" s="261">
        <f t="shared" si="168"/>
        <v>86854512</v>
      </c>
      <c r="AS261" s="261" t="e">
        <f t="shared" si="169"/>
        <v>#REF!</v>
      </c>
      <c r="AT261" s="261">
        <f t="shared" si="170"/>
        <v>87043744</v>
      </c>
      <c r="AU261" s="261" t="e">
        <f t="shared" si="171"/>
        <v>#REF!</v>
      </c>
      <c r="AV261" s="261">
        <f t="shared" si="172"/>
        <v>87043744</v>
      </c>
      <c r="AW261" s="261" t="e">
        <f t="shared" si="173"/>
        <v>#REF!</v>
      </c>
      <c r="AX261" s="261" t="e">
        <f>AV261+#REF!+AH261+AA261+T261</f>
        <v>#REF!</v>
      </c>
      <c r="AY261" s="261" t="e">
        <f t="shared" si="174"/>
        <v>#REF!</v>
      </c>
      <c r="AZ261" s="261" t="e">
        <f t="shared" si="175"/>
        <v>#REF!</v>
      </c>
      <c r="BA261" s="261" t="e">
        <f t="shared" si="176"/>
        <v>#REF!</v>
      </c>
      <c r="BB261" s="261" t="e">
        <f t="shared" si="177"/>
        <v>#REF!</v>
      </c>
      <c r="BC261" s="261" t="e">
        <f t="shared" si="178"/>
        <v>#REF!</v>
      </c>
      <c r="BD261" s="261" t="e">
        <f t="shared" si="179"/>
        <v>#REF!</v>
      </c>
      <c r="BE261" s="261" t="e">
        <f>BC261+AV261+#REF!+AH261+AA261</f>
        <v>#REF!</v>
      </c>
      <c r="BF261" s="261" t="e">
        <f t="shared" si="180"/>
        <v>#REF!</v>
      </c>
      <c r="BG261" s="261" t="e">
        <f t="shared" si="181"/>
        <v>#REF!</v>
      </c>
    </row>
    <row r="262" spans="1:59" ht="15.75">
      <c r="A262" s="333">
        <v>21</v>
      </c>
      <c r="B262" s="333" t="s">
        <v>1607</v>
      </c>
      <c r="C262" s="256">
        <v>45</v>
      </c>
      <c r="D262" s="322" t="s">
        <v>10</v>
      </c>
      <c r="E262" s="256" t="s">
        <v>9</v>
      </c>
      <c r="F262" s="425">
        <f t="array" ref="F262">MAX((IF(MNU_CODIGO_ALIMENTO_ENTREGA=CONCATENATE($C262,"_","P_"),MNU_GRAMAJE_REQUERIDO_TIPOA,"")))</f>
        <v>20</v>
      </c>
      <c r="G262" s="257">
        <f t="shared" si="182"/>
        <v>71808</v>
      </c>
      <c r="H262" s="257">
        <f t="shared" si="183"/>
        <v>23860</v>
      </c>
      <c r="I262" s="257">
        <f t="shared" si="184"/>
        <v>95668</v>
      </c>
      <c r="J262" s="258">
        <f t="shared" si="185"/>
        <v>14289792</v>
      </c>
      <c r="K262" s="258">
        <f t="shared" si="186"/>
        <v>4748140</v>
      </c>
      <c r="L262" s="258">
        <f t="shared" si="187"/>
        <v>19037932</v>
      </c>
      <c r="M262" s="426">
        <f t="array" ref="M262">MAX((IF(MNU_CODIGO_ALIMENTO_ENTREGA=CONCATENATE($C262,"_","P_"),MNU_GRAMAJE_REQUERIDO_TIPOB,"")))</f>
        <v>30</v>
      </c>
      <c r="N262" s="343">
        <f t="shared" si="188"/>
        <v>93664</v>
      </c>
      <c r="O262" s="343">
        <f t="shared" si="189"/>
        <v>14080</v>
      </c>
      <c r="P262" s="343">
        <f t="shared" si="190"/>
        <v>107744</v>
      </c>
      <c r="Q262" s="344">
        <f t="shared" si="191"/>
        <v>27911872</v>
      </c>
      <c r="R262" s="344">
        <f t="shared" si="192"/>
        <v>4195840</v>
      </c>
      <c r="S262" s="344">
        <f t="shared" si="193"/>
        <v>32107712</v>
      </c>
      <c r="T262" s="348">
        <f t="array" ref="T262">MAX((IF(MNU_CODIGO_ALIMENTO_ENTREGA=CONCATENATE($C262,"_","P_"),MNU_GRAMAJE_REQUERIDO_TIPOC,"")))</f>
        <v>60</v>
      </c>
      <c r="U262" s="257">
        <f t="shared" si="194"/>
        <v>91984</v>
      </c>
      <c r="V262" s="257">
        <f t="shared" si="195"/>
        <v>22020</v>
      </c>
      <c r="W262" s="257">
        <f t="shared" si="196"/>
        <v>114004</v>
      </c>
      <c r="X262" s="258">
        <f t="shared" si="197"/>
        <v>54914448</v>
      </c>
      <c r="Y262" s="258">
        <f t="shared" si="198"/>
        <v>13145940</v>
      </c>
      <c r="Z262" s="258">
        <f t="shared" si="199"/>
        <v>68060388</v>
      </c>
      <c r="AA262" s="256">
        <f t="array" ref="AA262">MAX((IF(MNU_CODIGO_ALIMENTO_ENTREGA=CONCATENATE($C262,"_","P_"),MNU_GRAMAJE_REQUERIDO_TIPOM,"")))</f>
        <v>30</v>
      </c>
      <c r="AB262" s="259">
        <f t="shared" si="200"/>
        <v>1808</v>
      </c>
      <c r="AC262" s="259">
        <v>0</v>
      </c>
      <c r="AD262" s="259">
        <f t="shared" si="201"/>
        <v>1808</v>
      </c>
      <c r="AE262" s="260">
        <f t="shared" si="202"/>
        <v>538784</v>
      </c>
      <c r="AF262" s="260">
        <v>0</v>
      </c>
      <c r="AG262" s="260">
        <f t="shared" si="203"/>
        <v>538784</v>
      </c>
      <c r="AH262" s="348">
        <f t="array" ref="AH262">MAX((IF(MNU_CODIGO_ALIMENTO_ENTREGA=CONCATENATE($C262,"_","P_"),MNU_GRAMAJE_REQUERIDO_TIPOH,"")))</f>
        <v>60</v>
      </c>
      <c r="AI262" s="257">
        <f t="shared" si="204"/>
        <v>1776</v>
      </c>
      <c r="AJ262" s="257">
        <v>0</v>
      </c>
      <c r="AK262" s="257">
        <f t="shared" si="205"/>
        <v>1776</v>
      </c>
      <c r="AL262" s="258">
        <f t="shared" si="206"/>
        <v>1060272</v>
      </c>
      <c r="AM262" s="258">
        <v>0</v>
      </c>
      <c r="AN262" s="258">
        <f t="shared" si="207"/>
        <v>1060272</v>
      </c>
      <c r="AO262" s="451">
        <f t="shared" si="208"/>
        <v>321000</v>
      </c>
      <c r="AP262" s="450">
        <f t="shared" si="209"/>
        <v>120805088</v>
      </c>
      <c r="AQ262" s="261" t="e">
        <f>#REF!+AH262+AA262+T262+M262</f>
        <v>#REF!</v>
      </c>
      <c r="AR262" s="261">
        <f t="shared" si="168"/>
        <v>120994320</v>
      </c>
      <c r="AS262" s="261" t="e">
        <f t="shared" si="169"/>
        <v>#REF!</v>
      </c>
      <c r="AT262" s="261">
        <f t="shared" si="170"/>
        <v>121219652</v>
      </c>
      <c r="AU262" s="261" t="e">
        <f t="shared" si="171"/>
        <v>#REF!</v>
      </c>
      <c r="AV262" s="261">
        <f t="shared" si="172"/>
        <v>138561432</v>
      </c>
      <c r="AW262" s="261" t="e">
        <f t="shared" si="173"/>
        <v>#REF!</v>
      </c>
      <c r="AX262" s="261" t="e">
        <f>AV262+#REF!+AH262+AA262+T262</f>
        <v>#REF!</v>
      </c>
      <c r="AY262" s="261" t="e">
        <f t="shared" si="174"/>
        <v>#REF!</v>
      </c>
      <c r="AZ262" s="261" t="e">
        <f t="shared" si="175"/>
        <v>#REF!</v>
      </c>
      <c r="BA262" s="261" t="e">
        <f t="shared" si="176"/>
        <v>#REF!</v>
      </c>
      <c r="BB262" s="261" t="e">
        <f t="shared" si="177"/>
        <v>#REF!</v>
      </c>
      <c r="BC262" s="261" t="e">
        <f t="shared" si="178"/>
        <v>#REF!</v>
      </c>
      <c r="BD262" s="261" t="e">
        <f t="shared" si="179"/>
        <v>#REF!</v>
      </c>
      <c r="BE262" s="261" t="e">
        <f>BC262+AV262+#REF!+AH262+AA262</f>
        <v>#REF!</v>
      </c>
      <c r="BF262" s="261" t="e">
        <f t="shared" si="180"/>
        <v>#REF!</v>
      </c>
      <c r="BG262" s="261" t="e">
        <f t="shared" si="181"/>
        <v>#REF!</v>
      </c>
    </row>
    <row r="263" spans="1:59" ht="15.75">
      <c r="A263" s="333">
        <v>21</v>
      </c>
      <c r="B263" s="333" t="s">
        <v>1607</v>
      </c>
      <c r="C263" s="256">
        <v>50</v>
      </c>
      <c r="D263" s="322" t="s">
        <v>65</v>
      </c>
      <c r="E263" s="256" t="s">
        <v>9</v>
      </c>
      <c r="F263" s="425">
        <f t="array" ref="F263">MAX((IF(MNU_CODIGO_ALIMENTO_ENTREGA=CONCATENATE($C263,"_","P_"),MNU_GRAMAJE_REQUERIDO_TIPOA,"")))</f>
        <v>30</v>
      </c>
      <c r="G263" s="257">
        <f t="shared" si="182"/>
        <v>76296</v>
      </c>
      <c r="H263" s="257">
        <f t="shared" si="183"/>
        <v>0</v>
      </c>
      <c r="I263" s="257">
        <f t="shared" si="184"/>
        <v>76296</v>
      </c>
      <c r="J263" s="258">
        <f t="shared" si="185"/>
        <v>24491016</v>
      </c>
      <c r="K263" s="258">
        <f t="shared" si="186"/>
        <v>0</v>
      </c>
      <c r="L263" s="258">
        <f t="shared" si="187"/>
        <v>24491016</v>
      </c>
      <c r="M263" s="426">
        <f t="array" ref="M263">MAX((IF(MNU_CODIGO_ALIMENTO_ENTREGA=CONCATENATE($C263,"_","P_"),MNU_GRAMAJE_REQUERIDO_TIPOB,"")))</f>
        <v>40</v>
      </c>
      <c r="N263" s="343">
        <f t="shared" si="188"/>
        <v>99518</v>
      </c>
      <c r="O263" s="343">
        <f t="shared" si="189"/>
        <v>0</v>
      </c>
      <c r="P263" s="343">
        <f t="shared" si="190"/>
        <v>99518</v>
      </c>
      <c r="Q263" s="344">
        <f t="shared" si="191"/>
        <v>42593704</v>
      </c>
      <c r="R263" s="344">
        <f t="shared" si="192"/>
        <v>0</v>
      </c>
      <c r="S263" s="344">
        <f t="shared" si="193"/>
        <v>42593704</v>
      </c>
      <c r="T263" s="348">
        <f t="array" ref="T263">MAX((IF(MNU_CODIGO_ALIMENTO_ENTREGA=CONCATENATE($C263,"_","P_"),MNU_GRAMAJE_REQUERIDO_TIPOC,"")))</f>
        <v>80</v>
      </c>
      <c r="U263" s="257">
        <f t="shared" si="194"/>
        <v>97733</v>
      </c>
      <c r="V263" s="257">
        <f t="shared" si="195"/>
        <v>0</v>
      </c>
      <c r="W263" s="257">
        <f t="shared" si="196"/>
        <v>97733</v>
      </c>
      <c r="X263" s="258">
        <f t="shared" si="197"/>
        <v>83561715</v>
      </c>
      <c r="Y263" s="258">
        <f t="shared" si="198"/>
        <v>0</v>
      </c>
      <c r="Z263" s="258">
        <f t="shared" si="199"/>
        <v>83561715</v>
      </c>
      <c r="AA263" s="256">
        <f t="array" ref="AA263">MAX((IF(MNU_CODIGO_ALIMENTO_ENTREGA=CONCATENATE($C263,"_","P_"),MNU_GRAMAJE_REQUERIDO_TIPOM,"")))</f>
        <v>40</v>
      </c>
      <c r="AB263" s="259">
        <f t="shared" si="200"/>
        <v>1921</v>
      </c>
      <c r="AC263" s="259">
        <v>0</v>
      </c>
      <c r="AD263" s="259">
        <f t="shared" si="201"/>
        <v>1921</v>
      </c>
      <c r="AE263" s="260">
        <f t="shared" si="202"/>
        <v>822188</v>
      </c>
      <c r="AF263" s="260">
        <v>0</v>
      </c>
      <c r="AG263" s="260">
        <f t="shared" si="203"/>
        <v>822188</v>
      </c>
      <c r="AH263" s="348">
        <f t="array" ref="AH263">MAX((IF(MNU_CODIGO_ALIMENTO_ENTREGA=CONCATENATE($C263,"_","P_"),MNU_GRAMAJE_REQUERIDO_TIPOH,"")))</f>
        <v>80</v>
      </c>
      <c r="AI263" s="257">
        <f t="shared" si="204"/>
        <v>1887</v>
      </c>
      <c r="AJ263" s="257">
        <v>0</v>
      </c>
      <c r="AK263" s="257">
        <f t="shared" si="205"/>
        <v>1887</v>
      </c>
      <c r="AL263" s="258">
        <f t="shared" si="206"/>
        <v>1613385</v>
      </c>
      <c r="AM263" s="258">
        <v>0</v>
      </c>
      <c r="AN263" s="258">
        <f t="shared" si="207"/>
        <v>1613385</v>
      </c>
      <c r="AO263" s="451">
        <f t="shared" si="208"/>
        <v>277355</v>
      </c>
      <c r="AP263" s="450">
        <f t="shared" si="209"/>
        <v>153082008</v>
      </c>
      <c r="AQ263" s="261" t="e">
        <f>#REF!+AH263+AA263+T263+M263</f>
        <v>#REF!</v>
      </c>
      <c r="AR263" s="261">
        <f t="shared" si="168"/>
        <v>153283067</v>
      </c>
      <c r="AS263" s="261" t="e">
        <f t="shared" si="169"/>
        <v>#REF!</v>
      </c>
      <c r="AT263" s="261">
        <f t="shared" si="170"/>
        <v>153484126</v>
      </c>
      <c r="AU263" s="261" t="e">
        <f t="shared" si="171"/>
        <v>#REF!</v>
      </c>
      <c r="AV263" s="261">
        <f t="shared" si="172"/>
        <v>153484126</v>
      </c>
      <c r="AW263" s="261" t="e">
        <f t="shared" si="173"/>
        <v>#REF!</v>
      </c>
      <c r="AX263" s="261" t="e">
        <f>AV263+#REF!+AH263+AA263+T263</f>
        <v>#REF!</v>
      </c>
      <c r="AY263" s="261" t="e">
        <f t="shared" si="174"/>
        <v>#REF!</v>
      </c>
      <c r="AZ263" s="261" t="e">
        <f t="shared" si="175"/>
        <v>#REF!</v>
      </c>
      <c r="BA263" s="261" t="e">
        <f t="shared" si="176"/>
        <v>#REF!</v>
      </c>
      <c r="BB263" s="261" t="e">
        <f t="shared" si="177"/>
        <v>#REF!</v>
      </c>
      <c r="BC263" s="261" t="e">
        <f t="shared" si="178"/>
        <v>#REF!</v>
      </c>
      <c r="BD263" s="261" t="e">
        <f t="shared" si="179"/>
        <v>#REF!</v>
      </c>
      <c r="BE263" s="261" t="e">
        <f>BC263+AV263+#REF!+AH263+AA263</f>
        <v>#REF!</v>
      </c>
      <c r="BF263" s="261" t="e">
        <f t="shared" si="180"/>
        <v>#REF!</v>
      </c>
      <c r="BG263" s="261" t="e">
        <f t="shared" si="181"/>
        <v>#REF!</v>
      </c>
    </row>
    <row r="264" spans="1:59" ht="15.75">
      <c r="A264" s="333">
        <v>21</v>
      </c>
      <c r="B264" s="333" t="s">
        <v>1607</v>
      </c>
      <c r="C264" s="256">
        <v>61</v>
      </c>
      <c r="D264" s="322" t="s">
        <v>13</v>
      </c>
      <c r="E264" s="256" t="s">
        <v>9</v>
      </c>
      <c r="F264" s="425">
        <f t="array" ref="F264">MAX((IF(MNU_CODIGO_ALIMENTO_ENTREGA=CONCATENATE($C264,"_","P_"),MNU_GRAMAJE_REQUERIDO_TIPOA,"")))</f>
        <v>20</v>
      </c>
      <c r="G264" s="257">
        <f t="shared" si="182"/>
        <v>71808</v>
      </c>
      <c r="H264" s="257">
        <f t="shared" si="183"/>
        <v>23860</v>
      </c>
      <c r="I264" s="257">
        <f t="shared" si="184"/>
        <v>95668</v>
      </c>
      <c r="J264" s="258">
        <f t="shared" si="185"/>
        <v>16731264</v>
      </c>
      <c r="K264" s="258">
        <f t="shared" si="186"/>
        <v>5559380</v>
      </c>
      <c r="L264" s="258">
        <f t="shared" si="187"/>
        <v>22290644</v>
      </c>
      <c r="M264" s="426">
        <f t="array" ref="M264">MAX((IF(MNU_CODIGO_ALIMENTO_ENTREGA=CONCATENATE($C264,"_","P_"),MNU_GRAMAJE_REQUERIDO_TIPOB,"")))</f>
        <v>30</v>
      </c>
      <c r="N264" s="343">
        <f t="shared" si="188"/>
        <v>93664</v>
      </c>
      <c r="O264" s="343">
        <f t="shared" si="189"/>
        <v>14080</v>
      </c>
      <c r="P264" s="343">
        <f t="shared" si="190"/>
        <v>107744</v>
      </c>
      <c r="Q264" s="344">
        <f t="shared" si="191"/>
        <v>32876064</v>
      </c>
      <c r="R264" s="344">
        <f t="shared" si="192"/>
        <v>4942080</v>
      </c>
      <c r="S264" s="344">
        <f t="shared" si="193"/>
        <v>37818144</v>
      </c>
      <c r="T264" s="348">
        <f t="array" ref="T264">MAX((IF(MNU_CODIGO_ALIMENTO_ENTREGA=CONCATENATE($C264,"_","P_"),MNU_GRAMAJE_REQUERIDO_TIPOC,"")))</f>
        <v>70</v>
      </c>
      <c r="U264" s="257">
        <f t="shared" si="194"/>
        <v>91984</v>
      </c>
      <c r="V264" s="257">
        <f t="shared" si="195"/>
        <v>22020</v>
      </c>
      <c r="W264" s="257">
        <f t="shared" si="196"/>
        <v>114004</v>
      </c>
      <c r="X264" s="258">
        <f t="shared" si="197"/>
        <v>75242912</v>
      </c>
      <c r="Y264" s="258">
        <f t="shared" si="198"/>
        <v>18012360</v>
      </c>
      <c r="Z264" s="258">
        <f t="shared" si="199"/>
        <v>93255272</v>
      </c>
      <c r="AA264" s="256">
        <f t="array" ref="AA264">MAX((IF(MNU_CODIGO_ALIMENTO_ENTREGA=CONCATENATE($C264,"_","P_"),MNU_GRAMAJE_REQUERIDO_TIPOM,"")))</f>
        <v>30</v>
      </c>
      <c r="AB264" s="259">
        <f t="shared" si="200"/>
        <v>1808</v>
      </c>
      <c r="AC264" s="259">
        <v>0</v>
      </c>
      <c r="AD264" s="259">
        <f t="shared" si="201"/>
        <v>1808</v>
      </c>
      <c r="AE264" s="260">
        <f t="shared" si="202"/>
        <v>634608</v>
      </c>
      <c r="AF264" s="260">
        <v>0</v>
      </c>
      <c r="AG264" s="260">
        <f t="shared" si="203"/>
        <v>634608</v>
      </c>
      <c r="AH264" s="348">
        <f t="array" ref="AH264">MAX((IF(MNU_CODIGO_ALIMENTO_ENTREGA=CONCATENATE($C264,"_","P_"),MNU_GRAMAJE_REQUERIDO_TIPOH,"")))</f>
        <v>70</v>
      </c>
      <c r="AI264" s="257">
        <f t="shared" si="204"/>
        <v>1776</v>
      </c>
      <c r="AJ264" s="257">
        <v>0</v>
      </c>
      <c r="AK264" s="257">
        <f t="shared" si="205"/>
        <v>1776</v>
      </c>
      <c r="AL264" s="258">
        <f t="shared" si="206"/>
        <v>1452768</v>
      </c>
      <c r="AM264" s="258">
        <v>0</v>
      </c>
      <c r="AN264" s="258">
        <f t="shared" si="207"/>
        <v>1452768</v>
      </c>
      <c r="AO264" s="451">
        <f t="shared" si="208"/>
        <v>321000</v>
      </c>
      <c r="AP264" s="450">
        <f t="shared" si="209"/>
        <v>155451436</v>
      </c>
      <c r="AQ264" s="261" t="e">
        <f>#REF!+AH264+AA264+T264+M264</f>
        <v>#REF!</v>
      </c>
      <c r="AR264" s="261">
        <f t="shared" si="168"/>
        <v>155640668</v>
      </c>
      <c r="AS264" s="261" t="e">
        <f t="shared" si="169"/>
        <v>#REF!</v>
      </c>
      <c r="AT264" s="261">
        <f t="shared" si="170"/>
        <v>155866000</v>
      </c>
      <c r="AU264" s="261" t="e">
        <f t="shared" si="171"/>
        <v>#REF!</v>
      </c>
      <c r="AV264" s="261">
        <f t="shared" si="172"/>
        <v>178820440</v>
      </c>
      <c r="AW264" s="261" t="e">
        <f t="shared" si="173"/>
        <v>#REF!</v>
      </c>
      <c r="AX264" s="261" t="e">
        <f>AV264+#REF!+AH264+AA264+T264</f>
        <v>#REF!</v>
      </c>
      <c r="AY264" s="261" t="e">
        <f t="shared" si="174"/>
        <v>#REF!</v>
      </c>
      <c r="AZ264" s="261" t="e">
        <f t="shared" si="175"/>
        <v>#REF!</v>
      </c>
      <c r="BA264" s="261" t="e">
        <f t="shared" si="176"/>
        <v>#REF!</v>
      </c>
      <c r="BB264" s="261" t="e">
        <f t="shared" si="177"/>
        <v>#REF!</v>
      </c>
      <c r="BC264" s="261" t="e">
        <f t="shared" si="178"/>
        <v>#REF!</v>
      </c>
      <c r="BD264" s="261" t="e">
        <f t="shared" si="179"/>
        <v>#REF!</v>
      </c>
      <c r="BE264" s="261" t="e">
        <f>BC264+AV264+#REF!+AH264+AA264</f>
        <v>#REF!</v>
      </c>
      <c r="BF264" s="261" t="e">
        <f t="shared" si="180"/>
        <v>#REF!</v>
      </c>
      <c r="BG264" s="261" t="e">
        <f t="shared" si="181"/>
        <v>#REF!</v>
      </c>
    </row>
    <row r="265" spans="1:59" ht="15.75">
      <c r="A265" s="333">
        <v>21</v>
      </c>
      <c r="B265" s="333" t="s">
        <v>1607</v>
      </c>
      <c r="C265" s="256">
        <v>62</v>
      </c>
      <c r="D265" s="322" t="s">
        <v>68</v>
      </c>
      <c r="E265" s="256" t="s">
        <v>9</v>
      </c>
      <c r="F265" s="425">
        <f t="array" ref="F265">MAX((IF(MNU_CODIGO_ALIMENTO_ENTREGA=CONCATENATE($C265,"_","P_"),MNU_GRAMAJE_REQUERIDO_TIPOA,"")))</f>
        <v>50</v>
      </c>
      <c r="G265" s="257">
        <f t="shared" si="182"/>
        <v>22440</v>
      </c>
      <c r="H265" s="257">
        <f t="shared" si="183"/>
        <v>0</v>
      </c>
      <c r="I265" s="257">
        <f t="shared" si="184"/>
        <v>22440</v>
      </c>
      <c r="J265" s="258">
        <f t="shared" si="185"/>
        <v>14025000</v>
      </c>
      <c r="K265" s="258">
        <f t="shared" si="186"/>
        <v>0</v>
      </c>
      <c r="L265" s="258">
        <f t="shared" si="187"/>
        <v>14025000</v>
      </c>
      <c r="M265" s="426">
        <f t="array" ref="M265">MAX((IF(MNU_CODIGO_ALIMENTO_ENTREGA=CONCATENATE($C265,"_","P_"),MNU_GRAMAJE_REQUERIDO_TIPOB,"")))</f>
        <v>50</v>
      </c>
      <c r="N265" s="343">
        <f t="shared" si="188"/>
        <v>29270</v>
      </c>
      <c r="O265" s="343">
        <f t="shared" si="189"/>
        <v>0</v>
      </c>
      <c r="P265" s="343">
        <f t="shared" si="190"/>
        <v>29270</v>
      </c>
      <c r="Q265" s="344">
        <f t="shared" si="191"/>
        <v>18293750</v>
      </c>
      <c r="R265" s="344">
        <f t="shared" si="192"/>
        <v>0</v>
      </c>
      <c r="S265" s="344">
        <f t="shared" si="193"/>
        <v>18293750</v>
      </c>
      <c r="T265" s="348">
        <f t="array" ref="T265">MAX((IF(MNU_CODIGO_ALIMENTO_ENTREGA=CONCATENATE($C265,"_","P_"),MNU_GRAMAJE_REQUERIDO_TIPOC,"")))</f>
        <v>50</v>
      </c>
      <c r="U265" s="257">
        <f t="shared" si="194"/>
        <v>28745</v>
      </c>
      <c r="V265" s="257">
        <f t="shared" si="195"/>
        <v>0</v>
      </c>
      <c r="W265" s="257">
        <f t="shared" si="196"/>
        <v>28745</v>
      </c>
      <c r="X265" s="258">
        <f t="shared" si="197"/>
        <v>17965625</v>
      </c>
      <c r="Y265" s="258">
        <f t="shared" si="198"/>
        <v>0</v>
      </c>
      <c r="Z265" s="258">
        <f t="shared" si="199"/>
        <v>17965625</v>
      </c>
      <c r="AA265" s="256">
        <f t="array" ref="AA265">MAX((IF(MNU_CODIGO_ALIMENTO_ENTREGA=CONCATENATE($C265,"_","P_"),MNU_GRAMAJE_REQUERIDO_TIPOM,"")))</f>
        <v>50</v>
      </c>
      <c r="AB265" s="259">
        <f t="shared" si="200"/>
        <v>565</v>
      </c>
      <c r="AC265" s="259">
        <v>0</v>
      </c>
      <c r="AD265" s="259">
        <f t="shared" si="201"/>
        <v>565</v>
      </c>
      <c r="AE265" s="260">
        <f t="shared" si="202"/>
        <v>353125</v>
      </c>
      <c r="AF265" s="260">
        <v>0</v>
      </c>
      <c r="AG265" s="260">
        <f t="shared" si="203"/>
        <v>353125</v>
      </c>
      <c r="AH265" s="348">
        <f t="array" ref="AH265">MAX((IF(MNU_CODIGO_ALIMENTO_ENTREGA=CONCATENATE($C265,"_","P_"),MNU_GRAMAJE_REQUERIDO_TIPOH,"")))</f>
        <v>50</v>
      </c>
      <c r="AI265" s="257">
        <f t="shared" si="204"/>
        <v>555</v>
      </c>
      <c r="AJ265" s="257">
        <v>0</v>
      </c>
      <c r="AK265" s="257">
        <f t="shared" si="205"/>
        <v>555</v>
      </c>
      <c r="AL265" s="258">
        <f t="shared" si="206"/>
        <v>346875</v>
      </c>
      <c r="AM265" s="258">
        <v>0</v>
      </c>
      <c r="AN265" s="258">
        <f t="shared" si="207"/>
        <v>346875</v>
      </c>
      <c r="AO265" s="451">
        <f t="shared" si="208"/>
        <v>81575</v>
      </c>
      <c r="AP265" s="450">
        <f t="shared" si="209"/>
        <v>50984375</v>
      </c>
      <c r="AQ265" s="261" t="e">
        <f>#REF!+AH265+AA265+T265+M265</f>
        <v>#REF!</v>
      </c>
      <c r="AR265" s="261">
        <f t="shared" si="168"/>
        <v>51043510</v>
      </c>
      <c r="AS265" s="261" t="e">
        <f t="shared" si="169"/>
        <v>#REF!</v>
      </c>
      <c r="AT265" s="261">
        <f t="shared" si="170"/>
        <v>51102645</v>
      </c>
      <c r="AU265" s="261" t="e">
        <f t="shared" si="171"/>
        <v>#REF!</v>
      </c>
      <c r="AV265" s="261">
        <f t="shared" si="172"/>
        <v>51102645</v>
      </c>
      <c r="AW265" s="261" t="e">
        <f t="shared" si="173"/>
        <v>#REF!</v>
      </c>
      <c r="AX265" s="261" t="e">
        <f>AV265+#REF!+AH265+AA265+T265</f>
        <v>#REF!</v>
      </c>
      <c r="AY265" s="261" t="e">
        <f t="shared" si="174"/>
        <v>#REF!</v>
      </c>
      <c r="AZ265" s="261" t="e">
        <f t="shared" si="175"/>
        <v>#REF!</v>
      </c>
      <c r="BA265" s="261" t="e">
        <f t="shared" si="176"/>
        <v>#REF!</v>
      </c>
      <c r="BB265" s="261" t="e">
        <f t="shared" si="177"/>
        <v>#REF!</v>
      </c>
      <c r="BC265" s="261" t="e">
        <f t="shared" si="178"/>
        <v>#REF!</v>
      </c>
      <c r="BD265" s="261" t="e">
        <f t="shared" si="179"/>
        <v>#REF!</v>
      </c>
      <c r="BE265" s="261" t="e">
        <f>BC265+AV265+#REF!+AH265+AA265</f>
        <v>#REF!</v>
      </c>
      <c r="BF265" s="261" t="e">
        <f t="shared" si="180"/>
        <v>#REF!</v>
      </c>
      <c r="BG265" s="261" t="e">
        <f t="shared" si="181"/>
        <v>#REF!</v>
      </c>
    </row>
    <row r="266" spans="1:59" ht="15.75">
      <c r="A266" s="333">
        <v>22</v>
      </c>
      <c r="B266" s="333" t="s">
        <v>1607</v>
      </c>
      <c r="C266" s="256">
        <v>1</v>
      </c>
      <c r="D266" s="322" t="s">
        <v>16</v>
      </c>
      <c r="E266" s="256" t="s">
        <v>9</v>
      </c>
      <c r="F266" s="425">
        <f t="array" ref="F266">MAX((IF(MNU_CODIGO_ALIMENTO_ENTREGA=CONCATENATE($C266,"_","P_"),MNU_GRAMAJE_REQUERIDO_TIPOA,"")))</f>
        <v>30</v>
      </c>
      <c r="G266" s="257">
        <f t="shared" si="182"/>
        <v>76710</v>
      </c>
      <c r="H266" s="257">
        <f t="shared" si="183"/>
        <v>0</v>
      </c>
      <c r="I266" s="257">
        <f t="shared" si="184"/>
        <v>76710</v>
      </c>
      <c r="J266" s="258">
        <f t="shared" si="185"/>
        <v>61981680</v>
      </c>
      <c r="K266" s="258">
        <f t="shared" si="186"/>
        <v>0</v>
      </c>
      <c r="L266" s="258">
        <f t="shared" si="187"/>
        <v>61981680</v>
      </c>
      <c r="M266" s="426">
        <f t="array" ref="M266">MAX((IF(MNU_CODIGO_ALIMENTO_ENTREGA=CONCATENATE($C266,"_","P_"),MNU_GRAMAJE_REQUERIDO_TIPOB,"")))</f>
        <v>40</v>
      </c>
      <c r="N266" s="343">
        <f t="shared" si="188"/>
        <v>86625</v>
      </c>
      <c r="O266" s="343">
        <f t="shared" si="189"/>
        <v>0</v>
      </c>
      <c r="P266" s="343">
        <f t="shared" si="190"/>
        <v>86625</v>
      </c>
      <c r="Q266" s="344">
        <f t="shared" si="191"/>
        <v>93381750</v>
      </c>
      <c r="R266" s="344">
        <f t="shared" si="192"/>
        <v>0</v>
      </c>
      <c r="S266" s="344">
        <f t="shared" si="193"/>
        <v>93381750</v>
      </c>
      <c r="T266" s="348">
        <f t="array" ref="T266">MAX((IF(MNU_CODIGO_ALIMENTO_ENTREGA=CONCATENATE($C266,"_","P_"),MNU_GRAMAJE_REQUERIDO_TIPOC,"")))</f>
        <v>60</v>
      </c>
      <c r="U266" s="257">
        <f t="shared" si="194"/>
        <v>85320</v>
      </c>
      <c r="V266" s="257">
        <f t="shared" si="195"/>
        <v>0</v>
      </c>
      <c r="W266" s="257">
        <f t="shared" si="196"/>
        <v>85320</v>
      </c>
      <c r="X266" s="258">
        <f t="shared" si="197"/>
        <v>137877120</v>
      </c>
      <c r="Y266" s="258">
        <f t="shared" si="198"/>
        <v>0</v>
      </c>
      <c r="Z266" s="258">
        <f t="shared" si="199"/>
        <v>137877120</v>
      </c>
      <c r="AA266" s="256">
        <f t="array" ref="AA266">MAX((IF(MNU_CODIGO_ALIMENTO_ENTREGA=CONCATENATE($C266,"_","P_"),MNU_GRAMAJE_REQUERIDO_TIPOM,"")))</f>
        <v>40</v>
      </c>
      <c r="AB266" s="259">
        <f t="shared" si="200"/>
        <v>11175</v>
      </c>
      <c r="AC266" s="259">
        <v>0</v>
      </c>
      <c r="AD266" s="259">
        <f t="shared" si="201"/>
        <v>11175</v>
      </c>
      <c r="AE266" s="260">
        <f t="shared" si="202"/>
        <v>12046650</v>
      </c>
      <c r="AF266" s="260">
        <v>0</v>
      </c>
      <c r="AG266" s="260">
        <f t="shared" si="203"/>
        <v>12046650</v>
      </c>
      <c r="AH266" s="348">
        <f t="array" ref="AH266">MAX((IF(MNU_CODIGO_ALIMENTO_ENTREGA=CONCATENATE($C266,"_","P_"),MNU_GRAMAJE_REQUERIDO_TIPOH,"")))</f>
        <v>60</v>
      </c>
      <c r="AI266" s="257">
        <f t="shared" si="204"/>
        <v>10455</v>
      </c>
      <c r="AJ266" s="257">
        <v>0</v>
      </c>
      <c r="AK266" s="257">
        <f t="shared" si="205"/>
        <v>10455</v>
      </c>
      <c r="AL266" s="258">
        <f t="shared" si="206"/>
        <v>16895280</v>
      </c>
      <c r="AM266" s="258">
        <v>0</v>
      </c>
      <c r="AN266" s="258">
        <f t="shared" si="207"/>
        <v>16895280</v>
      </c>
      <c r="AO266" s="451">
        <f t="shared" si="208"/>
        <v>270285</v>
      </c>
      <c r="AP266" s="450">
        <f t="shared" si="209"/>
        <v>322182480</v>
      </c>
      <c r="AQ266" s="261" t="e">
        <f>#REF!+AH266+AA266+T266+M266</f>
        <v>#REF!</v>
      </c>
      <c r="AR266" s="261">
        <f t="shared" si="168"/>
        <v>322376055</v>
      </c>
      <c r="AS266" s="261" t="e">
        <f t="shared" si="169"/>
        <v>#REF!</v>
      </c>
      <c r="AT266" s="261">
        <f t="shared" si="170"/>
        <v>322569630</v>
      </c>
      <c r="AU266" s="261" t="e">
        <f t="shared" si="171"/>
        <v>#REF!</v>
      </c>
      <c r="AV266" s="261">
        <f t="shared" si="172"/>
        <v>322569630</v>
      </c>
      <c r="AW266" s="261" t="e">
        <f t="shared" si="173"/>
        <v>#REF!</v>
      </c>
      <c r="AX266" s="261" t="e">
        <f>AV266+#REF!+AH266+AA266+T266</f>
        <v>#REF!</v>
      </c>
      <c r="AY266" s="261" t="e">
        <f t="shared" si="174"/>
        <v>#REF!</v>
      </c>
      <c r="AZ266" s="261" t="e">
        <f t="shared" si="175"/>
        <v>#REF!</v>
      </c>
      <c r="BA266" s="261" t="e">
        <f t="shared" si="176"/>
        <v>#REF!</v>
      </c>
      <c r="BB266" s="261" t="e">
        <f t="shared" si="177"/>
        <v>#REF!</v>
      </c>
      <c r="BC266" s="261" t="e">
        <f t="shared" si="178"/>
        <v>#REF!</v>
      </c>
      <c r="BD266" s="261" t="e">
        <f t="shared" si="179"/>
        <v>#REF!</v>
      </c>
      <c r="BE266" s="261" t="e">
        <f>BC266+AV266+#REF!+AH266+AA266</f>
        <v>#REF!</v>
      </c>
      <c r="BF266" s="261" t="e">
        <f t="shared" si="180"/>
        <v>#REF!</v>
      </c>
      <c r="BG266" s="261" t="e">
        <f t="shared" si="181"/>
        <v>#REF!</v>
      </c>
    </row>
    <row r="267" spans="1:59" ht="15.75">
      <c r="A267" s="333">
        <v>22</v>
      </c>
      <c r="B267" s="333" t="s">
        <v>1607</v>
      </c>
      <c r="C267" s="256">
        <v>3</v>
      </c>
      <c r="D267" s="322" t="s">
        <v>12</v>
      </c>
      <c r="E267" s="256" t="s">
        <v>9</v>
      </c>
      <c r="F267" s="425">
        <f t="array" ref="F267">MAX((IF(MNU_CODIGO_ALIMENTO_ENTREGA=CONCATENATE($C267,"_","P_"),MNU_GRAMAJE_REQUERIDO_TIPOA,"")))</f>
        <v>50</v>
      </c>
      <c r="G267" s="257">
        <f t="shared" si="182"/>
        <v>86938</v>
      </c>
      <c r="H267" s="257">
        <f t="shared" si="183"/>
        <v>21128</v>
      </c>
      <c r="I267" s="257">
        <f t="shared" si="184"/>
        <v>108066</v>
      </c>
      <c r="J267" s="258">
        <f t="shared" si="185"/>
        <v>43903690</v>
      </c>
      <c r="K267" s="258">
        <f t="shared" si="186"/>
        <v>10669640</v>
      </c>
      <c r="L267" s="258">
        <f t="shared" si="187"/>
        <v>54573330</v>
      </c>
      <c r="M267" s="426">
        <f t="array" ref="M267">MAX((IF(MNU_CODIGO_ALIMENTO_ENTREGA=CONCATENATE($C267,"_","P_"),MNU_GRAMAJE_REQUERIDO_TIPOB,"")))</f>
        <v>50</v>
      </c>
      <c r="N267" s="343">
        <f t="shared" si="188"/>
        <v>98175</v>
      </c>
      <c r="O267" s="343">
        <f t="shared" si="189"/>
        <v>22895</v>
      </c>
      <c r="P267" s="343">
        <f t="shared" si="190"/>
        <v>121070</v>
      </c>
      <c r="Q267" s="344">
        <f t="shared" si="191"/>
        <v>49578375</v>
      </c>
      <c r="R267" s="344">
        <f t="shared" si="192"/>
        <v>11561975</v>
      </c>
      <c r="S267" s="344">
        <f t="shared" si="193"/>
        <v>61140350</v>
      </c>
      <c r="T267" s="348">
        <f t="array" ref="T267">MAX((IF(MNU_CODIGO_ALIMENTO_ENTREGA=CONCATENATE($C267,"_","P_"),MNU_GRAMAJE_REQUERIDO_TIPOC,"")))</f>
        <v>80</v>
      </c>
      <c r="U267" s="257">
        <f t="shared" si="194"/>
        <v>96696</v>
      </c>
      <c r="V267" s="257">
        <f t="shared" si="195"/>
        <v>32756</v>
      </c>
      <c r="W267" s="257">
        <f t="shared" si="196"/>
        <v>129452</v>
      </c>
      <c r="X267" s="258">
        <f t="shared" si="197"/>
        <v>73779048</v>
      </c>
      <c r="Y267" s="258">
        <f t="shared" si="198"/>
        <v>24992828</v>
      </c>
      <c r="Z267" s="258">
        <f t="shared" si="199"/>
        <v>98771876</v>
      </c>
      <c r="AA267" s="256">
        <f t="array" ref="AA267">MAX((IF(MNU_CODIGO_ALIMENTO_ENTREGA=CONCATENATE($C267,"_","P_"),MNU_GRAMAJE_REQUERIDO_TIPOM,"")))</f>
        <v>50</v>
      </c>
      <c r="AB267" s="259">
        <f t="shared" si="200"/>
        <v>12665</v>
      </c>
      <c r="AC267" s="259">
        <v>0</v>
      </c>
      <c r="AD267" s="259">
        <f t="shared" si="201"/>
        <v>12665</v>
      </c>
      <c r="AE267" s="260">
        <f t="shared" si="202"/>
        <v>6395825</v>
      </c>
      <c r="AF267" s="260">
        <v>0</v>
      </c>
      <c r="AG267" s="260">
        <f t="shared" si="203"/>
        <v>6395825</v>
      </c>
      <c r="AH267" s="348">
        <f t="array" ref="AH267">MAX((IF(MNU_CODIGO_ALIMENTO_ENTREGA=CONCATENATE($C267,"_","P_"),MNU_GRAMAJE_REQUERIDO_TIPOH,"")))</f>
        <v>80</v>
      </c>
      <c r="AI267" s="257">
        <f t="shared" si="204"/>
        <v>11849</v>
      </c>
      <c r="AJ267" s="257">
        <v>0</v>
      </c>
      <c r="AK267" s="257">
        <f t="shared" si="205"/>
        <v>11849</v>
      </c>
      <c r="AL267" s="258">
        <f t="shared" si="206"/>
        <v>9040787</v>
      </c>
      <c r="AM267" s="258">
        <v>0</v>
      </c>
      <c r="AN267" s="258">
        <f t="shared" si="207"/>
        <v>9040787</v>
      </c>
      <c r="AO267" s="451">
        <f t="shared" si="208"/>
        <v>383102</v>
      </c>
      <c r="AP267" s="450">
        <f t="shared" si="209"/>
        <v>229922168</v>
      </c>
      <c r="AQ267" s="261" t="e">
        <f>#REF!+AH267+AA267+T267+M267</f>
        <v>#REF!</v>
      </c>
      <c r="AR267" s="261">
        <f t="shared" si="168"/>
        <v>230141553</v>
      </c>
      <c r="AS267" s="261" t="e">
        <f t="shared" si="169"/>
        <v>#REF!</v>
      </c>
      <c r="AT267" s="261">
        <f t="shared" si="170"/>
        <v>230416589</v>
      </c>
      <c r="AU267" s="261" t="e">
        <f t="shared" si="171"/>
        <v>#REF!</v>
      </c>
      <c r="AV267" s="261">
        <f t="shared" si="172"/>
        <v>266971392</v>
      </c>
      <c r="AW267" s="261" t="e">
        <f t="shared" si="173"/>
        <v>#REF!</v>
      </c>
      <c r="AX267" s="261" t="e">
        <f>AV267+#REF!+AH267+AA267+T267</f>
        <v>#REF!</v>
      </c>
      <c r="AY267" s="261" t="e">
        <f t="shared" si="174"/>
        <v>#REF!</v>
      </c>
      <c r="AZ267" s="261" t="e">
        <f t="shared" si="175"/>
        <v>#REF!</v>
      </c>
      <c r="BA267" s="261" t="e">
        <f t="shared" si="176"/>
        <v>#REF!</v>
      </c>
      <c r="BB267" s="261" t="e">
        <f t="shared" si="177"/>
        <v>#REF!</v>
      </c>
      <c r="BC267" s="261" t="e">
        <f t="shared" si="178"/>
        <v>#REF!</v>
      </c>
      <c r="BD267" s="261" t="e">
        <f t="shared" si="179"/>
        <v>#REF!</v>
      </c>
      <c r="BE267" s="261" t="e">
        <f>BC267+AV267+#REF!+AH267+AA267</f>
        <v>#REF!</v>
      </c>
      <c r="BF267" s="261" t="e">
        <f t="shared" si="180"/>
        <v>#REF!</v>
      </c>
      <c r="BG267" s="261" t="e">
        <f t="shared" si="181"/>
        <v>#REF!</v>
      </c>
    </row>
    <row r="268" spans="1:59" ht="15.75">
      <c r="A268" s="333">
        <v>22</v>
      </c>
      <c r="B268" s="333" t="s">
        <v>1607</v>
      </c>
      <c r="C268" s="256">
        <v>15</v>
      </c>
      <c r="D268" s="322" t="s">
        <v>66</v>
      </c>
      <c r="E268" s="256" t="s">
        <v>9</v>
      </c>
      <c r="F268" s="425">
        <f t="array" ref="F268">MAX((IF(MNU_CODIGO_ALIMENTO_ENTREGA=CONCATENATE($C268,"_","P_"),MNU_GRAMAJE_REQUERIDO_TIPOA,"")))</f>
        <v>50</v>
      </c>
      <c r="G268" s="257">
        <f t="shared" si="182"/>
        <v>86938</v>
      </c>
      <c r="H268" s="257">
        <f t="shared" si="183"/>
        <v>12232</v>
      </c>
      <c r="I268" s="257">
        <f t="shared" si="184"/>
        <v>99170</v>
      </c>
      <c r="J268" s="258">
        <f t="shared" si="185"/>
        <v>58509274</v>
      </c>
      <c r="K268" s="258">
        <f t="shared" si="186"/>
        <v>8232136</v>
      </c>
      <c r="L268" s="258">
        <f t="shared" si="187"/>
        <v>66741410</v>
      </c>
      <c r="M268" s="426">
        <f t="array" ref="M268">MAX((IF(MNU_CODIGO_ALIMENTO_ENTREGA=CONCATENATE($C268,"_","P_"),MNU_GRAMAJE_REQUERIDO_TIPOB,"")))</f>
        <v>50</v>
      </c>
      <c r="N268" s="343">
        <f t="shared" si="188"/>
        <v>98175</v>
      </c>
      <c r="O268" s="343">
        <f t="shared" si="189"/>
        <v>13255</v>
      </c>
      <c r="P268" s="343">
        <f t="shared" si="190"/>
        <v>111430</v>
      </c>
      <c r="Q268" s="344">
        <f t="shared" si="191"/>
        <v>66071775</v>
      </c>
      <c r="R268" s="344">
        <f t="shared" si="192"/>
        <v>8920615</v>
      </c>
      <c r="S268" s="344">
        <f t="shared" si="193"/>
        <v>74992390</v>
      </c>
      <c r="T268" s="348">
        <f t="array" ref="T268">MAX((IF(MNU_CODIGO_ALIMENTO_ENTREGA=CONCATENATE($C268,"_","P_"),MNU_GRAMAJE_REQUERIDO_TIPOC,"")))</f>
        <v>80</v>
      </c>
      <c r="U268" s="257">
        <f t="shared" si="194"/>
        <v>96696</v>
      </c>
      <c r="V268" s="257">
        <f t="shared" si="195"/>
        <v>18964</v>
      </c>
      <c r="W268" s="257">
        <f t="shared" si="196"/>
        <v>115660</v>
      </c>
      <c r="X268" s="258">
        <f t="shared" si="197"/>
        <v>104044896</v>
      </c>
      <c r="Y268" s="258">
        <f t="shared" si="198"/>
        <v>20405264</v>
      </c>
      <c r="Z268" s="258">
        <f t="shared" si="199"/>
        <v>124450160</v>
      </c>
      <c r="AA268" s="256">
        <f t="array" ref="AA268">MAX((IF(MNU_CODIGO_ALIMENTO_ENTREGA=CONCATENATE($C268,"_","P_"),MNU_GRAMAJE_REQUERIDO_TIPOM,"")))</f>
        <v>50</v>
      </c>
      <c r="AB268" s="259">
        <f t="shared" si="200"/>
        <v>12665</v>
      </c>
      <c r="AC268" s="259">
        <v>0</v>
      </c>
      <c r="AD268" s="259">
        <f t="shared" si="201"/>
        <v>12665</v>
      </c>
      <c r="AE268" s="260">
        <f t="shared" si="202"/>
        <v>8523545</v>
      </c>
      <c r="AF268" s="260">
        <v>0</v>
      </c>
      <c r="AG268" s="260">
        <f t="shared" si="203"/>
        <v>8523545</v>
      </c>
      <c r="AH268" s="348">
        <f t="array" ref="AH268">MAX((IF(MNU_CODIGO_ALIMENTO_ENTREGA=CONCATENATE($C268,"_","P_"),MNU_GRAMAJE_REQUERIDO_TIPOH,"")))</f>
        <v>80</v>
      </c>
      <c r="AI268" s="257">
        <f t="shared" si="204"/>
        <v>11849</v>
      </c>
      <c r="AJ268" s="257">
        <v>0</v>
      </c>
      <c r="AK268" s="257">
        <f t="shared" si="205"/>
        <v>11849</v>
      </c>
      <c r="AL268" s="258">
        <f t="shared" si="206"/>
        <v>12749524</v>
      </c>
      <c r="AM268" s="258">
        <v>0</v>
      </c>
      <c r="AN268" s="258">
        <f t="shared" si="207"/>
        <v>12749524</v>
      </c>
      <c r="AO268" s="451">
        <f t="shared" si="208"/>
        <v>350774</v>
      </c>
      <c r="AP268" s="450">
        <f t="shared" si="209"/>
        <v>287457029</v>
      </c>
      <c r="AQ268" s="261" t="e">
        <f>#REF!+AH268+AA268+T268+M268</f>
        <v>#REF!</v>
      </c>
      <c r="AR268" s="261">
        <f t="shared" si="168"/>
        <v>287676414</v>
      </c>
      <c r="AS268" s="261" t="e">
        <f t="shared" si="169"/>
        <v>#REF!</v>
      </c>
      <c r="AT268" s="261">
        <f t="shared" si="170"/>
        <v>287928018</v>
      </c>
      <c r="AU268" s="261" t="e">
        <f t="shared" si="171"/>
        <v>#REF!</v>
      </c>
      <c r="AV268" s="261">
        <f t="shared" si="172"/>
        <v>317253897</v>
      </c>
      <c r="AW268" s="261" t="e">
        <f t="shared" si="173"/>
        <v>#REF!</v>
      </c>
      <c r="AX268" s="261" t="e">
        <f>AV268+#REF!+AH268+AA268+T268</f>
        <v>#REF!</v>
      </c>
      <c r="AY268" s="261" t="e">
        <f t="shared" si="174"/>
        <v>#REF!</v>
      </c>
      <c r="AZ268" s="261" t="e">
        <f t="shared" si="175"/>
        <v>#REF!</v>
      </c>
      <c r="BA268" s="261" t="e">
        <f t="shared" si="176"/>
        <v>#REF!</v>
      </c>
      <c r="BB268" s="261" t="e">
        <f t="shared" si="177"/>
        <v>#REF!</v>
      </c>
      <c r="BC268" s="261" t="e">
        <f t="shared" si="178"/>
        <v>#REF!</v>
      </c>
      <c r="BD268" s="261" t="e">
        <f t="shared" si="179"/>
        <v>#REF!</v>
      </c>
      <c r="BE268" s="261" t="e">
        <f>BC268+AV268+#REF!+AH268+AA268</f>
        <v>#REF!</v>
      </c>
      <c r="BF268" s="261" t="e">
        <f t="shared" si="180"/>
        <v>#REF!</v>
      </c>
      <c r="BG268" s="261" t="e">
        <f t="shared" si="181"/>
        <v>#REF!</v>
      </c>
    </row>
    <row r="269" spans="1:59" ht="15.75">
      <c r="A269" s="333">
        <v>22</v>
      </c>
      <c r="B269" s="333" t="s">
        <v>1607</v>
      </c>
      <c r="C269" s="256">
        <v>24</v>
      </c>
      <c r="D269" s="322" t="s">
        <v>61</v>
      </c>
      <c r="E269" s="256" t="s">
        <v>9</v>
      </c>
      <c r="F269" s="425">
        <f t="array" ref="F269">MAX((IF(MNU_CODIGO_ALIMENTO_ENTREGA=CONCATENATE($C269,"_","P_"),MNU_GRAMAJE_REQUERIDO_TIPOA,"")))</f>
        <v>20</v>
      </c>
      <c r="G269" s="257">
        <f t="shared" si="182"/>
        <v>86938</v>
      </c>
      <c r="H269" s="257">
        <f t="shared" si="183"/>
        <v>12232</v>
      </c>
      <c r="I269" s="257">
        <f t="shared" si="184"/>
        <v>99170</v>
      </c>
      <c r="J269" s="258">
        <f t="shared" si="185"/>
        <v>11128064</v>
      </c>
      <c r="K269" s="258">
        <f t="shared" si="186"/>
        <v>1565696</v>
      </c>
      <c r="L269" s="258">
        <f t="shared" si="187"/>
        <v>12693760</v>
      </c>
      <c r="M269" s="426">
        <f t="array" ref="M269">MAX((IF(MNU_CODIGO_ALIMENTO_ENTREGA=CONCATENATE($C269,"_","P_"),MNU_GRAMAJE_REQUERIDO_TIPOB,"")))</f>
        <v>30</v>
      </c>
      <c r="N269" s="343">
        <f t="shared" si="188"/>
        <v>98175</v>
      </c>
      <c r="O269" s="343">
        <f t="shared" si="189"/>
        <v>13255</v>
      </c>
      <c r="P269" s="343">
        <f t="shared" si="190"/>
        <v>111430</v>
      </c>
      <c r="Q269" s="344">
        <f t="shared" si="191"/>
        <v>19635000</v>
      </c>
      <c r="R269" s="344">
        <f t="shared" si="192"/>
        <v>2651000</v>
      </c>
      <c r="S269" s="344">
        <f t="shared" si="193"/>
        <v>22286000</v>
      </c>
      <c r="T269" s="348">
        <f t="array" ref="T269">MAX((IF(MNU_CODIGO_ALIMENTO_ENTREGA=CONCATENATE($C269,"_","P_"),MNU_GRAMAJE_REQUERIDO_TIPOC,"")))</f>
        <v>60</v>
      </c>
      <c r="U269" s="257">
        <f t="shared" si="194"/>
        <v>96696</v>
      </c>
      <c r="V269" s="257">
        <f t="shared" si="195"/>
        <v>18964</v>
      </c>
      <c r="W269" s="257">
        <f t="shared" si="196"/>
        <v>115660</v>
      </c>
      <c r="X269" s="258">
        <f t="shared" si="197"/>
        <v>37227960</v>
      </c>
      <c r="Y269" s="258">
        <f t="shared" si="198"/>
        <v>7301140</v>
      </c>
      <c r="Z269" s="258">
        <f t="shared" si="199"/>
        <v>44529100</v>
      </c>
      <c r="AA269" s="256">
        <f t="array" ref="AA269">MAX((IF(MNU_CODIGO_ALIMENTO_ENTREGA=CONCATENATE($C269,"_","P_"),MNU_GRAMAJE_REQUERIDO_TIPOM,"")))</f>
        <v>30</v>
      </c>
      <c r="AB269" s="259">
        <f t="shared" si="200"/>
        <v>12665</v>
      </c>
      <c r="AC269" s="259">
        <v>0</v>
      </c>
      <c r="AD269" s="259">
        <f t="shared" si="201"/>
        <v>12665</v>
      </c>
      <c r="AE269" s="260">
        <f t="shared" si="202"/>
        <v>2533000</v>
      </c>
      <c r="AF269" s="260">
        <v>0</v>
      </c>
      <c r="AG269" s="260">
        <f t="shared" si="203"/>
        <v>2533000</v>
      </c>
      <c r="AH269" s="348">
        <f t="array" ref="AH269">MAX((IF(MNU_CODIGO_ALIMENTO_ENTREGA=CONCATENATE($C269,"_","P_"),MNU_GRAMAJE_REQUERIDO_TIPOH,"")))</f>
        <v>60</v>
      </c>
      <c r="AI269" s="257">
        <f t="shared" si="204"/>
        <v>11849</v>
      </c>
      <c r="AJ269" s="257">
        <v>0</v>
      </c>
      <c r="AK269" s="257">
        <f t="shared" si="205"/>
        <v>11849</v>
      </c>
      <c r="AL269" s="258">
        <f t="shared" si="206"/>
        <v>4561865</v>
      </c>
      <c r="AM269" s="258">
        <v>0</v>
      </c>
      <c r="AN269" s="258">
        <f t="shared" si="207"/>
        <v>4561865</v>
      </c>
      <c r="AO269" s="451">
        <f t="shared" si="208"/>
        <v>350774</v>
      </c>
      <c r="AP269" s="450">
        <f t="shared" si="209"/>
        <v>86603725</v>
      </c>
      <c r="AQ269" s="261" t="e">
        <f>#REF!+AH269+AA269+T269+M269</f>
        <v>#REF!</v>
      </c>
      <c r="AR269" s="261">
        <f t="shared" si="168"/>
        <v>86823110</v>
      </c>
      <c r="AS269" s="261" t="e">
        <f t="shared" si="169"/>
        <v>#REF!</v>
      </c>
      <c r="AT269" s="261">
        <f t="shared" si="170"/>
        <v>87074714</v>
      </c>
      <c r="AU269" s="261" t="e">
        <f t="shared" si="171"/>
        <v>#REF!</v>
      </c>
      <c r="AV269" s="261">
        <f t="shared" si="172"/>
        <v>97026854</v>
      </c>
      <c r="AW269" s="261" t="e">
        <f t="shared" si="173"/>
        <v>#REF!</v>
      </c>
      <c r="AX269" s="261" t="e">
        <f>AV269+#REF!+AH269+AA269+T269</f>
        <v>#REF!</v>
      </c>
      <c r="AY269" s="261" t="e">
        <f t="shared" si="174"/>
        <v>#REF!</v>
      </c>
      <c r="AZ269" s="261" t="e">
        <f t="shared" si="175"/>
        <v>#REF!</v>
      </c>
      <c r="BA269" s="261" t="e">
        <f t="shared" si="176"/>
        <v>#REF!</v>
      </c>
      <c r="BB269" s="261" t="e">
        <f t="shared" si="177"/>
        <v>#REF!</v>
      </c>
      <c r="BC269" s="261" t="e">
        <f t="shared" si="178"/>
        <v>#REF!</v>
      </c>
      <c r="BD269" s="261" t="e">
        <f t="shared" si="179"/>
        <v>#REF!</v>
      </c>
      <c r="BE269" s="261" t="e">
        <f>BC269+AV269+#REF!+AH269+AA269</f>
        <v>#REF!</v>
      </c>
      <c r="BF269" s="261" t="e">
        <f t="shared" si="180"/>
        <v>#REF!</v>
      </c>
      <c r="BG269" s="261" t="e">
        <f t="shared" si="181"/>
        <v>#REF!</v>
      </c>
    </row>
    <row r="270" spans="1:59" ht="15.75">
      <c r="A270" s="333">
        <v>22</v>
      </c>
      <c r="B270" s="333" t="s">
        <v>1607</v>
      </c>
      <c r="C270" s="256">
        <v>25</v>
      </c>
      <c r="D270" s="322" t="s">
        <v>64</v>
      </c>
      <c r="E270" s="256" t="s">
        <v>9</v>
      </c>
      <c r="F270" s="425">
        <f t="array" ref="F270">MAX((IF(MNU_CODIGO_ALIMENTO_ENTREGA=CONCATENATE($C270,"_","P_"),MNU_GRAMAJE_REQUERIDO_TIPOA,"")))</f>
        <v>40</v>
      </c>
      <c r="G270" s="257">
        <f t="shared" si="182"/>
        <v>86938</v>
      </c>
      <c r="H270" s="257">
        <f t="shared" si="183"/>
        <v>24464</v>
      </c>
      <c r="I270" s="257">
        <f t="shared" si="184"/>
        <v>111402</v>
      </c>
      <c r="J270" s="258">
        <f t="shared" si="185"/>
        <v>22256128</v>
      </c>
      <c r="K270" s="258">
        <f t="shared" si="186"/>
        <v>6262784</v>
      </c>
      <c r="L270" s="258">
        <f t="shared" si="187"/>
        <v>28518912</v>
      </c>
      <c r="M270" s="426">
        <f t="array" ref="M270">MAX((IF(MNU_CODIGO_ALIMENTO_ENTREGA=CONCATENATE($C270,"_","P_"),MNU_GRAMAJE_REQUERIDO_TIPOB,"")))</f>
        <v>40</v>
      </c>
      <c r="N270" s="343">
        <f t="shared" si="188"/>
        <v>98175</v>
      </c>
      <c r="O270" s="343">
        <f t="shared" si="189"/>
        <v>26510</v>
      </c>
      <c r="P270" s="343">
        <f t="shared" si="190"/>
        <v>124685</v>
      </c>
      <c r="Q270" s="344">
        <f t="shared" si="191"/>
        <v>25132800</v>
      </c>
      <c r="R270" s="344">
        <f t="shared" si="192"/>
        <v>6786560</v>
      </c>
      <c r="S270" s="344">
        <f t="shared" si="193"/>
        <v>31919360</v>
      </c>
      <c r="T270" s="348">
        <f t="array" ref="T270">MAX((IF(MNU_CODIGO_ALIMENTO_ENTREGA=CONCATENATE($C270,"_","P_"),MNU_GRAMAJE_REQUERIDO_TIPOC,"")))</f>
        <v>60</v>
      </c>
      <c r="U270" s="257">
        <f t="shared" si="194"/>
        <v>96696</v>
      </c>
      <c r="V270" s="257">
        <f t="shared" si="195"/>
        <v>37928</v>
      </c>
      <c r="W270" s="257">
        <f t="shared" si="196"/>
        <v>134624</v>
      </c>
      <c r="X270" s="258">
        <f t="shared" si="197"/>
        <v>37131264</v>
      </c>
      <c r="Y270" s="258">
        <f t="shared" si="198"/>
        <v>14564352</v>
      </c>
      <c r="Z270" s="258">
        <f t="shared" si="199"/>
        <v>51695616</v>
      </c>
      <c r="AA270" s="256">
        <f t="array" ref="AA270">MAX((IF(MNU_CODIGO_ALIMENTO_ENTREGA=CONCATENATE($C270,"_","P_"),MNU_GRAMAJE_REQUERIDO_TIPOM,"")))</f>
        <v>40</v>
      </c>
      <c r="AB270" s="259">
        <f t="shared" si="200"/>
        <v>12665</v>
      </c>
      <c r="AC270" s="259">
        <v>0</v>
      </c>
      <c r="AD270" s="259">
        <f t="shared" si="201"/>
        <v>12665</v>
      </c>
      <c r="AE270" s="260">
        <f t="shared" si="202"/>
        <v>3242240</v>
      </c>
      <c r="AF270" s="260">
        <v>0</v>
      </c>
      <c r="AG270" s="260">
        <f t="shared" si="203"/>
        <v>3242240</v>
      </c>
      <c r="AH270" s="348">
        <f t="array" ref="AH270">MAX((IF(MNU_CODIGO_ALIMENTO_ENTREGA=CONCATENATE($C270,"_","P_"),MNU_GRAMAJE_REQUERIDO_TIPOH,"")))</f>
        <v>60</v>
      </c>
      <c r="AI270" s="257">
        <f t="shared" si="204"/>
        <v>11849</v>
      </c>
      <c r="AJ270" s="257">
        <v>0</v>
      </c>
      <c r="AK270" s="257">
        <f t="shared" si="205"/>
        <v>11849</v>
      </c>
      <c r="AL270" s="258">
        <f t="shared" si="206"/>
        <v>4550016</v>
      </c>
      <c r="AM270" s="258">
        <v>0</v>
      </c>
      <c r="AN270" s="258">
        <f t="shared" si="207"/>
        <v>4550016</v>
      </c>
      <c r="AO270" s="451">
        <f t="shared" si="208"/>
        <v>395225</v>
      </c>
      <c r="AP270" s="450">
        <f t="shared" si="209"/>
        <v>119926144</v>
      </c>
      <c r="AQ270" s="261" t="e">
        <f>#REF!+AH270+AA270+T270+M270</f>
        <v>#REF!</v>
      </c>
      <c r="AR270" s="261">
        <f t="shared" si="168"/>
        <v>120145529</v>
      </c>
      <c r="AS270" s="261" t="e">
        <f t="shared" si="169"/>
        <v>#REF!</v>
      </c>
      <c r="AT270" s="261">
        <f t="shared" si="170"/>
        <v>120429352</v>
      </c>
      <c r="AU270" s="261" t="e">
        <f t="shared" si="171"/>
        <v>#REF!</v>
      </c>
      <c r="AV270" s="261">
        <f t="shared" si="172"/>
        <v>141780264</v>
      </c>
      <c r="AW270" s="261" t="e">
        <f t="shared" si="173"/>
        <v>#REF!</v>
      </c>
      <c r="AX270" s="261" t="e">
        <f>AV270+#REF!+AH270+AA270+T270</f>
        <v>#REF!</v>
      </c>
      <c r="AY270" s="261" t="e">
        <f t="shared" si="174"/>
        <v>#REF!</v>
      </c>
      <c r="AZ270" s="261" t="e">
        <f t="shared" si="175"/>
        <v>#REF!</v>
      </c>
      <c r="BA270" s="261" t="e">
        <f t="shared" si="176"/>
        <v>#REF!</v>
      </c>
      <c r="BB270" s="261" t="e">
        <f t="shared" si="177"/>
        <v>#REF!</v>
      </c>
      <c r="BC270" s="261" t="e">
        <f t="shared" si="178"/>
        <v>#REF!</v>
      </c>
      <c r="BD270" s="261" t="e">
        <f t="shared" si="179"/>
        <v>#REF!</v>
      </c>
      <c r="BE270" s="261" t="e">
        <f>BC270+AV270+#REF!+AH270+AA270</f>
        <v>#REF!</v>
      </c>
      <c r="BF270" s="261" t="e">
        <f t="shared" si="180"/>
        <v>#REF!</v>
      </c>
      <c r="BG270" s="261" t="e">
        <f t="shared" si="181"/>
        <v>#REF!</v>
      </c>
    </row>
    <row r="271" spans="1:59" ht="15.75">
      <c r="A271" s="333">
        <v>22</v>
      </c>
      <c r="B271" s="333" t="s">
        <v>1607</v>
      </c>
      <c r="C271" s="256">
        <v>26</v>
      </c>
      <c r="D271" s="322" t="s">
        <v>69</v>
      </c>
      <c r="E271" s="256" t="s">
        <v>9</v>
      </c>
      <c r="F271" s="425">
        <f t="array" ref="F271">MAX((IF(MNU_CODIGO_ALIMENTO_ENTREGA=CONCATENATE($C271,"_","P_"),MNU_GRAMAJE_REQUERIDO_TIPOA,"")))</f>
        <v>30</v>
      </c>
      <c r="G271" s="257">
        <f t="shared" si="182"/>
        <v>30684</v>
      </c>
      <c r="H271" s="257">
        <f t="shared" si="183"/>
        <v>0</v>
      </c>
      <c r="I271" s="257">
        <f t="shared" si="184"/>
        <v>30684</v>
      </c>
      <c r="J271" s="258">
        <f t="shared" si="185"/>
        <v>5246964</v>
      </c>
      <c r="K271" s="258">
        <f t="shared" si="186"/>
        <v>0</v>
      </c>
      <c r="L271" s="258">
        <f t="shared" si="187"/>
        <v>5246964</v>
      </c>
      <c r="M271" s="426">
        <f t="array" ref="M271">MAX((IF(MNU_CODIGO_ALIMENTO_ENTREGA=CONCATENATE($C271,"_","P_"),MNU_GRAMAJE_REQUERIDO_TIPOB,"")))</f>
        <v>30</v>
      </c>
      <c r="N271" s="343">
        <f t="shared" si="188"/>
        <v>34650</v>
      </c>
      <c r="O271" s="343">
        <f t="shared" si="189"/>
        <v>0</v>
      </c>
      <c r="P271" s="343">
        <f t="shared" si="190"/>
        <v>34650</v>
      </c>
      <c r="Q271" s="344">
        <f t="shared" si="191"/>
        <v>5925150</v>
      </c>
      <c r="R271" s="344">
        <f t="shared" si="192"/>
        <v>0</v>
      </c>
      <c r="S271" s="344">
        <f t="shared" si="193"/>
        <v>5925150</v>
      </c>
      <c r="T271" s="348">
        <f t="array" ref="T271">MAX((IF(MNU_CODIGO_ALIMENTO_ENTREGA=CONCATENATE($C271,"_","P_"),MNU_GRAMAJE_REQUERIDO_TIPOC,"")))</f>
        <v>30</v>
      </c>
      <c r="U271" s="257">
        <f t="shared" si="194"/>
        <v>34128</v>
      </c>
      <c r="V271" s="257">
        <f t="shared" si="195"/>
        <v>0</v>
      </c>
      <c r="W271" s="257">
        <f t="shared" si="196"/>
        <v>34128</v>
      </c>
      <c r="X271" s="258">
        <f t="shared" si="197"/>
        <v>5835888</v>
      </c>
      <c r="Y271" s="258">
        <f t="shared" si="198"/>
        <v>0</v>
      </c>
      <c r="Z271" s="258">
        <f t="shared" si="199"/>
        <v>5835888</v>
      </c>
      <c r="AA271" s="256">
        <f t="array" ref="AA271">MAX((IF(MNU_CODIGO_ALIMENTO_ENTREGA=CONCATENATE($C271,"_","P_"),MNU_GRAMAJE_REQUERIDO_TIPOM,"")))</f>
        <v>30</v>
      </c>
      <c r="AB271" s="259">
        <f t="shared" si="200"/>
        <v>4470</v>
      </c>
      <c r="AC271" s="259">
        <v>0</v>
      </c>
      <c r="AD271" s="259">
        <f t="shared" si="201"/>
        <v>4470</v>
      </c>
      <c r="AE271" s="260">
        <f t="shared" si="202"/>
        <v>764370</v>
      </c>
      <c r="AF271" s="260">
        <v>0</v>
      </c>
      <c r="AG271" s="260">
        <f t="shared" si="203"/>
        <v>764370</v>
      </c>
      <c r="AH271" s="348">
        <f t="array" ref="AH271">MAX((IF(MNU_CODIGO_ALIMENTO_ENTREGA=CONCATENATE($C271,"_","P_"),MNU_GRAMAJE_REQUERIDO_TIPOH,"")))</f>
        <v>30</v>
      </c>
      <c r="AI271" s="257">
        <f t="shared" si="204"/>
        <v>4182</v>
      </c>
      <c r="AJ271" s="257">
        <v>0</v>
      </c>
      <c r="AK271" s="257">
        <f t="shared" si="205"/>
        <v>4182</v>
      </c>
      <c r="AL271" s="258">
        <f t="shared" si="206"/>
        <v>715122</v>
      </c>
      <c r="AM271" s="258">
        <v>0</v>
      </c>
      <c r="AN271" s="258">
        <f t="shared" si="207"/>
        <v>715122</v>
      </c>
      <c r="AO271" s="451">
        <f t="shared" si="208"/>
        <v>108114</v>
      </c>
      <c r="AP271" s="450">
        <f t="shared" si="209"/>
        <v>18487494</v>
      </c>
      <c r="AQ271" s="261" t="e">
        <f>#REF!+AH271+AA271+T271+M271</f>
        <v>#REF!</v>
      </c>
      <c r="AR271" s="261">
        <f t="shared" si="168"/>
        <v>18564924</v>
      </c>
      <c r="AS271" s="261" t="e">
        <f t="shared" si="169"/>
        <v>#REF!</v>
      </c>
      <c r="AT271" s="261">
        <f t="shared" si="170"/>
        <v>18642354</v>
      </c>
      <c r="AU271" s="261" t="e">
        <f t="shared" si="171"/>
        <v>#REF!</v>
      </c>
      <c r="AV271" s="261">
        <f t="shared" si="172"/>
        <v>18642354</v>
      </c>
      <c r="AW271" s="261" t="e">
        <f t="shared" si="173"/>
        <v>#REF!</v>
      </c>
      <c r="AX271" s="261" t="e">
        <f>AV271+#REF!+AH271+AA271+T271</f>
        <v>#REF!</v>
      </c>
      <c r="AY271" s="261" t="e">
        <f t="shared" si="174"/>
        <v>#REF!</v>
      </c>
      <c r="AZ271" s="261" t="e">
        <f t="shared" si="175"/>
        <v>#REF!</v>
      </c>
      <c r="BA271" s="261" t="e">
        <f t="shared" si="176"/>
        <v>#REF!</v>
      </c>
      <c r="BB271" s="261" t="e">
        <f t="shared" si="177"/>
        <v>#REF!</v>
      </c>
      <c r="BC271" s="261" t="e">
        <f t="shared" si="178"/>
        <v>#REF!</v>
      </c>
      <c r="BD271" s="261" t="e">
        <f t="shared" si="179"/>
        <v>#REF!</v>
      </c>
      <c r="BE271" s="261" t="e">
        <f>BC271+AV271+#REF!+AH271+AA271</f>
        <v>#REF!</v>
      </c>
      <c r="BF271" s="261" t="e">
        <f t="shared" si="180"/>
        <v>#REF!</v>
      </c>
      <c r="BG271" s="261" t="e">
        <f t="shared" si="181"/>
        <v>#REF!</v>
      </c>
    </row>
    <row r="272" spans="1:59" ht="27">
      <c r="A272" s="333">
        <v>22</v>
      </c>
      <c r="B272" s="333" t="s">
        <v>1607</v>
      </c>
      <c r="C272" s="256">
        <v>28</v>
      </c>
      <c r="D272" s="322" t="s">
        <v>67</v>
      </c>
      <c r="E272" s="256" t="s">
        <v>9</v>
      </c>
      <c r="F272" s="425">
        <f t="array" ref="F272">MAX((IF(MNU_CODIGO_ALIMENTO_ENTREGA=CONCATENATE($C272,"_","P_"),MNU_GRAMAJE_REQUERIDO_TIPOA,"")))</f>
        <v>30</v>
      </c>
      <c r="G272" s="257">
        <f t="shared" si="182"/>
        <v>30684</v>
      </c>
      <c r="H272" s="257">
        <f t="shared" si="183"/>
        <v>21128</v>
      </c>
      <c r="I272" s="257">
        <f t="shared" si="184"/>
        <v>51812</v>
      </c>
      <c r="J272" s="258">
        <f t="shared" si="185"/>
        <v>6934584</v>
      </c>
      <c r="K272" s="258">
        <f t="shared" si="186"/>
        <v>4774928</v>
      </c>
      <c r="L272" s="258">
        <f t="shared" si="187"/>
        <v>11709512</v>
      </c>
      <c r="M272" s="426">
        <f t="array" ref="M272">MAX((IF(MNU_CODIGO_ALIMENTO_ENTREGA=CONCATENATE($C272,"_","P_"),MNU_GRAMAJE_REQUERIDO_TIPOB,"")))</f>
        <v>40</v>
      </c>
      <c r="N272" s="343">
        <f t="shared" si="188"/>
        <v>34650</v>
      </c>
      <c r="O272" s="343">
        <f t="shared" si="189"/>
        <v>22895</v>
      </c>
      <c r="P272" s="343">
        <f t="shared" si="190"/>
        <v>57545</v>
      </c>
      <c r="Q272" s="344">
        <f t="shared" si="191"/>
        <v>10429650</v>
      </c>
      <c r="R272" s="344">
        <f t="shared" si="192"/>
        <v>6891395</v>
      </c>
      <c r="S272" s="344">
        <f t="shared" si="193"/>
        <v>17321045</v>
      </c>
      <c r="T272" s="348">
        <f t="array" ref="T272">MAX((IF(MNU_CODIGO_ALIMENTO_ENTREGA=CONCATENATE($C272,"_","P_"),MNU_GRAMAJE_REQUERIDO_TIPOC,"")))</f>
        <v>60</v>
      </c>
      <c r="U272" s="257">
        <f t="shared" si="194"/>
        <v>34128</v>
      </c>
      <c r="V272" s="257">
        <f t="shared" si="195"/>
        <v>32756</v>
      </c>
      <c r="W272" s="257">
        <f t="shared" si="196"/>
        <v>66884</v>
      </c>
      <c r="X272" s="258">
        <f t="shared" si="197"/>
        <v>15391728</v>
      </c>
      <c r="Y272" s="258">
        <f t="shared" si="198"/>
        <v>14772956</v>
      </c>
      <c r="Z272" s="258">
        <f t="shared" si="199"/>
        <v>30164684</v>
      </c>
      <c r="AA272" s="256">
        <f t="array" ref="AA272">MAX((IF(MNU_CODIGO_ALIMENTO_ENTREGA=CONCATENATE($C272,"_","P_"),MNU_GRAMAJE_REQUERIDO_TIPOM,"")))</f>
        <v>40</v>
      </c>
      <c r="AB272" s="259">
        <f t="shared" si="200"/>
        <v>4470</v>
      </c>
      <c r="AC272" s="259">
        <v>0</v>
      </c>
      <c r="AD272" s="259">
        <f t="shared" si="201"/>
        <v>4470</v>
      </c>
      <c r="AE272" s="260">
        <f t="shared" si="202"/>
        <v>1345470</v>
      </c>
      <c r="AF272" s="260">
        <v>0</v>
      </c>
      <c r="AG272" s="260">
        <f t="shared" si="203"/>
        <v>1345470</v>
      </c>
      <c r="AH272" s="348">
        <f t="array" ref="AH272">MAX((IF(MNU_CODIGO_ALIMENTO_ENTREGA=CONCATENATE($C272,"_","P_"),MNU_GRAMAJE_REQUERIDO_TIPOH,"")))</f>
        <v>60</v>
      </c>
      <c r="AI272" s="257">
        <f t="shared" si="204"/>
        <v>4182</v>
      </c>
      <c r="AJ272" s="257">
        <v>0</v>
      </c>
      <c r="AK272" s="257">
        <f t="shared" si="205"/>
        <v>4182</v>
      </c>
      <c r="AL272" s="258">
        <f t="shared" si="206"/>
        <v>1886082</v>
      </c>
      <c r="AM272" s="258">
        <v>0</v>
      </c>
      <c r="AN272" s="258">
        <f t="shared" si="207"/>
        <v>1886082</v>
      </c>
      <c r="AO272" s="451">
        <f t="shared" si="208"/>
        <v>184893</v>
      </c>
      <c r="AP272" s="450">
        <f t="shared" si="209"/>
        <v>62426793</v>
      </c>
      <c r="AQ272" s="261" t="e">
        <f>#REF!+AH272+AA272+T272+M272</f>
        <v>#REF!</v>
      </c>
      <c r="AR272" s="261">
        <f t="shared" si="168"/>
        <v>62504223</v>
      </c>
      <c r="AS272" s="261" t="e">
        <f t="shared" si="169"/>
        <v>#REF!</v>
      </c>
      <c r="AT272" s="261">
        <f t="shared" si="170"/>
        <v>62637304</v>
      </c>
      <c r="AU272" s="261" t="e">
        <f t="shared" si="171"/>
        <v>#REF!</v>
      </c>
      <c r="AV272" s="261">
        <f t="shared" si="172"/>
        <v>84301655</v>
      </c>
      <c r="AW272" s="261" t="e">
        <f t="shared" si="173"/>
        <v>#REF!</v>
      </c>
      <c r="AX272" s="261" t="e">
        <f>AV272+#REF!+AH272+AA272+T272</f>
        <v>#REF!</v>
      </c>
      <c r="AY272" s="261" t="e">
        <f t="shared" si="174"/>
        <v>#REF!</v>
      </c>
      <c r="AZ272" s="261" t="e">
        <f t="shared" si="175"/>
        <v>#REF!</v>
      </c>
      <c r="BA272" s="261" t="e">
        <f t="shared" si="176"/>
        <v>#REF!</v>
      </c>
      <c r="BB272" s="261" t="e">
        <f t="shared" si="177"/>
        <v>#REF!</v>
      </c>
      <c r="BC272" s="261" t="e">
        <f t="shared" si="178"/>
        <v>#REF!</v>
      </c>
      <c r="BD272" s="261" t="e">
        <f t="shared" si="179"/>
        <v>#REF!</v>
      </c>
      <c r="BE272" s="261" t="e">
        <f>BC272+AV272+#REF!+AH272+AA272</f>
        <v>#REF!</v>
      </c>
      <c r="BF272" s="261" t="e">
        <f t="shared" si="180"/>
        <v>#REF!</v>
      </c>
      <c r="BG272" s="261" t="e">
        <f t="shared" si="181"/>
        <v>#REF!</v>
      </c>
    </row>
    <row r="273" spans="1:59" ht="15.75">
      <c r="A273" s="333">
        <v>22</v>
      </c>
      <c r="B273" s="333" t="s">
        <v>1607</v>
      </c>
      <c r="C273" s="256">
        <v>30</v>
      </c>
      <c r="D273" s="322" t="s">
        <v>63</v>
      </c>
      <c r="E273" s="256" t="s">
        <v>9</v>
      </c>
      <c r="F273" s="425">
        <f t="array" ref="F273">MAX((IF(MNU_CODIGO_ALIMENTO_ENTREGA=CONCATENATE($C273,"_","P_"),MNU_GRAMAJE_REQUERIDO_TIPOA,"")))</f>
        <v>30</v>
      </c>
      <c r="G273" s="257">
        <f t="shared" si="182"/>
        <v>81824</v>
      </c>
      <c r="H273" s="257">
        <f t="shared" si="183"/>
        <v>0</v>
      </c>
      <c r="I273" s="257">
        <f t="shared" si="184"/>
        <v>81824</v>
      </c>
      <c r="J273" s="258">
        <f t="shared" si="185"/>
        <v>27165568</v>
      </c>
      <c r="K273" s="258">
        <f t="shared" si="186"/>
        <v>0</v>
      </c>
      <c r="L273" s="258">
        <f t="shared" si="187"/>
        <v>27165568</v>
      </c>
      <c r="M273" s="426">
        <f t="array" ref="M273">MAX((IF(MNU_CODIGO_ALIMENTO_ENTREGA=CONCATENATE($C273,"_","P_"),MNU_GRAMAJE_REQUERIDO_TIPOB,"")))</f>
        <v>30</v>
      </c>
      <c r="N273" s="343">
        <f t="shared" si="188"/>
        <v>92400</v>
      </c>
      <c r="O273" s="343">
        <f t="shared" si="189"/>
        <v>0</v>
      </c>
      <c r="P273" s="343">
        <f t="shared" si="190"/>
        <v>92400</v>
      </c>
      <c r="Q273" s="344">
        <f t="shared" si="191"/>
        <v>30676800</v>
      </c>
      <c r="R273" s="344">
        <f t="shared" si="192"/>
        <v>0</v>
      </c>
      <c r="S273" s="344">
        <f t="shared" si="193"/>
        <v>30676800</v>
      </c>
      <c r="T273" s="348">
        <f t="array" ref="T273">MAX((IF(MNU_CODIGO_ALIMENTO_ENTREGA=CONCATENATE($C273,"_","P_"),MNU_GRAMAJE_REQUERIDO_TIPOC,"")))</f>
        <v>30</v>
      </c>
      <c r="U273" s="257">
        <f t="shared" si="194"/>
        <v>91008</v>
      </c>
      <c r="V273" s="257">
        <f t="shared" si="195"/>
        <v>0</v>
      </c>
      <c r="W273" s="257">
        <f t="shared" si="196"/>
        <v>91008</v>
      </c>
      <c r="X273" s="258">
        <f t="shared" si="197"/>
        <v>30214656</v>
      </c>
      <c r="Y273" s="258">
        <f t="shared" si="198"/>
        <v>0</v>
      </c>
      <c r="Z273" s="258">
        <f t="shared" si="199"/>
        <v>30214656</v>
      </c>
      <c r="AA273" s="256">
        <f t="array" ref="AA273">MAX((IF(MNU_CODIGO_ALIMENTO_ENTREGA=CONCATENATE($C273,"_","P_"),MNU_GRAMAJE_REQUERIDO_TIPOM,"")))</f>
        <v>30</v>
      </c>
      <c r="AB273" s="259">
        <f t="shared" si="200"/>
        <v>11920</v>
      </c>
      <c r="AC273" s="259">
        <v>0</v>
      </c>
      <c r="AD273" s="259">
        <f t="shared" si="201"/>
        <v>11920</v>
      </c>
      <c r="AE273" s="260">
        <f t="shared" si="202"/>
        <v>3957440</v>
      </c>
      <c r="AF273" s="260">
        <v>0</v>
      </c>
      <c r="AG273" s="260">
        <f t="shared" si="203"/>
        <v>3957440</v>
      </c>
      <c r="AH273" s="348">
        <f t="array" ref="AH273">MAX((IF(MNU_CODIGO_ALIMENTO_ENTREGA=CONCATENATE($C273,"_","P_"),MNU_GRAMAJE_REQUERIDO_TIPOH,"")))</f>
        <v>30</v>
      </c>
      <c r="AI273" s="257">
        <f t="shared" si="204"/>
        <v>11152</v>
      </c>
      <c r="AJ273" s="257">
        <v>0</v>
      </c>
      <c r="AK273" s="257">
        <f t="shared" si="205"/>
        <v>11152</v>
      </c>
      <c r="AL273" s="258">
        <f t="shared" si="206"/>
        <v>3702464</v>
      </c>
      <c r="AM273" s="258">
        <v>0</v>
      </c>
      <c r="AN273" s="258">
        <f t="shared" si="207"/>
        <v>3702464</v>
      </c>
      <c r="AO273" s="451">
        <f t="shared" si="208"/>
        <v>288304</v>
      </c>
      <c r="AP273" s="450">
        <f t="shared" si="209"/>
        <v>95716928</v>
      </c>
      <c r="AQ273" s="261" t="e">
        <f>#REF!+AH273+AA273+T273+M273</f>
        <v>#REF!</v>
      </c>
      <c r="AR273" s="261">
        <f t="shared" si="168"/>
        <v>95923408</v>
      </c>
      <c r="AS273" s="261" t="e">
        <f t="shared" si="169"/>
        <v>#REF!</v>
      </c>
      <c r="AT273" s="261">
        <f t="shared" si="170"/>
        <v>96129888</v>
      </c>
      <c r="AU273" s="261" t="e">
        <f t="shared" si="171"/>
        <v>#REF!</v>
      </c>
      <c r="AV273" s="261">
        <f t="shared" si="172"/>
        <v>96129888</v>
      </c>
      <c r="AW273" s="261" t="e">
        <f t="shared" si="173"/>
        <v>#REF!</v>
      </c>
      <c r="AX273" s="261" t="e">
        <f>AV273+#REF!+AH273+AA273+T273</f>
        <v>#REF!</v>
      </c>
      <c r="AY273" s="261" t="e">
        <f t="shared" si="174"/>
        <v>#REF!</v>
      </c>
      <c r="AZ273" s="261" t="e">
        <f t="shared" si="175"/>
        <v>#REF!</v>
      </c>
      <c r="BA273" s="261" t="e">
        <f t="shared" si="176"/>
        <v>#REF!</v>
      </c>
      <c r="BB273" s="261" t="e">
        <f t="shared" si="177"/>
        <v>#REF!</v>
      </c>
      <c r="BC273" s="261" t="e">
        <f t="shared" si="178"/>
        <v>#REF!</v>
      </c>
      <c r="BD273" s="261" t="e">
        <f t="shared" si="179"/>
        <v>#REF!</v>
      </c>
      <c r="BE273" s="261" t="e">
        <f>BC273+AV273+#REF!+AH273+AA273</f>
        <v>#REF!</v>
      </c>
      <c r="BF273" s="261" t="e">
        <f t="shared" si="180"/>
        <v>#REF!</v>
      </c>
      <c r="BG273" s="261" t="e">
        <f t="shared" si="181"/>
        <v>#REF!</v>
      </c>
    </row>
    <row r="274" spans="1:59" ht="15.75">
      <c r="A274" s="333">
        <v>22</v>
      </c>
      <c r="B274" s="333" t="s">
        <v>1607</v>
      </c>
      <c r="C274" s="256">
        <v>45</v>
      </c>
      <c r="D274" s="322" t="s">
        <v>10</v>
      </c>
      <c r="E274" s="256" t="s">
        <v>9</v>
      </c>
      <c r="F274" s="425">
        <f t="array" ref="F274">MAX((IF(MNU_CODIGO_ALIMENTO_ENTREGA=CONCATENATE($C274,"_","P_"),MNU_GRAMAJE_REQUERIDO_TIPOA,"")))</f>
        <v>20</v>
      </c>
      <c r="G274" s="257">
        <f t="shared" si="182"/>
        <v>81824</v>
      </c>
      <c r="H274" s="257">
        <f t="shared" si="183"/>
        <v>22240</v>
      </c>
      <c r="I274" s="257">
        <f t="shared" si="184"/>
        <v>104064</v>
      </c>
      <c r="J274" s="258">
        <f t="shared" si="185"/>
        <v>16282976</v>
      </c>
      <c r="K274" s="258">
        <f t="shared" si="186"/>
        <v>4425760</v>
      </c>
      <c r="L274" s="258">
        <f t="shared" si="187"/>
        <v>20708736</v>
      </c>
      <c r="M274" s="426">
        <f t="array" ref="M274">MAX((IF(MNU_CODIGO_ALIMENTO_ENTREGA=CONCATENATE($C274,"_","P_"),MNU_GRAMAJE_REQUERIDO_TIPOB,"")))</f>
        <v>30</v>
      </c>
      <c r="N274" s="343">
        <f t="shared" si="188"/>
        <v>92400</v>
      </c>
      <c r="O274" s="343">
        <f t="shared" si="189"/>
        <v>24100</v>
      </c>
      <c r="P274" s="343">
        <f t="shared" si="190"/>
        <v>116500</v>
      </c>
      <c r="Q274" s="344">
        <f t="shared" si="191"/>
        <v>27535200</v>
      </c>
      <c r="R274" s="344">
        <f t="shared" si="192"/>
        <v>7181800</v>
      </c>
      <c r="S274" s="344">
        <f t="shared" si="193"/>
        <v>34717000</v>
      </c>
      <c r="T274" s="348">
        <f t="array" ref="T274">MAX((IF(MNU_CODIGO_ALIMENTO_ENTREGA=CONCATENATE($C274,"_","P_"),MNU_GRAMAJE_REQUERIDO_TIPOC,"")))</f>
        <v>60</v>
      </c>
      <c r="U274" s="257">
        <f t="shared" si="194"/>
        <v>91008</v>
      </c>
      <c r="V274" s="257">
        <f t="shared" si="195"/>
        <v>34480</v>
      </c>
      <c r="W274" s="257">
        <f t="shared" si="196"/>
        <v>125488</v>
      </c>
      <c r="X274" s="258">
        <f t="shared" si="197"/>
        <v>54331776</v>
      </c>
      <c r="Y274" s="258">
        <f t="shared" si="198"/>
        <v>20584560</v>
      </c>
      <c r="Z274" s="258">
        <f t="shared" si="199"/>
        <v>74916336</v>
      </c>
      <c r="AA274" s="256">
        <f t="array" ref="AA274">MAX((IF(MNU_CODIGO_ALIMENTO_ENTREGA=CONCATENATE($C274,"_","P_"),MNU_GRAMAJE_REQUERIDO_TIPOM,"")))</f>
        <v>30</v>
      </c>
      <c r="AB274" s="259">
        <f t="shared" si="200"/>
        <v>11920</v>
      </c>
      <c r="AC274" s="259">
        <v>0</v>
      </c>
      <c r="AD274" s="259">
        <f t="shared" si="201"/>
        <v>11920</v>
      </c>
      <c r="AE274" s="260">
        <f t="shared" si="202"/>
        <v>3552160</v>
      </c>
      <c r="AF274" s="260">
        <v>0</v>
      </c>
      <c r="AG274" s="260">
        <f t="shared" si="203"/>
        <v>3552160</v>
      </c>
      <c r="AH274" s="348">
        <f t="array" ref="AH274">MAX((IF(MNU_CODIGO_ALIMENTO_ENTREGA=CONCATENATE($C274,"_","P_"),MNU_GRAMAJE_REQUERIDO_TIPOH,"")))</f>
        <v>60</v>
      </c>
      <c r="AI274" s="257">
        <f t="shared" si="204"/>
        <v>11152</v>
      </c>
      <c r="AJ274" s="257">
        <v>0</v>
      </c>
      <c r="AK274" s="257">
        <f t="shared" si="205"/>
        <v>11152</v>
      </c>
      <c r="AL274" s="258">
        <f t="shared" si="206"/>
        <v>6657744</v>
      </c>
      <c r="AM274" s="258">
        <v>0</v>
      </c>
      <c r="AN274" s="258">
        <f t="shared" si="207"/>
        <v>6657744</v>
      </c>
      <c r="AO274" s="451">
        <f t="shared" si="208"/>
        <v>369124</v>
      </c>
      <c r="AP274" s="450">
        <f t="shared" si="209"/>
        <v>140551976</v>
      </c>
      <c r="AQ274" s="261" t="e">
        <f>#REF!+AH274+AA274+T274+M274</f>
        <v>#REF!</v>
      </c>
      <c r="AR274" s="261">
        <f t="shared" si="168"/>
        <v>140758456</v>
      </c>
      <c r="AS274" s="261" t="e">
        <f t="shared" si="169"/>
        <v>#REF!</v>
      </c>
      <c r="AT274" s="261">
        <f t="shared" si="170"/>
        <v>141023516</v>
      </c>
      <c r="AU274" s="261" t="e">
        <f t="shared" si="171"/>
        <v>#REF!</v>
      </c>
      <c r="AV274" s="261">
        <f t="shared" si="172"/>
        <v>168789876</v>
      </c>
      <c r="AW274" s="261" t="e">
        <f t="shared" si="173"/>
        <v>#REF!</v>
      </c>
      <c r="AX274" s="261" t="e">
        <f>AV274+#REF!+AH274+AA274+T274</f>
        <v>#REF!</v>
      </c>
      <c r="AY274" s="261" t="e">
        <f t="shared" si="174"/>
        <v>#REF!</v>
      </c>
      <c r="AZ274" s="261" t="e">
        <f t="shared" si="175"/>
        <v>#REF!</v>
      </c>
      <c r="BA274" s="261" t="e">
        <f t="shared" si="176"/>
        <v>#REF!</v>
      </c>
      <c r="BB274" s="261" t="e">
        <f t="shared" si="177"/>
        <v>#REF!</v>
      </c>
      <c r="BC274" s="261" t="e">
        <f t="shared" si="178"/>
        <v>#REF!</v>
      </c>
      <c r="BD274" s="261" t="e">
        <f t="shared" si="179"/>
        <v>#REF!</v>
      </c>
      <c r="BE274" s="261" t="e">
        <f>BC274+AV274+#REF!+AH274+AA274</f>
        <v>#REF!</v>
      </c>
      <c r="BF274" s="261" t="e">
        <f t="shared" si="180"/>
        <v>#REF!</v>
      </c>
      <c r="BG274" s="261" t="e">
        <f t="shared" si="181"/>
        <v>#REF!</v>
      </c>
    </row>
    <row r="275" spans="1:59" ht="15.75">
      <c r="A275" s="333">
        <v>22</v>
      </c>
      <c r="B275" s="333" t="s">
        <v>1607</v>
      </c>
      <c r="C275" s="256">
        <v>50</v>
      </c>
      <c r="D275" s="322" t="s">
        <v>65</v>
      </c>
      <c r="E275" s="256" t="s">
        <v>9</v>
      </c>
      <c r="F275" s="425">
        <f t="array" ref="F275">MAX((IF(MNU_CODIGO_ALIMENTO_ENTREGA=CONCATENATE($C275,"_","P_"),MNU_GRAMAJE_REQUERIDO_TIPOA,"")))</f>
        <v>30</v>
      </c>
      <c r="G275" s="257">
        <f t="shared" si="182"/>
        <v>86938</v>
      </c>
      <c r="H275" s="257">
        <f t="shared" si="183"/>
        <v>0</v>
      </c>
      <c r="I275" s="257">
        <f t="shared" si="184"/>
        <v>86938</v>
      </c>
      <c r="J275" s="258">
        <f t="shared" si="185"/>
        <v>27907098</v>
      </c>
      <c r="K275" s="258">
        <f t="shared" si="186"/>
        <v>0</v>
      </c>
      <c r="L275" s="258">
        <f t="shared" si="187"/>
        <v>27907098</v>
      </c>
      <c r="M275" s="426">
        <f t="array" ref="M275">MAX((IF(MNU_CODIGO_ALIMENTO_ENTREGA=CONCATENATE($C275,"_","P_"),MNU_GRAMAJE_REQUERIDO_TIPOB,"")))</f>
        <v>40</v>
      </c>
      <c r="N275" s="343">
        <f t="shared" si="188"/>
        <v>98175</v>
      </c>
      <c r="O275" s="343">
        <f t="shared" si="189"/>
        <v>0</v>
      </c>
      <c r="P275" s="343">
        <f t="shared" si="190"/>
        <v>98175</v>
      </c>
      <c r="Q275" s="344">
        <f t="shared" si="191"/>
        <v>42018900</v>
      </c>
      <c r="R275" s="344">
        <f t="shared" si="192"/>
        <v>0</v>
      </c>
      <c r="S275" s="344">
        <f t="shared" si="193"/>
        <v>42018900</v>
      </c>
      <c r="T275" s="348">
        <f t="array" ref="T275">MAX((IF(MNU_CODIGO_ALIMENTO_ENTREGA=CONCATENATE($C275,"_","P_"),MNU_GRAMAJE_REQUERIDO_TIPOC,"")))</f>
        <v>80</v>
      </c>
      <c r="U275" s="257">
        <f t="shared" si="194"/>
        <v>96696</v>
      </c>
      <c r="V275" s="257">
        <f t="shared" si="195"/>
        <v>0</v>
      </c>
      <c r="W275" s="257">
        <f t="shared" si="196"/>
        <v>96696</v>
      </c>
      <c r="X275" s="258">
        <f t="shared" si="197"/>
        <v>82675080</v>
      </c>
      <c r="Y275" s="258">
        <f t="shared" si="198"/>
        <v>0</v>
      </c>
      <c r="Z275" s="258">
        <f t="shared" si="199"/>
        <v>82675080</v>
      </c>
      <c r="AA275" s="256">
        <f t="array" ref="AA275">MAX((IF(MNU_CODIGO_ALIMENTO_ENTREGA=CONCATENATE($C275,"_","P_"),MNU_GRAMAJE_REQUERIDO_TIPOM,"")))</f>
        <v>40</v>
      </c>
      <c r="AB275" s="259">
        <f t="shared" si="200"/>
        <v>12665</v>
      </c>
      <c r="AC275" s="259">
        <v>0</v>
      </c>
      <c r="AD275" s="259">
        <f t="shared" si="201"/>
        <v>12665</v>
      </c>
      <c r="AE275" s="260">
        <f t="shared" si="202"/>
        <v>5420620</v>
      </c>
      <c r="AF275" s="260">
        <v>0</v>
      </c>
      <c r="AG275" s="260">
        <f t="shared" si="203"/>
        <v>5420620</v>
      </c>
      <c r="AH275" s="348">
        <f t="array" ref="AH275">MAX((IF(MNU_CODIGO_ALIMENTO_ENTREGA=CONCATENATE($C275,"_","P_"),MNU_GRAMAJE_REQUERIDO_TIPOH,"")))</f>
        <v>80</v>
      </c>
      <c r="AI275" s="257">
        <f t="shared" si="204"/>
        <v>11849</v>
      </c>
      <c r="AJ275" s="257">
        <v>0</v>
      </c>
      <c r="AK275" s="257">
        <f t="shared" si="205"/>
        <v>11849</v>
      </c>
      <c r="AL275" s="258">
        <f t="shared" si="206"/>
        <v>10130895</v>
      </c>
      <c r="AM275" s="258">
        <v>0</v>
      </c>
      <c r="AN275" s="258">
        <f t="shared" si="207"/>
        <v>10130895</v>
      </c>
      <c r="AO275" s="451">
        <f t="shared" si="208"/>
        <v>306323</v>
      </c>
      <c r="AP275" s="450">
        <f t="shared" si="209"/>
        <v>168152593</v>
      </c>
      <c r="AQ275" s="261" t="e">
        <f>#REF!+AH275+AA275+T275+M275</f>
        <v>#REF!</v>
      </c>
      <c r="AR275" s="261">
        <f t="shared" si="168"/>
        <v>168371978</v>
      </c>
      <c r="AS275" s="261" t="e">
        <f t="shared" si="169"/>
        <v>#REF!</v>
      </c>
      <c r="AT275" s="261">
        <f t="shared" si="170"/>
        <v>168591363</v>
      </c>
      <c r="AU275" s="261" t="e">
        <f t="shared" si="171"/>
        <v>#REF!</v>
      </c>
      <c r="AV275" s="261">
        <f t="shared" si="172"/>
        <v>168591363</v>
      </c>
      <c r="AW275" s="261" t="e">
        <f t="shared" si="173"/>
        <v>#REF!</v>
      </c>
      <c r="AX275" s="261" t="e">
        <f>AV275+#REF!+AH275+AA275+T275</f>
        <v>#REF!</v>
      </c>
      <c r="AY275" s="261" t="e">
        <f t="shared" si="174"/>
        <v>#REF!</v>
      </c>
      <c r="AZ275" s="261" t="e">
        <f t="shared" si="175"/>
        <v>#REF!</v>
      </c>
      <c r="BA275" s="261" t="e">
        <f t="shared" si="176"/>
        <v>#REF!</v>
      </c>
      <c r="BB275" s="261" t="e">
        <f t="shared" si="177"/>
        <v>#REF!</v>
      </c>
      <c r="BC275" s="261" t="e">
        <f t="shared" si="178"/>
        <v>#REF!</v>
      </c>
      <c r="BD275" s="261" t="e">
        <f t="shared" si="179"/>
        <v>#REF!</v>
      </c>
      <c r="BE275" s="261" t="e">
        <f>BC275+AV275+#REF!+AH275+AA275</f>
        <v>#REF!</v>
      </c>
      <c r="BF275" s="261" t="e">
        <f t="shared" si="180"/>
        <v>#REF!</v>
      </c>
      <c r="BG275" s="261" t="e">
        <f t="shared" si="181"/>
        <v>#REF!</v>
      </c>
    </row>
    <row r="276" spans="1:59" ht="15.75">
      <c r="A276" s="333">
        <v>22</v>
      </c>
      <c r="B276" s="333" t="s">
        <v>1607</v>
      </c>
      <c r="C276" s="256">
        <v>61</v>
      </c>
      <c r="D276" s="322" t="s">
        <v>13</v>
      </c>
      <c r="E276" s="256" t="s">
        <v>9</v>
      </c>
      <c r="F276" s="425">
        <f t="array" ref="F276">MAX((IF(MNU_CODIGO_ALIMENTO_ENTREGA=CONCATENATE($C276,"_","P_"),MNU_GRAMAJE_REQUERIDO_TIPOA,"")))</f>
        <v>20</v>
      </c>
      <c r="G276" s="257">
        <f t="shared" si="182"/>
        <v>81824</v>
      </c>
      <c r="H276" s="257">
        <f t="shared" si="183"/>
        <v>22240</v>
      </c>
      <c r="I276" s="257">
        <f t="shared" si="184"/>
        <v>104064</v>
      </c>
      <c r="J276" s="258">
        <f t="shared" si="185"/>
        <v>19064992</v>
      </c>
      <c r="K276" s="258">
        <f t="shared" si="186"/>
        <v>5181920</v>
      </c>
      <c r="L276" s="258">
        <f t="shared" si="187"/>
        <v>24246912</v>
      </c>
      <c r="M276" s="426">
        <f t="array" ref="M276">MAX((IF(MNU_CODIGO_ALIMENTO_ENTREGA=CONCATENATE($C276,"_","P_"),MNU_GRAMAJE_REQUERIDO_TIPOB,"")))</f>
        <v>30</v>
      </c>
      <c r="N276" s="343">
        <f t="shared" si="188"/>
        <v>92400</v>
      </c>
      <c r="O276" s="343">
        <f t="shared" si="189"/>
        <v>24100</v>
      </c>
      <c r="P276" s="343">
        <f t="shared" si="190"/>
        <v>116500</v>
      </c>
      <c r="Q276" s="344">
        <f t="shared" si="191"/>
        <v>32432400</v>
      </c>
      <c r="R276" s="344">
        <f t="shared" si="192"/>
        <v>8459100</v>
      </c>
      <c r="S276" s="344">
        <f t="shared" si="193"/>
        <v>40891500</v>
      </c>
      <c r="T276" s="348">
        <f t="array" ref="T276">MAX((IF(MNU_CODIGO_ALIMENTO_ENTREGA=CONCATENATE($C276,"_","P_"),MNU_GRAMAJE_REQUERIDO_TIPOC,"")))</f>
        <v>70</v>
      </c>
      <c r="U276" s="257">
        <f t="shared" si="194"/>
        <v>91008</v>
      </c>
      <c r="V276" s="257">
        <f t="shared" si="195"/>
        <v>34480</v>
      </c>
      <c r="W276" s="257">
        <f t="shared" si="196"/>
        <v>125488</v>
      </c>
      <c r="X276" s="258">
        <f t="shared" si="197"/>
        <v>74444544</v>
      </c>
      <c r="Y276" s="258">
        <f t="shared" si="198"/>
        <v>28204640</v>
      </c>
      <c r="Z276" s="258">
        <f t="shared" si="199"/>
        <v>102649184</v>
      </c>
      <c r="AA276" s="256">
        <f t="array" ref="AA276">MAX((IF(MNU_CODIGO_ALIMENTO_ENTREGA=CONCATENATE($C276,"_","P_"),MNU_GRAMAJE_REQUERIDO_TIPOM,"")))</f>
        <v>30</v>
      </c>
      <c r="AB276" s="259">
        <f t="shared" si="200"/>
        <v>11920</v>
      </c>
      <c r="AC276" s="259">
        <v>0</v>
      </c>
      <c r="AD276" s="259">
        <f t="shared" si="201"/>
        <v>11920</v>
      </c>
      <c r="AE276" s="260">
        <f t="shared" si="202"/>
        <v>4183920</v>
      </c>
      <c r="AF276" s="260">
        <v>0</v>
      </c>
      <c r="AG276" s="260">
        <f t="shared" si="203"/>
        <v>4183920</v>
      </c>
      <c r="AH276" s="348">
        <f t="array" ref="AH276">MAX((IF(MNU_CODIGO_ALIMENTO_ENTREGA=CONCATENATE($C276,"_","P_"),MNU_GRAMAJE_REQUERIDO_TIPOH,"")))</f>
        <v>70</v>
      </c>
      <c r="AI276" s="257">
        <f t="shared" si="204"/>
        <v>11152</v>
      </c>
      <c r="AJ276" s="257">
        <v>0</v>
      </c>
      <c r="AK276" s="257">
        <f t="shared" si="205"/>
        <v>11152</v>
      </c>
      <c r="AL276" s="258">
        <f t="shared" si="206"/>
        <v>9122336</v>
      </c>
      <c r="AM276" s="258">
        <v>0</v>
      </c>
      <c r="AN276" s="258">
        <f t="shared" si="207"/>
        <v>9122336</v>
      </c>
      <c r="AO276" s="451">
        <f t="shared" si="208"/>
        <v>369124</v>
      </c>
      <c r="AP276" s="450">
        <f t="shared" si="209"/>
        <v>181093852</v>
      </c>
      <c r="AQ276" s="261" t="e">
        <f>#REF!+AH276+AA276+T276+M276</f>
        <v>#REF!</v>
      </c>
      <c r="AR276" s="261">
        <f t="shared" si="168"/>
        <v>181300332</v>
      </c>
      <c r="AS276" s="261" t="e">
        <f t="shared" si="169"/>
        <v>#REF!</v>
      </c>
      <c r="AT276" s="261">
        <f t="shared" si="170"/>
        <v>181565392</v>
      </c>
      <c r="AU276" s="261" t="e">
        <f t="shared" si="171"/>
        <v>#REF!</v>
      </c>
      <c r="AV276" s="261">
        <f t="shared" si="172"/>
        <v>218229132</v>
      </c>
      <c r="AW276" s="261" t="e">
        <f t="shared" si="173"/>
        <v>#REF!</v>
      </c>
      <c r="AX276" s="261" t="e">
        <f>AV276+#REF!+AH276+AA276+T276</f>
        <v>#REF!</v>
      </c>
      <c r="AY276" s="261" t="e">
        <f t="shared" si="174"/>
        <v>#REF!</v>
      </c>
      <c r="AZ276" s="261" t="e">
        <f t="shared" si="175"/>
        <v>#REF!</v>
      </c>
      <c r="BA276" s="261" t="e">
        <f t="shared" si="176"/>
        <v>#REF!</v>
      </c>
      <c r="BB276" s="261" t="e">
        <f t="shared" si="177"/>
        <v>#REF!</v>
      </c>
      <c r="BC276" s="261" t="e">
        <f t="shared" si="178"/>
        <v>#REF!</v>
      </c>
      <c r="BD276" s="261" t="e">
        <f t="shared" si="179"/>
        <v>#REF!</v>
      </c>
      <c r="BE276" s="261" t="e">
        <f>BC276+AV276+#REF!+AH276+AA276</f>
        <v>#REF!</v>
      </c>
      <c r="BF276" s="261" t="e">
        <f t="shared" si="180"/>
        <v>#REF!</v>
      </c>
      <c r="BG276" s="261" t="e">
        <f t="shared" si="181"/>
        <v>#REF!</v>
      </c>
    </row>
    <row r="277" spans="1:59" ht="15.75">
      <c r="A277" s="333">
        <v>22</v>
      </c>
      <c r="B277" s="333" t="s">
        <v>1607</v>
      </c>
      <c r="C277" s="256">
        <v>62</v>
      </c>
      <c r="D277" s="322" t="s">
        <v>68</v>
      </c>
      <c r="E277" s="256" t="s">
        <v>9</v>
      </c>
      <c r="F277" s="425">
        <f t="array" ref="F277">MAX((IF(MNU_CODIGO_ALIMENTO_ENTREGA=CONCATENATE($C277,"_","P_"),MNU_GRAMAJE_REQUERIDO_TIPOA,"")))</f>
        <v>50</v>
      </c>
      <c r="G277" s="257">
        <f t="shared" si="182"/>
        <v>25570</v>
      </c>
      <c r="H277" s="257">
        <f t="shared" si="183"/>
        <v>0</v>
      </c>
      <c r="I277" s="257">
        <f t="shared" si="184"/>
        <v>25570</v>
      </c>
      <c r="J277" s="258">
        <f t="shared" si="185"/>
        <v>15981250</v>
      </c>
      <c r="K277" s="258">
        <f t="shared" si="186"/>
        <v>0</v>
      </c>
      <c r="L277" s="258">
        <f t="shared" si="187"/>
        <v>15981250</v>
      </c>
      <c r="M277" s="426">
        <f t="array" ref="M277">MAX((IF(MNU_CODIGO_ALIMENTO_ENTREGA=CONCATENATE($C277,"_","P_"),MNU_GRAMAJE_REQUERIDO_TIPOB,"")))</f>
        <v>50</v>
      </c>
      <c r="N277" s="343">
        <f t="shared" si="188"/>
        <v>28875</v>
      </c>
      <c r="O277" s="343">
        <f t="shared" si="189"/>
        <v>0</v>
      </c>
      <c r="P277" s="343">
        <f t="shared" si="190"/>
        <v>28875</v>
      </c>
      <c r="Q277" s="344">
        <f t="shared" si="191"/>
        <v>18046875</v>
      </c>
      <c r="R277" s="344">
        <f t="shared" si="192"/>
        <v>0</v>
      </c>
      <c r="S277" s="344">
        <f t="shared" si="193"/>
        <v>18046875</v>
      </c>
      <c r="T277" s="348">
        <f t="array" ref="T277">MAX((IF(MNU_CODIGO_ALIMENTO_ENTREGA=CONCATENATE($C277,"_","P_"),MNU_GRAMAJE_REQUERIDO_TIPOC,"")))</f>
        <v>50</v>
      </c>
      <c r="U277" s="257">
        <f t="shared" si="194"/>
        <v>28440</v>
      </c>
      <c r="V277" s="257">
        <f t="shared" si="195"/>
        <v>0</v>
      </c>
      <c r="W277" s="257">
        <f t="shared" si="196"/>
        <v>28440</v>
      </c>
      <c r="X277" s="258">
        <f t="shared" si="197"/>
        <v>17775000</v>
      </c>
      <c r="Y277" s="258">
        <f t="shared" si="198"/>
        <v>0</v>
      </c>
      <c r="Z277" s="258">
        <f t="shared" si="199"/>
        <v>17775000</v>
      </c>
      <c r="AA277" s="256">
        <f t="array" ref="AA277">MAX((IF(MNU_CODIGO_ALIMENTO_ENTREGA=CONCATENATE($C277,"_","P_"),MNU_GRAMAJE_REQUERIDO_TIPOM,"")))</f>
        <v>50</v>
      </c>
      <c r="AB277" s="259">
        <f t="shared" si="200"/>
        <v>3725</v>
      </c>
      <c r="AC277" s="259">
        <v>0</v>
      </c>
      <c r="AD277" s="259">
        <f t="shared" si="201"/>
        <v>3725</v>
      </c>
      <c r="AE277" s="260">
        <f t="shared" si="202"/>
        <v>2328125</v>
      </c>
      <c r="AF277" s="260">
        <v>0</v>
      </c>
      <c r="AG277" s="260">
        <f t="shared" si="203"/>
        <v>2328125</v>
      </c>
      <c r="AH277" s="348">
        <f t="array" ref="AH277">MAX((IF(MNU_CODIGO_ALIMENTO_ENTREGA=CONCATENATE($C277,"_","P_"),MNU_GRAMAJE_REQUERIDO_TIPOH,"")))</f>
        <v>50</v>
      </c>
      <c r="AI277" s="257">
        <f t="shared" si="204"/>
        <v>3485</v>
      </c>
      <c r="AJ277" s="257">
        <v>0</v>
      </c>
      <c r="AK277" s="257">
        <f t="shared" si="205"/>
        <v>3485</v>
      </c>
      <c r="AL277" s="258">
        <f t="shared" si="206"/>
        <v>2178125</v>
      </c>
      <c r="AM277" s="258">
        <v>0</v>
      </c>
      <c r="AN277" s="258">
        <f t="shared" si="207"/>
        <v>2178125</v>
      </c>
      <c r="AO277" s="451">
        <f t="shared" si="208"/>
        <v>90095</v>
      </c>
      <c r="AP277" s="450">
        <f t="shared" si="209"/>
        <v>56309375</v>
      </c>
      <c r="AQ277" s="261" t="e">
        <f>#REF!+AH277+AA277+T277+M277</f>
        <v>#REF!</v>
      </c>
      <c r="AR277" s="261">
        <f t="shared" si="168"/>
        <v>56373900</v>
      </c>
      <c r="AS277" s="261" t="e">
        <f t="shared" si="169"/>
        <v>#REF!</v>
      </c>
      <c r="AT277" s="261">
        <f t="shared" si="170"/>
        <v>56438425</v>
      </c>
      <c r="AU277" s="261" t="e">
        <f t="shared" si="171"/>
        <v>#REF!</v>
      </c>
      <c r="AV277" s="261">
        <f t="shared" si="172"/>
        <v>56438425</v>
      </c>
      <c r="AW277" s="261" t="e">
        <f t="shared" si="173"/>
        <v>#REF!</v>
      </c>
      <c r="AX277" s="261" t="e">
        <f>AV277+#REF!+AH277+AA277+T277</f>
        <v>#REF!</v>
      </c>
      <c r="AY277" s="261" t="e">
        <f t="shared" si="174"/>
        <v>#REF!</v>
      </c>
      <c r="AZ277" s="261" t="e">
        <f t="shared" si="175"/>
        <v>#REF!</v>
      </c>
      <c r="BA277" s="261" t="e">
        <f t="shared" si="176"/>
        <v>#REF!</v>
      </c>
      <c r="BB277" s="261" t="e">
        <f t="shared" si="177"/>
        <v>#REF!</v>
      </c>
      <c r="BC277" s="261" t="e">
        <f t="shared" si="178"/>
        <v>#REF!</v>
      </c>
      <c r="BD277" s="261" t="e">
        <f t="shared" si="179"/>
        <v>#REF!</v>
      </c>
      <c r="BE277" s="261" t="e">
        <f>BC277+AV277+#REF!+AH277+AA277</f>
        <v>#REF!</v>
      </c>
      <c r="BF277" s="261" t="e">
        <f t="shared" si="180"/>
        <v>#REF!</v>
      </c>
      <c r="BG277" s="261" t="e">
        <f t="shared" si="181"/>
        <v>#REF!</v>
      </c>
    </row>
    <row r="278" spans="1:59" ht="15.75">
      <c r="A278" s="333">
        <v>23</v>
      </c>
      <c r="B278" s="333" t="s">
        <v>1607</v>
      </c>
      <c r="C278" s="256">
        <v>1</v>
      </c>
      <c r="D278" s="322" t="s">
        <v>16</v>
      </c>
      <c r="E278" s="256" t="s">
        <v>9</v>
      </c>
      <c r="F278" s="425">
        <f t="array" ref="F278">MAX((IF(MNU_CODIGO_ALIMENTO_ENTREGA=CONCATENATE($C278,"_","P_"),MNU_GRAMAJE_REQUERIDO_TIPOA,"")))</f>
        <v>30</v>
      </c>
      <c r="G278" s="257">
        <f t="shared" si="182"/>
        <v>82500</v>
      </c>
      <c r="H278" s="257">
        <f t="shared" si="183"/>
        <v>0</v>
      </c>
      <c r="I278" s="257">
        <f t="shared" si="184"/>
        <v>82500</v>
      </c>
      <c r="J278" s="258">
        <f t="shared" si="185"/>
        <v>66660000</v>
      </c>
      <c r="K278" s="258">
        <f t="shared" si="186"/>
        <v>0</v>
      </c>
      <c r="L278" s="258">
        <f t="shared" si="187"/>
        <v>66660000</v>
      </c>
      <c r="M278" s="426">
        <f t="array" ref="M278">MAX((IF(MNU_CODIGO_ALIMENTO_ENTREGA=CONCATENATE($C278,"_","P_"),MNU_GRAMAJE_REQUERIDO_TIPOB,"")))</f>
        <v>40</v>
      </c>
      <c r="N278" s="343">
        <f t="shared" si="188"/>
        <v>103860</v>
      </c>
      <c r="O278" s="343">
        <f t="shared" si="189"/>
        <v>0</v>
      </c>
      <c r="P278" s="343">
        <f t="shared" si="190"/>
        <v>103860</v>
      </c>
      <c r="Q278" s="344">
        <f t="shared" si="191"/>
        <v>111961080</v>
      </c>
      <c r="R278" s="344">
        <f t="shared" si="192"/>
        <v>0</v>
      </c>
      <c r="S278" s="344">
        <f t="shared" si="193"/>
        <v>111961080</v>
      </c>
      <c r="T278" s="348">
        <f t="array" ref="T278">MAX((IF(MNU_CODIGO_ALIMENTO_ENTREGA=CONCATENATE($C278,"_","P_"),MNU_GRAMAJE_REQUERIDO_TIPOC,"")))</f>
        <v>60</v>
      </c>
      <c r="U278" s="257">
        <f t="shared" si="194"/>
        <v>84390</v>
      </c>
      <c r="V278" s="257">
        <f t="shared" si="195"/>
        <v>0</v>
      </c>
      <c r="W278" s="257">
        <f t="shared" si="196"/>
        <v>84390</v>
      </c>
      <c r="X278" s="258">
        <f t="shared" si="197"/>
        <v>136374240</v>
      </c>
      <c r="Y278" s="258">
        <f t="shared" si="198"/>
        <v>0</v>
      </c>
      <c r="Z278" s="258">
        <f t="shared" si="199"/>
        <v>136374240</v>
      </c>
      <c r="AA278" s="256">
        <f t="array" ref="AA278">MAX((IF(MNU_CODIGO_ALIMENTO_ENTREGA=CONCATENATE($C278,"_","P_"),MNU_GRAMAJE_REQUERIDO_TIPOM,"")))</f>
        <v>40</v>
      </c>
      <c r="AB278" s="259">
        <f t="shared" si="200"/>
        <v>0</v>
      </c>
      <c r="AC278" s="259">
        <v>0</v>
      </c>
      <c r="AD278" s="259">
        <f t="shared" si="201"/>
        <v>0</v>
      </c>
      <c r="AE278" s="260">
        <f t="shared" si="202"/>
        <v>0</v>
      </c>
      <c r="AF278" s="260">
        <v>0</v>
      </c>
      <c r="AG278" s="260">
        <f t="shared" si="203"/>
        <v>0</v>
      </c>
      <c r="AH278" s="348">
        <f t="array" ref="AH278">MAX((IF(MNU_CODIGO_ALIMENTO_ENTREGA=CONCATENATE($C278,"_","P_"),MNU_GRAMAJE_REQUERIDO_TIPOH,"")))</f>
        <v>60</v>
      </c>
      <c r="AI278" s="257">
        <f t="shared" si="204"/>
        <v>0</v>
      </c>
      <c r="AJ278" s="257">
        <v>0</v>
      </c>
      <c r="AK278" s="257">
        <f t="shared" si="205"/>
        <v>0</v>
      </c>
      <c r="AL278" s="258">
        <f t="shared" si="206"/>
        <v>0</v>
      </c>
      <c r="AM278" s="258">
        <v>0</v>
      </c>
      <c r="AN278" s="258">
        <f t="shared" si="207"/>
        <v>0</v>
      </c>
      <c r="AO278" s="451">
        <f t="shared" si="208"/>
        <v>270750</v>
      </c>
      <c r="AP278" s="450">
        <f t="shared" si="209"/>
        <v>314995320</v>
      </c>
      <c r="AQ278" s="261" t="e">
        <f>#REF!+AH278+AA278+T278+M278</f>
        <v>#REF!</v>
      </c>
      <c r="AR278" s="261">
        <f t="shared" si="168"/>
        <v>315183570</v>
      </c>
      <c r="AS278" s="261" t="e">
        <f t="shared" si="169"/>
        <v>#REF!</v>
      </c>
      <c r="AT278" s="261">
        <f t="shared" si="170"/>
        <v>315371820</v>
      </c>
      <c r="AU278" s="261" t="e">
        <f t="shared" si="171"/>
        <v>#REF!</v>
      </c>
      <c r="AV278" s="261">
        <f t="shared" si="172"/>
        <v>315371820</v>
      </c>
      <c r="AW278" s="261" t="e">
        <f t="shared" si="173"/>
        <v>#REF!</v>
      </c>
      <c r="AX278" s="261" t="e">
        <f>AV278+#REF!+AH278+AA278+T278</f>
        <v>#REF!</v>
      </c>
      <c r="AY278" s="261" t="e">
        <f t="shared" si="174"/>
        <v>#REF!</v>
      </c>
      <c r="AZ278" s="261" t="e">
        <f t="shared" si="175"/>
        <v>#REF!</v>
      </c>
      <c r="BA278" s="261" t="e">
        <f t="shared" si="176"/>
        <v>#REF!</v>
      </c>
      <c r="BB278" s="261" t="e">
        <f t="shared" si="177"/>
        <v>#REF!</v>
      </c>
      <c r="BC278" s="261" t="e">
        <f t="shared" si="178"/>
        <v>#REF!</v>
      </c>
      <c r="BD278" s="261" t="e">
        <f t="shared" si="179"/>
        <v>#REF!</v>
      </c>
      <c r="BE278" s="261" t="e">
        <f>BC278+AV278+#REF!+AH278+AA278</f>
        <v>#REF!</v>
      </c>
      <c r="BF278" s="261" t="e">
        <f t="shared" si="180"/>
        <v>#REF!</v>
      </c>
      <c r="BG278" s="261" t="e">
        <f t="shared" si="181"/>
        <v>#REF!</v>
      </c>
    </row>
    <row r="279" spans="1:59" ht="15.75">
      <c r="A279" s="333">
        <v>23</v>
      </c>
      <c r="B279" s="333" t="s">
        <v>1607</v>
      </c>
      <c r="C279" s="256">
        <v>3</v>
      </c>
      <c r="D279" s="322" t="s">
        <v>12</v>
      </c>
      <c r="E279" s="256" t="s">
        <v>9</v>
      </c>
      <c r="F279" s="425">
        <f t="array" ref="F279">MAX((IF(MNU_CODIGO_ALIMENTO_ENTREGA=CONCATENATE($C279,"_","P_"),MNU_GRAMAJE_REQUERIDO_TIPOA,"")))</f>
        <v>50</v>
      </c>
      <c r="G279" s="257">
        <f t="shared" si="182"/>
        <v>93500</v>
      </c>
      <c r="H279" s="257">
        <f t="shared" si="183"/>
        <v>16967</v>
      </c>
      <c r="I279" s="257">
        <f t="shared" si="184"/>
        <v>110467</v>
      </c>
      <c r="J279" s="258">
        <f t="shared" si="185"/>
        <v>47217500</v>
      </c>
      <c r="K279" s="258">
        <f t="shared" si="186"/>
        <v>8568335</v>
      </c>
      <c r="L279" s="258">
        <f t="shared" si="187"/>
        <v>55785835</v>
      </c>
      <c r="M279" s="426">
        <f t="array" ref="M279">MAX((IF(MNU_CODIGO_ALIMENTO_ENTREGA=CONCATENATE($C279,"_","P_"),MNU_GRAMAJE_REQUERIDO_TIPOB,"")))</f>
        <v>50</v>
      </c>
      <c r="N279" s="343">
        <f t="shared" si="188"/>
        <v>117708</v>
      </c>
      <c r="O279" s="343">
        <f t="shared" si="189"/>
        <v>16587</v>
      </c>
      <c r="P279" s="343">
        <f t="shared" si="190"/>
        <v>134295</v>
      </c>
      <c r="Q279" s="344">
        <f t="shared" si="191"/>
        <v>59442540</v>
      </c>
      <c r="R279" s="344">
        <f t="shared" si="192"/>
        <v>8376435</v>
      </c>
      <c r="S279" s="344">
        <f t="shared" si="193"/>
        <v>67818975</v>
      </c>
      <c r="T279" s="348">
        <f t="array" ref="T279">MAX((IF(MNU_CODIGO_ALIMENTO_ENTREGA=CONCATENATE($C279,"_","P_"),MNU_GRAMAJE_REQUERIDO_TIPOC,"")))</f>
        <v>80</v>
      </c>
      <c r="U279" s="257">
        <f t="shared" si="194"/>
        <v>95642</v>
      </c>
      <c r="V279" s="257">
        <f t="shared" si="195"/>
        <v>20976</v>
      </c>
      <c r="W279" s="257">
        <f t="shared" si="196"/>
        <v>116618</v>
      </c>
      <c r="X279" s="258">
        <f t="shared" si="197"/>
        <v>72974846</v>
      </c>
      <c r="Y279" s="258">
        <f t="shared" si="198"/>
        <v>16004688</v>
      </c>
      <c r="Z279" s="258">
        <f t="shared" si="199"/>
        <v>88979534</v>
      </c>
      <c r="AA279" s="256">
        <f t="array" ref="AA279">MAX((IF(MNU_CODIGO_ALIMENTO_ENTREGA=CONCATENATE($C279,"_","P_"),MNU_GRAMAJE_REQUERIDO_TIPOM,"")))</f>
        <v>50</v>
      </c>
      <c r="AB279" s="259">
        <f t="shared" si="200"/>
        <v>0</v>
      </c>
      <c r="AC279" s="259">
        <v>0</v>
      </c>
      <c r="AD279" s="259">
        <f t="shared" si="201"/>
        <v>0</v>
      </c>
      <c r="AE279" s="260">
        <f t="shared" si="202"/>
        <v>0</v>
      </c>
      <c r="AF279" s="260">
        <v>0</v>
      </c>
      <c r="AG279" s="260">
        <f t="shared" si="203"/>
        <v>0</v>
      </c>
      <c r="AH279" s="348">
        <f t="array" ref="AH279">MAX((IF(MNU_CODIGO_ALIMENTO_ENTREGA=CONCATENATE($C279,"_","P_"),MNU_GRAMAJE_REQUERIDO_TIPOH,"")))</f>
        <v>80</v>
      </c>
      <c r="AI279" s="257">
        <f t="shared" si="204"/>
        <v>0</v>
      </c>
      <c r="AJ279" s="257">
        <v>0</v>
      </c>
      <c r="AK279" s="257">
        <f t="shared" si="205"/>
        <v>0</v>
      </c>
      <c r="AL279" s="258">
        <f t="shared" si="206"/>
        <v>0</v>
      </c>
      <c r="AM279" s="258">
        <v>0</v>
      </c>
      <c r="AN279" s="258">
        <f t="shared" si="207"/>
        <v>0</v>
      </c>
      <c r="AO279" s="451">
        <f t="shared" si="208"/>
        <v>361380</v>
      </c>
      <c r="AP279" s="450">
        <f t="shared" si="209"/>
        <v>212584344</v>
      </c>
      <c r="AQ279" s="261" t="e">
        <f>#REF!+AH279+AA279+T279+M279</f>
        <v>#REF!</v>
      </c>
      <c r="AR279" s="261">
        <f t="shared" si="168"/>
        <v>212797694</v>
      </c>
      <c r="AS279" s="261" t="e">
        <f t="shared" si="169"/>
        <v>#REF!</v>
      </c>
      <c r="AT279" s="261">
        <f t="shared" si="170"/>
        <v>213048607</v>
      </c>
      <c r="AU279" s="261" t="e">
        <f t="shared" si="171"/>
        <v>#REF!</v>
      </c>
      <c r="AV279" s="261">
        <f t="shared" si="172"/>
        <v>237429730</v>
      </c>
      <c r="AW279" s="261" t="e">
        <f t="shared" si="173"/>
        <v>#REF!</v>
      </c>
      <c r="AX279" s="261" t="e">
        <f>AV279+#REF!+AH279+AA279+T279</f>
        <v>#REF!</v>
      </c>
      <c r="AY279" s="261" t="e">
        <f t="shared" si="174"/>
        <v>#REF!</v>
      </c>
      <c r="AZ279" s="261" t="e">
        <f t="shared" si="175"/>
        <v>#REF!</v>
      </c>
      <c r="BA279" s="261" t="e">
        <f t="shared" si="176"/>
        <v>#REF!</v>
      </c>
      <c r="BB279" s="261" t="e">
        <f t="shared" si="177"/>
        <v>#REF!</v>
      </c>
      <c r="BC279" s="261" t="e">
        <f t="shared" si="178"/>
        <v>#REF!</v>
      </c>
      <c r="BD279" s="261" t="e">
        <f t="shared" si="179"/>
        <v>#REF!</v>
      </c>
      <c r="BE279" s="261" t="e">
        <f>BC279+AV279+#REF!+AH279+AA279</f>
        <v>#REF!</v>
      </c>
      <c r="BF279" s="261" t="e">
        <f t="shared" si="180"/>
        <v>#REF!</v>
      </c>
      <c r="BG279" s="261" t="e">
        <f t="shared" si="181"/>
        <v>#REF!</v>
      </c>
    </row>
    <row r="280" spans="1:59" ht="15.75">
      <c r="A280" s="333">
        <v>23</v>
      </c>
      <c r="B280" s="333" t="s">
        <v>1607</v>
      </c>
      <c r="C280" s="256">
        <v>15</v>
      </c>
      <c r="D280" s="322" t="s">
        <v>66</v>
      </c>
      <c r="E280" s="256" t="s">
        <v>9</v>
      </c>
      <c r="F280" s="425">
        <f t="array" ref="F280">MAX((IF(MNU_CODIGO_ALIMENTO_ENTREGA=CONCATENATE($C280,"_","P_"),MNU_GRAMAJE_REQUERIDO_TIPOA,"")))</f>
        <v>50</v>
      </c>
      <c r="G280" s="257">
        <f t="shared" si="182"/>
        <v>93500</v>
      </c>
      <c r="H280" s="257">
        <f t="shared" si="183"/>
        <v>9823</v>
      </c>
      <c r="I280" s="257">
        <f t="shared" si="184"/>
        <v>103323</v>
      </c>
      <c r="J280" s="258">
        <f t="shared" si="185"/>
        <v>62925500</v>
      </c>
      <c r="K280" s="258">
        <f t="shared" si="186"/>
        <v>6610879</v>
      </c>
      <c r="L280" s="258">
        <f t="shared" si="187"/>
        <v>69536379</v>
      </c>
      <c r="M280" s="426">
        <f t="array" ref="M280">MAX((IF(MNU_CODIGO_ALIMENTO_ENTREGA=CONCATENATE($C280,"_","P_"),MNU_GRAMAJE_REQUERIDO_TIPOB,"")))</f>
        <v>50</v>
      </c>
      <c r="N280" s="343">
        <f t="shared" si="188"/>
        <v>117708</v>
      </c>
      <c r="O280" s="343">
        <f t="shared" si="189"/>
        <v>9603</v>
      </c>
      <c r="P280" s="343">
        <f t="shared" si="190"/>
        <v>127311</v>
      </c>
      <c r="Q280" s="344">
        <f t="shared" si="191"/>
        <v>79217484</v>
      </c>
      <c r="R280" s="344">
        <f t="shared" si="192"/>
        <v>6462819</v>
      </c>
      <c r="S280" s="344">
        <f t="shared" si="193"/>
        <v>85680303</v>
      </c>
      <c r="T280" s="348">
        <f t="array" ref="T280">MAX((IF(MNU_CODIGO_ALIMENTO_ENTREGA=CONCATENATE($C280,"_","P_"),MNU_GRAMAJE_REQUERIDO_TIPOC,"")))</f>
        <v>80</v>
      </c>
      <c r="U280" s="257">
        <f t="shared" si="194"/>
        <v>95642</v>
      </c>
      <c r="V280" s="257">
        <f t="shared" si="195"/>
        <v>12144</v>
      </c>
      <c r="W280" s="257">
        <f t="shared" si="196"/>
        <v>107786</v>
      </c>
      <c r="X280" s="258">
        <f t="shared" si="197"/>
        <v>102910792</v>
      </c>
      <c r="Y280" s="258">
        <f t="shared" si="198"/>
        <v>13066944</v>
      </c>
      <c r="Z280" s="258">
        <f t="shared" si="199"/>
        <v>115977736</v>
      </c>
      <c r="AA280" s="256">
        <f t="array" ref="AA280">MAX((IF(MNU_CODIGO_ALIMENTO_ENTREGA=CONCATENATE($C280,"_","P_"),MNU_GRAMAJE_REQUERIDO_TIPOM,"")))</f>
        <v>50</v>
      </c>
      <c r="AB280" s="259">
        <f t="shared" si="200"/>
        <v>0</v>
      </c>
      <c r="AC280" s="259">
        <v>0</v>
      </c>
      <c r="AD280" s="259">
        <f t="shared" si="201"/>
        <v>0</v>
      </c>
      <c r="AE280" s="260">
        <f t="shared" si="202"/>
        <v>0</v>
      </c>
      <c r="AF280" s="260">
        <v>0</v>
      </c>
      <c r="AG280" s="260">
        <f t="shared" si="203"/>
        <v>0</v>
      </c>
      <c r="AH280" s="348">
        <f t="array" ref="AH280">MAX((IF(MNU_CODIGO_ALIMENTO_ENTREGA=CONCATENATE($C280,"_","P_"),MNU_GRAMAJE_REQUERIDO_TIPOH,"")))</f>
        <v>80</v>
      </c>
      <c r="AI280" s="257">
        <f t="shared" si="204"/>
        <v>0</v>
      </c>
      <c r="AJ280" s="257">
        <v>0</v>
      </c>
      <c r="AK280" s="257">
        <f t="shared" si="205"/>
        <v>0</v>
      </c>
      <c r="AL280" s="258">
        <f t="shared" si="206"/>
        <v>0</v>
      </c>
      <c r="AM280" s="258">
        <v>0</v>
      </c>
      <c r="AN280" s="258">
        <f t="shared" si="207"/>
        <v>0</v>
      </c>
      <c r="AO280" s="451">
        <f t="shared" si="208"/>
        <v>338420</v>
      </c>
      <c r="AP280" s="450">
        <f t="shared" si="209"/>
        <v>271194418</v>
      </c>
      <c r="AQ280" s="261" t="e">
        <f>#REF!+AH280+AA280+T280+M280</f>
        <v>#REF!</v>
      </c>
      <c r="AR280" s="261">
        <f t="shared" si="168"/>
        <v>271407768</v>
      </c>
      <c r="AS280" s="261" t="e">
        <f t="shared" si="169"/>
        <v>#REF!</v>
      </c>
      <c r="AT280" s="261">
        <f t="shared" si="170"/>
        <v>271642865</v>
      </c>
      <c r="AU280" s="261" t="e">
        <f t="shared" si="171"/>
        <v>#REF!</v>
      </c>
      <c r="AV280" s="261">
        <f t="shared" si="172"/>
        <v>291172628</v>
      </c>
      <c r="AW280" s="261" t="e">
        <f t="shared" si="173"/>
        <v>#REF!</v>
      </c>
      <c r="AX280" s="261" t="e">
        <f>AV280+#REF!+AH280+AA280+T280</f>
        <v>#REF!</v>
      </c>
      <c r="AY280" s="261" t="e">
        <f t="shared" si="174"/>
        <v>#REF!</v>
      </c>
      <c r="AZ280" s="261" t="e">
        <f t="shared" si="175"/>
        <v>#REF!</v>
      </c>
      <c r="BA280" s="261" t="e">
        <f t="shared" si="176"/>
        <v>#REF!</v>
      </c>
      <c r="BB280" s="261" t="e">
        <f t="shared" si="177"/>
        <v>#REF!</v>
      </c>
      <c r="BC280" s="261" t="e">
        <f t="shared" si="178"/>
        <v>#REF!</v>
      </c>
      <c r="BD280" s="261" t="e">
        <f t="shared" si="179"/>
        <v>#REF!</v>
      </c>
      <c r="BE280" s="261" t="e">
        <f>BC280+AV280+#REF!+AH280+AA280</f>
        <v>#REF!</v>
      </c>
      <c r="BF280" s="261" t="e">
        <f t="shared" si="180"/>
        <v>#REF!</v>
      </c>
      <c r="BG280" s="261" t="e">
        <f t="shared" si="181"/>
        <v>#REF!</v>
      </c>
    </row>
    <row r="281" spans="1:59" ht="15.75">
      <c r="A281" s="333">
        <v>23</v>
      </c>
      <c r="B281" s="333" t="s">
        <v>1607</v>
      </c>
      <c r="C281" s="256">
        <v>24</v>
      </c>
      <c r="D281" s="322" t="s">
        <v>61</v>
      </c>
      <c r="E281" s="256" t="s">
        <v>9</v>
      </c>
      <c r="F281" s="425">
        <f t="array" ref="F281">MAX((IF(MNU_CODIGO_ALIMENTO_ENTREGA=CONCATENATE($C281,"_","P_"),MNU_GRAMAJE_REQUERIDO_TIPOA,"")))</f>
        <v>20</v>
      </c>
      <c r="G281" s="257">
        <f t="shared" si="182"/>
        <v>93500</v>
      </c>
      <c r="H281" s="257">
        <f t="shared" si="183"/>
        <v>9823</v>
      </c>
      <c r="I281" s="257">
        <f t="shared" si="184"/>
        <v>103323</v>
      </c>
      <c r="J281" s="258">
        <f t="shared" si="185"/>
        <v>11968000</v>
      </c>
      <c r="K281" s="258">
        <f t="shared" si="186"/>
        <v>1257344</v>
      </c>
      <c r="L281" s="258">
        <f t="shared" si="187"/>
        <v>13225344</v>
      </c>
      <c r="M281" s="426">
        <f t="array" ref="M281">MAX((IF(MNU_CODIGO_ALIMENTO_ENTREGA=CONCATENATE($C281,"_","P_"),MNU_GRAMAJE_REQUERIDO_TIPOB,"")))</f>
        <v>30</v>
      </c>
      <c r="N281" s="343">
        <f t="shared" si="188"/>
        <v>117708</v>
      </c>
      <c r="O281" s="343">
        <f t="shared" si="189"/>
        <v>9603</v>
      </c>
      <c r="P281" s="343">
        <f t="shared" si="190"/>
        <v>127311</v>
      </c>
      <c r="Q281" s="344">
        <f t="shared" si="191"/>
        <v>23541600</v>
      </c>
      <c r="R281" s="344">
        <f t="shared" si="192"/>
        <v>1920600</v>
      </c>
      <c r="S281" s="344">
        <f t="shared" si="193"/>
        <v>25462200</v>
      </c>
      <c r="T281" s="348">
        <f t="array" ref="T281">MAX((IF(MNU_CODIGO_ALIMENTO_ENTREGA=CONCATENATE($C281,"_","P_"),MNU_GRAMAJE_REQUERIDO_TIPOC,"")))</f>
        <v>60</v>
      </c>
      <c r="U281" s="257">
        <f t="shared" si="194"/>
        <v>95642</v>
      </c>
      <c r="V281" s="257">
        <f t="shared" si="195"/>
        <v>12144</v>
      </c>
      <c r="W281" s="257">
        <f t="shared" si="196"/>
        <v>107786</v>
      </c>
      <c r="X281" s="258">
        <f t="shared" si="197"/>
        <v>36822170</v>
      </c>
      <c r="Y281" s="258">
        <f t="shared" si="198"/>
        <v>4675440</v>
      </c>
      <c r="Z281" s="258">
        <f t="shared" si="199"/>
        <v>41497610</v>
      </c>
      <c r="AA281" s="256">
        <f t="array" ref="AA281">MAX((IF(MNU_CODIGO_ALIMENTO_ENTREGA=CONCATENATE($C281,"_","P_"),MNU_GRAMAJE_REQUERIDO_TIPOM,"")))</f>
        <v>30</v>
      </c>
      <c r="AB281" s="259">
        <f t="shared" si="200"/>
        <v>0</v>
      </c>
      <c r="AC281" s="259">
        <v>0</v>
      </c>
      <c r="AD281" s="259">
        <f t="shared" si="201"/>
        <v>0</v>
      </c>
      <c r="AE281" s="260">
        <f t="shared" si="202"/>
        <v>0</v>
      </c>
      <c r="AF281" s="260">
        <v>0</v>
      </c>
      <c r="AG281" s="260">
        <f t="shared" si="203"/>
        <v>0</v>
      </c>
      <c r="AH281" s="348">
        <f t="array" ref="AH281">MAX((IF(MNU_CODIGO_ALIMENTO_ENTREGA=CONCATENATE($C281,"_","P_"),MNU_GRAMAJE_REQUERIDO_TIPOH,"")))</f>
        <v>60</v>
      </c>
      <c r="AI281" s="257">
        <f t="shared" si="204"/>
        <v>0</v>
      </c>
      <c r="AJ281" s="257">
        <v>0</v>
      </c>
      <c r="AK281" s="257">
        <f t="shared" si="205"/>
        <v>0</v>
      </c>
      <c r="AL281" s="258">
        <f t="shared" si="206"/>
        <v>0</v>
      </c>
      <c r="AM281" s="258">
        <v>0</v>
      </c>
      <c r="AN281" s="258">
        <f t="shared" si="207"/>
        <v>0</v>
      </c>
      <c r="AO281" s="451">
        <f t="shared" si="208"/>
        <v>338420</v>
      </c>
      <c r="AP281" s="450">
        <f t="shared" si="209"/>
        <v>80185154</v>
      </c>
      <c r="AQ281" s="261" t="e">
        <f>#REF!+AH281+AA281+T281+M281</f>
        <v>#REF!</v>
      </c>
      <c r="AR281" s="261">
        <f t="shared" si="168"/>
        <v>80398504</v>
      </c>
      <c r="AS281" s="261" t="e">
        <f t="shared" si="169"/>
        <v>#REF!</v>
      </c>
      <c r="AT281" s="261">
        <f t="shared" si="170"/>
        <v>80633601</v>
      </c>
      <c r="AU281" s="261" t="e">
        <f t="shared" si="171"/>
        <v>#REF!</v>
      </c>
      <c r="AV281" s="261">
        <f t="shared" si="172"/>
        <v>87229641</v>
      </c>
      <c r="AW281" s="261" t="e">
        <f t="shared" si="173"/>
        <v>#REF!</v>
      </c>
      <c r="AX281" s="261" t="e">
        <f>AV281+#REF!+AH281+AA281+T281</f>
        <v>#REF!</v>
      </c>
      <c r="AY281" s="261" t="e">
        <f t="shared" si="174"/>
        <v>#REF!</v>
      </c>
      <c r="AZ281" s="261" t="e">
        <f t="shared" si="175"/>
        <v>#REF!</v>
      </c>
      <c r="BA281" s="261" t="e">
        <f t="shared" si="176"/>
        <v>#REF!</v>
      </c>
      <c r="BB281" s="261" t="e">
        <f t="shared" si="177"/>
        <v>#REF!</v>
      </c>
      <c r="BC281" s="261" t="e">
        <f t="shared" si="178"/>
        <v>#REF!</v>
      </c>
      <c r="BD281" s="261" t="e">
        <f t="shared" si="179"/>
        <v>#REF!</v>
      </c>
      <c r="BE281" s="261" t="e">
        <f>BC281+AV281+#REF!+AH281+AA281</f>
        <v>#REF!</v>
      </c>
      <c r="BF281" s="261" t="e">
        <f t="shared" si="180"/>
        <v>#REF!</v>
      </c>
      <c r="BG281" s="261" t="e">
        <f t="shared" si="181"/>
        <v>#REF!</v>
      </c>
    </row>
    <row r="282" spans="1:59" ht="15.75">
      <c r="A282" s="333">
        <v>23</v>
      </c>
      <c r="B282" s="333" t="s">
        <v>1607</v>
      </c>
      <c r="C282" s="256">
        <v>25</v>
      </c>
      <c r="D282" s="322" t="s">
        <v>64</v>
      </c>
      <c r="E282" s="256" t="s">
        <v>9</v>
      </c>
      <c r="F282" s="425">
        <f t="array" ref="F282">MAX((IF(MNU_CODIGO_ALIMENTO_ENTREGA=CONCATENATE($C282,"_","P_"),MNU_GRAMAJE_REQUERIDO_TIPOA,"")))</f>
        <v>40</v>
      </c>
      <c r="G282" s="257">
        <f t="shared" si="182"/>
        <v>93500</v>
      </c>
      <c r="H282" s="257">
        <f t="shared" si="183"/>
        <v>19646</v>
      </c>
      <c r="I282" s="257">
        <f t="shared" si="184"/>
        <v>113146</v>
      </c>
      <c r="J282" s="258">
        <f t="shared" si="185"/>
        <v>23936000</v>
      </c>
      <c r="K282" s="258">
        <f t="shared" si="186"/>
        <v>5029376</v>
      </c>
      <c r="L282" s="258">
        <f t="shared" si="187"/>
        <v>28965376</v>
      </c>
      <c r="M282" s="426">
        <f t="array" ref="M282">MAX((IF(MNU_CODIGO_ALIMENTO_ENTREGA=CONCATENATE($C282,"_","P_"),MNU_GRAMAJE_REQUERIDO_TIPOB,"")))</f>
        <v>40</v>
      </c>
      <c r="N282" s="343">
        <f t="shared" si="188"/>
        <v>117708</v>
      </c>
      <c r="O282" s="343">
        <f t="shared" si="189"/>
        <v>19206</v>
      </c>
      <c r="P282" s="343">
        <f t="shared" si="190"/>
        <v>136914</v>
      </c>
      <c r="Q282" s="344">
        <f t="shared" si="191"/>
        <v>30133248</v>
      </c>
      <c r="R282" s="344">
        <f t="shared" si="192"/>
        <v>4916736</v>
      </c>
      <c r="S282" s="344">
        <f t="shared" si="193"/>
        <v>35049984</v>
      </c>
      <c r="T282" s="348">
        <f t="array" ref="T282">MAX((IF(MNU_CODIGO_ALIMENTO_ENTREGA=CONCATENATE($C282,"_","P_"),MNU_GRAMAJE_REQUERIDO_TIPOC,"")))</f>
        <v>60</v>
      </c>
      <c r="U282" s="257">
        <f t="shared" si="194"/>
        <v>95642</v>
      </c>
      <c r="V282" s="257">
        <f t="shared" si="195"/>
        <v>24288</v>
      </c>
      <c r="W282" s="257">
        <f t="shared" si="196"/>
        <v>119930</v>
      </c>
      <c r="X282" s="258">
        <f t="shared" si="197"/>
        <v>36726528</v>
      </c>
      <c r="Y282" s="258">
        <f t="shared" si="198"/>
        <v>9326592</v>
      </c>
      <c r="Z282" s="258">
        <f t="shared" si="199"/>
        <v>46053120</v>
      </c>
      <c r="AA282" s="256">
        <f t="array" ref="AA282">MAX((IF(MNU_CODIGO_ALIMENTO_ENTREGA=CONCATENATE($C282,"_","P_"),MNU_GRAMAJE_REQUERIDO_TIPOM,"")))</f>
        <v>40</v>
      </c>
      <c r="AB282" s="259">
        <f t="shared" si="200"/>
        <v>0</v>
      </c>
      <c r="AC282" s="259">
        <v>0</v>
      </c>
      <c r="AD282" s="259">
        <f t="shared" si="201"/>
        <v>0</v>
      </c>
      <c r="AE282" s="260">
        <f t="shared" si="202"/>
        <v>0</v>
      </c>
      <c r="AF282" s="260">
        <v>0</v>
      </c>
      <c r="AG282" s="260">
        <f t="shared" si="203"/>
        <v>0</v>
      </c>
      <c r="AH282" s="348">
        <f t="array" ref="AH282">MAX((IF(MNU_CODIGO_ALIMENTO_ENTREGA=CONCATENATE($C282,"_","P_"),MNU_GRAMAJE_REQUERIDO_TIPOH,"")))</f>
        <v>60</v>
      </c>
      <c r="AI282" s="257">
        <f t="shared" si="204"/>
        <v>0</v>
      </c>
      <c r="AJ282" s="257">
        <v>0</v>
      </c>
      <c r="AK282" s="257">
        <f t="shared" si="205"/>
        <v>0</v>
      </c>
      <c r="AL282" s="258">
        <f t="shared" si="206"/>
        <v>0</v>
      </c>
      <c r="AM282" s="258">
        <v>0</v>
      </c>
      <c r="AN282" s="258">
        <f t="shared" si="207"/>
        <v>0</v>
      </c>
      <c r="AO282" s="451">
        <f t="shared" si="208"/>
        <v>369990</v>
      </c>
      <c r="AP282" s="450">
        <f t="shared" si="209"/>
        <v>110068480</v>
      </c>
      <c r="AQ282" s="261" t="e">
        <f>#REF!+AH282+AA282+T282+M282</f>
        <v>#REF!</v>
      </c>
      <c r="AR282" s="261">
        <f t="shared" si="168"/>
        <v>110281830</v>
      </c>
      <c r="AS282" s="261" t="e">
        <f t="shared" si="169"/>
        <v>#REF!</v>
      </c>
      <c r="AT282" s="261">
        <f t="shared" si="170"/>
        <v>110538674</v>
      </c>
      <c r="AU282" s="261" t="e">
        <f t="shared" si="171"/>
        <v>#REF!</v>
      </c>
      <c r="AV282" s="261">
        <f t="shared" si="172"/>
        <v>124782002</v>
      </c>
      <c r="AW282" s="261" t="e">
        <f t="shared" si="173"/>
        <v>#REF!</v>
      </c>
      <c r="AX282" s="261" t="e">
        <f>AV282+#REF!+AH282+AA282+T282</f>
        <v>#REF!</v>
      </c>
      <c r="AY282" s="261" t="e">
        <f t="shared" si="174"/>
        <v>#REF!</v>
      </c>
      <c r="AZ282" s="261" t="e">
        <f t="shared" si="175"/>
        <v>#REF!</v>
      </c>
      <c r="BA282" s="261" t="e">
        <f t="shared" si="176"/>
        <v>#REF!</v>
      </c>
      <c r="BB282" s="261" t="e">
        <f t="shared" si="177"/>
        <v>#REF!</v>
      </c>
      <c r="BC282" s="261" t="e">
        <f t="shared" si="178"/>
        <v>#REF!</v>
      </c>
      <c r="BD282" s="261" t="e">
        <f t="shared" si="179"/>
        <v>#REF!</v>
      </c>
      <c r="BE282" s="261" t="e">
        <f>BC282+AV282+#REF!+AH282+AA282</f>
        <v>#REF!</v>
      </c>
      <c r="BF282" s="261" t="e">
        <f t="shared" si="180"/>
        <v>#REF!</v>
      </c>
      <c r="BG282" s="261" t="e">
        <f t="shared" si="181"/>
        <v>#REF!</v>
      </c>
    </row>
    <row r="283" spans="1:59" ht="15.75">
      <c r="A283" s="333">
        <v>23</v>
      </c>
      <c r="B283" s="333" t="s">
        <v>1607</v>
      </c>
      <c r="C283" s="256">
        <v>26</v>
      </c>
      <c r="D283" s="322" t="s">
        <v>69</v>
      </c>
      <c r="E283" s="256" t="s">
        <v>9</v>
      </c>
      <c r="F283" s="425">
        <f t="array" ref="F283">MAX((IF(MNU_CODIGO_ALIMENTO_ENTREGA=CONCATENATE($C283,"_","P_"),MNU_GRAMAJE_REQUERIDO_TIPOA,"")))</f>
        <v>30</v>
      </c>
      <c r="G283" s="257">
        <f t="shared" si="182"/>
        <v>33000</v>
      </c>
      <c r="H283" s="257">
        <f t="shared" si="183"/>
        <v>0</v>
      </c>
      <c r="I283" s="257">
        <f t="shared" si="184"/>
        <v>33000</v>
      </c>
      <c r="J283" s="258">
        <f t="shared" si="185"/>
        <v>5643000</v>
      </c>
      <c r="K283" s="258">
        <f t="shared" si="186"/>
        <v>0</v>
      </c>
      <c r="L283" s="258">
        <f t="shared" si="187"/>
        <v>5643000</v>
      </c>
      <c r="M283" s="426">
        <f t="array" ref="M283">MAX((IF(MNU_CODIGO_ALIMENTO_ENTREGA=CONCATENATE($C283,"_","P_"),MNU_GRAMAJE_REQUERIDO_TIPOB,"")))</f>
        <v>30</v>
      </c>
      <c r="N283" s="343">
        <f t="shared" si="188"/>
        <v>41544</v>
      </c>
      <c r="O283" s="343">
        <f t="shared" si="189"/>
        <v>0</v>
      </c>
      <c r="P283" s="343">
        <f t="shared" si="190"/>
        <v>41544</v>
      </c>
      <c r="Q283" s="344">
        <f t="shared" si="191"/>
        <v>7104024</v>
      </c>
      <c r="R283" s="344">
        <f t="shared" si="192"/>
        <v>0</v>
      </c>
      <c r="S283" s="344">
        <f t="shared" si="193"/>
        <v>7104024</v>
      </c>
      <c r="T283" s="348">
        <f t="array" ref="T283">MAX((IF(MNU_CODIGO_ALIMENTO_ENTREGA=CONCATENATE($C283,"_","P_"),MNU_GRAMAJE_REQUERIDO_TIPOC,"")))</f>
        <v>30</v>
      </c>
      <c r="U283" s="257">
        <f t="shared" si="194"/>
        <v>33756</v>
      </c>
      <c r="V283" s="257">
        <f t="shared" si="195"/>
        <v>0</v>
      </c>
      <c r="W283" s="257">
        <f t="shared" si="196"/>
        <v>33756</v>
      </c>
      <c r="X283" s="258">
        <f t="shared" si="197"/>
        <v>5772276</v>
      </c>
      <c r="Y283" s="258">
        <f t="shared" si="198"/>
        <v>0</v>
      </c>
      <c r="Z283" s="258">
        <f t="shared" si="199"/>
        <v>5772276</v>
      </c>
      <c r="AA283" s="256">
        <f t="array" ref="AA283">MAX((IF(MNU_CODIGO_ALIMENTO_ENTREGA=CONCATENATE($C283,"_","P_"),MNU_GRAMAJE_REQUERIDO_TIPOM,"")))</f>
        <v>30</v>
      </c>
      <c r="AB283" s="259">
        <f t="shared" si="200"/>
        <v>0</v>
      </c>
      <c r="AC283" s="259">
        <v>0</v>
      </c>
      <c r="AD283" s="259">
        <f t="shared" si="201"/>
        <v>0</v>
      </c>
      <c r="AE283" s="260">
        <f t="shared" si="202"/>
        <v>0</v>
      </c>
      <c r="AF283" s="260">
        <v>0</v>
      </c>
      <c r="AG283" s="260">
        <f t="shared" si="203"/>
        <v>0</v>
      </c>
      <c r="AH283" s="348">
        <f t="array" ref="AH283">MAX((IF(MNU_CODIGO_ALIMENTO_ENTREGA=CONCATENATE($C283,"_","P_"),MNU_GRAMAJE_REQUERIDO_TIPOH,"")))</f>
        <v>30</v>
      </c>
      <c r="AI283" s="257">
        <f t="shared" si="204"/>
        <v>0</v>
      </c>
      <c r="AJ283" s="257">
        <v>0</v>
      </c>
      <c r="AK283" s="257">
        <f t="shared" si="205"/>
        <v>0</v>
      </c>
      <c r="AL283" s="258">
        <f t="shared" si="206"/>
        <v>0</v>
      </c>
      <c r="AM283" s="258">
        <v>0</v>
      </c>
      <c r="AN283" s="258">
        <f t="shared" si="207"/>
        <v>0</v>
      </c>
      <c r="AO283" s="451">
        <f t="shared" si="208"/>
        <v>108300</v>
      </c>
      <c r="AP283" s="450">
        <f t="shared" si="209"/>
        <v>18519300</v>
      </c>
      <c r="AQ283" s="261" t="e">
        <f>#REF!+AH283+AA283+T283+M283</f>
        <v>#REF!</v>
      </c>
      <c r="AR283" s="261">
        <f t="shared" si="168"/>
        <v>18594600</v>
      </c>
      <c r="AS283" s="261" t="e">
        <f t="shared" si="169"/>
        <v>#REF!</v>
      </c>
      <c r="AT283" s="261">
        <f t="shared" si="170"/>
        <v>18669900</v>
      </c>
      <c r="AU283" s="261" t="e">
        <f t="shared" si="171"/>
        <v>#REF!</v>
      </c>
      <c r="AV283" s="261">
        <f t="shared" si="172"/>
        <v>18669900</v>
      </c>
      <c r="AW283" s="261" t="e">
        <f t="shared" si="173"/>
        <v>#REF!</v>
      </c>
      <c r="AX283" s="261" t="e">
        <f>AV283+#REF!+AH283+AA283+T283</f>
        <v>#REF!</v>
      </c>
      <c r="AY283" s="261" t="e">
        <f t="shared" si="174"/>
        <v>#REF!</v>
      </c>
      <c r="AZ283" s="261" t="e">
        <f t="shared" si="175"/>
        <v>#REF!</v>
      </c>
      <c r="BA283" s="261" t="e">
        <f t="shared" si="176"/>
        <v>#REF!</v>
      </c>
      <c r="BB283" s="261" t="e">
        <f t="shared" si="177"/>
        <v>#REF!</v>
      </c>
      <c r="BC283" s="261" t="e">
        <f t="shared" si="178"/>
        <v>#REF!</v>
      </c>
      <c r="BD283" s="261" t="e">
        <f t="shared" si="179"/>
        <v>#REF!</v>
      </c>
      <c r="BE283" s="261" t="e">
        <f>BC283+AV283+#REF!+AH283+AA283</f>
        <v>#REF!</v>
      </c>
      <c r="BF283" s="261" t="e">
        <f t="shared" si="180"/>
        <v>#REF!</v>
      </c>
      <c r="BG283" s="261" t="e">
        <f t="shared" si="181"/>
        <v>#REF!</v>
      </c>
    </row>
    <row r="284" spans="1:59" ht="27">
      <c r="A284" s="333">
        <v>23</v>
      </c>
      <c r="B284" s="333" t="s">
        <v>1607</v>
      </c>
      <c r="C284" s="256">
        <v>28</v>
      </c>
      <c r="D284" s="322" t="s">
        <v>67</v>
      </c>
      <c r="E284" s="256" t="s">
        <v>9</v>
      </c>
      <c r="F284" s="425">
        <f t="array" ref="F284">MAX((IF(MNU_CODIGO_ALIMENTO_ENTREGA=CONCATENATE($C284,"_","P_"),MNU_GRAMAJE_REQUERIDO_TIPOA,"")))</f>
        <v>30</v>
      </c>
      <c r="G284" s="257">
        <f t="shared" si="182"/>
        <v>33000</v>
      </c>
      <c r="H284" s="257">
        <f t="shared" si="183"/>
        <v>16967</v>
      </c>
      <c r="I284" s="257">
        <f t="shared" si="184"/>
        <v>49967</v>
      </c>
      <c r="J284" s="258">
        <f t="shared" si="185"/>
        <v>7458000</v>
      </c>
      <c r="K284" s="258">
        <f t="shared" si="186"/>
        <v>3834542</v>
      </c>
      <c r="L284" s="258">
        <f t="shared" si="187"/>
        <v>11292542</v>
      </c>
      <c r="M284" s="426">
        <f t="array" ref="M284">MAX((IF(MNU_CODIGO_ALIMENTO_ENTREGA=CONCATENATE($C284,"_","P_"),MNU_GRAMAJE_REQUERIDO_TIPOB,"")))</f>
        <v>40</v>
      </c>
      <c r="N284" s="343">
        <f t="shared" si="188"/>
        <v>41544</v>
      </c>
      <c r="O284" s="343">
        <f t="shared" si="189"/>
        <v>16587</v>
      </c>
      <c r="P284" s="343">
        <f t="shared" si="190"/>
        <v>58131</v>
      </c>
      <c r="Q284" s="344">
        <f t="shared" si="191"/>
        <v>12504744</v>
      </c>
      <c r="R284" s="344">
        <f t="shared" si="192"/>
        <v>4992687</v>
      </c>
      <c r="S284" s="344">
        <f t="shared" si="193"/>
        <v>17497431</v>
      </c>
      <c r="T284" s="348">
        <f t="array" ref="T284">MAX((IF(MNU_CODIGO_ALIMENTO_ENTREGA=CONCATENATE($C284,"_","P_"),MNU_GRAMAJE_REQUERIDO_TIPOC,"")))</f>
        <v>60</v>
      </c>
      <c r="U284" s="257">
        <f t="shared" si="194"/>
        <v>33756</v>
      </c>
      <c r="V284" s="257">
        <f t="shared" si="195"/>
        <v>20976</v>
      </c>
      <c r="W284" s="257">
        <f t="shared" si="196"/>
        <v>54732</v>
      </c>
      <c r="X284" s="258">
        <f t="shared" si="197"/>
        <v>15223956</v>
      </c>
      <c r="Y284" s="258">
        <f t="shared" si="198"/>
        <v>9460176</v>
      </c>
      <c r="Z284" s="258">
        <f t="shared" si="199"/>
        <v>24684132</v>
      </c>
      <c r="AA284" s="256">
        <f t="array" ref="AA284">MAX((IF(MNU_CODIGO_ALIMENTO_ENTREGA=CONCATENATE($C284,"_","P_"),MNU_GRAMAJE_REQUERIDO_TIPOM,"")))</f>
        <v>40</v>
      </c>
      <c r="AB284" s="259">
        <f t="shared" si="200"/>
        <v>0</v>
      </c>
      <c r="AC284" s="259">
        <v>0</v>
      </c>
      <c r="AD284" s="259">
        <f t="shared" si="201"/>
        <v>0</v>
      </c>
      <c r="AE284" s="260">
        <f t="shared" si="202"/>
        <v>0</v>
      </c>
      <c r="AF284" s="260">
        <v>0</v>
      </c>
      <c r="AG284" s="260">
        <f t="shared" si="203"/>
        <v>0</v>
      </c>
      <c r="AH284" s="348">
        <f t="array" ref="AH284">MAX((IF(MNU_CODIGO_ALIMENTO_ENTREGA=CONCATENATE($C284,"_","P_"),MNU_GRAMAJE_REQUERIDO_TIPOH,"")))</f>
        <v>60</v>
      </c>
      <c r="AI284" s="257">
        <f t="shared" si="204"/>
        <v>0</v>
      </c>
      <c r="AJ284" s="257">
        <v>0</v>
      </c>
      <c r="AK284" s="257">
        <f t="shared" si="205"/>
        <v>0</v>
      </c>
      <c r="AL284" s="258">
        <f t="shared" si="206"/>
        <v>0</v>
      </c>
      <c r="AM284" s="258">
        <v>0</v>
      </c>
      <c r="AN284" s="258">
        <f t="shared" si="207"/>
        <v>0</v>
      </c>
      <c r="AO284" s="451">
        <f t="shared" si="208"/>
        <v>162830</v>
      </c>
      <c r="AP284" s="450">
        <f t="shared" si="209"/>
        <v>53474105</v>
      </c>
      <c r="AQ284" s="261" t="e">
        <f>#REF!+AH284+AA284+T284+M284</f>
        <v>#REF!</v>
      </c>
      <c r="AR284" s="261">
        <f t="shared" si="168"/>
        <v>53549405</v>
      </c>
      <c r="AS284" s="261" t="e">
        <f t="shared" si="169"/>
        <v>#REF!</v>
      </c>
      <c r="AT284" s="261">
        <f t="shared" si="170"/>
        <v>53662268</v>
      </c>
      <c r="AU284" s="261" t="e">
        <f t="shared" si="171"/>
        <v>#REF!</v>
      </c>
      <c r="AV284" s="261">
        <f t="shared" si="172"/>
        <v>68115131</v>
      </c>
      <c r="AW284" s="261" t="e">
        <f t="shared" si="173"/>
        <v>#REF!</v>
      </c>
      <c r="AX284" s="261" t="e">
        <f>AV284+#REF!+AH284+AA284+T284</f>
        <v>#REF!</v>
      </c>
      <c r="AY284" s="261" t="e">
        <f t="shared" si="174"/>
        <v>#REF!</v>
      </c>
      <c r="AZ284" s="261" t="e">
        <f t="shared" si="175"/>
        <v>#REF!</v>
      </c>
      <c r="BA284" s="261" t="e">
        <f t="shared" si="176"/>
        <v>#REF!</v>
      </c>
      <c r="BB284" s="261" t="e">
        <f t="shared" si="177"/>
        <v>#REF!</v>
      </c>
      <c r="BC284" s="261" t="e">
        <f t="shared" si="178"/>
        <v>#REF!</v>
      </c>
      <c r="BD284" s="261" t="e">
        <f t="shared" si="179"/>
        <v>#REF!</v>
      </c>
      <c r="BE284" s="261" t="e">
        <f>BC284+AV284+#REF!+AH284+AA284</f>
        <v>#REF!</v>
      </c>
      <c r="BF284" s="261" t="e">
        <f t="shared" si="180"/>
        <v>#REF!</v>
      </c>
      <c r="BG284" s="261" t="e">
        <f t="shared" si="181"/>
        <v>#REF!</v>
      </c>
    </row>
    <row r="285" spans="1:59" ht="15.75">
      <c r="A285" s="333">
        <v>23</v>
      </c>
      <c r="B285" s="333" t="s">
        <v>1607</v>
      </c>
      <c r="C285" s="256">
        <v>30</v>
      </c>
      <c r="D285" s="322" t="s">
        <v>63</v>
      </c>
      <c r="E285" s="256" t="s">
        <v>9</v>
      </c>
      <c r="F285" s="425">
        <f t="array" ref="F285">MAX((IF(MNU_CODIGO_ALIMENTO_ENTREGA=CONCATENATE($C285,"_","P_"),MNU_GRAMAJE_REQUERIDO_TIPOA,"")))</f>
        <v>30</v>
      </c>
      <c r="G285" s="257">
        <f t="shared" si="182"/>
        <v>88000</v>
      </c>
      <c r="H285" s="257">
        <f t="shared" si="183"/>
        <v>0</v>
      </c>
      <c r="I285" s="257">
        <f t="shared" si="184"/>
        <v>88000</v>
      </c>
      <c r="J285" s="258">
        <f t="shared" si="185"/>
        <v>29216000</v>
      </c>
      <c r="K285" s="258">
        <f t="shared" si="186"/>
        <v>0</v>
      </c>
      <c r="L285" s="258">
        <f t="shared" si="187"/>
        <v>29216000</v>
      </c>
      <c r="M285" s="426">
        <f t="array" ref="M285">MAX((IF(MNU_CODIGO_ALIMENTO_ENTREGA=CONCATENATE($C285,"_","P_"),MNU_GRAMAJE_REQUERIDO_TIPOB,"")))</f>
        <v>30</v>
      </c>
      <c r="N285" s="343">
        <f t="shared" si="188"/>
        <v>110784</v>
      </c>
      <c r="O285" s="343">
        <f t="shared" si="189"/>
        <v>0</v>
      </c>
      <c r="P285" s="343">
        <f t="shared" si="190"/>
        <v>110784</v>
      </c>
      <c r="Q285" s="344">
        <f t="shared" si="191"/>
        <v>36780288</v>
      </c>
      <c r="R285" s="344">
        <f t="shared" si="192"/>
        <v>0</v>
      </c>
      <c r="S285" s="344">
        <f t="shared" si="193"/>
        <v>36780288</v>
      </c>
      <c r="T285" s="348">
        <f t="array" ref="T285">MAX((IF(MNU_CODIGO_ALIMENTO_ENTREGA=CONCATENATE($C285,"_","P_"),MNU_GRAMAJE_REQUERIDO_TIPOC,"")))</f>
        <v>30</v>
      </c>
      <c r="U285" s="257">
        <f t="shared" si="194"/>
        <v>90016</v>
      </c>
      <c r="V285" s="257">
        <f t="shared" si="195"/>
        <v>0</v>
      </c>
      <c r="W285" s="257">
        <f t="shared" si="196"/>
        <v>90016</v>
      </c>
      <c r="X285" s="258">
        <f t="shared" si="197"/>
        <v>29885312</v>
      </c>
      <c r="Y285" s="258">
        <f t="shared" si="198"/>
        <v>0</v>
      </c>
      <c r="Z285" s="258">
        <f t="shared" si="199"/>
        <v>29885312</v>
      </c>
      <c r="AA285" s="256">
        <f t="array" ref="AA285">MAX((IF(MNU_CODIGO_ALIMENTO_ENTREGA=CONCATENATE($C285,"_","P_"),MNU_GRAMAJE_REQUERIDO_TIPOM,"")))</f>
        <v>30</v>
      </c>
      <c r="AB285" s="259">
        <f t="shared" si="200"/>
        <v>0</v>
      </c>
      <c r="AC285" s="259">
        <v>0</v>
      </c>
      <c r="AD285" s="259">
        <f t="shared" si="201"/>
        <v>0</v>
      </c>
      <c r="AE285" s="260">
        <f t="shared" si="202"/>
        <v>0</v>
      </c>
      <c r="AF285" s="260">
        <v>0</v>
      </c>
      <c r="AG285" s="260">
        <f t="shared" si="203"/>
        <v>0</v>
      </c>
      <c r="AH285" s="348">
        <f t="array" ref="AH285">MAX((IF(MNU_CODIGO_ALIMENTO_ENTREGA=CONCATENATE($C285,"_","P_"),MNU_GRAMAJE_REQUERIDO_TIPOH,"")))</f>
        <v>30</v>
      </c>
      <c r="AI285" s="257">
        <f t="shared" si="204"/>
        <v>0</v>
      </c>
      <c r="AJ285" s="257">
        <v>0</v>
      </c>
      <c r="AK285" s="257">
        <f t="shared" si="205"/>
        <v>0</v>
      </c>
      <c r="AL285" s="258">
        <f t="shared" si="206"/>
        <v>0</v>
      </c>
      <c r="AM285" s="258">
        <v>0</v>
      </c>
      <c r="AN285" s="258">
        <f t="shared" si="207"/>
        <v>0</v>
      </c>
      <c r="AO285" s="451">
        <f t="shared" si="208"/>
        <v>288800</v>
      </c>
      <c r="AP285" s="450">
        <f t="shared" si="209"/>
        <v>95881600</v>
      </c>
      <c r="AQ285" s="261" t="e">
        <f>#REF!+AH285+AA285+T285+M285</f>
        <v>#REF!</v>
      </c>
      <c r="AR285" s="261">
        <f t="shared" si="168"/>
        <v>96082400</v>
      </c>
      <c r="AS285" s="261" t="e">
        <f t="shared" si="169"/>
        <v>#REF!</v>
      </c>
      <c r="AT285" s="261">
        <f t="shared" si="170"/>
        <v>96283200</v>
      </c>
      <c r="AU285" s="261" t="e">
        <f t="shared" si="171"/>
        <v>#REF!</v>
      </c>
      <c r="AV285" s="261">
        <f t="shared" si="172"/>
        <v>96283200</v>
      </c>
      <c r="AW285" s="261" t="e">
        <f t="shared" si="173"/>
        <v>#REF!</v>
      </c>
      <c r="AX285" s="261" t="e">
        <f>AV285+#REF!+AH285+AA285+T285</f>
        <v>#REF!</v>
      </c>
      <c r="AY285" s="261" t="e">
        <f t="shared" si="174"/>
        <v>#REF!</v>
      </c>
      <c r="AZ285" s="261" t="e">
        <f t="shared" si="175"/>
        <v>#REF!</v>
      </c>
      <c r="BA285" s="261" t="e">
        <f t="shared" si="176"/>
        <v>#REF!</v>
      </c>
      <c r="BB285" s="261" t="e">
        <f t="shared" si="177"/>
        <v>#REF!</v>
      </c>
      <c r="BC285" s="261" t="e">
        <f t="shared" si="178"/>
        <v>#REF!</v>
      </c>
      <c r="BD285" s="261" t="e">
        <f t="shared" si="179"/>
        <v>#REF!</v>
      </c>
      <c r="BE285" s="261" t="e">
        <f>BC285+AV285+#REF!+AH285+AA285</f>
        <v>#REF!</v>
      </c>
      <c r="BF285" s="261" t="e">
        <f t="shared" si="180"/>
        <v>#REF!</v>
      </c>
      <c r="BG285" s="261" t="e">
        <f t="shared" si="181"/>
        <v>#REF!</v>
      </c>
    </row>
    <row r="286" spans="1:59" ht="15.75">
      <c r="A286" s="333">
        <v>23</v>
      </c>
      <c r="B286" s="333" t="s">
        <v>1607</v>
      </c>
      <c r="C286" s="256">
        <v>45</v>
      </c>
      <c r="D286" s="322" t="s">
        <v>10</v>
      </c>
      <c r="E286" s="256" t="s">
        <v>9</v>
      </c>
      <c r="F286" s="425">
        <f t="array" ref="F286">MAX((IF(MNU_CODIGO_ALIMENTO_ENTREGA=CONCATENATE($C286,"_","P_"),MNU_GRAMAJE_REQUERIDO_TIPOA,"")))</f>
        <v>20</v>
      </c>
      <c r="G286" s="257">
        <f t="shared" si="182"/>
        <v>88000</v>
      </c>
      <c r="H286" s="257">
        <f t="shared" si="183"/>
        <v>17860</v>
      </c>
      <c r="I286" s="257">
        <f t="shared" si="184"/>
        <v>105860</v>
      </c>
      <c r="J286" s="258">
        <f t="shared" si="185"/>
        <v>17512000</v>
      </c>
      <c r="K286" s="258">
        <f t="shared" si="186"/>
        <v>3554140</v>
      </c>
      <c r="L286" s="258">
        <f t="shared" si="187"/>
        <v>21066140</v>
      </c>
      <c r="M286" s="426">
        <f t="array" ref="M286">MAX((IF(MNU_CODIGO_ALIMENTO_ENTREGA=CONCATENATE($C286,"_","P_"),MNU_GRAMAJE_REQUERIDO_TIPOB,"")))</f>
        <v>30</v>
      </c>
      <c r="N286" s="343">
        <f t="shared" si="188"/>
        <v>110784</v>
      </c>
      <c r="O286" s="343">
        <f t="shared" si="189"/>
        <v>17460</v>
      </c>
      <c r="P286" s="343">
        <f t="shared" si="190"/>
        <v>128244</v>
      </c>
      <c r="Q286" s="344">
        <f t="shared" si="191"/>
        <v>33013632</v>
      </c>
      <c r="R286" s="344">
        <f t="shared" si="192"/>
        <v>5203080</v>
      </c>
      <c r="S286" s="344">
        <f t="shared" si="193"/>
        <v>38216712</v>
      </c>
      <c r="T286" s="348">
        <f t="array" ref="T286">MAX((IF(MNU_CODIGO_ALIMENTO_ENTREGA=CONCATENATE($C286,"_","P_"),MNU_GRAMAJE_REQUERIDO_TIPOC,"")))</f>
        <v>60</v>
      </c>
      <c r="U286" s="257">
        <f t="shared" si="194"/>
        <v>90016</v>
      </c>
      <c r="V286" s="257">
        <f t="shared" si="195"/>
        <v>22080</v>
      </c>
      <c r="W286" s="257">
        <f t="shared" si="196"/>
        <v>112096</v>
      </c>
      <c r="X286" s="258">
        <f t="shared" si="197"/>
        <v>53739552</v>
      </c>
      <c r="Y286" s="258">
        <f t="shared" si="198"/>
        <v>13181760</v>
      </c>
      <c r="Z286" s="258">
        <f t="shared" si="199"/>
        <v>66921312</v>
      </c>
      <c r="AA286" s="256">
        <f t="array" ref="AA286">MAX((IF(MNU_CODIGO_ALIMENTO_ENTREGA=CONCATENATE($C286,"_","P_"),MNU_GRAMAJE_REQUERIDO_TIPOM,"")))</f>
        <v>30</v>
      </c>
      <c r="AB286" s="259">
        <f t="shared" si="200"/>
        <v>0</v>
      </c>
      <c r="AC286" s="259">
        <v>0</v>
      </c>
      <c r="AD286" s="259">
        <f t="shared" si="201"/>
        <v>0</v>
      </c>
      <c r="AE286" s="260">
        <f t="shared" si="202"/>
        <v>0</v>
      </c>
      <c r="AF286" s="260">
        <v>0</v>
      </c>
      <c r="AG286" s="260">
        <f t="shared" si="203"/>
        <v>0</v>
      </c>
      <c r="AH286" s="348">
        <f t="array" ref="AH286">MAX((IF(MNU_CODIGO_ALIMENTO_ENTREGA=CONCATENATE($C286,"_","P_"),MNU_GRAMAJE_REQUERIDO_TIPOH,"")))</f>
        <v>60</v>
      </c>
      <c r="AI286" s="257">
        <f t="shared" si="204"/>
        <v>0</v>
      </c>
      <c r="AJ286" s="257">
        <v>0</v>
      </c>
      <c r="AK286" s="257">
        <f t="shared" si="205"/>
        <v>0</v>
      </c>
      <c r="AL286" s="258">
        <f t="shared" si="206"/>
        <v>0</v>
      </c>
      <c r="AM286" s="258">
        <v>0</v>
      </c>
      <c r="AN286" s="258">
        <f t="shared" si="207"/>
        <v>0</v>
      </c>
      <c r="AO286" s="451">
        <f t="shared" si="208"/>
        <v>346200</v>
      </c>
      <c r="AP286" s="450">
        <f t="shared" si="209"/>
        <v>126204164</v>
      </c>
      <c r="AQ286" s="261" t="e">
        <f>#REF!+AH286+AA286+T286+M286</f>
        <v>#REF!</v>
      </c>
      <c r="AR286" s="261">
        <f t="shared" si="168"/>
        <v>126404964</v>
      </c>
      <c r="AS286" s="261" t="e">
        <f t="shared" si="169"/>
        <v>#REF!</v>
      </c>
      <c r="AT286" s="261">
        <f t="shared" si="170"/>
        <v>126645304</v>
      </c>
      <c r="AU286" s="261" t="e">
        <f t="shared" si="171"/>
        <v>#REF!</v>
      </c>
      <c r="AV286" s="261">
        <f t="shared" si="172"/>
        <v>145030144</v>
      </c>
      <c r="AW286" s="261" t="e">
        <f t="shared" si="173"/>
        <v>#REF!</v>
      </c>
      <c r="AX286" s="261" t="e">
        <f>AV286+#REF!+AH286+AA286+T286</f>
        <v>#REF!</v>
      </c>
      <c r="AY286" s="261" t="e">
        <f t="shared" si="174"/>
        <v>#REF!</v>
      </c>
      <c r="AZ286" s="261" t="e">
        <f t="shared" si="175"/>
        <v>#REF!</v>
      </c>
      <c r="BA286" s="261" t="e">
        <f t="shared" si="176"/>
        <v>#REF!</v>
      </c>
      <c r="BB286" s="261" t="e">
        <f t="shared" si="177"/>
        <v>#REF!</v>
      </c>
      <c r="BC286" s="261" t="e">
        <f t="shared" si="178"/>
        <v>#REF!</v>
      </c>
      <c r="BD286" s="261" t="e">
        <f t="shared" si="179"/>
        <v>#REF!</v>
      </c>
      <c r="BE286" s="261" t="e">
        <f>BC286+AV286+#REF!+AH286+AA286</f>
        <v>#REF!</v>
      </c>
      <c r="BF286" s="261" t="e">
        <f t="shared" si="180"/>
        <v>#REF!</v>
      </c>
      <c r="BG286" s="261" t="e">
        <f t="shared" si="181"/>
        <v>#REF!</v>
      </c>
    </row>
    <row r="287" spans="1:59" ht="15.75">
      <c r="A287" s="333">
        <v>23</v>
      </c>
      <c r="B287" s="333" t="s">
        <v>1607</v>
      </c>
      <c r="C287" s="256">
        <v>50</v>
      </c>
      <c r="D287" s="322" t="s">
        <v>65</v>
      </c>
      <c r="E287" s="256" t="s">
        <v>9</v>
      </c>
      <c r="F287" s="425">
        <f t="array" ref="F287">MAX((IF(MNU_CODIGO_ALIMENTO_ENTREGA=CONCATENATE($C287,"_","P_"),MNU_GRAMAJE_REQUERIDO_TIPOA,"")))</f>
        <v>30</v>
      </c>
      <c r="G287" s="257">
        <f t="shared" si="182"/>
        <v>93500</v>
      </c>
      <c r="H287" s="257">
        <f t="shared" si="183"/>
        <v>0</v>
      </c>
      <c r="I287" s="257">
        <f t="shared" si="184"/>
        <v>93500</v>
      </c>
      <c r="J287" s="258">
        <f t="shared" si="185"/>
        <v>30013500</v>
      </c>
      <c r="K287" s="258">
        <f t="shared" si="186"/>
        <v>0</v>
      </c>
      <c r="L287" s="258">
        <f t="shared" si="187"/>
        <v>30013500</v>
      </c>
      <c r="M287" s="426">
        <f t="array" ref="M287">MAX((IF(MNU_CODIGO_ALIMENTO_ENTREGA=CONCATENATE($C287,"_","P_"),MNU_GRAMAJE_REQUERIDO_TIPOB,"")))</f>
        <v>40</v>
      </c>
      <c r="N287" s="343">
        <f t="shared" si="188"/>
        <v>117708</v>
      </c>
      <c r="O287" s="343">
        <f t="shared" si="189"/>
        <v>0</v>
      </c>
      <c r="P287" s="343">
        <f t="shared" si="190"/>
        <v>117708</v>
      </c>
      <c r="Q287" s="344">
        <f t="shared" si="191"/>
        <v>50379024</v>
      </c>
      <c r="R287" s="344">
        <f t="shared" si="192"/>
        <v>0</v>
      </c>
      <c r="S287" s="344">
        <f t="shared" si="193"/>
        <v>50379024</v>
      </c>
      <c r="T287" s="348">
        <f t="array" ref="T287">MAX((IF(MNU_CODIGO_ALIMENTO_ENTREGA=CONCATENATE($C287,"_","P_"),MNU_GRAMAJE_REQUERIDO_TIPOC,"")))</f>
        <v>80</v>
      </c>
      <c r="U287" s="257">
        <f t="shared" si="194"/>
        <v>95642</v>
      </c>
      <c r="V287" s="257">
        <f t="shared" si="195"/>
        <v>0</v>
      </c>
      <c r="W287" s="257">
        <f t="shared" si="196"/>
        <v>95642</v>
      </c>
      <c r="X287" s="258">
        <f t="shared" si="197"/>
        <v>81773910</v>
      </c>
      <c r="Y287" s="258">
        <f t="shared" si="198"/>
        <v>0</v>
      </c>
      <c r="Z287" s="258">
        <f t="shared" si="199"/>
        <v>81773910</v>
      </c>
      <c r="AA287" s="256">
        <f t="array" ref="AA287">MAX((IF(MNU_CODIGO_ALIMENTO_ENTREGA=CONCATENATE($C287,"_","P_"),MNU_GRAMAJE_REQUERIDO_TIPOM,"")))</f>
        <v>40</v>
      </c>
      <c r="AB287" s="259">
        <f t="shared" si="200"/>
        <v>0</v>
      </c>
      <c r="AC287" s="259">
        <v>0</v>
      </c>
      <c r="AD287" s="259">
        <f t="shared" si="201"/>
        <v>0</v>
      </c>
      <c r="AE287" s="260">
        <f t="shared" si="202"/>
        <v>0</v>
      </c>
      <c r="AF287" s="260">
        <v>0</v>
      </c>
      <c r="AG287" s="260">
        <f t="shared" si="203"/>
        <v>0</v>
      </c>
      <c r="AH287" s="348">
        <f t="array" ref="AH287">MAX((IF(MNU_CODIGO_ALIMENTO_ENTREGA=CONCATENATE($C287,"_","P_"),MNU_GRAMAJE_REQUERIDO_TIPOH,"")))</f>
        <v>80</v>
      </c>
      <c r="AI287" s="257">
        <f t="shared" si="204"/>
        <v>0</v>
      </c>
      <c r="AJ287" s="257">
        <v>0</v>
      </c>
      <c r="AK287" s="257">
        <f t="shared" si="205"/>
        <v>0</v>
      </c>
      <c r="AL287" s="258">
        <f t="shared" si="206"/>
        <v>0</v>
      </c>
      <c r="AM287" s="258">
        <v>0</v>
      </c>
      <c r="AN287" s="258">
        <f t="shared" si="207"/>
        <v>0</v>
      </c>
      <c r="AO287" s="451">
        <f t="shared" si="208"/>
        <v>306850</v>
      </c>
      <c r="AP287" s="450">
        <f t="shared" si="209"/>
        <v>162166434</v>
      </c>
      <c r="AQ287" s="261" t="e">
        <f>#REF!+AH287+AA287+T287+M287</f>
        <v>#REF!</v>
      </c>
      <c r="AR287" s="261">
        <f t="shared" si="168"/>
        <v>162379784</v>
      </c>
      <c r="AS287" s="261" t="e">
        <f t="shared" si="169"/>
        <v>#REF!</v>
      </c>
      <c r="AT287" s="261">
        <f t="shared" si="170"/>
        <v>162593134</v>
      </c>
      <c r="AU287" s="261" t="e">
        <f t="shared" si="171"/>
        <v>#REF!</v>
      </c>
      <c r="AV287" s="261">
        <f t="shared" si="172"/>
        <v>162593134</v>
      </c>
      <c r="AW287" s="261" t="e">
        <f t="shared" si="173"/>
        <v>#REF!</v>
      </c>
      <c r="AX287" s="261" t="e">
        <f>AV287+#REF!+AH287+AA287+T287</f>
        <v>#REF!</v>
      </c>
      <c r="AY287" s="261" t="e">
        <f t="shared" si="174"/>
        <v>#REF!</v>
      </c>
      <c r="AZ287" s="261" t="e">
        <f t="shared" si="175"/>
        <v>#REF!</v>
      </c>
      <c r="BA287" s="261" t="e">
        <f t="shared" si="176"/>
        <v>#REF!</v>
      </c>
      <c r="BB287" s="261" t="e">
        <f t="shared" si="177"/>
        <v>#REF!</v>
      </c>
      <c r="BC287" s="261" t="e">
        <f t="shared" si="178"/>
        <v>#REF!</v>
      </c>
      <c r="BD287" s="261" t="e">
        <f t="shared" si="179"/>
        <v>#REF!</v>
      </c>
      <c r="BE287" s="261" t="e">
        <f>BC287+AV287+#REF!+AH287+AA287</f>
        <v>#REF!</v>
      </c>
      <c r="BF287" s="261" t="e">
        <f t="shared" si="180"/>
        <v>#REF!</v>
      </c>
      <c r="BG287" s="261" t="e">
        <f t="shared" si="181"/>
        <v>#REF!</v>
      </c>
    </row>
    <row r="288" spans="1:59" ht="15.75">
      <c r="A288" s="333">
        <v>23</v>
      </c>
      <c r="B288" s="333" t="s">
        <v>1607</v>
      </c>
      <c r="C288" s="256">
        <v>61</v>
      </c>
      <c r="D288" s="322" t="s">
        <v>13</v>
      </c>
      <c r="E288" s="256" t="s">
        <v>9</v>
      </c>
      <c r="F288" s="425">
        <f t="array" ref="F288">MAX((IF(MNU_CODIGO_ALIMENTO_ENTREGA=CONCATENATE($C288,"_","P_"),MNU_GRAMAJE_REQUERIDO_TIPOA,"")))</f>
        <v>20</v>
      </c>
      <c r="G288" s="257">
        <f t="shared" si="182"/>
        <v>88000</v>
      </c>
      <c r="H288" s="257">
        <f t="shared" si="183"/>
        <v>17860</v>
      </c>
      <c r="I288" s="257">
        <f t="shared" si="184"/>
        <v>105860</v>
      </c>
      <c r="J288" s="258">
        <f t="shared" si="185"/>
        <v>20504000</v>
      </c>
      <c r="K288" s="258">
        <f t="shared" si="186"/>
        <v>4161380</v>
      </c>
      <c r="L288" s="258">
        <f t="shared" si="187"/>
        <v>24665380</v>
      </c>
      <c r="M288" s="426">
        <f t="array" ref="M288">MAX((IF(MNU_CODIGO_ALIMENTO_ENTREGA=CONCATENATE($C288,"_","P_"),MNU_GRAMAJE_REQUERIDO_TIPOB,"")))</f>
        <v>30</v>
      </c>
      <c r="N288" s="343">
        <f t="shared" si="188"/>
        <v>110784</v>
      </c>
      <c r="O288" s="343">
        <f t="shared" si="189"/>
        <v>17460</v>
      </c>
      <c r="P288" s="343">
        <f t="shared" si="190"/>
        <v>128244</v>
      </c>
      <c r="Q288" s="344">
        <f t="shared" si="191"/>
        <v>38885184</v>
      </c>
      <c r="R288" s="344">
        <f t="shared" si="192"/>
        <v>6128460</v>
      </c>
      <c r="S288" s="344">
        <f t="shared" si="193"/>
        <v>45013644</v>
      </c>
      <c r="T288" s="348">
        <f t="array" ref="T288">MAX((IF(MNU_CODIGO_ALIMENTO_ENTREGA=CONCATENATE($C288,"_","P_"),MNU_GRAMAJE_REQUERIDO_TIPOC,"")))</f>
        <v>70</v>
      </c>
      <c r="U288" s="257">
        <f t="shared" si="194"/>
        <v>90016</v>
      </c>
      <c r="V288" s="257">
        <f t="shared" si="195"/>
        <v>22080</v>
      </c>
      <c r="W288" s="257">
        <f t="shared" si="196"/>
        <v>112096</v>
      </c>
      <c r="X288" s="258">
        <f t="shared" si="197"/>
        <v>73633088</v>
      </c>
      <c r="Y288" s="258">
        <f t="shared" si="198"/>
        <v>18061440</v>
      </c>
      <c r="Z288" s="258">
        <f t="shared" si="199"/>
        <v>91694528</v>
      </c>
      <c r="AA288" s="256">
        <f t="array" ref="AA288">MAX((IF(MNU_CODIGO_ALIMENTO_ENTREGA=CONCATENATE($C288,"_","P_"),MNU_GRAMAJE_REQUERIDO_TIPOM,"")))</f>
        <v>30</v>
      </c>
      <c r="AB288" s="259">
        <f t="shared" si="200"/>
        <v>0</v>
      </c>
      <c r="AC288" s="259">
        <v>0</v>
      </c>
      <c r="AD288" s="259">
        <f t="shared" si="201"/>
        <v>0</v>
      </c>
      <c r="AE288" s="260">
        <f t="shared" si="202"/>
        <v>0</v>
      </c>
      <c r="AF288" s="260">
        <v>0</v>
      </c>
      <c r="AG288" s="260">
        <f t="shared" si="203"/>
        <v>0</v>
      </c>
      <c r="AH288" s="348">
        <f t="array" ref="AH288">MAX((IF(MNU_CODIGO_ALIMENTO_ENTREGA=CONCATENATE($C288,"_","P_"),MNU_GRAMAJE_REQUERIDO_TIPOH,"")))</f>
        <v>70</v>
      </c>
      <c r="AI288" s="257">
        <f t="shared" si="204"/>
        <v>0</v>
      </c>
      <c r="AJ288" s="257">
        <v>0</v>
      </c>
      <c r="AK288" s="257">
        <f t="shared" si="205"/>
        <v>0</v>
      </c>
      <c r="AL288" s="258">
        <f t="shared" si="206"/>
        <v>0</v>
      </c>
      <c r="AM288" s="258">
        <v>0</v>
      </c>
      <c r="AN288" s="258">
        <f t="shared" si="207"/>
        <v>0</v>
      </c>
      <c r="AO288" s="451">
        <f t="shared" si="208"/>
        <v>346200</v>
      </c>
      <c r="AP288" s="450">
        <f t="shared" si="209"/>
        <v>161373552</v>
      </c>
      <c r="AQ288" s="261" t="e">
        <f>#REF!+AH288+AA288+T288+M288</f>
        <v>#REF!</v>
      </c>
      <c r="AR288" s="261">
        <f t="shared" si="168"/>
        <v>161574352</v>
      </c>
      <c r="AS288" s="261" t="e">
        <f t="shared" si="169"/>
        <v>#REF!</v>
      </c>
      <c r="AT288" s="261">
        <f t="shared" si="170"/>
        <v>161814692</v>
      </c>
      <c r="AU288" s="261" t="e">
        <f t="shared" si="171"/>
        <v>#REF!</v>
      </c>
      <c r="AV288" s="261">
        <f t="shared" si="172"/>
        <v>186004592</v>
      </c>
      <c r="AW288" s="261" t="e">
        <f t="shared" si="173"/>
        <v>#REF!</v>
      </c>
      <c r="AX288" s="261" t="e">
        <f>AV288+#REF!+AH288+AA288+T288</f>
        <v>#REF!</v>
      </c>
      <c r="AY288" s="261" t="e">
        <f t="shared" si="174"/>
        <v>#REF!</v>
      </c>
      <c r="AZ288" s="261" t="e">
        <f t="shared" si="175"/>
        <v>#REF!</v>
      </c>
      <c r="BA288" s="261" t="e">
        <f t="shared" si="176"/>
        <v>#REF!</v>
      </c>
      <c r="BB288" s="261" t="e">
        <f t="shared" si="177"/>
        <v>#REF!</v>
      </c>
      <c r="BC288" s="261" t="e">
        <f t="shared" si="178"/>
        <v>#REF!</v>
      </c>
      <c r="BD288" s="261" t="e">
        <f t="shared" si="179"/>
        <v>#REF!</v>
      </c>
      <c r="BE288" s="261" t="e">
        <f>BC288+AV288+#REF!+AH288+AA288</f>
        <v>#REF!</v>
      </c>
      <c r="BF288" s="261" t="e">
        <f t="shared" si="180"/>
        <v>#REF!</v>
      </c>
      <c r="BG288" s="261" t="e">
        <f t="shared" si="181"/>
        <v>#REF!</v>
      </c>
    </row>
    <row r="289" spans="1:59" ht="15.75">
      <c r="A289" s="333">
        <v>23</v>
      </c>
      <c r="B289" s="333" t="s">
        <v>1607</v>
      </c>
      <c r="C289" s="256">
        <v>62</v>
      </c>
      <c r="D289" s="322" t="s">
        <v>68</v>
      </c>
      <c r="E289" s="256" t="s">
        <v>9</v>
      </c>
      <c r="F289" s="425">
        <f t="array" ref="F289">MAX((IF(MNU_CODIGO_ALIMENTO_ENTREGA=CONCATENATE($C289,"_","P_"),MNU_GRAMAJE_REQUERIDO_TIPOA,"")))</f>
        <v>50</v>
      </c>
      <c r="G289" s="257">
        <f t="shared" si="182"/>
        <v>27500</v>
      </c>
      <c r="H289" s="257">
        <f t="shared" si="183"/>
        <v>0</v>
      </c>
      <c r="I289" s="257">
        <f t="shared" si="184"/>
        <v>27500</v>
      </c>
      <c r="J289" s="258">
        <f t="shared" si="185"/>
        <v>17187500</v>
      </c>
      <c r="K289" s="258">
        <f t="shared" si="186"/>
        <v>0</v>
      </c>
      <c r="L289" s="258">
        <f t="shared" si="187"/>
        <v>17187500</v>
      </c>
      <c r="M289" s="426">
        <f t="array" ref="M289">MAX((IF(MNU_CODIGO_ALIMENTO_ENTREGA=CONCATENATE($C289,"_","P_"),MNU_GRAMAJE_REQUERIDO_TIPOB,"")))</f>
        <v>50</v>
      </c>
      <c r="N289" s="343">
        <f t="shared" si="188"/>
        <v>34620</v>
      </c>
      <c r="O289" s="343">
        <f t="shared" si="189"/>
        <v>0</v>
      </c>
      <c r="P289" s="343">
        <f t="shared" si="190"/>
        <v>34620</v>
      </c>
      <c r="Q289" s="344">
        <f t="shared" si="191"/>
        <v>21637500</v>
      </c>
      <c r="R289" s="344">
        <f t="shared" si="192"/>
        <v>0</v>
      </c>
      <c r="S289" s="344">
        <f t="shared" si="193"/>
        <v>21637500</v>
      </c>
      <c r="T289" s="348">
        <f t="array" ref="T289">MAX((IF(MNU_CODIGO_ALIMENTO_ENTREGA=CONCATENATE($C289,"_","P_"),MNU_GRAMAJE_REQUERIDO_TIPOC,"")))</f>
        <v>50</v>
      </c>
      <c r="U289" s="257">
        <f t="shared" si="194"/>
        <v>28130</v>
      </c>
      <c r="V289" s="257">
        <f t="shared" si="195"/>
        <v>0</v>
      </c>
      <c r="W289" s="257">
        <f t="shared" si="196"/>
        <v>28130</v>
      </c>
      <c r="X289" s="258">
        <f t="shared" si="197"/>
        <v>17581250</v>
      </c>
      <c r="Y289" s="258">
        <f t="shared" si="198"/>
        <v>0</v>
      </c>
      <c r="Z289" s="258">
        <f t="shared" si="199"/>
        <v>17581250</v>
      </c>
      <c r="AA289" s="256">
        <f t="array" ref="AA289">MAX((IF(MNU_CODIGO_ALIMENTO_ENTREGA=CONCATENATE($C289,"_","P_"),MNU_GRAMAJE_REQUERIDO_TIPOM,"")))</f>
        <v>50</v>
      </c>
      <c r="AB289" s="259">
        <f t="shared" si="200"/>
        <v>0</v>
      </c>
      <c r="AC289" s="259">
        <v>0</v>
      </c>
      <c r="AD289" s="259">
        <f t="shared" si="201"/>
        <v>0</v>
      </c>
      <c r="AE289" s="260">
        <f t="shared" si="202"/>
        <v>0</v>
      </c>
      <c r="AF289" s="260">
        <v>0</v>
      </c>
      <c r="AG289" s="260">
        <f t="shared" si="203"/>
        <v>0</v>
      </c>
      <c r="AH289" s="348">
        <f t="array" ref="AH289">MAX((IF(MNU_CODIGO_ALIMENTO_ENTREGA=CONCATENATE($C289,"_","P_"),MNU_GRAMAJE_REQUERIDO_TIPOH,"")))</f>
        <v>50</v>
      </c>
      <c r="AI289" s="257">
        <f t="shared" si="204"/>
        <v>0</v>
      </c>
      <c r="AJ289" s="257">
        <v>0</v>
      </c>
      <c r="AK289" s="257">
        <f t="shared" si="205"/>
        <v>0</v>
      </c>
      <c r="AL289" s="258">
        <f t="shared" si="206"/>
        <v>0</v>
      </c>
      <c r="AM289" s="258">
        <v>0</v>
      </c>
      <c r="AN289" s="258">
        <f t="shared" si="207"/>
        <v>0</v>
      </c>
      <c r="AO289" s="451">
        <f t="shared" si="208"/>
        <v>90250</v>
      </c>
      <c r="AP289" s="450">
        <f t="shared" si="209"/>
        <v>56406250</v>
      </c>
      <c r="AQ289" s="261" t="e">
        <f>#REF!+AH289+AA289+T289+M289</f>
        <v>#REF!</v>
      </c>
      <c r="AR289" s="261">
        <f t="shared" si="168"/>
        <v>56469000</v>
      </c>
      <c r="AS289" s="261" t="e">
        <f t="shared" si="169"/>
        <v>#REF!</v>
      </c>
      <c r="AT289" s="261">
        <f t="shared" si="170"/>
        <v>56531750</v>
      </c>
      <c r="AU289" s="261" t="e">
        <f t="shared" si="171"/>
        <v>#REF!</v>
      </c>
      <c r="AV289" s="261">
        <f t="shared" si="172"/>
        <v>56531750</v>
      </c>
      <c r="AW289" s="261" t="e">
        <f t="shared" si="173"/>
        <v>#REF!</v>
      </c>
      <c r="AX289" s="261" t="e">
        <f>AV289+#REF!+AH289+AA289+T289</f>
        <v>#REF!</v>
      </c>
      <c r="AY289" s="261" t="e">
        <f t="shared" si="174"/>
        <v>#REF!</v>
      </c>
      <c r="AZ289" s="261" t="e">
        <f t="shared" si="175"/>
        <v>#REF!</v>
      </c>
      <c r="BA289" s="261" t="e">
        <f t="shared" si="176"/>
        <v>#REF!</v>
      </c>
      <c r="BB289" s="261" t="e">
        <f t="shared" si="177"/>
        <v>#REF!</v>
      </c>
      <c r="BC289" s="261" t="e">
        <f t="shared" si="178"/>
        <v>#REF!</v>
      </c>
      <c r="BD289" s="261" t="e">
        <f t="shared" si="179"/>
        <v>#REF!</v>
      </c>
      <c r="BE289" s="261" t="e">
        <f>BC289+AV289+#REF!+AH289+AA289</f>
        <v>#REF!</v>
      </c>
      <c r="BF289" s="261" t="e">
        <f t="shared" si="180"/>
        <v>#REF!</v>
      </c>
      <c r="BG289" s="261" t="e">
        <f t="shared" si="181"/>
        <v>#REF!</v>
      </c>
    </row>
    <row r="290" spans="1:59" ht="15.75">
      <c r="A290" s="333">
        <v>24</v>
      </c>
      <c r="B290" s="333" t="s">
        <v>1607</v>
      </c>
      <c r="C290" s="256">
        <v>1</v>
      </c>
      <c r="D290" s="322" t="s">
        <v>16</v>
      </c>
      <c r="E290" s="256" t="s">
        <v>9</v>
      </c>
      <c r="F290" s="425">
        <f t="array" ref="F290">MAX((IF(MNU_CODIGO_ALIMENTO_ENTREGA=CONCATENATE($C290,"_","P_"),MNU_GRAMAJE_REQUERIDO_TIPOA,"")))</f>
        <v>30</v>
      </c>
      <c r="G290" s="257">
        <f t="shared" si="182"/>
        <v>89235</v>
      </c>
      <c r="H290" s="257">
        <f t="shared" si="183"/>
        <v>0</v>
      </c>
      <c r="I290" s="257">
        <f t="shared" si="184"/>
        <v>89235</v>
      </c>
      <c r="J290" s="258">
        <f t="shared" si="185"/>
        <v>72101880</v>
      </c>
      <c r="K290" s="258">
        <f t="shared" si="186"/>
        <v>0</v>
      </c>
      <c r="L290" s="258">
        <f t="shared" si="187"/>
        <v>72101880</v>
      </c>
      <c r="M290" s="426">
        <f t="array" ref="M290">MAX((IF(MNU_CODIGO_ALIMENTO_ENTREGA=CONCATENATE($C290,"_","P_"),MNU_GRAMAJE_REQUERIDO_TIPOB,"")))</f>
        <v>40</v>
      </c>
      <c r="N290" s="343">
        <f t="shared" si="188"/>
        <v>111105</v>
      </c>
      <c r="O290" s="343">
        <f t="shared" si="189"/>
        <v>0</v>
      </c>
      <c r="P290" s="343">
        <f t="shared" si="190"/>
        <v>111105</v>
      </c>
      <c r="Q290" s="344">
        <f t="shared" si="191"/>
        <v>119771190</v>
      </c>
      <c r="R290" s="344">
        <f t="shared" si="192"/>
        <v>0</v>
      </c>
      <c r="S290" s="344">
        <f t="shared" si="193"/>
        <v>119771190</v>
      </c>
      <c r="T290" s="348">
        <f t="array" ref="T290">MAX((IF(MNU_CODIGO_ALIMENTO_ENTREGA=CONCATENATE($C290,"_","P_"),MNU_GRAMAJE_REQUERIDO_TIPOC,"")))</f>
        <v>60</v>
      </c>
      <c r="U290" s="257">
        <f t="shared" si="194"/>
        <v>124125</v>
      </c>
      <c r="V290" s="257">
        <f t="shared" si="195"/>
        <v>0</v>
      </c>
      <c r="W290" s="257">
        <f t="shared" si="196"/>
        <v>124125</v>
      </c>
      <c r="X290" s="258">
        <f t="shared" si="197"/>
        <v>200586000</v>
      </c>
      <c r="Y290" s="258">
        <f t="shared" si="198"/>
        <v>0</v>
      </c>
      <c r="Z290" s="258">
        <f t="shared" si="199"/>
        <v>200586000</v>
      </c>
      <c r="AA290" s="256">
        <f t="array" ref="AA290">MAX((IF(MNU_CODIGO_ALIMENTO_ENTREGA=CONCATENATE($C290,"_","P_"),MNU_GRAMAJE_REQUERIDO_TIPOM,"")))</f>
        <v>40</v>
      </c>
      <c r="AB290" s="259">
        <f t="shared" si="200"/>
        <v>6510</v>
      </c>
      <c r="AC290" s="259">
        <v>0</v>
      </c>
      <c r="AD290" s="259">
        <f t="shared" si="201"/>
        <v>6510</v>
      </c>
      <c r="AE290" s="260">
        <f t="shared" si="202"/>
        <v>7017780</v>
      </c>
      <c r="AF290" s="260">
        <v>0</v>
      </c>
      <c r="AG290" s="260">
        <f t="shared" si="203"/>
        <v>7017780</v>
      </c>
      <c r="AH290" s="348">
        <f t="array" ref="AH290">MAX((IF(MNU_CODIGO_ALIMENTO_ENTREGA=CONCATENATE($C290,"_","P_"),MNU_GRAMAJE_REQUERIDO_TIPOH,"")))</f>
        <v>60</v>
      </c>
      <c r="AI290" s="257">
        <f t="shared" si="204"/>
        <v>2595</v>
      </c>
      <c r="AJ290" s="257">
        <v>0</v>
      </c>
      <c r="AK290" s="257">
        <f t="shared" si="205"/>
        <v>2595</v>
      </c>
      <c r="AL290" s="258">
        <f t="shared" si="206"/>
        <v>4193520</v>
      </c>
      <c r="AM290" s="258">
        <v>0</v>
      </c>
      <c r="AN290" s="258">
        <f t="shared" si="207"/>
        <v>4193520</v>
      </c>
      <c r="AO290" s="451">
        <f t="shared" si="208"/>
        <v>333570</v>
      </c>
      <c r="AP290" s="450">
        <f t="shared" si="209"/>
        <v>403670370</v>
      </c>
      <c r="AQ290" s="261" t="e">
        <f>#REF!+AH290+AA290+T290+M290</f>
        <v>#REF!</v>
      </c>
      <c r="AR290" s="261">
        <f t="shared" si="168"/>
        <v>403914705</v>
      </c>
      <c r="AS290" s="261" t="e">
        <f t="shared" si="169"/>
        <v>#REF!</v>
      </c>
      <c r="AT290" s="261">
        <f t="shared" si="170"/>
        <v>404159040</v>
      </c>
      <c r="AU290" s="261" t="e">
        <f t="shared" si="171"/>
        <v>#REF!</v>
      </c>
      <c r="AV290" s="261">
        <f t="shared" si="172"/>
        <v>404159040</v>
      </c>
      <c r="AW290" s="261" t="e">
        <f t="shared" si="173"/>
        <v>#REF!</v>
      </c>
      <c r="AX290" s="261" t="e">
        <f>AV290+#REF!+AH290+AA290+T290</f>
        <v>#REF!</v>
      </c>
      <c r="AY290" s="261" t="e">
        <f t="shared" si="174"/>
        <v>#REF!</v>
      </c>
      <c r="AZ290" s="261" t="e">
        <f t="shared" si="175"/>
        <v>#REF!</v>
      </c>
      <c r="BA290" s="261" t="e">
        <f t="shared" si="176"/>
        <v>#REF!</v>
      </c>
      <c r="BB290" s="261" t="e">
        <f t="shared" si="177"/>
        <v>#REF!</v>
      </c>
      <c r="BC290" s="261" t="e">
        <f t="shared" si="178"/>
        <v>#REF!</v>
      </c>
      <c r="BD290" s="261" t="e">
        <f t="shared" si="179"/>
        <v>#REF!</v>
      </c>
      <c r="BE290" s="261" t="e">
        <f>BC290+AV290+#REF!+AH290+AA290</f>
        <v>#REF!</v>
      </c>
      <c r="BF290" s="261" t="e">
        <f t="shared" si="180"/>
        <v>#REF!</v>
      </c>
      <c r="BG290" s="261" t="e">
        <f t="shared" si="181"/>
        <v>#REF!</v>
      </c>
    </row>
    <row r="291" spans="1:59" ht="15.75">
      <c r="A291" s="333">
        <v>24</v>
      </c>
      <c r="B291" s="333" t="s">
        <v>1607</v>
      </c>
      <c r="C291" s="256">
        <v>3</v>
      </c>
      <c r="D291" s="322" t="s">
        <v>12</v>
      </c>
      <c r="E291" s="256" t="s">
        <v>9</v>
      </c>
      <c r="F291" s="425">
        <f t="array" ref="F291">MAX((IF(MNU_CODIGO_ALIMENTO_ENTREGA=CONCATENATE($C291,"_","P_"),MNU_GRAMAJE_REQUERIDO_TIPOA,"")))</f>
        <v>50</v>
      </c>
      <c r="G291" s="257">
        <f t="shared" si="182"/>
        <v>101133</v>
      </c>
      <c r="H291" s="257">
        <f t="shared" si="183"/>
        <v>5016</v>
      </c>
      <c r="I291" s="257">
        <f t="shared" si="184"/>
        <v>106149</v>
      </c>
      <c r="J291" s="258">
        <f t="shared" si="185"/>
        <v>51072165</v>
      </c>
      <c r="K291" s="258">
        <f t="shared" si="186"/>
        <v>2533080</v>
      </c>
      <c r="L291" s="258">
        <f t="shared" si="187"/>
        <v>53605245</v>
      </c>
      <c r="M291" s="426">
        <f t="array" ref="M291">MAX((IF(MNU_CODIGO_ALIMENTO_ENTREGA=CONCATENATE($C291,"_","P_"),MNU_GRAMAJE_REQUERIDO_TIPOB,"")))</f>
        <v>50</v>
      </c>
      <c r="N291" s="343">
        <f t="shared" si="188"/>
        <v>125919</v>
      </c>
      <c r="O291" s="343">
        <f t="shared" si="189"/>
        <v>14535</v>
      </c>
      <c r="P291" s="343">
        <f t="shared" si="190"/>
        <v>140454</v>
      </c>
      <c r="Q291" s="344">
        <f t="shared" si="191"/>
        <v>63589095</v>
      </c>
      <c r="R291" s="344">
        <f t="shared" si="192"/>
        <v>7340175</v>
      </c>
      <c r="S291" s="344">
        <f t="shared" si="193"/>
        <v>70929270</v>
      </c>
      <c r="T291" s="348">
        <f t="array" ref="T291">MAX((IF(MNU_CODIGO_ALIMENTO_ENTREGA=CONCATENATE($C291,"_","P_"),MNU_GRAMAJE_REQUERIDO_TIPOC,"")))</f>
        <v>80</v>
      </c>
      <c r="U291" s="257">
        <f t="shared" si="194"/>
        <v>140675</v>
      </c>
      <c r="V291" s="257">
        <f t="shared" si="195"/>
        <v>23826</v>
      </c>
      <c r="W291" s="257">
        <f t="shared" si="196"/>
        <v>164501</v>
      </c>
      <c r="X291" s="258">
        <f t="shared" si="197"/>
        <v>107335025</v>
      </c>
      <c r="Y291" s="258">
        <f t="shared" si="198"/>
        <v>18179238</v>
      </c>
      <c r="Z291" s="258">
        <f t="shared" si="199"/>
        <v>125514263</v>
      </c>
      <c r="AA291" s="256">
        <f t="array" ref="AA291">MAX((IF(MNU_CODIGO_ALIMENTO_ENTREGA=CONCATENATE($C291,"_","P_"),MNU_GRAMAJE_REQUERIDO_TIPOM,"")))</f>
        <v>50</v>
      </c>
      <c r="AB291" s="259">
        <f t="shared" si="200"/>
        <v>7378</v>
      </c>
      <c r="AC291" s="259">
        <v>0</v>
      </c>
      <c r="AD291" s="259">
        <f t="shared" si="201"/>
        <v>7378</v>
      </c>
      <c r="AE291" s="260">
        <f t="shared" si="202"/>
        <v>3725890</v>
      </c>
      <c r="AF291" s="260">
        <v>0</v>
      </c>
      <c r="AG291" s="260">
        <f t="shared" si="203"/>
        <v>3725890</v>
      </c>
      <c r="AH291" s="348">
        <f t="array" ref="AH291">MAX((IF(MNU_CODIGO_ALIMENTO_ENTREGA=CONCATENATE($C291,"_","P_"),MNU_GRAMAJE_REQUERIDO_TIPOH,"")))</f>
        <v>80</v>
      </c>
      <c r="AI291" s="257">
        <f t="shared" si="204"/>
        <v>2941</v>
      </c>
      <c r="AJ291" s="257">
        <v>0</v>
      </c>
      <c r="AK291" s="257">
        <f t="shared" si="205"/>
        <v>2941</v>
      </c>
      <c r="AL291" s="258">
        <f t="shared" si="206"/>
        <v>2243983</v>
      </c>
      <c r="AM291" s="258">
        <v>0</v>
      </c>
      <c r="AN291" s="258">
        <f t="shared" si="207"/>
        <v>2243983</v>
      </c>
      <c r="AO291" s="451">
        <f t="shared" si="208"/>
        <v>421423</v>
      </c>
      <c r="AP291" s="450">
        <f t="shared" si="209"/>
        <v>256018651</v>
      </c>
      <c r="AQ291" s="261" t="e">
        <f>#REF!+AH291+AA291+T291+M291</f>
        <v>#REF!</v>
      </c>
      <c r="AR291" s="261">
        <f t="shared" si="168"/>
        <v>256295564</v>
      </c>
      <c r="AS291" s="261" t="e">
        <f t="shared" si="169"/>
        <v>#REF!</v>
      </c>
      <c r="AT291" s="261">
        <f t="shared" si="170"/>
        <v>256610838</v>
      </c>
      <c r="AU291" s="261" t="e">
        <f t="shared" si="171"/>
        <v>#REF!</v>
      </c>
      <c r="AV291" s="261">
        <f t="shared" si="172"/>
        <v>282130251</v>
      </c>
      <c r="AW291" s="261" t="e">
        <f t="shared" si="173"/>
        <v>#REF!</v>
      </c>
      <c r="AX291" s="261" t="e">
        <f>AV291+#REF!+AH291+AA291+T291</f>
        <v>#REF!</v>
      </c>
      <c r="AY291" s="261" t="e">
        <f t="shared" si="174"/>
        <v>#REF!</v>
      </c>
      <c r="AZ291" s="261" t="e">
        <f t="shared" si="175"/>
        <v>#REF!</v>
      </c>
      <c r="BA291" s="261" t="e">
        <f t="shared" si="176"/>
        <v>#REF!</v>
      </c>
      <c r="BB291" s="261" t="e">
        <f t="shared" si="177"/>
        <v>#REF!</v>
      </c>
      <c r="BC291" s="261" t="e">
        <f t="shared" si="178"/>
        <v>#REF!</v>
      </c>
      <c r="BD291" s="261" t="e">
        <f t="shared" si="179"/>
        <v>#REF!</v>
      </c>
      <c r="BE291" s="261" t="e">
        <f>BC291+AV291+#REF!+AH291+AA291</f>
        <v>#REF!</v>
      </c>
      <c r="BF291" s="261" t="e">
        <f t="shared" si="180"/>
        <v>#REF!</v>
      </c>
      <c r="BG291" s="261" t="e">
        <f t="shared" si="181"/>
        <v>#REF!</v>
      </c>
    </row>
    <row r="292" spans="1:59" ht="15.75">
      <c r="A292" s="333">
        <v>24</v>
      </c>
      <c r="B292" s="333" t="s">
        <v>1607</v>
      </c>
      <c r="C292" s="256">
        <v>15</v>
      </c>
      <c r="D292" s="322" t="s">
        <v>66</v>
      </c>
      <c r="E292" s="256" t="s">
        <v>9</v>
      </c>
      <c r="F292" s="425">
        <f t="array" ref="F292">MAX((IF(MNU_CODIGO_ALIMENTO_ENTREGA=CONCATENATE($C292,"_","P_"),MNU_GRAMAJE_REQUERIDO_TIPOA,"")))</f>
        <v>50</v>
      </c>
      <c r="G292" s="257">
        <f t="shared" si="182"/>
        <v>101133</v>
      </c>
      <c r="H292" s="257">
        <f t="shared" si="183"/>
        <v>2904</v>
      </c>
      <c r="I292" s="257">
        <f t="shared" si="184"/>
        <v>104037</v>
      </c>
      <c r="J292" s="258">
        <f t="shared" si="185"/>
        <v>68062509</v>
      </c>
      <c r="K292" s="258">
        <f t="shared" si="186"/>
        <v>1954392</v>
      </c>
      <c r="L292" s="258">
        <f t="shared" si="187"/>
        <v>70016901</v>
      </c>
      <c r="M292" s="426">
        <f t="array" ref="M292">MAX((IF(MNU_CODIGO_ALIMENTO_ENTREGA=CONCATENATE($C292,"_","P_"),MNU_GRAMAJE_REQUERIDO_TIPOB,"")))</f>
        <v>50</v>
      </c>
      <c r="N292" s="343">
        <f t="shared" si="188"/>
        <v>125919</v>
      </c>
      <c r="O292" s="343">
        <f t="shared" si="189"/>
        <v>8415</v>
      </c>
      <c r="P292" s="343">
        <f t="shared" si="190"/>
        <v>134334</v>
      </c>
      <c r="Q292" s="344">
        <f t="shared" si="191"/>
        <v>84743487</v>
      </c>
      <c r="R292" s="344">
        <f t="shared" si="192"/>
        <v>5663295</v>
      </c>
      <c r="S292" s="344">
        <f t="shared" si="193"/>
        <v>90406782</v>
      </c>
      <c r="T292" s="348">
        <f t="array" ref="T292">MAX((IF(MNU_CODIGO_ALIMENTO_ENTREGA=CONCATENATE($C292,"_","P_"),MNU_GRAMAJE_REQUERIDO_TIPOC,"")))</f>
        <v>80</v>
      </c>
      <c r="U292" s="257">
        <f t="shared" si="194"/>
        <v>140675</v>
      </c>
      <c r="V292" s="257">
        <f t="shared" si="195"/>
        <v>13794</v>
      </c>
      <c r="W292" s="257">
        <f t="shared" si="196"/>
        <v>154469</v>
      </c>
      <c r="X292" s="258">
        <f t="shared" si="197"/>
        <v>151366300</v>
      </c>
      <c r="Y292" s="258">
        <f t="shared" si="198"/>
        <v>14842344</v>
      </c>
      <c r="Z292" s="258">
        <f t="shared" si="199"/>
        <v>166208644</v>
      </c>
      <c r="AA292" s="256">
        <f t="array" ref="AA292">MAX((IF(MNU_CODIGO_ALIMENTO_ENTREGA=CONCATENATE($C292,"_","P_"),MNU_GRAMAJE_REQUERIDO_TIPOM,"")))</f>
        <v>50</v>
      </c>
      <c r="AB292" s="259">
        <f t="shared" si="200"/>
        <v>7378</v>
      </c>
      <c r="AC292" s="259">
        <v>0</v>
      </c>
      <c r="AD292" s="259">
        <f t="shared" si="201"/>
        <v>7378</v>
      </c>
      <c r="AE292" s="260">
        <f t="shared" si="202"/>
        <v>4965394</v>
      </c>
      <c r="AF292" s="260">
        <v>0</v>
      </c>
      <c r="AG292" s="260">
        <f t="shared" si="203"/>
        <v>4965394</v>
      </c>
      <c r="AH292" s="348">
        <f t="array" ref="AH292">MAX((IF(MNU_CODIGO_ALIMENTO_ENTREGA=CONCATENATE($C292,"_","P_"),MNU_GRAMAJE_REQUERIDO_TIPOH,"")))</f>
        <v>80</v>
      </c>
      <c r="AI292" s="257">
        <f t="shared" si="204"/>
        <v>2941</v>
      </c>
      <c r="AJ292" s="257">
        <v>0</v>
      </c>
      <c r="AK292" s="257">
        <f t="shared" si="205"/>
        <v>2941</v>
      </c>
      <c r="AL292" s="258">
        <f t="shared" si="206"/>
        <v>3164516</v>
      </c>
      <c r="AM292" s="258">
        <v>0</v>
      </c>
      <c r="AN292" s="258">
        <f t="shared" si="207"/>
        <v>3164516</v>
      </c>
      <c r="AO292" s="451">
        <f t="shared" si="208"/>
        <v>403159</v>
      </c>
      <c r="AP292" s="450">
        <f t="shared" si="209"/>
        <v>334762237</v>
      </c>
      <c r="AQ292" s="261" t="e">
        <f>#REF!+AH292+AA292+T292+M292</f>
        <v>#REF!</v>
      </c>
      <c r="AR292" s="261">
        <f t="shared" si="168"/>
        <v>335039150</v>
      </c>
      <c r="AS292" s="261" t="e">
        <f t="shared" si="169"/>
        <v>#REF!</v>
      </c>
      <c r="AT292" s="261">
        <f t="shared" si="170"/>
        <v>335338272</v>
      </c>
      <c r="AU292" s="261" t="e">
        <f t="shared" si="171"/>
        <v>#REF!</v>
      </c>
      <c r="AV292" s="261">
        <f t="shared" si="172"/>
        <v>355843911</v>
      </c>
      <c r="AW292" s="261" t="e">
        <f t="shared" si="173"/>
        <v>#REF!</v>
      </c>
      <c r="AX292" s="261" t="e">
        <f>AV292+#REF!+AH292+AA292+T292</f>
        <v>#REF!</v>
      </c>
      <c r="AY292" s="261" t="e">
        <f t="shared" si="174"/>
        <v>#REF!</v>
      </c>
      <c r="AZ292" s="261" t="e">
        <f t="shared" si="175"/>
        <v>#REF!</v>
      </c>
      <c r="BA292" s="261" t="e">
        <f t="shared" si="176"/>
        <v>#REF!</v>
      </c>
      <c r="BB292" s="261" t="e">
        <f t="shared" si="177"/>
        <v>#REF!</v>
      </c>
      <c r="BC292" s="261" t="e">
        <f t="shared" si="178"/>
        <v>#REF!</v>
      </c>
      <c r="BD292" s="261" t="e">
        <f t="shared" si="179"/>
        <v>#REF!</v>
      </c>
      <c r="BE292" s="261" t="e">
        <f>BC292+AV292+#REF!+AH292+AA292</f>
        <v>#REF!</v>
      </c>
      <c r="BF292" s="261" t="e">
        <f t="shared" si="180"/>
        <v>#REF!</v>
      </c>
      <c r="BG292" s="261" t="e">
        <f t="shared" si="181"/>
        <v>#REF!</v>
      </c>
    </row>
    <row r="293" spans="1:59" ht="15.75">
      <c r="A293" s="333">
        <v>24</v>
      </c>
      <c r="B293" s="333" t="s">
        <v>1607</v>
      </c>
      <c r="C293" s="256">
        <v>24</v>
      </c>
      <c r="D293" s="322" t="s">
        <v>61</v>
      </c>
      <c r="E293" s="256" t="s">
        <v>9</v>
      </c>
      <c r="F293" s="425">
        <f t="array" ref="F293">MAX((IF(MNU_CODIGO_ALIMENTO_ENTREGA=CONCATENATE($C293,"_","P_"),MNU_GRAMAJE_REQUERIDO_TIPOA,"")))</f>
        <v>20</v>
      </c>
      <c r="G293" s="257">
        <f t="shared" si="182"/>
        <v>101133</v>
      </c>
      <c r="H293" s="257">
        <f t="shared" si="183"/>
        <v>2904</v>
      </c>
      <c r="I293" s="257">
        <f t="shared" si="184"/>
        <v>104037</v>
      </c>
      <c r="J293" s="258">
        <f t="shared" si="185"/>
        <v>12945024</v>
      </c>
      <c r="K293" s="258">
        <f t="shared" si="186"/>
        <v>371712</v>
      </c>
      <c r="L293" s="258">
        <f t="shared" si="187"/>
        <v>13316736</v>
      </c>
      <c r="M293" s="426">
        <f t="array" ref="M293">MAX((IF(MNU_CODIGO_ALIMENTO_ENTREGA=CONCATENATE($C293,"_","P_"),MNU_GRAMAJE_REQUERIDO_TIPOB,"")))</f>
        <v>30</v>
      </c>
      <c r="N293" s="343">
        <f t="shared" si="188"/>
        <v>125919</v>
      </c>
      <c r="O293" s="343">
        <f t="shared" si="189"/>
        <v>8415</v>
      </c>
      <c r="P293" s="343">
        <f t="shared" si="190"/>
        <v>134334</v>
      </c>
      <c r="Q293" s="344">
        <f t="shared" si="191"/>
        <v>25183800</v>
      </c>
      <c r="R293" s="344">
        <f t="shared" si="192"/>
        <v>1683000</v>
      </c>
      <c r="S293" s="344">
        <f t="shared" si="193"/>
        <v>26866800</v>
      </c>
      <c r="T293" s="348">
        <f t="array" ref="T293">MAX((IF(MNU_CODIGO_ALIMENTO_ENTREGA=CONCATENATE($C293,"_","P_"),MNU_GRAMAJE_REQUERIDO_TIPOC,"")))</f>
        <v>60</v>
      </c>
      <c r="U293" s="257">
        <f t="shared" si="194"/>
        <v>140675</v>
      </c>
      <c r="V293" s="257">
        <f t="shared" si="195"/>
        <v>13794</v>
      </c>
      <c r="W293" s="257">
        <f t="shared" si="196"/>
        <v>154469</v>
      </c>
      <c r="X293" s="258">
        <f t="shared" si="197"/>
        <v>54159875</v>
      </c>
      <c r="Y293" s="258">
        <f t="shared" si="198"/>
        <v>5310690</v>
      </c>
      <c r="Z293" s="258">
        <f t="shared" si="199"/>
        <v>59470565</v>
      </c>
      <c r="AA293" s="256">
        <f t="array" ref="AA293">MAX((IF(MNU_CODIGO_ALIMENTO_ENTREGA=CONCATENATE($C293,"_","P_"),MNU_GRAMAJE_REQUERIDO_TIPOM,"")))</f>
        <v>30</v>
      </c>
      <c r="AB293" s="259">
        <f t="shared" si="200"/>
        <v>7378</v>
      </c>
      <c r="AC293" s="259">
        <v>0</v>
      </c>
      <c r="AD293" s="259">
        <f t="shared" si="201"/>
        <v>7378</v>
      </c>
      <c r="AE293" s="260">
        <f t="shared" si="202"/>
        <v>1475600</v>
      </c>
      <c r="AF293" s="260">
        <v>0</v>
      </c>
      <c r="AG293" s="260">
        <f t="shared" si="203"/>
        <v>1475600</v>
      </c>
      <c r="AH293" s="348">
        <f t="array" ref="AH293">MAX((IF(MNU_CODIGO_ALIMENTO_ENTREGA=CONCATENATE($C293,"_","P_"),MNU_GRAMAJE_REQUERIDO_TIPOH,"")))</f>
        <v>60</v>
      </c>
      <c r="AI293" s="257">
        <f t="shared" si="204"/>
        <v>2941</v>
      </c>
      <c r="AJ293" s="257">
        <v>0</v>
      </c>
      <c r="AK293" s="257">
        <f t="shared" si="205"/>
        <v>2941</v>
      </c>
      <c r="AL293" s="258">
        <f t="shared" si="206"/>
        <v>1132285</v>
      </c>
      <c r="AM293" s="258">
        <v>0</v>
      </c>
      <c r="AN293" s="258">
        <f t="shared" si="207"/>
        <v>1132285</v>
      </c>
      <c r="AO293" s="451">
        <f t="shared" si="208"/>
        <v>403159</v>
      </c>
      <c r="AP293" s="450">
        <f t="shared" si="209"/>
        <v>102261986</v>
      </c>
      <c r="AQ293" s="261" t="e">
        <f>#REF!+AH293+AA293+T293+M293</f>
        <v>#REF!</v>
      </c>
      <c r="AR293" s="261">
        <f t="shared" si="168"/>
        <v>102538899</v>
      </c>
      <c r="AS293" s="261" t="e">
        <f t="shared" si="169"/>
        <v>#REF!</v>
      </c>
      <c r="AT293" s="261">
        <f t="shared" si="170"/>
        <v>102838021</v>
      </c>
      <c r="AU293" s="261" t="e">
        <f t="shared" si="171"/>
        <v>#REF!</v>
      </c>
      <c r="AV293" s="261">
        <f t="shared" si="172"/>
        <v>109831711</v>
      </c>
      <c r="AW293" s="261" t="e">
        <f t="shared" si="173"/>
        <v>#REF!</v>
      </c>
      <c r="AX293" s="261" t="e">
        <f>AV293+#REF!+AH293+AA293+T293</f>
        <v>#REF!</v>
      </c>
      <c r="AY293" s="261" t="e">
        <f t="shared" si="174"/>
        <v>#REF!</v>
      </c>
      <c r="AZ293" s="261" t="e">
        <f t="shared" si="175"/>
        <v>#REF!</v>
      </c>
      <c r="BA293" s="261" t="e">
        <f t="shared" si="176"/>
        <v>#REF!</v>
      </c>
      <c r="BB293" s="261" t="e">
        <f t="shared" si="177"/>
        <v>#REF!</v>
      </c>
      <c r="BC293" s="261" t="e">
        <f t="shared" si="178"/>
        <v>#REF!</v>
      </c>
      <c r="BD293" s="261" t="e">
        <f t="shared" si="179"/>
        <v>#REF!</v>
      </c>
      <c r="BE293" s="261" t="e">
        <f>BC293+AV293+#REF!+AH293+AA293</f>
        <v>#REF!</v>
      </c>
      <c r="BF293" s="261" t="e">
        <f t="shared" si="180"/>
        <v>#REF!</v>
      </c>
      <c r="BG293" s="261" t="e">
        <f t="shared" si="181"/>
        <v>#REF!</v>
      </c>
    </row>
    <row r="294" spans="1:59" ht="15.75">
      <c r="A294" s="333">
        <v>24</v>
      </c>
      <c r="B294" s="333" t="s">
        <v>1607</v>
      </c>
      <c r="C294" s="256">
        <v>25</v>
      </c>
      <c r="D294" s="322" t="s">
        <v>64</v>
      </c>
      <c r="E294" s="256" t="s">
        <v>9</v>
      </c>
      <c r="F294" s="425">
        <f t="array" ref="F294">MAX((IF(MNU_CODIGO_ALIMENTO_ENTREGA=CONCATENATE($C294,"_","P_"),MNU_GRAMAJE_REQUERIDO_TIPOA,"")))</f>
        <v>40</v>
      </c>
      <c r="G294" s="257">
        <f t="shared" si="182"/>
        <v>101133</v>
      </c>
      <c r="H294" s="257">
        <f t="shared" si="183"/>
        <v>5808</v>
      </c>
      <c r="I294" s="257">
        <f t="shared" si="184"/>
        <v>106941</v>
      </c>
      <c r="J294" s="258">
        <f t="shared" si="185"/>
        <v>25890048</v>
      </c>
      <c r="K294" s="258">
        <f t="shared" si="186"/>
        <v>1486848</v>
      </c>
      <c r="L294" s="258">
        <f t="shared" si="187"/>
        <v>27376896</v>
      </c>
      <c r="M294" s="426">
        <f t="array" ref="M294">MAX((IF(MNU_CODIGO_ALIMENTO_ENTREGA=CONCATENATE($C294,"_","P_"),MNU_GRAMAJE_REQUERIDO_TIPOB,"")))</f>
        <v>40</v>
      </c>
      <c r="N294" s="343">
        <f t="shared" si="188"/>
        <v>125919</v>
      </c>
      <c r="O294" s="343">
        <f t="shared" si="189"/>
        <v>16830</v>
      </c>
      <c r="P294" s="343">
        <f t="shared" si="190"/>
        <v>142749</v>
      </c>
      <c r="Q294" s="344">
        <f t="shared" si="191"/>
        <v>32235264</v>
      </c>
      <c r="R294" s="344">
        <f t="shared" si="192"/>
        <v>4308480</v>
      </c>
      <c r="S294" s="344">
        <f t="shared" si="193"/>
        <v>36543744</v>
      </c>
      <c r="T294" s="348">
        <f t="array" ref="T294">MAX((IF(MNU_CODIGO_ALIMENTO_ENTREGA=CONCATENATE($C294,"_","P_"),MNU_GRAMAJE_REQUERIDO_TIPOC,"")))</f>
        <v>60</v>
      </c>
      <c r="U294" s="257">
        <f t="shared" si="194"/>
        <v>140675</v>
      </c>
      <c r="V294" s="257">
        <f t="shared" si="195"/>
        <v>27588</v>
      </c>
      <c r="W294" s="257">
        <f t="shared" si="196"/>
        <v>168263</v>
      </c>
      <c r="X294" s="258">
        <f t="shared" si="197"/>
        <v>54019200</v>
      </c>
      <c r="Y294" s="258">
        <f t="shared" si="198"/>
        <v>10593792</v>
      </c>
      <c r="Z294" s="258">
        <f t="shared" si="199"/>
        <v>64612992</v>
      </c>
      <c r="AA294" s="256">
        <f t="array" ref="AA294">MAX((IF(MNU_CODIGO_ALIMENTO_ENTREGA=CONCATENATE($C294,"_","P_"),MNU_GRAMAJE_REQUERIDO_TIPOM,"")))</f>
        <v>40</v>
      </c>
      <c r="AB294" s="259">
        <f t="shared" si="200"/>
        <v>7378</v>
      </c>
      <c r="AC294" s="259">
        <v>0</v>
      </c>
      <c r="AD294" s="259">
        <f t="shared" si="201"/>
        <v>7378</v>
      </c>
      <c r="AE294" s="260">
        <f t="shared" si="202"/>
        <v>1888768</v>
      </c>
      <c r="AF294" s="260">
        <v>0</v>
      </c>
      <c r="AG294" s="260">
        <f t="shared" si="203"/>
        <v>1888768</v>
      </c>
      <c r="AH294" s="348">
        <f t="array" ref="AH294">MAX((IF(MNU_CODIGO_ALIMENTO_ENTREGA=CONCATENATE($C294,"_","P_"),MNU_GRAMAJE_REQUERIDO_TIPOH,"")))</f>
        <v>60</v>
      </c>
      <c r="AI294" s="257">
        <f t="shared" si="204"/>
        <v>2941</v>
      </c>
      <c r="AJ294" s="257">
        <v>0</v>
      </c>
      <c r="AK294" s="257">
        <f t="shared" si="205"/>
        <v>2941</v>
      </c>
      <c r="AL294" s="258">
        <f t="shared" si="206"/>
        <v>1129344</v>
      </c>
      <c r="AM294" s="258">
        <v>0</v>
      </c>
      <c r="AN294" s="258">
        <f t="shared" si="207"/>
        <v>1129344</v>
      </c>
      <c r="AO294" s="451">
        <f t="shared" si="208"/>
        <v>428272</v>
      </c>
      <c r="AP294" s="450">
        <f t="shared" si="209"/>
        <v>131551744</v>
      </c>
      <c r="AQ294" s="261" t="e">
        <f>#REF!+AH294+AA294+T294+M294</f>
        <v>#REF!</v>
      </c>
      <c r="AR294" s="261">
        <f t="shared" si="168"/>
        <v>131828657</v>
      </c>
      <c r="AS294" s="261" t="e">
        <f t="shared" si="169"/>
        <v>#REF!</v>
      </c>
      <c r="AT294" s="261">
        <f t="shared" si="170"/>
        <v>132149988</v>
      </c>
      <c r="AU294" s="261" t="e">
        <f t="shared" si="171"/>
        <v>#REF!</v>
      </c>
      <c r="AV294" s="261">
        <f t="shared" si="172"/>
        <v>147052260</v>
      </c>
      <c r="AW294" s="261" t="e">
        <f t="shared" si="173"/>
        <v>#REF!</v>
      </c>
      <c r="AX294" s="261" t="e">
        <f>AV294+#REF!+AH294+AA294+T294</f>
        <v>#REF!</v>
      </c>
      <c r="AY294" s="261" t="e">
        <f t="shared" si="174"/>
        <v>#REF!</v>
      </c>
      <c r="AZ294" s="261" t="e">
        <f t="shared" si="175"/>
        <v>#REF!</v>
      </c>
      <c r="BA294" s="261" t="e">
        <f t="shared" si="176"/>
        <v>#REF!</v>
      </c>
      <c r="BB294" s="261" t="e">
        <f t="shared" si="177"/>
        <v>#REF!</v>
      </c>
      <c r="BC294" s="261" t="e">
        <f t="shared" si="178"/>
        <v>#REF!</v>
      </c>
      <c r="BD294" s="261" t="e">
        <f t="shared" si="179"/>
        <v>#REF!</v>
      </c>
      <c r="BE294" s="261" t="e">
        <f>BC294+AV294+#REF!+AH294+AA294</f>
        <v>#REF!</v>
      </c>
      <c r="BF294" s="261" t="e">
        <f t="shared" si="180"/>
        <v>#REF!</v>
      </c>
      <c r="BG294" s="261" t="e">
        <f t="shared" si="181"/>
        <v>#REF!</v>
      </c>
    </row>
    <row r="295" spans="1:59" ht="15.75">
      <c r="A295" s="333">
        <v>24</v>
      </c>
      <c r="B295" s="333" t="s">
        <v>1607</v>
      </c>
      <c r="C295" s="256">
        <v>26</v>
      </c>
      <c r="D295" s="322" t="s">
        <v>69</v>
      </c>
      <c r="E295" s="256" t="s">
        <v>9</v>
      </c>
      <c r="F295" s="425">
        <f t="array" ref="F295">MAX((IF(MNU_CODIGO_ALIMENTO_ENTREGA=CONCATENATE($C295,"_","P_"),MNU_GRAMAJE_REQUERIDO_TIPOA,"")))</f>
        <v>30</v>
      </c>
      <c r="G295" s="257">
        <f t="shared" si="182"/>
        <v>35694</v>
      </c>
      <c r="H295" s="257">
        <f t="shared" si="183"/>
        <v>0</v>
      </c>
      <c r="I295" s="257">
        <f t="shared" si="184"/>
        <v>35694</v>
      </c>
      <c r="J295" s="258">
        <f t="shared" si="185"/>
        <v>6103674</v>
      </c>
      <c r="K295" s="258">
        <f t="shared" si="186"/>
        <v>0</v>
      </c>
      <c r="L295" s="258">
        <f t="shared" si="187"/>
        <v>6103674</v>
      </c>
      <c r="M295" s="426">
        <f t="array" ref="M295">MAX((IF(MNU_CODIGO_ALIMENTO_ENTREGA=CONCATENATE($C295,"_","P_"),MNU_GRAMAJE_REQUERIDO_TIPOB,"")))</f>
        <v>30</v>
      </c>
      <c r="N295" s="343">
        <f t="shared" si="188"/>
        <v>44442</v>
      </c>
      <c r="O295" s="343">
        <f t="shared" si="189"/>
        <v>0</v>
      </c>
      <c r="P295" s="343">
        <f t="shared" si="190"/>
        <v>44442</v>
      </c>
      <c r="Q295" s="344">
        <f t="shared" si="191"/>
        <v>7599582</v>
      </c>
      <c r="R295" s="344">
        <f t="shared" si="192"/>
        <v>0</v>
      </c>
      <c r="S295" s="344">
        <f t="shared" si="193"/>
        <v>7599582</v>
      </c>
      <c r="T295" s="348">
        <f t="array" ref="T295">MAX((IF(MNU_CODIGO_ALIMENTO_ENTREGA=CONCATENATE($C295,"_","P_"),MNU_GRAMAJE_REQUERIDO_TIPOC,"")))</f>
        <v>30</v>
      </c>
      <c r="U295" s="257">
        <f t="shared" si="194"/>
        <v>49650</v>
      </c>
      <c r="V295" s="257">
        <f t="shared" si="195"/>
        <v>0</v>
      </c>
      <c r="W295" s="257">
        <f t="shared" si="196"/>
        <v>49650</v>
      </c>
      <c r="X295" s="258">
        <f t="shared" si="197"/>
        <v>8490150</v>
      </c>
      <c r="Y295" s="258">
        <f t="shared" si="198"/>
        <v>0</v>
      </c>
      <c r="Z295" s="258">
        <f t="shared" si="199"/>
        <v>8490150</v>
      </c>
      <c r="AA295" s="256">
        <f t="array" ref="AA295">MAX((IF(MNU_CODIGO_ALIMENTO_ENTREGA=CONCATENATE($C295,"_","P_"),MNU_GRAMAJE_REQUERIDO_TIPOM,"")))</f>
        <v>30</v>
      </c>
      <c r="AB295" s="259">
        <f t="shared" si="200"/>
        <v>2604</v>
      </c>
      <c r="AC295" s="259">
        <v>0</v>
      </c>
      <c r="AD295" s="259">
        <f t="shared" si="201"/>
        <v>2604</v>
      </c>
      <c r="AE295" s="260">
        <f t="shared" si="202"/>
        <v>445284</v>
      </c>
      <c r="AF295" s="260">
        <v>0</v>
      </c>
      <c r="AG295" s="260">
        <f t="shared" si="203"/>
        <v>445284</v>
      </c>
      <c r="AH295" s="348">
        <f t="array" ref="AH295">MAX((IF(MNU_CODIGO_ALIMENTO_ENTREGA=CONCATENATE($C295,"_","P_"),MNU_GRAMAJE_REQUERIDO_TIPOH,"")))</f>
        <v>30</v>
      </c>
      <c r="AI295" s="257">
        <f t="shared" si="204"/>
        <v>1038</v>
      </c>
      <c r="AJ295" s="257">
        <v>0</v>
      </c>
      <c r="AK295" s="257">
        <f t="shared" si="205"/>
        <v>1038</v>
      </c>
      <c r="AL295" s="258">
        <f t="shared" si="206"/>
        <v>177498</v>
      </c>
      <c r="AM295" s="258">
        <v>0</v>
      </c>
      <c r="AN295" s="258">
        <f t="shared" si="207"/>
        <v>177498</v>
      </c>
      <c r="AO295" s="451">
        <f t="shared" si="208"/>
        <v>133428</v>
      </c>
      <c r="AP295" s="450">
        <f t="shared" si="209"/>
        <v>22816188</v>
      </c>
      <c r="AQ295" s="261" t="e">
        <f>#REF!+AH295+AA295+T295+M295</f>
        <v>#REF!</v>
      </c>
      <c r="AR295" s="261">
        <f t="shared" si="168"/>
        <v>22913922</v>
      </c>
      <c r="AS295" s="261" t="e">
        <f t="shared" si="169"/>
        <v>#REF!</v>
      </c>
      <c r="AT295" s="261">
        <f t="shared" si="170"/>
        <v>23011656</v>
      </c>
      <c r="AU295" s="261" t="e">
        <f t="shared" si="171"/>
        <v>#REF!</v>
      </c>
      <c r="AV295" s="261">
        <f t="shared" si="172"/>
        <v>23011656</v>
      </c>
      <c r="AW295" s="261" t="e">
        <f t="shared" si="173"/>
        <v>#REF!</v>
      </c>
      <c r="AX295" s="261" t="e">
        <f>AV295+#REF!+AH295+AA295+T295</f>
        <v>#REF!</v>
      </c>
      <c r="AY295" s="261" t="e">
        <f t="shared" si="174"/>
        <v>#REF!</v>
      </c>
      <c r="AZ295" s="261" t="e">
        <f t="shared" si="175"/>
        <v>#REF!</v>
      </c>
      <c r="BA295" s="261" t="e">
        <f t="shared" si="176"/>
        <v>#REF!</v>
      </c>
      <c r="BB295" s="261" t="e">
        <f t="shared" si="177"/>
        <v>#REF!</v>
      </c>
      <c r="BC295" s="261" t="e">
        <f t="shared" si="178"/>
        <v>#REF!</v>
      </c>
      <c r="BD295" s="261" t="e">
        <f t="shared" si="179"/>
        <v>#REF!</v>
      </c>
      <c r="BE295" s="261" t="e">
        <f>BC295+AV295+#REF!+AH295+AA295</f>
        <v>#REF!</v>
      </c>
      <c r="BF295" s="261" t="e">
        <f t="shared" si="180"/>
        <v>#REF!</v>
      </c>
      <c r="BG295" s="261" t="e">
        <f t="shared" si="181"/>
        <v>#REF!</v>
      </c>
    </row>
    <row r="296" spans="1:59" ht="27">
      <c r="A296" s="333">
        <v>24</v>
      </c>
      <c r="B296" s="333" t="s">
        <v>1607</v>
      </c>
      <c r="C296" s="256">
        <v>28</v>
      </c>
      <c r="D296" s="322" t="s">
        <v>67</v>
      </c>
      <c r="E296" s="256" t="s">
        <v>9</v>
      </c>
      <c r="F296" s="425">
        <f t="array" ref="F296">MAX((IF(MNU_CODIGO_ALIMENTO_ENTREGA=CONCATENATE($C296,"_","P_"),MNU_GRAMAJE_REQUERIDO_TIPOA,"")))</f>
        <v>30</v>
      </c>
      <c r="G296" s="257">
        <f t="shared" si="182"/>
        <v>35694</v>
      </c>
      <c r="H296" s="257">
        <f t="shared" si="183"/>
        <v>5016</v>
      </c>
      <c r="I296" s="257">
        <f t="shared" si="184"/>
        <v>40710</v>
      </c>
      <c r="J296" s="258">
        <f t="shared" si="185"/>
        <v>8066844</v>
      </c>
      <c r="K296" s="258">
        <f t="shared" si="186"/>
        <v>1133616</v>
      </c>
      <c r="L296" s="258">
        <f t="shared" si="187"/>
        <v>9200460</v>
      </c>
      <c r="M296" s="426">
        <f t="array" ref="M296">MAX((IF(MNU_CODIGO_ALIMENTO_ENTREGA=CONCATENATE($C296,"_","P_"),MNU_GRAMAJE_REQUERIDO_TIPOB,"")))</f>
        <v>40</v>
      </c>
      <c r="N296" s="343">
        <f t="shared" si="188"/>
        <v>44442</v>
      </c>
      <c r="O296" s="343">
        <f t="shared" si="189"/>
        <v>14535</v>
      </c>
      <c r="P296" s="343">
        <f t="shared" si="190"/>
        <v>58977</v>
      </c>
      <c r="Q296" s="344">
        <f t="shared" si="191"/>
        <v>13377042</v>
      </c>
      <c r="R296" s="344">
        <f t="shared" si="192"/>
        <v>4375035</v>
      </c>
      <c r="S296" s="344">
        <f t="shared" si="193"/>
        <v>17752077</v>
      </c>
      <c r="T296" s="348">
        <f t="array" ref="T296">MAX((IF(MNU_CODIGO_ALIMENTO_ENTREGA=CONCATENATE($C296,"_","P_"),MNU_GRAMAJE_REQUERIDO_TIPOC,"")))</f>
        <v>60</v>
      </c>
      <c r="U296" s="257">
        <f t="shared" si="194"/>
        <v>49650</v>
      </c>
      <c r="V296" s="257">
        <f t="shared" si="195"/>
        <v>23826</v>
      </c>
      <c r="W296" s="257">
        <f t="shared" si="196"/>
        <v>73476</v>
      </c>
      <c r="X296" s="258">
        <f t="shared" si="197"/>
        <v>22392150</v>
      </c>
      <c r="Y296" s="258">
        <f t="shared" si="198"/>
        <v>10745526</v>
      </c>
      <c r="Z296" s="258">
        <f t="shared" si="199"/>
        <v>33137676</v>
      </c>
      <c r="AA296" s="256">
        <f t="array" ref="AA296">MAX((IF(MNU_CODIGO_ALIMENTO_ENTREGA=CONCATENATE($C296,"_","P_"),MNU_GRAMAJE_REQUERIDO_TIPOM,"")))</f>
        <v>40</v>
      </c>
      <c r="AB296" s="259">
        <f t="shared" si="200"/>
        <v>2604</v>
      </c>
      <c r="AC296" s="259">
        <v>0</v>
      </c>
      <c r="AD296" s="259">
        <f t="shared" si="201"/>
        <v>2604</v>
      </c>
      <c r="AE296" s="260">
        <f t="shared" si="202"/>
        <v>783804</v>
      </c>
      <c r="AF296" s="260">
        <v>0</v>
      </c>
      <c r="AG296" s="260">
        <f t="shared" si="203"/>
        <v>783804</v>
      </c>
      <c r="AH296" s="348">
        <f t="array" ref="AH296">MAX((IF(MNU_CODIGO_ALIMENTO_ENTREGA=CONCATENATE($C296,"_","P_"),MNU_GRAMAJE_REQUERIDO_TIPOH,"")))</f>
        <v>60</v>
      </c>
      <c r="AI296" s="257">
        <f t="shared" si="204"/>
        <v>1038</v>
      </c>
      <c r="AJ296" s="257">
        <v>0</v>
      </c>
      <c r="AK296" s="257">
        <f t="shared" si="205"/>
        <v>1038</v>
      </c>
      <c r="AL296" s="258">
        <f t="shared" si="206"/>
        <v>468138</v>
      </c>
      <c r="AM296" s="258">
        <v>0</v>
      </c>
      <c r="AN296" s="258">
        <f t="shared" si="207"/>
        <v>468138</v>
      </c>
      <c r="AO296" s="451">
        <f t="shared" si="208"/>
        <v>176805</v>
      </c>
      <c r="AP296" s="450">
        <f t="shared" si="209"/>
        <v>61342155</v>
      </c>
      <c r="AQ296" s="261" t="e">
        <f>#REF!+AH296+AA296+T296+M296</f>
        <v>#REF!</v>
      </c>
      <c r="AR296" s="261">
        <f t="shared" si="168"/>
        <v>61439889</v>
      </c>
      <c r="AS296" s="261" t="e">
        <f t="shared" si="169"/>
        <v>#REF!</v>
      </c>
      <c r="AT296" s="261">
        <f t="shared" si="170"/>
        <v>61575984</v>
      </c>
      <c r="AU296" s="261" t="e">
        <f t="shared" si="171"/>
        <v>#REF!</v>
      </c>
      <c r="AV296" s="261">
        <f t="shared" si="172"/>
        <v>76696545</v>
      </c>
      <c r="AW296" s="261" t="e">
        <f t="shared" si="173"/>
        <v>#REF!</v>
      </c>
      <c r="AX296" s="261" t="e">
        <f>AV296+#REF!+AH296+AA296+T296</f>
        <v>#REF!</v>
      </c>
      <c r="AY296" s="261" t="e">
        <f t="shared" si="174"/>
        <v>#REF!</v>
      </c>
      <c r="AZ296" s="261" t="e">
        <f t="shared" si="175"/>
        <v>#REF!</v>
      </c>
      <c r="BA296" s="261" t="e">
        <f t="shared" si="176"/>
        <v>#REF!</v>
      </c>
      <c r="BB296" s="261" t="e">
        <f t="shared" si="177"/>
        <v>#REF!</v>
      </c>
      <c r="BC296" s="261" t="e">
        <f t="shared" si="178"/>
        <v>#REF!</v>
      </c>
      <c r="BD296" s="261" t="e">
        <f t="shared" si="179"/>
        <v>#REF!</v>
      </c>
      <c r="BE296" s="261" t="e">
        <f>BC296+AV296+#REF!+AH296+AA296</f>
        <v>#REF!</v>
      </c>
      <c r="BF296" s="261" t="e">
        <f t="shared" si="180"/>
        <v>#REF!</v>
      </c>
      <c r="BG296" s="261" t="e">
        <f t="shared" si="181"/>
        <v>#REF!</v>
      </c>
    </row>
    <row r="297" spans="1:59" ht="15.75">
      <c r="A297" s="333">
        <v>24</v>
      </c>
      <c r="B297" s="333" t="s">
        <v>1607</v>
      </c>
      <c r="C297" s="256">
        <v>30</v>
      </c>
      <c r="D297" s="322" t="s">
        <v>63</v>
      </c>
      <c r="E297" s="256" t="s">
        <v>9</v>
      </c>
      <c r="F297" s="425">
        <f t="array" ref="F297">MAX((IF(MNU_CODIGO_ALIMENTO_ENTREGA=CONCATENATE($C297,"_","P_"),MNU_GRAMAJE_REQUERIDO_TIPOA,"")))</f>
        <v>30</v>
      </c>
      <c r="G297" s="257">
        <f t="shared" si="182"/>
        <v>95184</v>
      </c>
      <c r="H297" s="257">
        <f t="shared" si="183"/>
        <v>0</v>
      </c>
      <c r="I297" s="257">
        <f t="shared" si="184"/>
        <v>95184</v>
      </c>
      <c r="J297" s="258">
        <f t="shared" si="185"/>
        <v>31601088</v>
      </c>
      <c r="K297" s="258">
        <f t="shared" si="186"/>
        <v>0</v>
      </c>
      <c r="L297" s="258">
        <f t="shared" si="187"/>
        <v>31601088</v>
      </c>
      <c r="M297" s="426">
        <f t="array" ref="M297">MAX((IF(MNU_CODIGO_ALIMENTO_ENTREGA=CONCATENATE($C297,"_","P_"),MNU_GRAMAJE_REQUERIDO_TIPOB,"")))</f>
        <v>30</v>
      </c>
      <c r="N297" s="343">
        <f t="shared" si="188"/>
        <v>118512</v>
      </c>
      <c r="O297" s="343">
        <f t="shared" si="189"/>
        <v>0</v>
      </c>
      <c r="P297" s="343">
        <f t="shared" si="190"/>
        <v>118512</v>
      </c>
      <c r="Q297" s="344">
        <f t="shared" si="191"/>
        <v>39345984</v>
      </c>
      <c r="R297" s="344">
        <f t="shared" si="192"/>
        <v>0</v>
      </c>
      <c r="S297" s="344">
        <f t="shared" si="193"/>
        <v>39345984</v>
      </c>
      <c r="T297" s="348">
        <f t="array" ref="T297">MAX((IF(MNU_CODIGO_ALIMENTO_ENTREGA=CONCATENATE($C297,"_","P_"),MNU_GRAMAJE_REQUERIDO_TIPOC,"")))</f>
        <v>30</v>
      </c>
      <c r="U297" s="257">
        <f t="shared" si="194"/>
        <v>132400</v>
      </c>
      <c r="V297" s="257">
        <f t="shared" si="195"/>
        <v>0</v>
      </c>
      <c r="W297" s="257">
        <f t="shared" si="196"/>
        <v>132400</v>
      </c>
      <c r="X297" s="258">
        <f t="shared" si="197"/>
        <v>43956800</v>
      </c>
      <c r="Y297" s="258">
        <f t="shared" si="198"/>
        <v>0</v>
      </c>
      <c r="Z297" s="258">
        <f t="shared" si="199"/>
        <v>43956800</v>
      </c>
      <c r="AA297" s="256">
        <f t="array" ref="AA297">MAX((IF(MNU_CODIGO_ALIMENTO_ENTREGA=CONCATENATE($C297,"_","P_"),MNU_GRAMAJE_REQUERIDO_TIPOM,"")))</f>
        <v>30</v>
      </c>
      <c r="AB297" s="259">
        <f t="shared" si="200"/>
        <v>6944</v>
      </c>
      <c r="AC297" s="259">
        <v>0</v>
      </c>
      <c r="AD297" s="259">
        <f t="shared" si="201"/>
        <v>6944</v>
      </c>
      <c r="AE297" s="260">
        <f t="shared" si="202"/>
        <v>2305408</v>
      </c>
      <c r="AF297" s="260">
        <v>0</v>
      </c>
      <c r="AG297" s="260">
        <f t="shared" si="203"/>
        <v>2305408</v>
      </c>
      <c r="AH297" s="348">
        <f t="array" ref="AH297">MAX((IF(MNU_CODIGO_ALIMENTO_ENTREGA=CONCATENATE($C297,"_","P_"),MNU_GRAMAJE_REQUERIDO_TIPOH,"")))</f>
        <v>30</v>
      </c>
      <c r="AI297" s="257">
        <f t="shared" si="204"/>
        <v>2768</v>
      </c>
      <c r="AJ297" s="257">
        <v>0</v>
      </c>
      <c r="AK297" s="257">
        <f t="shared" si="205"/>
        <v>2768</v>
      </c>
      <c r="AL297" s="258">
        <f t="shared" si="206"/>
        <v>918976</v>
      </c>
      <c r="AM297" s="258">
        <v>0</v>
      </c>
      <c r="AN297" s="258">
        <f t="shared" si="207"/>
        <v>918976</v>
      </c>
      <c r="AO297" s="451">
        <f t="shared" si="208"/>
        <v>355808</v>
      </c>
      <c r="AP297" s="450">
        <f t="shared" si="209"/>
        <v>118128256</v>
      </c>
      <c r="AQ297" s="261" t="e">
        <f>#REF!+AH297+AA297+T297+M297</f>
        <v>#REF!</v>
      </c>
      <c r="AR297" s="261">
        <f t="shared" si="168"/>
        <v>118388880</v>
      </c>
      <c r="AS297" s="261" t="e">
        <f t="shared" si="169"/>
        <v>#REF!</v>
      </c>
      <c r="AT297" s="261">
        <f t="shared" si="170"/>
        <v>118649504</v>
      </c>
      <c r="AU297" s="261" t="e">
        <f t="shared" si="171"/>
        <v>#REF!</v>
      </c>
      <c r="AV297" s="261">
        <f t="shared" si="172"/>
        <v>118649504</v>
      </c>
      <c r="AW297" s="261" t="e">
        <f t="shared" si="173"/>
        <v>#REF!</v>
      </c>
      <c r="AX297" s="261" t="e">
        <f>AV297+#REF!+AH297+AA297+T297</f>
        <v>#REF!</v>
      </c>
      <c r="AY297" s="261" t="e">
        <f t="shared" si="174"/>
        <v>#REF!</v>
      </c>
      <c r="AZ297" s="261" t="e">
        <f t="shared" si="175"/>
        <v>#REF!</v>
      </c>
      <c r="BA297" s="261" t="e">
        <f t="shared" si="176"/>
        <v>#REF!</v>
      </c>
      <c r="BB297" s="261" t="e">
        <f t="shared" si="177"/>
        <v>#REF!</v>
      </c>
      <c r="BC297" s="261" t="e">
        <f t="shared" si="178"/>
        <v>#REF!</v>
      </c>
      <c r="BD297" s="261" t="e">
        <f t="shared" si="179"/>
        <v>#REF!</v>
      </c>
      <c r="BE297" s="261" t="e">
        <f>BC297+AV297+#REF!+AH297+AA297</f>
        <v>#REF!</v>
      </c>
      <c r="BF297" s="261" t="e">
        <f t="shared" si="180"/>
        <v>#REF!</v>
      </c>
      <c r="BG297" s="261" t="e">
        <f t="shared" si="181"/>
        <v>#REF!</v>
      </c>
    </row>
    <row r="298" spans="1:59" ht="15.75">
      <c r="A298" s="333">
        <v>24</v>
      </c>
      <c r="B298" s="333" t="s">
        <v>1607</v>
      </c>
      <c r="C298" s="256">
        <v>45</v>
      </c>
      <c r="D298" s="322" t="s">
        <v>10</v>
      </c>
      <c r="E298" s="256" t="s">
        <v>9</v>
      </c>
      <c r="F298" s="425">
        <f t="array" ref="F298">MAX((IF(MNU_CODIGO_ALIMENTO_ENTREGA=CONCATENATE($C298,"_","P_"),MNU_GRAMAJE_REQUERIDO_TIPOA,"")))</f>
        <v>20</v>
      </c>
      <c r="G298" s="257">
        <f t="shared" si="182"/>
        <v>95184</v>
      </c>
      <c r="H298" s="257">
        <f t="shared" si="183"/>
        <v>5280</v>
      </c>
      <c r="I298" s="257">
        <f t="shared" si="184"/>
        <v>100464</v>
      </c>
      <c r="J298" s="258">
        <f t="shared" si="185"/>
        <v>18941616</v>
      </c>
      <c r="K298" s="258">
        <f t="shared" si="186"/>
        <v>1050720</v>
      </c>
      <c r="L298" s="258">
        <f t="shared" si="187"/>
        <v>19992336</v>
      </c>
      <c r="M298" s="426">
        <f t="array" ref="M298">MAX((IF(MNU_CODIGO_ALIMENTO_ENTREGA=CONCATENATE($C298,"_","P_"),MNU_GRAMAJE_REQUERIDO_TIPOB,"")))</f>
        <v>30</v>
      </c>
      <c r="N298" s="343">
        <f t="shared" si="188"/>
        <v>118512</v>
      </c>
      <c r="O298" s="343">
        <f t="shared" si="189"/>
        <v>15300</v>
      </c>
      <c r="P298" s="343">
        <f t="shared" si="190"/>
        <v>133812</v>
      </c>
      <c r="Q298" s="344">
        <f t="shared" si="191"/>
        <v>35316576</v>
      </c>
      <c r="R298" s="344">
        <f t="shared" si="192"/>
        <v>4559400</v>
      </c>
      <c r="S298" s="344">
        <f t="shared" si="193"/>
        <v>39875976</v>
      </c>
      <c r="T298" s="348">
        <f t="array" ref="T298">MAX((IF(MNU_CODIGO_ALIMENTO_ENTREGA=CONCATENATE($C298,"_","P_"),MNU_GRAMAJE_REQUERIDO_TIPOC,"")))</f>
        <v>60</v>
      </c>
      <c r="U298" s="257">
        <f t="shared" si="194"/>
        <v>132400</v>
      </c>
      <c r="V298" s="257">
        <f t="shared" si="195"/>
        <v>25080</v>
      </c>
      <c r="W298" s="257">
        <f t="shared" si="196"/>
        <v>157480</v>
      </c>
      <c r="X298" s="258">
        <f t="shared" si="197"/>
        <v>79042800</v>
      </c>
      <c r="Y298" s="258">
        <f t="shared" si="198"/>
        <v>14972760</v>
      </c>
      <c r="Z298" s="258">
        <f t="shared" si="199"/>
        <v>94015560</v>
      </c>
      <c r="AA298" s="256">
        <f t="array" ref="AA298">MAX((IF(MNU_CODIGO_ALIMENTO_ENTREGA=CONCATENATE($C298,"_","P_"),MNU_GRAMAJE_REQUERIDO_TIPOM,"")))</f>
        <v>30</v>
      </c>
      <c r="AB298" s="259">
        <f t="shared" si="200"/>
        <v>6944</v>
      </c>
      <c r="AC298" s="259">
        <v>0</v>
      </c>
      <c r="AD298" s="259">
        <f t="shared" si="201"/>
        <v>6944</v>
      </c>
      <c r="AE298" s="260">
        <f t="shared" si="202"/>
        <v>2069312</v>
      </c>
      <c r="AF298" s="260">
        <v>0</v>
      </c>
      <c r="AG298" s="260">
        <f t="shared" si="203"/>
        <v>2069312</v>
      </c>
      <c r="AH298" s="348">
        <f t="array" ref="AH298">MAX((IF(MNU_CODIGO_ALIMENTO_ENTREGA=CONCATENATE($C298,"_","P_"),MNU_GRAMAJE_REQUERIDO_TIPOH,"")))</f>
        <v>60</v>
      </c>
      <c r="AI298" s="257">
        <f t="shared" si="204"/>
        <v>2768</v>
      </c>
      <c r="AJ298" s="257">
        <v>0</v>
      </c>
      <c r="AK298" s="257">
        <f t="shared" si="205"/>
        <v>2768</v>
      </c>
      <c r="AL298" s="258">
        <f t="shared" si="206"/>
        <v>1652496</v>
      </c>
      <c r="AM298" s="258">
        <v>0</v>
      </c>
      <c r="AN298" s="258">
        <f t="shared" si="207"/>
        <v>1652496</v>
      </c>
      <c r="AO298" s="451">
        <f t="shared" si="208"/>
        <v>401468</v>
      </c>
      <c r="AP298" s="450">
        <f t="shared" si="209"/>
        <v>157605680</v>
      </c>
      <c r="AQ298" s="261" t="e">
        <f>#REF!+AH298+AA298+T298+M298</f>
        <v>#REF!</v>
      </c>
      <c r="AR298" s="261">
        <f t="shared" si="168"/>
        <v>157866304</v>
      </c>
      <c r="AS298" s="261" t="e">
        <f t="shared" si="169"/>
        <v>#REF!</v>
      </c>
      <c r="AT298" s="261">
        <f t="shared" si="170"/>
        <v>158167308</v>
      </c>
      <c r="AU298" s="261" t="e">
        <f t="shared" si="171"/>
        <v>#REF!</v>
      </c>
      <c r="AV298" s="261">
        <f t="shared" si="172"/>
        <v>177699468</v>
      </c>
      <c r="AW298" s="261" t="e">
        <f t="shared" si="173"/>
        <v>#REF!</v>
      </c>
      <c r="AX298" s="261" t="e">
        <f>AV298+#REF!+AH298+AA298+T298</f>
        <v>#REF!</v>
      </c>
      <c r="AY298" s="261" t="e">
        <f t="shared" si="174"/>
        <v>#REF!</v>
      </c>
      <c r="AZ298" s="261" t="e">
        <f t="shared" si="175"/>
        <v>#REF!</v>
      </c>
      <c r="BA298" s="261" t="e">
        <f t="shared" si="176"/>
        <v>#REF!</v>
      </c>
      <c r="BB298" s="261" t="e">
        <f t="shared" si="177"/>
        <v>#REF!</v>
      </c>
      <c r="BC298" s="261" t="e">
        <f t="shared" si="178"/>
        <v>#REF!</v>
      </c>
      <c r="BD298" s="261" t="e">
        <f t="shared" si="179"/>
        <v>#REF!</v>
      </c>
      <c r="BE298" s="261" t="e">
        <f>BC298+AV298+#REF!+AH298+AA298</f>
        <v>#REF!</v>
      </c>
      <c r="BF298" s="261" t="e">
        <f t="shared" si="180"/>
        <v>#REF!</v>
      </c>
      <c r="BG298" s="261" t="e">
        <f t="shared" si="181"/>
        <v>#REF!</v>
      </c>
    </row>
    <row r="299" spans="1:59" ht="15.75">
      <c r="A299" s="333">
        <v>24</v>
      </c>
      <c r="B299" s="333" t="s">
        <v>1607</v>
      </c>
      <c r="C299" s="256">
        <v>50</v>
      </c>
      <c r="D299" s="322" t="s">
        <v>65</v>
      </c>
      <c r="E299" s="256" t="s">
        <v>9</v>
      </c>
      <c r="F299" s="425">
        <f t="array" ref="F299">MAX((IF(MNU_CODIGO_ALIMENTO_ENTREGA=CONCATENATE($C299,"_","P_"),MNU_GRAMAJE_REQUERIDO_TIPOA,"")))</f>
        <v>30</v>
      </c>
      <c r="G299" s="257">
        <f t="shared" si="182"/>
        <v>101133</v>
      </c>
      <c r="H299" s="257">
        <f t="shared" si="183"/>
        <v>0</v>
      </c>
      <c r="I299" s="257">
        <f t="shared" si="184"/>
        <v>101133</v>
      </c>
      <c r="J299" s="258">
        <f t="shared" si="185"/>
        <v>32463693</v>
      </c>
      <c r="K299" s="258">
        <f t="shared" si="186"/>
        <v>0</v>
      </c>
      <c r="L299" s="258">
        <f t="shared" si="187"/>
        <v>32463693</v>
      </c>
      <c r="M299" s="426">
        <f t="array" ref="M299">MAX((IF(MNU_CODIGO_ALIMENTO_ENTREGA=CONCATENATE($C299,"_","P_"),MNU_GRAMAJE_REQUERIDO_TIPOB,"")))</f>
        <v>40</v>
      </c>
      <c r="N299" s="343">
        <f t="shared" si="188"/>
        <v>125919</v>
      </c>
      <c r="O299" s="343">
        <f t="shared" si="189"/>
        <v>0</v>
      </c>
      <c r="P299" s="343">
        <f t="shared" si="190"/>
        <v>125919</v>
      </c>
      <c r="Q299" s="344">
        <f t="shared" si="191"/>
        <v>53893332</v>
      </c>
      <c r="R299" s="344">
        <f t="shared" si="192"/>
        <v>0</v>
      </c>
      <c r="S299" s="344">
        <f t="shared" si="193"/>
        <v>53893332</v>
      </c>
      <c r="T299" s="348">
        <f t="array" ref="T299">MAX((IF(MNU_CODIGO_ALIMENTO_ENTREGA=CONCATENATE($C299,"_","P_"),MNU_GRAMAJE_REQUERIDO_TIPOC,"")))</f>
        <v>80</v>
      </c>
      <c r="U299" s="257">
        <f t="shared" si="194"/>
        <v>140675</v>
      </c>
      <c r="V299" s="257">
        <f t="shared" si="195"/>
        <v>0</v>
      </c>
      <c r="W299" s="257">
        <f t="shared" si="196"/>
        <v>140675</v>
      </c>
      <c r="X299" s="258">
        <f t="shared" si="197"/>
        <v>120277125</v>
      </c>
      <c r="Y299" s="258">
        <f t="shared" si="198"/>
        <v>0</v>
      </c>
      <c r="Z299" s="258">
        <f t="shared" si="199"/>
        <v>120277125</v>
      </c>
      <c r="AA299" s="256">
        <f t="array" ref="AA299">MAX((IF(MNU_CODIGO_ALIMENTO_ENTREGA=CONCATENATE($C299,"_","P_"),MNU_GRAMAJE_REQUERIDO_TIPOM,"")))</f>
        <v>40</v>
      </c>
      <c r="AB299" s="259">
        <f t="shared" si="200"/>
        <v>7378</v>
      </c>
      <c r="AC299" s="259">
        <v>0</v>
      </c>
      <c r="AD299" s="259">
        <f t="shared" si="201"/>
        <v>7378</v>
      </c>
      <c r="AE299" s="260">
        <f t="shared" si="202"/>
        <v>3157784</v>
      </c>
      <c r="AF299" s="260">
        <v>0</v>
      </c>
      <c r="AG299" s="260">
        <f t="shared" si="203"/>
        <v>3157784</v>
      </c>
      <c r="AH299" s="348">
        <f t="array" ref="AH299">MAX((IF(MNU_CODIGO_ALIMENTO_ENTREGA=CONCATENATE($C299,"_","P_"),MNU_GRAMAJE_REQUERIDO_TIPOH,"")))</f>
        <v>80</v>
      </c>
      <c r="AI299" s="257">
        <f t="shared" si="204"/>
        <v>2941</v>
      </c>
      <c r="AJ299" s="257">
        <v>0</v>
      </c>
      <c r="AK299" s="257">
        <f t="shared" si="205"/>
        <v>2941</v>
      </c>
      <c r="AL299" s="258">
        <f t="shared" si="206"/>
        <v>2514555</v>
      </c>
      <c r="AM299" s="258">
        <v>0</v>
      </c>
      <c r="AN299" s="258">
        <f t="shared" si="207"/>
        <v>2514555</v>
      </c>
      <c r="AO299" s="451">
        <f t="shared" si="208"/>
        <v>378046</v>
      </c>
      <c r="AP299" s="450">
        <f t="shared" si="209"/>
        <v>212306489</v>
      </c>
      <c r="AQ299" s="261" t="e">
        <f>#REF!+AH299+AA299+T299+M299</f>
        <v>#REF!</v>
      </c>
      <c r="AR299" s="261">
        <f t="shared" si="168"/>
        <v>212583402</v>
      </c>
      <c r="AS299" s="261" t="e">
        <f t="shared" si="169"/>
        <v>#REF!</v>
      </c>
      <c r="AT299" s="261">
        <f t="shared" si="170"/>
        <v>212860315</v>
      </c>
      <c r="AU299" s="261" t="e">
        <f t="shared" si="171"/>
        <v>#REF!</v>
      </c>
      <c r="AV299" s="261">
        <f t="shared" si="172"/>
        <v>212860315</v>
      </c>
      <c r="AW299" s="261" t="e">
        <f t="shared" si="173"/>
        <v>#REF!</v>
      </c>
      <c r="AX299" s="261" t="e">
        <f>AV299+#REF!+AH299+AA299+T299</f>
        <v>#REF!</v>
      </c>
      <c r="AY299" s="261" t="e">
        <f t="shared" si="174"/>
        <v>#REF!</v>
      </c>
      <c r="AZ299" s="261" t="e">
        <f t="shared" si="175"/>
        <v>#REF!</v>
      </c>
      <c r="BA299" s="261" t="e">
        <f t="shared" si="176"/>
        <v>#REF!</v>
      </c>
      <c r="BB299" s="261" t="e">
        <f t="shared" si="177"/>
        <v>#REF!</v>
      </c>
      <c r="BC299" s="261" t="e">
        <f t="shared" si="178"/>
        <v>#REF!</v>
      </c>
      <c r="BD299" s="261" t="e">
        <f t="shared" si="179"/>
        <v>#REF!</v>
      </c>
      <c r="BE299" s="261" t="e">
        <f>BC299+AV299+#REF!+AH299+AA299</f>
        <v>#REF!</v>
      </c>
      <c r="BF299" s="261" t="e">
        <f t="shared" si="180"/>
        <v>#REF!</v>
      </c>
      <c r="BG299" s="261" t="e">
        <f t="shared" si="181"/>
        <v>#REF!</v>
      </c>
    </row>
    <row r="300" spans="1:59" ht="15.75">
      <c r="A300" s="333">
        <v>24</v>
      </c>
      <c r="B300" s="333" t="s">
        <v>1607</v>
      </c>
      <c r="C300" s="256">
        <v>61</v>
      </c>
      <c r="D300" s="322" t="s">
        <v>13</v>
      </c>
      <c r="E300" s="256" t="s">
        <v>9</v>
      </c>
      <c r="F300" s="425">
        <f t="array" ref="F300">MAX((IF(MNU_CODIGO_ALIMENTO_ENTREGA=CONCATENATE($C300,"_","P_"),MNU_GRAMAJE_REQUERIDO_TIPOA,"")))</f>
        <v>20</v>
      </c>
      <c r="G300" s="257">
        <f t="shared" si="182"/>
        <v>95184</v>
      </c>
      <c r="H300" s="257">
        <f t="shared" si="183"/>
        <v>5280</v>
      </c>
      <c r="I300" s="257">
        <f t="shared" si="184"/>
        <v>100464</v>
      </c>
      <c r="J300" s="258">
        <f t="shared" si="185"/>
        <v>22177872</v>
      </c>
      <c r="K300" s="258">
        <f t="shared" si="186"/>
        <v>1230240</v>
      </c>
      <c r="L300" s="258">
        <f t="shared" si="187"/>
        <v>23408112</v>
      </c>
      <c r="M300" s="426">
        <f t="array" ref="M300">MAX((IF(MNU_CODIGO_ALIMENTO_ENTREGA=CONCATENATE($C300,"_","P_"),MNU_GRAMAJE_REQUERIDO_TIPOB,"")))</f>
        <v>30</v>
      </c>
      <c r="N300" s="343">
        <f t="shared" si="188"/>
        <v>118512</v>
      </c>
      <c r="O300" s="343">
        <f t="shared" si="189"/>
        <v>15300</v>
      </c>
      <c r="P300" s="343">
        <f t="shared" si="190"/>
        <v>133812</v>
      </c>
      <c r="Q300" s="344">
        <f t="shared" si="191"/>
        <v>41597712</v>
      </c>
      <c r="R300" s="344">
        <f t="shared" si="192"/>
        <v>5370300</v>
      </c>
      <c r="S300" s="344">
        <f t="shared" si="193"/>
        <v>46968012</v>
      </c>
      <c r="T300" s="348">
        <f t="array" ref="T300">MAX((IF(MNU_CODIGO_ALIMENTO_ENTREGA=CONCATENATE($C300,"_","P_"),MNU_GRAMAJE_REQUERIDO_TIPOC,"")))</f>
        <v>70</v>
      </c>
      <c r="U300" s="257">
        <f t="shared" si="194"/>
        <v>132400</v>
      </c>
      <c r="V300" s="257">
        <f t="shared" si="195"/>
        <v>25080</v>
      </c>
      <c r="W300" s="257">
        <f t="shared" si="196"/>
        <v>157480</v>
      </c>
      <c r="X300" s="258">
        <f t="shared" si="197"/>
        <v>108303200</v>
      </c>
      <c r="Y300" s="258">
        <f t="shared" si="198"/>
        <v>20515440</v>
      </c>
      <c r="Z300" s="258">
        <f t="shared" si="199"/>
        <v>128818640</v>
      </c>
      <c r="AA300" s="256">
        <f t="array" ref="AA300">MAX((IF(MNU_CODIGO_ALIMENTO_ENTREGA=CONCATENATE($C300,"_","P_"),MNU_GRAMAJE_REQUERIDO_TIPOM,"")))</f>
        <v>30</v>
      </c>
      <c r="AB300" s="259">
        <f t="shared" si="200"/>
        <v>6944</v>
      </c>
      <c r="AC300" s="259">
        <v>0</v>
      </c>
      <c r="AD300" s="259">
        <f t="shared" si="201"/>
        <v>6944</v>
      </c>
      <c r="AE300" s="260">
        <f t="shared" si="202"/>
        <v>2437344</v>
      </c>
      <c r="AF300" s="260">
        <v>0</v>
      </c>
      <c r="AG300" s="260">
        <f t="shared" si="203"/>
        <v>2437344</v>
      </c>
      <c r="AH300" s="348">
        <f t="array" ref="AH300">MAX((IF(MNU_CODIGO_ALIMENTO_ENTREGA=CONCATENATE($C300,"_","P_"),MNU_GRAMAJE_REQUERIDO_TIPOH,"")))</f>
        <v>70</v>
      </c>
      <c r="AI300" s="257">
        <f t="shared" si="204"/>
        <v>2768</v>
      </c>
      <c r="AJ300" s="257">
        <v>0</v>
      </c>
      <c r="AK300" s="257">
        <f t="shared" si="205"/>
        <v>2768</v>
      </c>
      <c r="AL300" s="258">
        <f t="shared" si="206"/>
        <v>2264224</v>
      </c>
      <c r="AM300" s="258">
        <v>0</v>
      </c>
      <c r="AN300" s="258">
        <f t="shared" si="207"/>
        <v>2264224</v>
      </c>
      <c r="AO300" s="451">
        <f t="shared" si="208"/>
        <v>401468</v>
      </c>
      <c r="AP300" s="450">
        <f t="shared" si="209"/>
        <v>203896332</v>
      </c>
      <c r="AQ300" s="261" t="e">
        <f>#REF!+AH300+AA300+T300+M300</f>
        <v>#REF!</v>
      </c>
      <c r="AR300" s="261">
        <f t="shared" si="168"/>
        <v>204156956</v>
      </c>
      <c r="AS300" s="261" t="e">
        <f t="shared" si="169"/>
        <v>#REF!</v>
      </c>
      <c r="AT300" s="261">
        <f t="shared" si="170"/>
        <v>204457960</v>
      </c>
      <c r="AU300" s="261" t="e">
        <f t="shared" si="171"/>
        <v>#REF!</v>
      </c>
      <c r="AV300" s="261">
        <f t="shared" si="172"/>
        <v>230343700</v>
      </c>
      <c r="AW300" s="261" t="e">
        <f t="shared" si="173"/>
        <v>#REF!</v>
      </c>
      <c r="AX300" s="261" t="e">
        <f>AV300+#REF!+AH300+AA300+T300</f>
        <v>#REF!</v>
      </c>
      <c r="AY300" s="261" t="e">
        <f t="shared" si="174"/>
        <v>#REF!</v>
      </c>
      <c r="AZ300" s="261" t="e">
        <f t="shared" si="175"/>
        <v>#REF!</v>
      </c>
      <c r="BA300" s="261" t="e">
        <f t="shared" si="176"/>
        <v>#REF!</v>
      </c>
      <c r="BB300" s="261" t="e">
        <f t="shared" si="177"/>
        <v>#REF!</v>
      </c>
      <c r="BC300" s="261" t="e">
        <f t="shared" si="178"/>
        <v>#REF!</v>
      </c>
      <c r="BD300" s="261" t="e">
        <f t="shared" si="179"/>
        <v>#REF!</v>
      </c>
      <c r="BE300" s="261" t="e">
        <f>BC300+AV300+#REF!+AH300+AA300</f>
        <v>#REF!</v>
      </c>
      <c r="BF300" s="261" t="e">
        <f t="shared" si="180"/>
        <v>#REF!</v>
      </c>
      <c r="BG300" s="261" t="e">
        <f t="shared" si="181"/>
        <v>#REF!</v>
      </c>
    </row>
    <row r="301" spans="1:59" ht="15.75">
      <c r="A301" s="333">
        <v>24</v>
      </c>
      <c r="B301" s="333" t="s">
        <v>1607</v>
      </c>
      <c r="C301" s="256">
        <v>62</v>
      </c>
      <c r="D301" s="322" t="s">
        <v>68</v>
      </c>
      <c r="E301" s="256" t="s">
        <v>9</v>
      </c>
      <c r="F301" s="425">
        <f t="array" ref="F301">MAX((IF(MNU_CODIGO_ALIMENTO_ENTREGA=CONCATENATE($C301,"_","P_"),MNU_GRAMAJE_REQUERIDO_TIPOA,"")))</f>
        <v>50</v>
      </c>
      <c r="G301" s="257">
        <f t="shared" si="182"/>
        <v>29745</v>
      </c>
      <c r="H301" s="257">
        <f t="shared" si="183"/>
        <v>0</v>
      </c>
      <c r="I301" s="257">
        <f t="shared" si="184"/>
        <v>29745</v>
      </c>
      <c r="J301" s="258">
        <f t="shared" si="185"/>
        <v>18590625</v>
      </c>
      <c r="K301" s="258">
        <f t="shared" si="186"/>
        <v>0</v>
      </c>
      <c r="L301" s="258">
        <f t="shared" si="187"/>
        <v>18590625</v>
      </c>
      <c r="M301" s="426">
        <f t="array" ref="M301">MAX((IF(MNU_CODIGO_ALIMENTO_ENTREGA=CONCATENATE($C301,"_","P_"),MNU_GRAMAJE_REQUERIDO_TIPOB,"")))</f>
        <v>50</v>
      </c>
      <c r="N301" s="343">
        <f t="shared" si="188"/>
        <v>37035</v>
      </c>
      <c r="O301" s="343">
        <f t="shared" si="189"/>
        <v>0</v>
      </c>
      <c r="P301" s="343">
        <f t="shared" si="190"/>
        <v>37035</v>
      </c>
      <c r="Q301" s="344">
        <f t="shared" si="191"/>
        <v>23146875</v>
      </c>
      <c r="R301" s="344">
        <f t="shared" si="192"/>
        <v>0</v>
      </c>
      <c r="S301" s="344">
        <f t="shared" si="193"/>
        <v>23146875</v>
      </c>
      <c r="T301" s="348">
        <f t="array" ref="T301">MAX((IF(MNU_CODIGO_ALIMENTO_ENTREGA=CONCATENATE($C301,"_","P_"),MNU_GRAMAJE_REQUERIDO_TIPOC,"")))</f>
        <v>50</v>
      </c>
      <c r="U301" s="257">
        <f t="shared" si="194"/>
        <v>41375</v>
      </c>
      <c r="V301" s="257">
        <f t="shared" si="195"/>
        <v>0</v>
      </c>
      <c r="W301" s="257">
        <f t="shared" si="196"/>
        <v>41375</v>
      </c>
      <c r="X301" s="258">
        <f t="shared" si="197"/>
        <v>25859375</v>
      </c>
      <c r="Y301" s="258">
        <f t="shared" si="198"/>
        <v>0</v>
      </c>
      <c r="Z301" s="258">
        <f t="shared" si="199"/>
        <v>25859375</v>
      </c>
      <c r="AA301" s="256">
        <f t="array" ref="AA301">MAX((IF(MNU_CODIGO_ALIMENTO_ENTREGA=CONCATENATE($C301,"_","P_"),MNU_GRAMAJE_REQUERIDO_TIPOM,"")))</f>
        <v>50</v>
      </c>
      <c r="AB301" s="259">
        <f t="shared" si="200"/>
        <v>2170</v>
      </c>
      <c r="AC301" s="259">
        <v>0</v>
      </c>
      <c r="AD301" s="259">
        <f t="shared" si="201"/>
        <v>2170</v>
      </c>
      <c r="AE301" s="260">
        <f t="shared" si="202"/>
        <v>1356250</v>
      </c>
      <c r="AF301" s="260">
        <v>0</v>
      </c>
      <c r="AG301" s="260">
        <f t="shared" si="203"/>
        <v>1356250</v>
      </c>
      <c r="AH301" s="348">
        <f t="array" ref="AH301">MAX((IF(MNU_CODIGO_ALIMENTO_ENTREGA=CONCATENATE($C301,"_","P_"),MNU_GRAMAJE_REQUERIDO_TIPOH,"")))</f>
        <v>50</v>
      </c>
      <c r="AI301" s="257">
        <f t="shared" si="204"/>
        <v>865</v>
      </c>
      <c r="AJ301" s="257">
        <v>0</v>
      </c>
      <c r="AK301" s="257">
        <f t="shared" si="205"/>
        <v>865</v>
      </c>
      <c r="AL301" s="258">
        <f t="shared" si="206"/>
        <v>540625</v>
      </c>
      <c r="AM301" s="258">
        <v>0</v>
      </c>
      <c r="AN301" s="258">
        <f t="shared" si="207"/>
        <v>540625</v>
      </c>
      <c r="AO301" s="451">
        <f t="shared" si="208"/>
        <v>111190</v>
      </c>
      <c r="AP301" s="450">
        <f t="shared" si="209"/>
        <v>69493750</v>
      </c>
      <c r="AQ301" s="261" t="e">
        <f>#REF!+AH301+AA301+T301+M301</f>
        <v>#REF!</v>
      </c>
      <c r="AR301" s="261">
        <f t="shared" si="168"/>
        <v>69575195</v>
      </c>
      <c r="AS301" s="261" t="e">
        <f t="shared" si="169"/>
        <v>#REF!</v>
      </c>
      <c r="AT301" s="261">
        <f t="shared" si="170"/>
        <v>69656640</v>
      </c>
      <c r="AU301" s="261" t="e">
        <f t="shared" si="171"/>
        <v>#REF!</v>
      </c>
      <c r="AV301" s="261">
        <f t="shared" si="172"/>
        <v>69656640</v>
      </c>
      <c r="AW301" s="261" t="e">
        <f t="shared" si="173"/>
        <v>#REF!</v>
      </c>
      <c r="AX301" s="261" t="e">
        <f>AV301+#REF!+AH301+AA301+T301</f>
        <v>#REF!</v>
      </c>
      <c r="AY301" s="261" t="e">
        <f t="shared" si="174"/>
        <v>#REF!</v>
      </c>
      <c r="AZ301" s="261" t="e">
        <f t="shared" si="175"/>
        <v>#REF!</v>
      </c>
      <c r="BA301" s="261" t="e">
        <f t="shared" si="176"/>
        <v>#REF!</v>
      </c>
      <c r="BB301" s="261" t="e">
        <f t="shared" si="177"/>
        <v>#REF!</v>
      </c>
      <c r="BC301" s="261" t="e">
        <f t="shared" si="178"/>
        <v>#REF!</v>
      </c>
      <c r="BD301" s="261" t="e">
        <f t="shared" si="179"/>
        <v>#REF!</v>
      </c>
      <c r="BE301" s="261" t="e">
        <f>BC301+AV301+#REF!+AH301+AA301</f>
        <v>#REF!</v>
      </c>
      <c r="BF301" s="261" t="e">
        <f t="shared" si="180"/>
        <v>#REF!</v>
      </c>
      <c r="BG301" s="261" t="e">
        <f t="shared" si="181"/>
        <v>#REF!</v>
      </c>
    </row>
    <row r="302" spans="1:59" ht="15.75">
      <c r="A302" s="333">
        <v>25</v>
      </c>
      <c r="B302" s="333" t="s">
        <v>1607</v>
      </c>
      <c r="C302" s="256">
        <v>1</v>
      </c>
      <c r="D302" s="322" t="s">
        <v>16</v>
      </c>
      <c r="E302" s="256" t="s">
        <v>9</v>
      </c>
      <c r="F302" s="425">
        <f t="array" ref="F302">MAX((IF(MNU_CODIGO_ALIMENTO_ENTREGA=CONCATENATE($C302,"_","P_"),MNU_GRAMAJE_REQUERIDO_TIPOA,"")))</f>
        <v>30</v>
      </c>
      <c r="G302" s="257">
        <f t="shared" si="182"/>
        <v>85200</v>
      </c>
      <c r="H302" s="257">
        <f t="shared" si="183"/>
        <v>0</v>
      </c>
      <c r="I302" s="257">
        <f t="shared" si="184"/>
        <v>85200</v>
      </c>
      <c r="J302" s="258">
        <f t="shared" si="185"/>
        <v>68841600</v>
      </c>
      <c r="K302" s="258">
        <f t="shared" si="186"/>
        <v>0</v>
      </c>
      <c r="L302" s="258">
        <f t="shared" si="187"/>
        <v>68841600</v>
      </c>
      <c r="M302" s="426">
        <f t="array" ref="M302">MAX((IF(MNU_CODIGO_ALIMENTO_ENTREGA=CONCATENATE($C302,"_","P_"),MNU_GRAMAJE_REQUERIDO_TIPOB,"")))</f>
        <v>40</v>
      </c>
      <c r="N302" s="343">
        <f t="shared" si="188"/>
        <v>106230</v>
      </c>
      <c r="O302" s="343">
        <f t="shared" si="189"/>
        <v>0</v>
      </c>
      <c r="P302" s="343">
        <f t="shared" si="190"/>
        <v>106230</v>
      </c>
      <c r="Q302" s="344">
        <f t="shared" si="191"/>
        <v>114515940</v>
      </c>
      <c r="R302" s="344">
        <f t="shared" si="192"/>
        <v>0</v>
      </c>
      <c r="S302" s="344">
        <f t="shared" si="193"/>
        <v>114515940</v>
      </c>
      <c r="T302" s="348">
        <f t="array" ref="T302">MAX((IF(MNU_CODIGO_ALIMENTO_ENTREGA=CONCATENATE($C302,"_","P_"),MNU_GRAMAJE_REQUERIDO_TIPOC,"")))</f>
        <v>60</v>
      </c>
      <c r="U302" s="257">
        <f t="shared" si="194"/>
        <v>114810</v>
      </c>
      <c r="V302" s="257">
        <f t="shared" si="195"/>
        <v>0</v>
      </c>
      <c r="W302" s="257">
        <f t="shared" si="196"/>
        <v>114810</v>
      </c>
      <c r="X302" s="258">
        <f t="shared" si="197"/>
        <v>185532960</v>
      </c>
      <c r="Y302" s="258">
        <f t="shared" si="198"/>
        <v>0</v>
      </c>
      <c r="Z302" s="258">
        <f t="shared" si="199"/>
        <v>185532960</v>
      </c>
      <c r="AA302" s="256">
        <f t="array" ref="AA302">MAX((IF(MNU_CODIGO_ALIMENTO_ENTREGA=CONCATENATE($C302,"_","P_"),MNU_GRAMAJE_REQUERIDO_TIPOM,"")))</f>
        <v>40</v>
      </c>
      <c r="AB302" s="259">
        <f t="shared" si="200"/>
        <v>3225</v>
      </c>
      <c r="AC302" s="259">
        <v>0</v>
      </c>
      <c r="AD302" s="259">
        <f t="shared" si="201"/>
        <v>3225</v>
      </c>
      <c r="AE302" s="260">
        <f t="shared" si="202"/>
        <v>3476550</v>
      </c>
      <c r="AF302" s="260">
        <v>0</v>
      </c>
      <c r="AG302" s="260">
        <f t="shared" si="203"/>
        <v>3476550</v>
      </c>
      <c r="AH302" s="348">
        <f t="array" ref="AH302">MAX((IF(MNU_CODIGO_ALIMENTO_ENTREGA=CONCATENATE($C302,"_","P_"),MNU_GRAMAJE_REQUERIDO_TIPOH,"")))</f>
        <v>60</v>
      </c>
      <c r="AI302" s="257">
        <f t="shared" si="204"/>
        <v>2505</v>
      </c>
      <c r="AJ302" s="257">
        <v>0</v>
      </c>
      <c r="AK302" s="257">
        <f t="shared" si="205"/>
        <v>2505</v>
      </c>
      <c r="AL302" s="258">
        <f t="shared" si="206"/>
        <v>4048080</v>
      </c>
      <c r="AM302" s="258">
        <v>0</v>
      </c>
      <c r="AN302" s="258">
        <f t="shared" si="207"/>
        <v>4048080</v>
      </c>
      <c r="AO302" s="451">
        <f t="shared" si="208"/>
        <v>311970</v>
      </c>
      <c r="AP302" s="450">
        <f t="shared" si="209"/>
        <v>376415130</v>
      </c>
      <c r="AQ302" s="261" t="e">
        <f>#REF!+AH302+AA302+T302+M302</f>
        <v>#REF!</v>
      </c>
      <c r="AR302" s="261">
        <f t="shared" si="168"/>
        <v>376641900</v>
      </c>
      <c r="AS302" s="261" t="e">
        <f t="shared" si="169"/>
        <v>#REF!</v>
      </c>
      <c r="AT302" s="261">
        <f t="shared" si="170"/>
        <v>376868670</v>
      </c>
      <c r="AU302" s="261" t="e">
        <f t="shared" si="171"/>
        <v>#REF!</v>
      </c>
      <c r="AV302" s="261">
        <f t="shared" si="172"/>
        <v>376868670</v>
      </c>
      <c r="AW302" s="261" t="e">
        <f t="shared" si="173"/>
        <v>#REF!</v>
      </c>
      <c r="AX302" s="261" t="e">
        <f>AV302+#REF!+AH302+AA302+T302</f>
        <v>#REF!</v>
      </c>
      <c r="AY302" s="261" t="e">
        <f t="shared" si="174"/>
        <v>#REF!</v>
      </c>
      <c r="AZ302" s="261" t="e">
        <f t="shared" si="175"/>
        <v>#REF!</v>
      </c>
      <c r="BA302" s="261" t="e">
        <f t="shared" si="176"/>
        <v>#REF!</v>
      </c>
      <c r="BB302" s="261" t="e">
        <f t="shared" si="177"/>
        <v>#REF!</v>
      </c>
      <c r="BC302" s="261" t="e">
        <f t="shared" si="178"/>
        <v>#REF!</v>
      </c>
      <c r="BD302" s="261" t="e">
        <f t="shared" si="179"/>
        <v>#REF!</v>
      </c>
      <c r="BE302" s="261" t="e">
        <f>BC302+AV302+#REF!+AH302+AA302</f>
        <v>#REF!</v>
      </c>
      <c r="BF302" s="261" t="e">
        <f t="shared" si="180"/>
        <v>#REF!</v>
      </c>
      <c r="BG302" s="261" t="e">
        <f t="shared" si="181"/>
        <v>#REF!</v>
      </c>
    </row>
    <row r="303" spans="1:59" ht="15.75">
      <c r="A303" s="333">
        <v>25</v>
      </c>
      <c r="B303" s="333" t="s">
        <v>1607</v>
      </c>
      <c r="C303" s="256">
        <v>3</v>
      </c>
      <c r="D303" s="322" t="s">
        <v>12</v>
      </c>
      <c r="E303" s="256" t="s">
        <v>9</v>
      </c>
      <c r="F303" s="425">
        <f t="array" ref="F303">MAX((IF(MNU_CODIGO_ALIMENTO_ENTREGA=CONCATENATE($C303,"_","P_"),MNU_GRAMAJE_REQUERIDO_TIPOA,"")))</f>
        <v>50</v>
      </c>
      <c r="G303" s="257">
        <f t="shared" si="182"/>
        <v>96560</v>
      </c>
      <c r="H303" s="257">
        <f t="shared" si="183"/>
        <v>41230</v>
      </c>
      <c r="I303" s="257">
        <f t="shared" si="184"/>
        <v>137790</v>
      </c>
      <c r="J303" s="258">
        <f t="shared" si="185"/>
        <v>48762800</v>
      </c>
      <c r="K303" s="258">
        <f t="shared" si="186"/>
        <v>20821150</v>
      </c>
      <c r="L303" s="258">
        <f t="shared" si="187"/>
        <v>69583950</v>
      </c>
      <c r="M303" s="426">
        <f t="array" ref="M303">MAX((IF(MNU_CODIGO_ALIMENTO_ENTREGA=CONCATENATE($C303,"_","P_"),MNU_GRAMAJE_REQUERIDO_TIPOB,"")))</f>
        <v>50</v>
      </c>
      <c r="N303" s="343">
        <f t="shared" si="188"/>
        <v>120394</v>
      </c>
      <c r="O303" s="343">
        <f t="shared" si="189"/>
        <v>47576</v>
      </c>
      <c r="P303" s="343">
        <f t="shared" si="190"/>
        <v>167970</v>
      </c>
      <c r="Q303" s="344">
        <f t="shared" si="191"/>
        <v>60798970</v>
      </c>
      <c r="R303" s="344">
        <f t="shared" si="192"/>
        <v>24025880</v>
      </c>
      <c r="S303" s="344">
        <f t="shared" si="193"/>
        <v>84824850</v>
      </c>
      <c r="T303" s="348">
        <f t="array" ref="T303">MAX((IF(MNU_CODIGO_ALIMENTO_ENTREGA=CONCATENATE($C303,"_","P_"),MNU_GRAMAJE_REQUERIDO_TIPOC,"")))</f>
        <v>80</v>
      </c>
      <c r="U303" s="257">
        <f t="shared" si="194"/>
        <v>130118</v>
      </c>
      <c r="V303" s="257">
        <f t="shared" si="195"/>
        <v>58767</v>
      </c>
      <c r="W303" s="257">
        <f t="shared" si="196"/>
        <v>188885</v>
      </c>
      <c r="X303" s="258">
        <f t="shared" si="197"/>
        <v>99280034</v>
      </c>
      <c r="Y303" s="258">
        <f t="shared" si="198"/>
        <v>44839221</v>
      </c>
      <c r="Z303" s="258">
        <f t="shared" si="199"/>
        <v>144119255</v>
      </c>
      <c r="AA303" s="256">
        <f t="array" ref="AA303">MAX((IF(MNU_CODIGO_ALIMENTO_ENTREGA=CONCATENATE($C303,"_","P_"),MNU_GRAMAJE_REQUERIDO_TIPOM,"")))</f>
        <v>50</v>
      </c>
      <c r="AB303" s="259">
        <f t="shared" si="200"/>
        <v>3655</v>
      </c>
      <c r="AC303" s="259">
        <v>0</v>
      </c>
      <c r="AD303" s="259">
        <f t="shared" si="201"/>
        <v>3655</v>
      </c>
      <c r="AE303" s="260">
        <f t="shared" si="202"/>
        <v>1845775</v>
      </c>
      <c r="AF303" s="260">
        <v>0</v>
      </c>
      <c r="AG303" s="260">
        <f t="shared" si="203"/>
        <v>1845775</v>
      </c>
      <c r="AH303" s="348">
        <f t="array" ref="AH303">MAX((IF(MNU_CODIGO_ALIMENTO_ENTREGA=CONCATENATE($C303,"_","P_"),MNU_GRAMAJE_REQUERIDO_TIPOH,"")))</f>
        <v>80</v>
      </c>
      <c r="AI303" s="257">
        <f t="shared" si="204"/>
        <v>2839</v>
      </c>
      <c r="AJ303" s="257">
        <v>0</v>
      </c>
      <c r="AK303" s="257">
        <f t="shared" si="205"/>
        <v>2839</v>
      </c>
      <c r="AL303" s="258">
        <f t="shared" si="206"/>
        <v>2166157</v>
      </c>
      <c r="AM303" s="258">
        <v>0</v>
      </c>
      <c r="AN303" s="258">
        <f t="shared" si="207"/>
        <v>2166157</v>
      </c>
      <c r="AO303" s="451">
        <f t="shared" si="208"/>
        <v>501139</v>
      </c>
      <c r="AP303" s="450">
        <f t="shared" si="209"/>
        <v>302539987</v>
      </c>
      <c r="AQ303" s="261" t="e">
        <f>#REF!+AH303+AA303+T303+M303</f>
        <v>#REF!</v>
      </c>
      <c r="AR303" s="261">
        <f t="shared" ref="AR303:AR366" si="210">AP303+AI303+AB303+U303+N303</f>
        <v>302796993</v>
      </c>
      <c r="AS303" s="261" t="e">
        <f t="shared" ref="AS303:AS366" si="211">AQ303+AJ303+AC303+V303+O303</f>
        <v>#REF!</v>
      </c>
      <c r="AT303" s="261">
        <f t="shared" ref="AT303:AT366" si="212">AR303+AK303+AD303+W303+P303</f>
        <v>303160342</v>
      </c>
      <c r="AU303" s="261" t="e">
        <f t="shared" ref="AU303:AU366" si="213">AS303+AL303+AE303+X303+Q303</f>
        <v>#REF!</v>
      </c>
      <c r="AV303" s="261">
        <f t="shared" ref="AV303:AV366" si="214">AT303+AM303+AF303+Y303+R303</f>
        <v>372025443</v>
      </c>
      <c r="AW303" s="261" t="e">
        <f t="shared" ref="AW303:AW366" si="215">AU303+AN303+AG303+Z303+S303</f>
        <v>#REF!</v>
      </c>
      <c r="AX303" s="261" t="e">
        <f>AV303+#REF!+AH303+AA303+T303</f>
        <v>#REF!</v>
      </c>
      <c r="AY303" s="261" t="e">
        <f t="shared" ref="AY303:AY366" si="216">AW303+AP303+AI303+AB303+U303</f>
        <v>#REF!</v>
      </c>
      <c r="AZ303" s="261" t="e">
        <f t="shared" ref="AZ303:AZ366" si="217">AX303+AQ303+AJ303+AC303+V303</f>
        <v>#REF!</v>
      </c>
      <c r="BA303" s="261" t="e">
        <f t="shared" ref="BA303:BA366" si="218">AY303+AR303+AK303+AD303+W303</f>
        <v>#REF!</v>
      </c>
      <c r="BB303" s="261" t="e">
        <f t="shared" ref="BB303:BB366" si="219">AZ303+AS303+AL303+AE303+X303</f>
        <v>#REF!</v>
      </c>
      <c r="BC303" s="261" t="e">
        <f t="shared" ref="BC303:BC366" si="220">BA303+AT303+AM303+AF303+Y303</f>
        <v>#REF!</v>
      </c>
      <c r="BD303" s="261" t="e">
        <f t="shared" ref="BD303:BD366" si="221">BB303+AU303+AN303+AG303+Z303</f>
        <v>#REF!</v>
      </c>
      <c r="BE303" s="261" t="e">
        <f>BC303+AV303+#REF!+AH303+AA303</f>
        <v>#REF!</v>
      </c>
      <c r="BF303" s="261" t="e">
        <f t="shared" ref="BF303:BF366" si="222">BD303+AW303+AP303+AI303+AB303</f>
        <v>#REF!</v>
      </c>
      <c r="BG303" s="261" t="e">
        <f t="shared" ref="BG303:BG366" si="223">BE303+AX303+AQ303+AJ303+AC303</f>
        <v>#REF!</v>
      </c>
    </row>
    <row r="304" spans="1:59" ht="15.75">
      <c r="A304" s="333">
        <v>25</v>
      </c>
      <c r="B304" s="333" t="s">
        <v>1607</v>
      </c>
      <c r="C304" s="256">
        <v>15</v>
      </c>
      <c r="D304" s="322" t="s">
        <v>66</v>
      </c>
      <c r="E304" s="256" t="s">
        <v>9</v>
      </c>
      <c r="F304" s="425">
        <f t="array" ref="F304">MAX((IF(MNU_CODIGO_ALIMENTO_ENTREGA=CONCATENATE($C304,"_","P_"),MNU_GRAMAJE_REQUERIDO_TIPOA,"")))</f>
        <v>50</v>
      </c>
      <c r="G304" s="257">
        <f t="shared" si="182"/>
        <v>96560</v>
      </c>
      <c r="H304" s="257">
        <f t="shared" si="183"/>
        <v>23870</v>
      </c>
      <c r="I304" s="257">
        <f t="shared" si="184"/>
        <v>120430</v>
      </c>
      <c r="J304" s="258">
        <f t="shared" si="185"/>
        <v>64984880</v>
      </c>
      <c r="K304" s="258">
        <f t="shared" si="186"/>
        <v>16064510</v>
      </c>
      <c r="L304" s="258">
        <f t="shared" si="187"/>
        <v>81049390</v>
      </c>
      <c r="M304" s="426">
        <f t="array" ref="M304">MAX((IF(MNU_CODIGO_ALIMENTO_ENTREGA=CONCATENATE($C304,"_","P_"),MNU_GRAMAJE_REQUERIDO_TIPOB,"")))</f>
        <v>50</v>
      </c>
      <c r="N304" s="343">
        <f t="shared" si="188"/>
        <v>120394</v>
      </c>
      <c r="O304" s="343">
        <f t="shared" si="189"/>
        <v>27544</v>
      </c>
      <c r="P304" s="343">
        <f t="shared" si="190"/>
        <v>147938</v>
      </c>
      <c r="Q304" s="344">
        <f t="shared" si="191"/>
        <v>81025162</v>
      </c>
      <c r="R304" s="344">
        <f t="shared" si="192"/>
        <v>18537112</v>
      </c>
      <c r="S304" s="344">
        <f t="shared" si="193"/>
        <v>99562274</v>
      </c>
      <c r="T304" s="348">
        <f t="array" ref="T304">MAX((IF(MNU_CODIGO_ALIMENTO_ENTREGA=CONCATENATE($C304,"_","P_"),MNU_GRAMAJE_REQUERIDO_TIPOC,"")))</f>
        <v>80</v>
      </c>
      <c r="U304" s="257">
        <f t="shared" si="194"/>
        <v>130118</v>
      </c>
      <c r="V304" s="257">
        <f t="shared" si="195"/>
        <v>34023</v>
      </c>
      <c r="W304" s="257">
        <f t="shared" si="196"/>
        <v>164141</v>
      </c>
      <c r="X304" s="258">
        <f t="shared" si="197"/>
        <v>140006968</v>
      </c>
      <c r="Y304" s="258">
        <f t="shared" si="198"/>
        <v>36608748</v>
      </c>
      <c r="Z304" s="258">
        <f t="shared" si="199"/>
        <v>176615716</v>
      </c>
      <c r="AA304" s="256">
        <f t="array" ref="AA304">MAX((IF(MNU_CODIGO_ALIMENTO_ENTREGA=CONCATENATE($C304,"_","P_"),MNU_GRAMAJE_REQUERIDO_TIPOM,"")))</f>
        <v>50</v>
      </c>
      <c r="AB304" s="259">
        <f t="shared" si="200"/>
        <v>3655</v>
      </c>
      <c r="AC304" s="259">
        <v>0</v>
      </c>
      <c r="AD304" s="259">
        <f t="shared" si="201"/>
        <v>3655</v>
      </c>
      <c r="AE304" s="260">
        <f t="shared" si="202"/>
        <v>2459815</v>
      </c>
      <c r="AF304" s="260">
        <v>0</v>
      </c>
      <c r="AG304" s="260">
        <f t="shared" si="203"/>
        <v>2459815</v>
      </c>
      <c r="AH304" s="348">
        <f t="array" ref="AH304">MAX((IF(MNU_CODIGO_ALIMENTO_ENTREGA=CONCATENATE($C304,"_","P_"),MNU_GRAMAJE_REQUERIDO_TIPOH,"")))</f>
        <v>80</v>
      </c>
      <c r="AI304" s="257">
        <f t="shared" si="204"/>
        <v>2839</v>
      </c>
      <c r="AJ304" s="257">
        <v>0</v>
      </c>
      <c r="AK304" s="257">
        <f t="shared" si="205"/>
        <v>2839</v>
      </c>
      <c r="AL304" s="258">
        <f t="shared" si="206"/>
        <v>3054764</v>
      </c>
      <c r="AM304" s="258">
        <v>0</v>
      </c>
      <c r="AN304" s="258">
        <f t="shared" si="207"/>
        <v>3054764</v>
      </c>
      <c r="AO304" s="451">
        <f t="shared" si="208"/>
        <v>439003</v>
      </c>
      <c r="AP304" s="450">
        <f t="shared" si="209"/>
        <v>362741959</v>
      </c>
      <c r="AQ304" s="261" t="e">
        <f>#REF!+AH304+AA304+T304+M304</f>
        <v>#REF!</v>
      </c>
      <c r="AR304" s="261">
        <f t="shared" si="210"/>
        <v>362998965</v>
      </c>
      <c r="AS304" s="261" t="e">
        <f t="shared" si="211"/>
        <v>#REF!</v>
      </c>
      <c r="AT304" s="261">
        <f t="shared" si="212"/>
        <v>363317538</v>
      </c>
      <c r="AU304" s="261" t="e">
        <f t="shared" si="213"/>
        <v>#REF!</v>
      </c>
      <c r="AV304" s="261">
        <f t="shared" si="214"/>
        <v>418463398</v>
      </c>
      <c r="AW304" s="261" t="e">
        <f t="shared" si="215"/>
        <v>#REF!</v>
      </c>
      <c r="AX304" s="261" t="e">
        <f>AV304+#REF!+AH304+AA304+T304</f>
        <v>#REF!</v>
      </c>
      <c r="AY304" s="261" t="e">
        <f t="shared" si="216"/>
        <v>#REF!</v>
      </c>
      <c r="AZ304" s="261" t="e">
        <f t="shared" si="217"/>
        <v>#REF!</v>
      </c>
      <c r="BA304" s="261" t="e">
        <f t="shared" si="218"/>
        <v>#REF!</v>
      </c>
      <c r="BB304" s="261" t="e">
        <f t="shared" si="219"/>
        <v>#REF!</v>
      </c>
      <c r="BC304" s="261" t="e">
        <f t="shared" si="220"/>
        <v>#REF!</v>
      </c>
      <c r="BD304" s="261" t="e">
        <f t="shared" si="221"/>
        <v>#REF!</v>
      </c>
      <c r="BE304" s="261" t="e">
        <f>BC304+AV304+#REF!+AH304+AA304</f>
        <v>#REF!</v>
      </c>
      <c r="BF304" s="261" t="e">
        <f t="shared" si="222"/>
        <v>#REF!</v>
      </c>
      <c r="BG304" s="261" t="e">
        <f t="shared" si="223"/>
        <v>#REF!</v>
      </c>
    </row>
    <row r="305" spans="1:59" ht="15.75">
      <c r="A305" s="333">
        <v>25</v>
      </c>
      <c r="B305" s="333" t="s">
        <v>1607</v>
      </c>
      <c r="C305" s="256">
        <v>24</v>
      </c>
      <c r="D305" s="322" t="s">
        <v>61</v>
      </c>
      <c r="E305" s="256" t="s">
        <v>9</v>
      </c>
      <c r="F305" s="425">
        <f t="array" ref="F305">MAX((IF(MNU_CODIGO_ALIMENTO_ENTREGA=CONCATENATE($C305,"_","P_"),MNU_GRAMAJE_REQUERIDO_TIPOA,"")))</f>
        <v>20</v>
      </c>
      <c r="G305" s="257">
        <f t="shared" si="182"/>
        <v>96560</v>
      </c>
      <c r="H305" s="257">
        <f t="shared" si="183"/>
        <v>23870</v>
      </c>
      <c r="I305" s="257">
        <f t="shared" si="184"/>
        <v>120430</v>
      </c>
      <c r="J305" s="258">
        <f t="shared" si="185"/>
        <v>12359680</v>
      </c>
      <c r="K305" s="258">
        <f t="shared" si="186"/>
        <v>3055360</v>
      </c>
      <c r="L305" s="258">
        <f t="shared" si="187"/>
        <v>15415040</v>
      </c>
      <c r="M305" s="426">
        <f t="array" ref="M305">MAX((IF(MNU_CODIGO_ALIMENTO_ENTREGA=CONCATENATE($C305,"_","P_"),MNU_GRAMAJE_REQUERIDO_TIPOB,"")))</f>
        <v>30</v>
      </c>
      <c r="N305" s="343">
        <f t="shared" si="188"/>
        <v>120394</v>
      </c>
      <c r="O305" s="343">
        <f t="shared" si="189"/>
        <v>27544</v>
      </c>
      <c r="P305" s="343">
        <f t="shared" si="190"/>
        <v>147938</v>
      </c>
      <c r="Q305" s="344">
        <f t="shared" si="191"/>
        <v>24078800</v>
      </c>
      <c r="R305" s="344">
        <f t="shared" si="192"/>
        <v>5508800</v>
      </c>
      <c r="S305" s="344">
        <f t="shared" si="193"/>
        <v>29587600</v>
      </c>
      <c r="T305" s="348">
        <f t="array" ref="T305">MAX((IF(MNU_CODIGO_ALIMENTO_ENTREGA=CONCATENATE($C305,"_","P_"),MNU_GRAMAJE_REQUERIDO_TIPOC,"")))</f>
        <v>60</v>
      </c>
      <c r="U305" s="257">
        <f t="shared" si="194"/>
        <v>130118</v>
      </c>
      <c r="V305" s="257">
        <f t="shared" si="195"/>
        <v>34023</v>
      </c>
      <c r="W305" s="257">
        <f t="shared" si="196"/>
        <v>164141</v>
      </c>
      <c r="X305" s="258">
        <f t="shared" si="197"/>
        <v>50095430</v>
      </c>
      <c r="Y305" s="258">
        <f t="shared" si="198"/>
        <v>13098855</v>
      </c>
      <c r="Z305" s="258">
        <f t="shared" si="199"/>
        <v>63194285</v>
      </c>
      <c r="AA305" s="256">
        <f t="array" ref="AA305">MAX((IF(MNU_CODIGO_ALIMENTO_ENTREGA=CONCATENATE($C305,"_","P_"),MNU_GRAMAJE_REQUERIDO_TIPOM,"")))</f>
        <v>30</v>
      </c>
      <c r="AB305" s="259">
        <f t="shared" si="200"/>
        <v>3655</v>
      </c>
      <c r="AC305" s="259">
        <v>0</v>
      </c>
      <c r="AD305" s="259">
        <f t="shared" si="201"/>
        <v>3655</v>
      </c>
      <c r="AE305" s="260">
        <f t="shared" si="202"/>
        <v>731000</v>
      </c>
      <c r="AF305" s="260">
        <v>0</v>
      </c>
      <c r="AG305" s="260">
        <f t="shared" si="203"/>
        <v>731000</v>
      </c>
      <c r="AH305" s="348">
        <f t="array" ref="AH305">MAX((IF(MNU_CODIGO_ALIMENTO_ENTREGA=CONCATENATE($C305,"_","P_"),MNU_GRAMAJE_REQUERIDO_TIPOH,"")))</f>
        <v>60</v>
      </c>
      <c r="AI305" s="257">
        <f t="shared" si="204"/>
        <v>2839</v>
      </c>
      <c r="AJ305" s="257">
        <v>0</v>
      </c>
      <c r="AK305" s="257">
        <f t="shared" si="205"/>
        <v>2839</v>
      </c>
      <c r="AL305" s="258">
        <f t="shared" si="206"/>
        <v>1093015</v>
      </c>
      <c r="AM305" s="258">
        <v>0</v>
      </c>
      <c r="AN305" s="258">
        <f t="shared" si="207"/>
        <v>1093015</v>
      </c>
      <c r="AO305" s="451">
        <f t="shared" si="208"/>
        <v>439003</v>
      </c>
      <c r="AP305" s="450">
        <f t="shared" si="209"/>
        <v>110020940</v>
      </c>
      <c r="AQ305" s="261" t="e">
        <f>#REF!+AH305+AA305+T305+M305</f>
        <v>#REF!</v>
      </c>
      <c r="AR305" s="261">
        <f t="shared" si="210"/>
        <v>110277946</v>
      </c>
      <c r="AS305" s="261" t="e">
        <f t="shared" si="211"/>
        <v>#REF!</v>
      </c>
      <c r="AT305" s="261">
        <f t="shared" si="212"/>
        <v>110596519</v>
      </c>
      <c r="AU305" s="261" t="e">
        <f t="shared" si="213"/>
        <v>#REF!</v>
      </c>
      <c r="AV305" s="261">
        <f t="shared" si="214"/>
        <v>129204174</v>
      </c>
      <c r="AW305" s="261" t="e">
        <f t="shared" si="215"/>
        <v>#REF!</v>
      </c>
      <c r="AX305" s="261" t="e">
        <f>AV305+#REF!+AH305+AA305+T305</f>
        <v>#REF!</v>
      </c>
      <c r="AY305" s="261" t="e">
        <f t="shared" si="216"/>
        <v>#REF!</v>
      </c>
      <c r="AZ305" s="261" t="e">
        <f t="shared" si="217"/>
        <v>#REF!</v>
      </c>
      <c r="BA305" s="261" t="e">
        <f t="shared" si="218"/>
        <v>#REF!</v>
      </c>
      <c r="BB305" s="261" t="e">
        <f t="shared" si="219"/>
        <v>#REF!</v>
      </c>
      <c r="BC305" s="261" t="e">
        <f t="shared" si="220"/>
        <v>#REF!</v>
      </c>
      <c r="BD305" s="261" t="e">
        <f t="shared" si="221"/>
        <v>#REF!</v>
      </c>
      <c r="BE305" s="261" t="e">
        <f>BC305+AV305+#REF!+AH305+AA305</f>
        <v>#REF!</v>
      </c>
      <c r="BF305" s="261" t="e">
        <f t="shared" si="222"/>
        <v>#REF!</v>
      </c>
      <c r="BG305" s="261" t="e">
        <f t="shared" si="223"/>
        <v>#REF!</v>
      </c>
    </row>
    <row r="306" spans="1:59" ht="15.75">
      <c r="A306" s="333">
        <v>25</v>
      </c>
      <c r="B306" s="333" t="s">
        <v>1607</v>
      </c>
      <c r="C306" s="256">
        <v>25</v>
      </c>
      <c r="D306" s="322" t="s">
        <v>64</v>
      </c>
      <c r="E306" s="256" t="s">
        <v>9</v>
      </c>
      <c r="F306" s="425">
        <f t="array" ref="F306">MAX((IF(MNU_CODIGO_ALIMENTO_ENTREGA=CONCATENATE($C306,"_","P_"),MNU_GRAMAJE_REQUERIDO_TIPOA,"")))</f>
        <v>40</v>
      </c>
      <c r="G306" s="257">
        <f t="shared" ref="G306:G369" si="224">SUMIF(COSTPE_G_ALIMENTO_GRUPO,CONCATENATE($C306,"_",$A306),COSTPE_G_VOLUMEN_TOTAL_TIPOA)</f>
        <v>96560</v>
      </c>
      <c r="H306" s="257">
        <f t="shared" ref="H306:H369" si="225">SUMIF(COSTSE_G_ALIMENTO_GRUPO,CONCATENATE($C306,"_",$A306),COSTSE_G_VOLUMEN_TOTAL_TIPOA)</f>
        <v>47740</v>
      </c>
      <c r="I306" s="257">
        <f t="shared" ref="I306:I369" si="226">G306+H306</f>
        <v>144300</v>
      </c>
      <c r="J306" s="258">
        <f t="shared" ref="J306:J369" si="227">SUMIF(COSTPE_G_ALIMENTO_GRUPO,CONCATENATE($C306,"_",$A306),COSTPE_G_VALOR_TOTAL_TIPOA)</f>
        <v>24719360</v>
      </c>
      <c r="K306" s="258">
        <f t="shared" ref="K306:K369" si="228">SUMIF(COSTSE_G_ALIMENTO_GRUPO,CONCATENATE($C306,"_",$A306),COSTSE_G_VALOR_TOTAL_TIPOA)</f>
        <v>12221440</v>
      </c>
      <c r="L306" s="258">
        <f t="shared" ref="L306:L369" si="229">J306+K306</f>
        <v>36940800</v>
      </c>
      <c r="M306" s="426">
        <f t="array" ref="M306">MAX((IF(MNU_CODIGO_ALIMENTO_ENTREGA=CONCATENATE($C306,"_","P_"),MNU_GRAMAJE_REQUERIDO_TIPOB,"")))</f>
        <v>40</v>
      </c>
      <c r="N306" s="343">
        <f t="shared" ref="N306:N369" si="230">SUMIF(COSTPE_G_ALIMENTO_GRUPO,CONCATENATE($C306,"_",$A306),COSTPE_G_VOLUMEN_TOTAL_TIPOB)</f>
        <v>120394</v>
      </c>
      <c r="O306" s="343">
        <f t="shared" ref="O306:O369" si="231">SUMIF(COSTSE_G_ALIMENTO_GRUPO,CONCATENATE($C306,"_",$A306),COSTSE_G_VOLUMEN_TOTAL_TIPOB)</f>
        <v>55088</v>
      </c>
      <c r="P306" s="343">
        <f t="shared" ref="P306:P369" si="232">N306+O306</f>
        <v>175482</v>
      </c>
      <c r="Q306" s="344">
        <f t="shared" ref="Q306:Q369" si="233">SUMIF(COSTPE_G_ALIMENTO_GRUPO,CONCATENATE($C306,"_",$A306),COSTPE_G_VALOR_TOTAL_TIPOB)</f>
        <v>30820864</v>
      </c>
      <c r="R306" s="344">
        <f t="shared" ref="R306:R369" si="234">SUMIF(COSTSE_G_ALIMENTO_GRUPO,CONCATENATE($C306,"_",$A306),COSTSE_G_VALOR_TOTAL_TIPOB)</f>
        <v>14102528</v>
      </c>
      <c r="S306" s="344">
        <f t="shared" ref="S306:S369" si="235">Q306+R306</f>
        <v>44923392</v>
      </c>
      <c r="T306" s="348">
        <f t="array" ref="T306">MAX((IF(MNU_CODIGO_ALIMENTO_ENTREGA=CONCATENATE($C306,"_","P_"),MNU_GRAMAJE_REQUERIDO_TIPOC,"")))</f>
        <v>60</v>
      </c>
      <c r="U306" s="257">
        <f t="shared" ref="U306:U369" si="236">SUMIF(COSTPE_G_ALIMENTO_GRUPO,CONCATENATE($C306,"_",$A306),COSTPE_G_VOLUMEN_TOTAL_TIPOC)</f>
        <v>130118</v>
      </c>
      <c r="V306" s="257">
        <f t="shared" ref="V306:V369" si="237">SUMIF(COSTSE_G_ALIMENTO_GRUPO,CONCATENATE($C306,"_",$A306),COSTSE_G_VOLUMEN_TOTAL_TIPOC)</f>
        <v>68046</v>
      </c>
      <c r="W306" s="257">
        <f t="shared" ref="W306:W369" si="238">U306+V306</f>
        <v>198164</v>
      </c>
      <c r="X306" s="258">
        <f t="shared" ref="X306:X369" si="239">SUMIF(COSTPE_G_ALIMENTO_GRUPO,CONCATENATE($C306,"_",$A306),COSTPE_G_VALOR_TOTAL_TIPOC)</f>
        <v>49965312</v>
      </c>
      <c r="Y306" s="258">
        <f t="shared" ref="Y306:Y369" si="240">SUMIF(COSTSE_G_ALIMENTO_GRUPO,CONCATENATE($C306,"_",$A306),COSTSE_G_VALOR_TOTAL_TIPOC)</f>
        <v>26129664</v>
      </c>
      <c r="Z306" s="258">
        <f t="shared" ref="Z306:Z369" si="241">X306+Y306</f>
        <v>76094976</v>
      </c>
      <c r="AA306" s="256">
        <f t="array" ref="AA306">MAX((IF(MNU_CODIGO_ALIMENTO_ENTREGA=CONCATENATE($C306,"_","P_"),MNU_GRAMAJE_REQUERIDO_TIPOM,"")))</f>
        <v>40</v>
      </c>
      <c r="AB306" s="259">
        <f t="shared" ref="AB306:AB369" si="242">SUMIF(COSTPE_G_ALIMENTO_GRUPO,CONCATENATE($C306,"_",$A306),COSTPE_G_VOLUMEN_TOTAL_TIPOM)</f>
        <v>3655</v>
      </c>
      <c r="AC306" s="259">
        <v>0</v>
      </c>
      <c r="AD306" s="259">
        <f t="shared" ref="AD306:AD369" si="243">AB306+AC306</f>
        <v>3655</v>
      </c>
      <c r="AE306" s="260">
        <f t="shared" ref="AE306:AE369" si="244">SUMIF(COSTPE_G_ALIMENTO_GRUPO,CONCATENATE($C306,"_",$A306),COSTPE_G_VALOR_TOTAL_TIPOM)</f>
        <v>935680</v>
      </c>
      <c r="AF306" s="260">
        <v>0</v>
      </c>
      <c r="AG306" s="260">
        <f t="shared" ref="AG306:AG369" si="245">AE306+AF306</f>
        <v>935680</v>
      </c>
      <c r="AH306" s="348">
        <f t="array" ref="AH306">MAX((IF(MNU_CODIGO_ALIMENTO_ENTREGA=CONCATENATE($C306,"_","P_"),MNU_GRAMAJE_REQUERIDO_TIPOH,"")))</f>
        <v>60</v>
      </c>
      <c r="AI306" s="257">
        <f t="shared" ref="AI306:AI369" si="246">SUMIF(COSTPE_G_ALIMENTO_GRUPO,CONCATENATE($C306,"_",$A306),COSTPE_G_VOLUMEN_TOTAL_TIPOH)</f>
        <v>2839</v>
      </c>
      <c r="AJ306" s="257">
        <v>0</v>
      </c>
      <c r="AK306" s="257">
        <f t="shared" ref="AK306:AK369" si="247">AI306+AJ306</f>
        <v>2839</v>
      </c>
      <c r="AL306" s="258">
        <f t="shared" ref="AL306:AL369" si="248">SUMIF(COSTPE_G_ALIMENTO_GRUPO,CONCATENATE($C306,"_",$A306),COSTPE_G_VALOR_TOTAL_TIPOH)</f>
        <v>1090176</v>
      </c>
      <c r="AM306" s="258">
        <v>0</v>
      </c>
      <c r="AN306" s="258">
        <f t="shared" ref="AN306:AN369" si="249">AL306+AM306</f>
        <v>1090176</v>
      </c>
      <c r="AO306" s="451">
        <f t="shared" ref="AO306:AO369" si="250">AK306+AD306+W306+P306+I306</f>
        <v>524440</v>
      </c>
      <c r="AP306" s="450">
        <f t="shared" ref="AP306:AP369" si="251">AN306+AG306+Z306+S306+L306</f>
        <v>159985024</v>
      </c>
      <c r="AQ306" s="261" t="e">
        <f>#REF!+AH306+AA306+T306+M306</f>
        <v>#REF!</v>
      </c>
      <c r="AR306" s="261">
        <f t="shared" si="210"/>
        <v>160242030</v>
      </c>
      <c r="AS306" s="261" t="e">
        <f t="shared" si="211"/>
        <v>#REF!</v>
      </c>
      <c r="AT306" s="261">
        <f t="shared" si="212"/>
        <v>160622170</v>
      </c>
      <c r="AU306" s="261" t="e">
        <f t="shared" si="213"/>
        <v>#REF!</v>
      </c>
      <c r="AV306" s="261">
        <f t="shared" si="214"/>
        <v>200854362</v>
      </c>
      <c r="AW306" s="261" t="e">
        <f t="shared" si="215"/>
        <v>#REF!</v>
      </c>
      <c r="AX306" s="261" t="e">
        <f>AV306+#REF!+AH306+AA306+T306</f>
        <v>#REF!</v>
      </c>
      <c r="AY306" s="261" t="e">
        <f t="shared" si="216"/>
        <v>#REF!</v>
      </c>
      <c r="AZ306" s="261" t="e">
        <f t="shared" si="217"/>
        <v>#REF!</v>
      </c>
      <c r="BA306" s="261" t="e">
        <f t="shared" si="218"/>
        <v>#REF!</v>
      </c>
      <c r="BB306" s="261" t="e">
        <f t="shared" si="219"/>
        <v>#REF!</v>
      </c>
      <c r="BC306" s="261" t="e">
        <f t="shared" si="220"/>
        <v>#REF!</v>
      </c>
      <c r="BD306" s="261" t="e">
        <f t="shared" si="221"/>
        <v>#REF!</v>
      </c>
      <c r="BE306" s="261" t="e">
        <f>BC306+AV306+#REF!+AH306+AA306</f>
        <v>#REF!</v>
      </c>
      <c r="BF306" s="261" t="e">
        <f t="shared" si="222"/>
        <v>#REF!</v>
      </c>
      <c r="BG306" s="261" t="e">
        <f t="shared" si="223"/>
        <v>#REF!</v>
      </c>
    </row>
    <row r="307" spans="1:59" ht="15.75">
      <c r="A307" s="333">
        <v>25</v>
      </c>
      <c r="B307" s="333" t="s">
        <v>1607</v>
      </c>
      <c r="C307" s="256">
        <v>26</v>
      </c>
      <c r="D307" s="322" t="s">
        <v>69</v>
      </c>
      <c r="E307" s="256" t="s">
        <v>9</v>
      </c>
      <c r="F307" s="425">
        <f t="array" ref="F307">MAX((IF(MNU_CODIGO_ALIMENTO_ENTREGA=CONCATENATE($C307,"_","P_"),MNU_GRAMAJE_REQUERIDO_TIPOA,"")))</f>
        <v>30</v>
      </c>
      <c r="G307" s="257">
        <f t="shared" si="224"/>
        <v>34080</v>
      </c>
      <c r="H307" s="257">
        <f t="shared" si="225"/>
        <v>0</v>
      </c>
      <c r="I307" s="257">
        <f t="shared" si="226"/>
        <v>34080</v>
      </c>
      <c r="J307" s="258">
        <f t="shared" si="227"/>
        <v>5827680</v>
      </c>
      <c r="K307" s="258">
        <f t="shared" si="228"/>
        <v>0</v>
      </c>
      <c r="L307" s="258">
        <f t="shared" si="229"/>
        <v>5827680</v>
      </c>
      <c r="M307" s="426">
        <f t="array" ref="M307">MAX((IF(MNU_CODIGO_ALIMENTO_ENTREGA=CONCATENATE($C307,"_","P_"),MNU_GRAMAJE_REQUERIDO_TIPOB,"")))</f>
        <v>30</v>
      </c>
      <c r="N307" s="343">
        <f t="shared" si="230"/>
        <v>42492</v>
      </c>
      <c r="O307" s="343">
        <f t="shared" si="231"/>
        <v>0</v>
      </c>
      <c r="P307" s="343">
        <f t="shared" si="232"/>
        <v>42492</v>
      </c>
      <c r="Q307" s="344">
        <f t="shared" si="233"/>
        <v>7266132</v>
      </c>
      <c r="R307" s="344">
        <f t="shared" si="234"/>
        <v>0</v>
      </c>
      <c r="S307" s="344">
        <f t="shared" si="235"/>
        <v>7266132</v>
      </c>
      <c r="T307" s="348">
        <f t="array" ref="T307">MAX((IF(MNU_CODIGO_ALIMENTO_ENTREGA=CONCATENATE($C307,"_","P_"),MNU_GRAMAJE_REQUERIDO_TIPOC,"")))</f>
        <v>30</v>
      </c>
      <c r="U307" s="257">
        <f t="shared" si="236"/>
        <v>45924</v>
      </c>
      <c r="V307" s="257">
        <f t="shared" si="237"/>
        <v>0</v>
      </c>
      <c r="W307" s="257">
        <f t="shared" si="238"/>
        <v>45924</v>
      </c>
      <c r="X307" s="258">
        <f t="shared" si="239"/>
        <v>7853004</v>
      </c>
      <c r="Y307" s="258">
        <f t="shared" si="240"/>
        <v>0</v>
      </c>
      <c r="Z307" s="258">
        <f t="shared" si="241"/>
        <v>7853004</v>
      </c>
      <c r="AA307" s="256">
        <f t="array" ref="AA307">MAX((IF(MNU_CODIGO_ALIMENTO_ENTREGA=CONCATENATE($C307,"_","P_"),MNU_GRAMAJE_REQUERIDO_TIPOM,"")))</f>
        <v>30</v>
      </c>
      <c r="AB307" s="259">
        <f t="shared" si="242"/>
        <v>1290</v>
      </c>
      <c r="AC307" s="259">
        <v>0</v>
      </c>
      <c r="AD307" s="259">
        <f t="shared" si="243"/>
        <v>1290</v>
      </c>
      <c r="AE307" s="260">
        <f t="shared" si="244"/>
        <v>220590</v>
      </c>
      <c r="AF307" s="260">
        <v>0</v>
      </c>
      <c r="AG307" s="260">
        <f t="shared" si="245"/>
        <v>220590</v>
      </c>
      <c r="AH307" s="348">
        <f t="array" ref="AH307">MAX((IF(MNU_CODIGO_ALIMENTO_ENTREGA=CONCATENATE($C307,"_","P_"),MNU_GRAMAJE_REQUERIDO_TIPOH,"")))</f>
        <v>30</v>
      </c>
      <c r="AI307" s="257">
        <f t="shared" si="246"/>
        <v>1002</v>
      </c>
      <c r="AJ307" s="257">
        <v>0</v>
      </c>
      <c r="AK307" s="257">
        <f t="shared" si="247"/>
        <v>1002</v>
      </c>
      <c r="AL307" s="258">
        <f t="shared" si="248"/>
        <v>171342</v>
      </c>
      <c r="AM307" s="258">
        <v>0</v>
      </c>
      <c r="AN307" s="258">
        <f t="shared" si="249"/>
        <v>171342</v>
      </c>
      <c r="AO307" s="451">
        <f t="shared" si="250"/>
        <v>124788</v>
      </c>
      <c r="AP307" s="450">
        <f t="shared" si="251"/>
        <v>21338748</v>
      </c>
      <c r="AQ307" s="261" t="e">
        <f>#REF!+AH307+AA307+T307+M307</f>
        <v>#REF!</v>
      </c>
      <c r="AR307" s="261">
        <f t="shared" si="210"/>
        <v>21429456</v>
      </c>
      <c r="AS307" s="261" t="e">
        <f t="shared" si="211"/>
        <v>#REF!</v>
      </c>
      <c r="AT307" s="261">
        <f t="shared" si="212"/>
        <v>21520164</v>
      </c>
      <c r="AU307" s="261" t="e">
        <f t="shared" si="213"/>
        <v>#REF!</v>
      </c>
      <c r="AV307" s="261">
        <f t="shared" si="214"/>
        <v>21520164</v>
      </c>
      <c r="AW307" s="261" t="e">
        <f t="shared" si="215"/>
        <v>#REF!</v>
      </c>
      <c r="AX307" s="261" t="e">
        <f>AV307+#REF!+AH307+AA307+T307</f>
        <v>#REF!</v>
      </c>
      <c r="AY307" s="261" t="e">
        <f t="shared" si="216"/>
        <v>#REF!</v>
      </c>
      <c r="AZ307" s="261" t="e">
        <f t="shared" si="217"/>
        <v>#REF!</v>
      </c>
      <c r="BA307" s="261" t="e">
        <f t="shared" si="218"/>
        <v>#REF!</v>
      </c>
      <c r="BB307" s="261" t="e">
        <f t="shared" si="219"/>
        <v>#REF!</v>
      </c>
      <c r="BC307" s="261" t="e">
        <f t="shared" si="220"/>
        <v>#REF!</v>
      </c>
      <c r="BD307" s="261" t="e">
        <f t="shared" si="221"/>
        <v>#REF!</v>
      </c>
      <c r="BE307" s="261" t="e">
        <f>BC307+AV307+#REF!+AH307+AA307</f>
        <v>#REF!</v>
      </c>
      <c r="BF307" s="261" t="e">
        <f t="shared" si="222"/>
        <v>#REF!</v>
      </c>
      <c r="BG307" s="261" t="e">
        <f t="shared" si="223"/>
        <v>#REF!</v>
      </c>
    </row>
    <row r="308" spans="1:59" ht="27">
      <c r="A308" s="333">
        <v>25</v>
      </c>
      <c r="B308" s="333" t="s">
        <v>1607</v>
      </c>
      <c r="C308" s="256">
        <v>28</v>
      </c>
      <c r="D308" s="322" t="s">
        <v>67</v>
      </c>
      <c r="E308" s="256" t="s">
        <v>9</v>
      </c>
      <c r="F308" s="425">
        <f t="array" ref="F308">MAX((IF(MNU_CODIGO_ALIMENTO_ENTREGA=CONCATENATE($C308,"_","P_"),MNU_GRAMAJE_REQUERIDO_TIPOA,"")))</f>
        <v>30</v>
      </c>
      <c r="G308" s="257">
        <f t="shared" si="224"/>
        <v>34080</v>
      </c>
      <c r="H308" s="257">
        <f t="shared" si="225"/>
        <v>41230</v>
      </c>
      <c r="I308" s="257">
        <f t="shared" si="226"/>
        <v>75310</v>
      </c>
      <c r="J308" s="258">
        <f t="shared" si="227"/>
        <v>7702080</v>
      </c>
      <c r="K308" s="258">
        <f t="shared" si="228"/>
        <v>9317980</v>
      </c>
      <c r="L308" s="258">
        <f t="shared" si="229"/>
        <v>17020060</v>
      </c>
      <c r="M308" s="426">
        <f t="array" ref="M308">MAX((IF(MNU_CODIGO_ALIMENTO_ENTREGA=CONCATENATE($C308,"_","P_"),MNU_GRAMAJE_REQUERIDO_TIPOB,"")))</f>
        <v>40</v>
      </c>
      <c r="N308" s="343">
        <f t="shared" si="230"/>
        <v>42492</v>
      </c>
      <c r="O308" s="343">
        <f t="shared" si="231"/>
        <v>47576</v>
      </c>
      <c r="P308" s="343">
        <f t="shared" si="232"/>
        <v>90068</v>
      </c>
      <c r="Q308" s="344">
        <f t="shared" si="233"/>
        <v>12790092</v>
      </c>
      <c r="R308" s="344">
        <f t="shared" si="234"/>
        <v>14320376</v>
      </c>
      <c r="S308" s="344">
        <f t="shared" si="235"/>
        <v>27110468</v>
      </c>
      <c r="T308" s="348">
        <f t="array" ref="T308">MAX((IF(MNU_CODIGO_ALIMENTO_ENTREGA=CONCATENATE($C308,"_","P_"),MNU_GRAMAJE_REQUERIDO_TIPOC,"")))</f>
        <v>60</v>
      </c>
      <c r="U308" s="257">
        <f t="shared" si="236"/>
        <v>45924</v>
      </c>
      <c r="V308" s="257">
        <f t="shared" si="237"/>
        <v>58767</v>
      </c>
      <c r="W308" s="257">
        <f t="shared" si="238"/>
        <v>104691</v>
      </c>
      <c r="X308" s="258">
        <f t="shared" si="239"/>
        <v>20711724</v>
      </c>
      <c r="Y308" s="258">
        <f t="shared" si="240"/>
        <v>26503917</v>
      </c>
      <c r="Z308" s="258">
        <f t="shared" si="241"/>
        <v>47215641</v>
      </c>
      <c r="AA308" s="256">
        <f t="array" ref="AA308">MAX((IF(MNU_CODIGO_ALIMENTO_ENTREGA=CONCATENATE($C308,"_","P_"),MNU_GRAMAJE_REQUERIDO_TIPOM,"")))</f>
        <v>40</v>
      </c>
      <c r="AB308" s="259">
        <f t="shared" si="242"/>
        <v>1290</v>
      </c>
      <c r="AC308" s="259">
        <v>0</v>
      </c>
      <c r="AD308" s="259">
        <f t="shared" si="243"/>
        <v>1290</v>
      </c>
      <c r="AE308" s="260">
        <f t="shared" si="244"/>
        <v>388290</v>
      </c>
      <c r="AF308" s="260">
        <v>0</v>
      </c>
      <c r="AG308" s="260">
        <f t="shared" si="245"/>
        <v>388290</v>
      </c>
      <c r="AH308" s="348">
        <f t="array" ref="AH308">MAX((IF(MNU_CODIGO_ALIMENTO_ENTREGA=CONCATENATE($C308,"_","P_"),MNU_GRAMAJE_REQUERIDO_TIPOH,"")))</f>
        <v>60</v>
      </c>
      <c r="AI308" s="257">
        <f t="shared" si="246"/>
        <v>1002</v>
      </c>
      <c r="AJ308" s="257">
        <v>0</v>
      </c>
      <c r="AK308" s="257">
        <f t="shared" si="247"/>
        <v>1002</v>
      </c>
      <c r="AL308" s="258">
        <f t="shared" si="248"/>
        <v>451902</v>
      </c>
      <c r="AM308" s="258">
        <v>0</v>
      </c>
      <c r="AN308" s="258">
        <f t="shared" si="249"/>
        <v>451902</v>
      </c>
      <c r="AO308" s="451">
        <f t="shared" si="250"/>
        <v>272361</v>
      </c>
      <c r="AP308" s="450">
        <f t="shared" si="251"/>
        <v>92186361</v>
      </c>
      <c r="AQ308" s="261" t="e">
        <f>#REF!+AH308+AA308+T308+M308</f>
        <v>#REF!</v>
      </c>
      <c r="AR308" s="261">
        <f t="shared" si="210"/>
        <v>92277069</v>
      </c>
      <c r="AS308" s="261" t="e">
        <f t="shared" si="211"/>
        <v>#REF!</v>
      </c>
      <c r="AT308" s="261">
        <f t="shared" si="212"/>
        <v>92474120</v>
      </c>
      <c r="AU308" s="261" t="e">
        <f t="shared" si="213"/>
        <v>#REF!</v>
      </c>
      <c r="AV308" s="261">
        <f t="shared" si="214"/>
        <v>133298413</v>
      </c>
      <c r="AW308" s="261" t="e">
        <f t="shared" si="215"/>
        <v>#REF!</v>
      </c>
      <c r="AX308" s="261" t="e">
        <f>AV308+#REF!+AH308+AA308+T308</f>
        <v>#REF!</v>
      </c>
      <c r="AY308" s="261" t="e">
        <f t="shared" si="216"/>
        <v>#REF!</v>
      </c>
      <c r="AZ308" s="261" t="e">
        <f t="shared" si="217"/>
        <v>#REF!</v>
      </c>
      <c r="BA308" s="261" t="e">
        <f t="shared" si="218"/>
        <v>#REF!</v>
      </c>
      <c r="BB308" s="261" t="e">
        <f t="shared" si="219"/>
        <v>#REF!</v>
      </c>
      <c r="BC308" s="261" t="e">
        <f t="shared" si="220"/>
        <v>#REF!</v>
      </c>
      <c r="BD308" s="261" t="e">
        <f t="shared" si="221"/>
        <v>#REF!</v>
      </c>
      <c r="BE308" s="261" t="e">
        <f>BC308+AV308+#REF!+AH308+AA308</f>
        <v>#REF!</v>
      </c>
      <c r="BF308" s="261" t="e">
        <f t="shared" si="222"/>
        <v>#REF!</v>
      </c>
      <c r="BG308" s="261" t="e">
        <f t="shared" si="223"/>
        <v>#REF!</v>
      </c>
    </row>
    <row r="309" spans="1:59" ht="15.75">
      <c r="A309" s="333">
        <v>25</v>
      </c>
      <c r="B309" s="333" t="s">
        <v>1607</v>
      </c>
      <c r="C309" s="256">
        <v>30</v>
      </c>
      <c r="D309" s="322" t="s">
        <v>63</v>
      </c>
      <c r="E309" s="256" t="s">
        <v>9</v>
      </c>
      <c r="F309" s="425">
        <f t="array" ref="F309">MAX((IF(MNU_CODIGO_ALIMENTO_ENTREGA=CONCATENATE($C309,"_","P_"),MNU_GRAMAJE_REQUERIDO_TIPOA,"")))</f>
        <v>30</v>
      </c>
      <c r="G309" s="257">
        <f t="shared" si="224"/>
        <v>90880</v>
      </c>
      <c r="H309" s="257">
        <f t="shared" si="225"/>
        <v>0</v>
      </c>
      <c r="I309" s="257">
        <f t="shared" si="226"/>
        <v>90880</v>
      </c>
      <c r="J309" s="258">
        <f t="shared" si="227"/>
        <v>30172160</v>
      </c>
      <c r="K309" s="258">
        <f t="shared" si="228"/>
        <v>0</v>
      </c>
      <c r="L309" s="258">
        <f t="shared" si="229"/>
        <v>30172160</v>
      </c>
      <c r="M309" s="426">
        <f t="array" ref="M309">MAX((IF(MNU_CODIGO_ALIMENTO_ENTREGA=CONCATENATE($C309,"_","P_"),MNU_GRAMAJE_REQUERIDO_TIPOB,"")))</f>
        <v>30</v>
      </c>
      <c r="N309" s="343">
        <f t="shared" si="230"/>
        <v>113312</v>
      </c>
      <c r="O309" s="343">
        <f t="shared" si="231"/>
        <v>0</v>
      </c>
      <c r="P309" s="343">
        <f t="shared" si="232"/>
        <v>113312</v>
      </c>
      <c r="Q309" s="344">
        <f t="shared" si="233"/>
        <v>37619584</v>
      </c>
      <c r="R309" s="344">
        <f t="shared" si="234"/>
        <v>0</v>
      </c>
      <c r="S309" s="344">
        <f t="shared" si="235"/>
        <v>37619584</v>
      </c>
      <c r="T309" s="348">
        <f t="array" ref="T309">MAX((IF(MNU_CODIGO_ALIMENTO_ENTREGA=CONCATENATE($C309,"_","P_"),MNU_GRAMAJE_REQUERIDO_TIPOC,"")))</f>
        <v>30</v>
      </c>
      <c r="U309" s="257">
        <f t="shared" si="236"/>
        <v>122464</v>
      </c>
      <c r="V309" s="257">
        <f t="shared" si="237"/>
        <v>0</v>
      </c>
      <c r="W309" s="257">
        <f t="shared" si="238"/>
        <v>122464</v>
      </c>
      <c r="X309" s="258">
        <f t="shared" si="239"/>
        <v>40658048</v>
      </c>
      <c r="Y309" s="258">
        <f t="shared" si="240"/>
        <v>0</v>
      </c>
      <c r="Z309" s="258">
        <f t="shared" si="241"/>
        <v>40658048</v>
      </c>
      <c r="AA309" s="256">
        <f t="array" ref="AA309">MAX((IF(MNU_CODIGO_ALIMENTO_ENTREGA=CONCATENATE($C309,"_","P_"),MNU_GRAMAJE_REQUERIDO_TIPOM,"")))</f>
        <v>30</v>
      </c>
      <c r="AB309" s="259">
        <f t="shared" si="242"/>
        <v>3440</v>
      </c>
      <c r="AC309" s="259">
        <v>0</v>
      </c>
      <c r="AD309" s="259">
        <f t="shared" si="243"/>
        <v>3440</v>
      </c>
      <c r="AE309" s="260">
        <f t="shared" si="244"/>
        <v>1142080</v>
      </c>
      <c r="AF309" s="260">
        <v>0</v>
      </c>
      <c r="AG309" s="260">
        <f t="shared" si="245"/>
        <v>1142080</v>
      </c>
      <c r="AH309" s="348">
        <f t="array" ref="AH309">MAX((IF(MNU_CODIGO_ALIMENTO_ENTREGA=CONCATENATE($C309,"_","P_"),MNU_GRAMAJE_REQUERIDO_TIPOH,"")))</f>
        <v>30</v>
      </c>
      <c r="AI309" s="257">
        <f t="shared" si="246"/>
        <v>2672</v>
      </c>
      <c r="AJ309" s="257">
        <v>0</v>
      </c>
      <c r="AK309" s="257">
        <f t="shared" si="247"/>
        <v>2672</v>
      </c>
      <c r="AL309" s="258">
        <f t="shared" si="248"/>
        <v>887104</v>
      </c>
      <c r="AM309" s="258">
        <v>0</v>
      </c>
      <c r="AN309" s="258">
        <f t="shared" si="249"/>
        <v>887104</v>
      </c>
      <c r="AO309" s="451">
        <f t="shared" si="250"/>
        <v>332768</v>
      </c>
      <c r="AP309" s="450">
        <f t="shared" si="251"/>
        <v>110478976</v>
      </c>
      <c r="AQ309" s="261" t="e">
        <f>#REF!+AH309+AA309+T309+M309</f>
        <v>#REF!</v>
      </c>
      <c r="AR309" s="261">
        <f t="shared" si="210"/>
        <v>110720864</v>
      </c>
      <c r="AS309" s="261" t="e">
        <f t="shared" si="211"/>
        <v>#REF!</v>
      </c>
      <c r="AT309" s="261">
        <f t="shared" si="212"/>
        <v>110962752</v>
      </c>
      <c r="AU309" s="261" t="e">
        <f t="shared" si="213"/>
        <v>#REF!</v>
      </c>
      <c r="AV309" s="261">
        <f t="shared" si="214"/>
        <v>110962752</v>
      </c>
      <c r="AW309" s="261" t="e">
        <f t="shared" si="215"/>
        <v>#REF!</v>
      </c>
      <c r="AX309" s="261" t="e">
        <f>AV309+#REF!+AH309+AA309+T309</f>
        <v>#REF!</v>
      </c>
      <c r="AY309" s="261" t="e">
        <f t="shared" si="216"/>
        <v>#REF!</v>
      </c>
      <c r="AZ309" s="261" t="e">
        <f t="shared" si="217"/>
        <v>#REF!</v>
      </c>
      <c r="BA309" s="261" t="e">
        <f t="shared" si="218"/>
        <v>#REF!</v>
      </c>
      <c r="BB309" s="261" t="e">
        <f t="shared" si="219"/>
        <v>#REF!</v>
      </c>
      <c r="BC309" s="261" t="e">
        <f t="shared" si="220"/>
        <v>#REF!</v>
      </c>
      <c r="BD309" s="261" t="e">
        <f t="shared" si="221"/>
        <v>#REF!</v>
      </c>
      <c r="BE309" s="261" t="e">
        <f>BC309+AV309+#REF!+AH309+AA309</f>
        <v>#REF!</v>
      </c>
      <c r="BF309" s="261" t="e">
        <f t="shared" si="222"/>
        <v>#REF!</v>
      </c>
      <c r="BG309" s="261" t="e">
        <f t="shared" si="223"/>
        <v>#REF!</v>
      </c>
    </row>
    <row r="310" spans="1:59" ht="15.75">
      <c r="A310" s="333">
        <v>25</v>
      </c>
      <c r="B310" s="333" t="s">
        <v>1607</v>
      </c>
      <c r="C310" s="256">
        <v>45</v>
      </c>
      <c r="D310" s="322" t="s">
        <v>10</v>
      </c>
      <c r="E310" s="256" t="s">
        <v>9</v>
      </c>
      <c r="F310" s="425">
        <f t="array" ref="F310">MAX((IF(MNU_CODIGO_ALIMENTO_ENTREGA=CONCATENATE($C310,"_","P_"),MNU_GRAMAJE_REQUERIDO_TIPOA,"")))</f>
        <v>20</v>
      </c>
      <c r="G310" s="257">
        <f t="shared" si="224"/>
        <v>90880</v>
      </c>
      <c r="H310" s="257">
        <f t="shared" si="225"/>
        <v>43400</v>
      </c>
      <c r="I310" s="257">
        <f t="shared" si="226"/>
        <v>134280</v>
      </c>
      <c r="J310" s="258">
        <f t="shared" si="227"/>
        <v>18085120</v>
      </c>
      <c r="K310" s="258">
        <f t="shared" si="228"/>
        <v>8636600</v>
      </c>
      <c r="L310" s="258">
        <f t="shared" si="229"/>
        <v>26721720</v>
      </c>
      <c r="M310" s="426">
        <f t="array" ref="M310">MAX((IF(MNU_CODIGO_ALIMENTO_ENTREGA=CONCATENATE($C310,"_","P_"),MNU_GRAMAJE_REQUERIDO_TIPOB,"")))</f>
        <v>30</v>
      </c>
      <c r="N310" s="343">
        <f t="shared" si="230"/>
        <v>113312</v>
      </c>
      <c r="O310" s="343">
        <f t="shared" si="231"/>
        <v>50080</v>
      </c>
      <c r="P310" s="343">
        <f t="shared" si="232"/>
        <v>163392</v>
      </c>
      <c r="Q310" s="344">
        <f t="shared" si="233"/>
        <v>33766976</v>
      </c>
      <c r="R310" s="344">
        <f t="shared" si="234"/>
        <v>14923840</v>
      </c>
      <c r="S310" s="344">
        <f t="shared" si="235"/>
        <v>48690816</v>
      </c>
      <c r="T310" s="348">
        <f t="array" ref="T310">MAX((IF(MNU_CODIGO_ALIMENTO_ENTREGA=CONCATENATE($C310,"_","P_"),MNU_GRAMAJE_REQUERIDO_TIPOC,"")))</f>
        <v>60</v>
      </c>
      <c r="U310" s="257">
        <f t="shared" si="236"/>
        <v>122464</v>
      </c>
      <c r="V310" s="257">
        <f t="shared" si="237"/>
        <v>61860</v>
      </c>
      <c r="W310" s="257">
        <f t="shared" si="238"/>
        <v>184324</v>
      </c>
      <c r="X310" s="258">
        <f t="shared" si="239"/>
        <v>73111008</v>
      </c>
      <c r="Y310" s="258">
        <f t="shared" si="240"/>
        <v>36930420</v>
      </c>
      <c r="Z310" s="258">
        <f t="shared" si="241"/>
        <v>110041428</v>
      </c>
      <c r="AA310" s="256">
        <f t="array" ref="AA310">MAX((IF(MNU_CODIGO_ALIMENTO_ENTREGA=CONCATENATE($C310,"_","P_"),MNU_GRAMAJE_REQUERIDO_TIPOM,"")))</f>
        <v>30</v>
      </c>
      <c r="AB310" s="259">
        <f t="shared" si="242"/>
        <v>3440</v>
      </c>
      <c r="AC310" s="259">
        <v>0</v>
      </c>
      <c r="AD310" s="259">
        <f t="shared" si="243"/>
        <v>3440</v>
      </c>
      <c r="AE310" s="260">
        <f t="shared" si="244"/>
        <v>1025120</v>
      </c>
      <c r="AF310" s="260">
        <v>0</v>
      </c>
      <c r="AG310" s="260">
        <f t="shared" si="245"/>
        <v>1025120</v>
      </c>
      <c r="AH310" s="348">
        <f t="array" ref="AH310">MAX((IF(MNU_CODIGO_ALIMENTO_ENTREGA=CONCATENATE($C310,"_","P_"),MNU_GRAMAJE_REQUERIDO_TIPOH,"")))</f>
        <v>60</v>
      </c>
      <c r="AI310" s="257">
        <f t="shared" si="246"/>
        <v>2672</v>
      </c>
      <c r="AJ310" s="257">
        <v>0</v>
      </c>
      <c r="AK310" s="257">
        <f t="shared" si="247"/>
        <v>2672</v>
      </c>
      <c r="AL310" s="258">
        <f t="shared" si="248"/>
        <v>1595184</v>
      </c>
      <c r="AM310" s="258">
        <v>0</v>
      </c>
      <c r="AN310" s="258">
        <f t="shared" si="249"/>
        <v>1595184</v>
      </c>
      <c r="AO310" s="451">
        <f t="shared" si="250"/>
        <v>488108</v>
      </c>
      <c r="AP310" s="450">
        <f t="shared" si="251"/>
        <v>188074268</v>
      </c>
      <c r="AQ310" s="261" t="e">
        <f>#REF!+AH310+AA310+T310+M310</f>
        <v>#REF!</v>
      </c>
      <c r="AR310" s="261">
        <f t="shared" si="210"/>
        <v>188316156</v>
      </c>
      <c r="AS310" s="261" t="e">
        <f t="shared" si="211"/>
        <v>#REF!</v>
      </c>
      <c r="AT310" s="261">
        <f t="shared" si="212"/>
        <v>188669984</v>
      </c>
      <c r="AU310" s="261" t="e">
        <f t="shared" si="213"/>
        <v>#REF!</v>
      </c>
      <c r="AV310" s="261">
        <f t="shared" si="214"/>
        <v>240524244</v>
      </c>
      <c r="AW310" s="261" t="e">
        <f t="shared" si="215"/>
        <v>#REF!</v>
      </c>
      <c r="AX310" s="261" t="e">
        <f>AV310+#REF!+AH310+AA310+T310</f>
        <v>#REF!</v>
      </c>
      <c r="AY310" s="261" t="e">
        <f t="shared" si="216"/>
        <v>#REF!</v>
      </c>
      <c r="AZ310" s="261" t="e">
        <f t="shared" si="217"/>
        <v>#REF!</v>
      </c>
      <c r="BA310" s="261" t="e">
        <f t="shared" si="218"/>
        <v>#REF!</v>
      </c>
      <c r="BB310" s="261" t="e">
        <f t="shared" si="219"/>
        <v>#REF!</v>
      </c>
      <c r="BC310" s="261" t="e">
        <f t="shared" si="220"/>
        <v>#REF!</v>
      </c>
      <c r="BD310" s="261" t="e">
        <f t="shared" si="221"/>
        <v>#REF!</v>
      </c>
      <c r="BE310" s="261" t="e">
        <f>BC310+AV310+#REF!+AH310+AA310</f>
        <v>#REF!</v>
      </c>
      <c r="BF310" s="261" t="e">
        <f t="shared" si="222"/>
        <v>#REF!</v>
      </c>
      <c r="BG310" s="261" t="e">
        <f t="shared" si="223"/>
        <v>#REF!</v>
      </c>
    </row>
    <row r="311" spans="1:59" ht="15.75">
      <c r="A311" s="333">
        <v>25</v>
      </c>
      <c r="B311" s="333" t="s">
        <v>1607</v>
      </c>
      <c r="C311" s="256">
        <v>50</v>
      </c>
      <c r="D311" s="322" t="s">
        <v>65</v>
      </c>
      <c r="E311" s="256" t="s">
        <v>9</v>
      </c>
      <c r="F311" s="425">
        <f t="array" ref="F311">MAX((IF(MNU_CODIGO_ALIMENTO_ENTREGA=CONCATENATE($C311,"_","P_"),MNU_GRAMAJE_REQUERIDO_TIPOA,"")))</f>
        <v>30</v>
      </c>
      <c r="G311" s="257">
        <f t="shared" si="224"/>
        <v>96560</v>
      </c>
      <c r="H311" s="257">
        <f t="shared" si="225"/>
        <v>0</v>
      </c>
      <c r="I311" s="257">
        <f t="shared" si="226"/>
        <v>96560</v>
      </c>
      <c r="J311" s="258">
        <f t="shared" si="227"/>
        <v>30995760</v>
      </c>
      <c r="K311" s="258">
        <f t="shared" si="228"/>
        <v>0</v>
      </c>
      <c r="L311" s="258">
        <f t="shared" si="229"/>
        <v>30995760</v>
      </c>
      <c r="M311" s="426">
        <f t="array" ref="M311">MAX((IF(MNU_CODIGO_ALIMENTO_ENTREGA=CONCATENATE($C311,"_","P_"),MNU_GRAMAJE_REQUERIDO_TIPOB,"")))</f>
        <v>40</v>
      </c>
      <c r="N311" s="343">
        <f t="shared" si="230"/>
        <v>120394</v>
      </c>
      <c r="O311" s="343">
        <f t="shared" si="231"/>
        <v>0</v>
      </c>
      <c r="P311" s="343">
        <f t="shared" si="232"/>
        <v>120394</v>
      </c>
      <c r="Q311" s="344">
        <f t="shared" si="233"/>
        <v>51528632</v>
      </c>
      <c r="R311" s="344">
        <f t="shared" si="234"/>
        <v>0</v>
      </c>
      <c r="S311" s="344">
        <f t="shared" si="235"/>
        <v>51528632</v>
      </c>
      <c r="T311" s="348">
        <f t="array" ref="T311">MAX((IF(MNU_CODIGO_ALIMENTO_ENTREGA=CONCATENATE($C311,"_","P_"),MNU_GRAMAJE_REQUERIDO_TIPOC,"")))</f>
        <v>80</v>
      </c>
      <c r="U311" s="257">
        <f t="shared" si="236"/>
        <v>130118</v>
      </c>
      <c r="V311" s="257">
        <f t="shared" si="237"/>
        <v>0</v>
      </c>
      <c r="W311" s="257">
        <f t="shared" si="238"/>
        <v>130118</v>
      </c>
      <c r="X311" s="258">
        <f t="shared" si="239"/>
        <v>111250890</v>
      </c>
      <c r="Y311" s="258">
        <f t="shared" si="240"/>
        <v>0</v>
      </c>
      <c r="Z311" s="258">
        <f t="shared" si="241"/>
        <v>111250890</v>
      </c>
      <c r="AA311" s="256">
        <f t="array" ref="AA311">MAX((IF(MNU_CODIGO_ALIMENTO_ENTREGA=CONCATENATE($C311,"_","P_"),MNU_GRAMAJE_REQUERIDO_TIPOM,"")))</f>
        <v>40</v>
      </c>
      <c r="AB311" s="259">
        <f t="shared" si="242"/>
        <v>3655</v>
      </c>
      <c r="AC311" s="259">
        <v>0</v>
      </c>
      <c r="AD311" s="259">
        <f t="shared" si="243"/>
        <v>3655</v>
      </c>
      <c r="AE311" s="260">
        <f t="shared" si="244"/>
        <v>1564340</v>
      </c>
      <c r="AF311" s="260">
        <v>0</v>
      </c>
      <c r="AG311" s="260">
        <f t="shared" si="245"/>
        <v>1564340</v>
      </c>
      <c r="AH311" s="348">
        <f t="array" ref="AH311">MAX((IF(MNU_CODIGO_ALIMENTO_ENTREGA=CONCATENATE($C311,"_","P_"),MNU_GRAMAJE_REQUERIDO_TIPOH,"")))</f>
        <v>80</v>
      </c>
      <c r="AI311" s="257">
        <f t="shared" si="246"/>
        <v>2839</v>
      </c>
      <c r="AJ311" s="257">
        <v>0</v>
      </c>
      <c r="AK311" s="257">
        <f t="shared" si="247"/>
        <v>2839</v>
      </c>
      <c r="AL311" s="258">
        <f t="shared" si="248"/>
        <v>2427345</v>
      </c>
      <c r="AM311" s="258">
        <v>0</v>
      </c>
      <c r="AN311" s="258">
        <f t="shared" si="249"/>
        <v>2427345</v>
      </c>
      <c r="AO311" s="451">
        <f t="shared" si="250"/>
        <v>353566</v>
      </c>
      <c r="AP311" s="450">
        <f t="shared" si="251"/>
        <v>197766967</v>
      </c>
      <c r="AQ311" s="261" t="e">
        <f>#REF!+AH311+AA311+T311+M311</f>
        <v>#REF!</v>
      </c>
      <c r="AR311" s="261">
        <f t="shared" si="210"/>
        <v>198023973</v>
      </c>
      <c r="AS311" s="261" t="e">
        <f t="shared" si="211"/>
        <v>#REF!</v>
      </c>
      <c r="AT311" s="261">
        <f t="shared" si="212"/>
        <v>198280979</v>
      </c>
      <c r="AU311" s="261" t="e">
        <f t="shared" si="213"/>
        <v>#REF!</v>
      </c>
      <c r="AV311" s="261">
        <f t="shared" si="214"/>
        <v>198280979</v>
      </c>
      <c r="AW311" s="261" t="e">
        <f t="shared" si="215"/>
        <v>#REF!</v>
      </c>
      <c r="AX311" s="261" t="e">
        <f>AV311+#REF!+AH311+AA311+T311</f>
        <v>#REF!</v>
      </c>
      <c r="AY311" s="261" t="e">
        <f t="shared" si="216"/>
        <v>#REF!</v>
      </c>
      <c r="AZ311" s="261" t="e">
        <f t="shared" si="217"/>
        <v>#REF!</v>
      </c>
      <c r="BA311" s="261" t="e">
        <f t="shared" si="218"/>
        <v>#REF!</v>
      </c>
      <c r="BB311" s="261" t="e">
        <f t="shared" si="219"/>
        <v>#REF!</v>
      </c>
      <c r="BC311" s="261" t="e">
        <f t="shared" si="220"/>
        <v>#REF!</v>
      </c>
      <c r="BD311" s="261" t="e">
        <f t="shared" si="221"/>
        <v>#REF!</v>
      </c>
      <c r="BE311" s="261" t="e">
        <f>BC311+AV311+#REF!+AH311+AA311</f>
        <v>#REF!</v>
      </c>
      <c r="BF311" s="261" t="e">
        <f t="shared" si="222"/>
        <v>#REF!</v>
      </c>
      <c r="BG311" s="261" t="e">
        <f t="shared" si="223"/>
        <v>#REF!</v>
      </c>
    </row>
    <row r="312" spans="1:59" ht="15.75">
      <c r="A312" s="333">
        <v>25</v>
      </c>
      <c r="B312" s="333" t="s">
        <v>1607</v>
      </c>
      <c r="C312" s="256">
        <v>61</v>
      </c>
      <c r="D312" s="322" t="s">
        <v>13</v>
      </c>
      <c r="E312" s="256" t="s">
        <v>9</v>
      </c>
      <c r="F312" s="425">
        <f t="array" ref="F312">MAX((IF(MNU_CODIGO_ALIMENTO_ENTREGA=CONCATENATE($C312,"_","P_"),MNU_GRAMAJE_REQUERIDO_TIPOA,"")))</f>
        <v>20</v>
      </c>
      <c r="G312" s="257">
        <f t="shared" si="224"/>
        <v>90880</v>
      </c>
      <c r="H312" s="257">
        <f t="shared" si="225"/>
        <v>43400</v>
      </c>
      <c r="I312" s="257">
        <f t="shared" si="226"/>
        <v>134280</v>
      </c>
      <c r="J312" s="258">
        <f t="shared" si="227"/>
        <v>21175040</v>
      </c>
      <c r="K312" s="258">
        <f t="shared" si="228"/>
        <v>10112200</v>
      </c>
      <c r="L312" s="258">
        <f t="shared" si="229"/>
        <v>31287240</v>
      </c>
      <c r="M312" s="426">
        <f t="array" ref="M312">MAX((IF(MNU_CODIGO_ALIMENTO_ENTREGA=CONCATENATE($C312,"_","P_"),MNU_GRAMAJE_REQUERIDO_TIPOB,"")))</f>
        <v>30</v>
      </c>
      <c r="N312" s="343">
        <f t="shared" si="230"/>
        <v>113312</v>
      </c>
      <c r="O312" s="343">
        <f t="shared" si="231"/>
        <v>50080</v>
      </c>
      <c r="P312" s="343">
        <f t="shared" si="232"/>
        <v>163392</v>
      </c>
      <c r="Q312" s="344">
        <f t="shared" si="233"/>
        <v>39772512</v>
      </c>
      <c r="R312" s="344">
        <f t="shared" si="234"/>
        <v>17578080</v>
      </c>
      <c r="S312" s="344">
        <f t="shared" si="235"/>
        <v>57350592</v>
      </c>
      <c r="T312" s="348">
        <f t="array" ref="T312">MAX((IF(MNU_CODIGO_ALIMENTO_ENTREGA=CONCATENATE($C312,"_","P_"),MNU_GRAMAJE_REQUERIDO_TIPOC,"")))</f>
        <v>70</v>
      </c>
      <c r="U312" s="257">
        <f t="shared" si="236"/>
        <v>122464</v>
      </c>
      <c r="V312" s="257">
        <f t="shared" si="237"/>
        <v>61860</v>
      </c>
      <c r="W312" s="257">
        <f t="shared" si="238"/>
        <v>184324</v>
      </c>
      <c r="X312" s="258">
        <f t="shared" si="239"/>
        <v>100175552</v>
      </c>
      <c r="Y312" s="258">
        <f t="shared" si="240"/>
        <v>50601480</v>
      </c>
      <c r="Z312" s="258">
        <f t="shared" si="241"/>
        <v>150777032</v>
      </c>
      <c r="AA312" s="256">
        <f t="array" ref="AA312">MAX((IF(MNU_CODIGO_ALIMENTO_ENTREGA=CONCATENATE($C312,"_","P_"),MNU_GRAMAJE_REQUERIDO_TIPOM,"")))</f>
        <v>30</v>
      </c>
      <c r="AB312" s="259">
        <f t="shared" si="242"/>
        <v>3440</v>
      </c>
      <c r="AC312" s="259">
        <v>0</v>
      </c>
      <c r="AD312" s="259">
        <f t="shared" si="243"/>
        <v>3440</v>
      </c>
      <c r="AE312" s="260">
        <f t="shared" si="244"/>
        <v>1207440</v>
      </c>
      <c r="AF312" s="260">
        <v>0</v>
      </c>
      <c r="AG312" s="260">
        <f t="shared" si="245"/>
        <v>1207440</v>
      </c>
      <c r="AH312" s="348">
        <f t="array" ref="AH312">MAX((IF(MNU_CODIGO_ALIMENTO_ENTREGA=CONCATENATE($C312,"_","P_"),MNU_GRAMAJE_REQUERIDO_TIPOH,"")))</f>
        <v>70</v>
      </c>
      <c r="AI312" s="257">
        <f t="shared" si="246"/>
        <v>2672</v>
      </c>
      <c r="AJ312" s="257">
        <v>0</v>
      </c>
      <c r="AK312" s="257">
        <f t="shared" si="247"/>
        <v>2672</v>
      </c>
      <c r="AL312" s="258">
        <f t="shared" si="248"/>
        <v>2185696</v>
      </c>
      <c r="AM312" s="258">
        <v>0</v>
      </c>
      <c r="AN312" s="258">
        <f t="shared" si="249"/>
        <v>2185696</v>
      </c>
      <c r="AO312" s="451">
        <f t="shared" si="250"/>
        <v>488108</v>
      </c>
      <c r="AP312" s="450">
        <f t="shared" si="251"/>
        <v>242808000</v>
      </c>
      <c r="AQ312" s="261" t="e">
        <f>#REF!+AH312+AA312+T312+M312</f>
        <v>#REF!</v>
      </c>
      <c r="AR312" s="261">
        <f t="shared" si="210"/>
        <v>243049888</v>
      </c>
      <c r="AS312" s="261" t="e">
        <f t="shared" si="211"/>
        <v>#REF!</v>
      </c>
      <c r="AT312" s="261">
        <f t="shared" si="212"/>
        <v>243403716</v>
      </c>
      <c r="AU312" s="261" t="e">
        <f t="shared" si="213"/>
        <v>#REF!</v>
      </c>
      <c r="AV312" s="261">
        <f t="shared" si="214"/>
        <v>311583276</v>
      </c>
      <c r="AW312" s="261" t="e">
        <f t="shared" si="215"/>
        <v>#REF!</v>
      </c>
      <c r="AX312" s="261" t="e">
        <f>AV312+#REF!+AH312+AA312+T312</f>
        <v>#REF!</v>
      </c>
      <c r="AY312" s="261" t="e">
        <f t="shared" si="216"/>
        <v>#REF!</v>
      </c>
      <c r="AZ312" s="261" t="e">
        <f t="shared" si="217"/>
        <v>#REF!</v>
      </c>
      <c r="BA312" s="261" t="e">
        <f t="shared" si="218"/>
        <v>#REF!</v>
      </c>
      <c r="BB312" s="261" t="e">
        <f t="shared" si="219"/>
        <v>#REF!</v>
      </c>
      <c r="BC312" s="261" t="e">
        <f t="shared" si="220"/>
        <v>#REF!</v>
      </c>
      <c r="BD312" s="261" t="e">
        <f t="shared" si="221"/>
        <v>#REF!</v>
      </c>
      <c r="BE312" s="261" t="e">
        <f>BC312+AV312+#REF!+AH312+AA312</f>
        <v>#REF!</v>
      </c>
      <c r="BF312" s="261" t="e">
        <f t="shared" si="222"/>
        <v>#REF!</v>
      </c>
      <c r="BG312" s="261" t="e">
        <f t="shared" si="223"/>
        <v>#REF!</v>
      </c>
    </row>
    <row r="313" spans="1:59" ht="15.75">
      <c r="A313" s="333">
        <v>25</v>
      </c>
      <c r="B313" s="333" t="s">
        <v>1607</v>
      </c>
      <c r="C313" s="256">
        <v>62</v>
      </c>
      <c r="D313" s="322" t="s">
        <v>68</v>
      </c>
      <c r="E313" s="256" t="s">
        <v>9</v>
      </c>
      <c r="F313" s="425">
        <f t="array" ref="F313">MAX((IF(MNU_CODIGO_ALIMENTO_ENTREGA=CONCATENATE($C313,"_","P_"),MNU_GRAMAJE_REQUERIDO_TIPOA,"")))</f>
        <v>50</v>
      </c>
      <c r="G313" s="257">
        <f t="shared" si="224"/>
        <v>28400</v>
      </c>
      <c r="H313" s="257">
        <f t="shared" si="225"/>
        <v>0</v>
      </c>
      <c r="I313" s="257">
        <f t="shared" si="226"/>
        <v>28400</v>
      </c>
      <c r="J313" s="258">
        <f t="shared" si="227"/>
        <v>17750000</v>
      </c>
      <c r="K313" s="258">
        <f t="shared" si="228"/>
        <v>0</v>
      </c>
      <c r="L313" s="258">
        <f t="shared" si="229"/>
        <v>17750000</v>
      </c>
      <c r="M313" s="426">
        <f t="array" ref="M313">MAX((IF(MNU_CODIGO_ALIMENTO_ENTREGA=CONCATENATE($C313,"_","P_"),MNU_GRAMAJE_REQUERIDO_TIPOB,"")))</f>
        <v>50</v>
      </c>
      <c r="N313" s="343">
        <f t="shared" si="230"/>
        <v>35410</v>
      </c>
      <c r="O313" s="343">
        <f t="shared" si="231"/>
        <v>0</v>
      </c>
      <c r="P313" s="343">
        <f t="shared" si="232"/>
        <v>35410</v>
      </c>
      <c r="Q313" s="344">
        <f t="shared" si="233"/>
        <v>22131250</v>
      </c>
      <c r="R313" s="344">
        <f t="shared" si="234"/>
        <v>0</v>
      </c>
      <c r="S313" s="344">
        <f t="shared" si="235"/>
        <v>22131250</v>
      </c>
      <c r="T313" s="348">
        <f t="array" ref="T313">MAX((IF(MNU_CODIGO_ALIMENTO_ENTREGA=CONCATENATE($C313,"_","P_"),MNU_GRAMAJE_REQUERIDO_TIPOC,"")))</f>
        <v>50</v>
      </c>
      <c r="U313" s="257">
        <f t="shared" si="236"/>
        <v>38270</v>
      </c>
      <c r="V313" s="257">
        <f t="shared" si="237"/>
        <v>0</v>
      </c>
      <c r="W313" s="257">
        <f t="shared" si="238"/>
        <v>38270</v>
      </c>
      <c r="X313" s="258">
        <f t="shared" si="239"/>
        <v>23918750</v>
      </c>
      <c r="Y313" s="258">
        <f t="shared" si="240"/>
        <v>0</v>
      </c>
      <c r="Z313" s="258">
        <f t="shared" si="241"/>
        <v>23918750</v>
      </c>
      <c r="AA313" s="256">
        <f t="array" ref="AA313">MAX((IF(MNU_CODIGO_ALIMENTO_ENTREGA=CONCATENATE($C313,"_","P_"),MNU_GRAMAJE_REQUERIDO_TIPOM,"")))</f>
        <v>50</v>
      </c>
      <c r="AB313" s="259">
        <f t="shared" si="242"/>
        <v>1075</v>
      </c>
      <c r="AC313" s="259">
        <v>0</v>
      </c>
      <c r="AD313" s="259">
        <f t="shared" si="243"/>
        <v>1075</v>
      </c>
      <c r="AE313" s="260">
        <f t="shared" si="244"/>
        <v>671875</v>
      </c>
      <c r="AF313" s="260">
        <v>0</v>
      </c>
      <c r="AG313" s="260">
        <f t="shared" si="245"/>
        <v>671875</v>
      </c>
      <c r="AH313" s="348">
        <f t="array" ref="AH313">MAX((IF(MNU_CODIGO_ALIMENTO_ENTREGA=CONCATENATE($C313,"_","P_"),MNU_GRAMAJE_REQUERIDO_TIPOH,"")))</f>
        <v>50</v>
      </c>
      <c r="AI313" s="257">
        <f t="shared" si="246"/>
        <v>835</v>
      </c>
      <c r="AJ313" s="257">
        <v>0</v>
      </c>
      <c r="AK313" s="257">
        <f t="shared" si="247"/>
        <v>835</v>
      </c>
      <c r="AL313" s="258">
        <f t="shared" si="248"/>
        <v>521875</v>
      </c>
      <c r="AM313" s="258">
        <v>0</v>
      </c>
      <c r="AN313" s="258">
        <f t="shared" si="249"/>
        <v>521875</v>
      </c>
      <c r="AO313" s="451">
        <f t="shared" si="250"/>
        <v>103990</v>
      </c>
      <c r="AP313" s="450">
        <f t="shared" si="251"/>
        <v>64993750</v>
      </c>
      <c r="AQ313" s="261" t="e">
        <f>#REF!+AH313+AA313+T313+M313</f>
        <v>#REF!</v>
      </c>
      <c r="AR313" s="261">
        <f t="shared" si="210"/>
        <v>65069340</v>
      </c>
      <c r="AS313" s="261" t="e">
        <f t="shared" si="211"/>
        <v>#REF!</v>
      </c>
      <c r="AT313" s="261">
        <f t="shared" si="212"/>
        <v>65144930</v>
      </c>
      <c r="AU313" s="261" t="e">
        <f t="shared" si="213"/>
        <v>#REF!</v>
      </c>
      <c r="AV313" s="261">
        <f t="shared" si="214"/>
        <v>65144930</v>
      </c>
      <c r="AW313" s="261" t="e">
        <f t="shared" si="215"/>
        <v>#REF!</v>
      </c>
      <c r="AX313" s="261" t="e">
        <f>AV313+#REF!+AH313+AA313+T313</f>
        <v>#REF!</v>
      </c>
      <c r="AY313" s="261" t="e">
        <f t="shared" si="216"/>
        <v>#REF!</v>
      </c>
      <c r="AZ313" s="261" t="e">
        <f t="shared" si="217"/>
        <v>#REF!</v>
      </c>
      <c r="BA313" s="261" t="e">
        <f t="shared" si="218"/>
        <v>#REF!</v>
      </c>
      <c r="BB313" s="261" t="e">
        <f t="shared" si="219"/>
        <v>#REF!</v>
      </c>
      <c r="BC313" s="261" t="e">
        <f t="shared" si="220"/>
        <v>#REF!</v>
      </c>
      <c r="BD313" s="261" t="e">
        <f t="shared" si="221"/>
        <v>#REF!</v>
      </c>
      <c r="BE313" s="261" t="e">
        <f>BC313+AV313+#REF!+AH313+AA313</f>
        <v>#REF!</v>
      </c>
      <c r="BF313" s="261" t="e">
        <f t="shared" si="222"/>
        <v>#REF!</v>
      </c>
      <c r="BG313" s="261" t="e">
        <f t="shared" si="223"/>
        <v>#REF!</v>
      </c>
    </row>
    <row r="314" spans="1:59" ht="15.75">
      <c r="A314" s="333">
        <v>26</v>
      </c>
      <c r="B314" s="333" t="s">
        <v>1607</v>
      </c>
      <c r="C314" s="256">
        <v>1</v>
      </c>
      <c r="D314" s="322" t="s">
        <v>16</v>
      </c>
      <c r="E314" s="256" t="s">
        <v>9</v>
      </c>
      <c r="F314" s="425">
        <f t="array" ref="F314">MAX((IF(MNU_CODIGO_ALIMENTO_ENTREGA=CONCATENATE($C314,"_","P_"),MNU_GRAMAJE_REQUERIDO_TIPOA,"")))</f>
        <v>30</v>
      </c>
      <c r="G314" s="257">
        <f t="shared" si="224"/>
        <v>74100</v>
      </c>
      <c r="H314" s="257">
        <f t="shared" si="225"/>
        <v>0</v>
      </c>
      <c r="I314" s="257">
        <f t="shared" si="226"/>
        <v>74100</v>
      </c>
      <c r="J314" s="258">
        <f t="shared" si="227"/>
        <v>59872800</v>
      </c>
      <c r="K314" s="258">
        <f t="shared" si="228"/>
        <v>0</v>
      </c>
      <c r="L314" s="258">
        <f t="shared" si="229"/>
        <v>59872800</v>
      </c>
      <c r="M314" s="426">
        <f t="array" ref="M314">MAX((IF(MNU_CODIGO_ALIMENTO_ENTREGA=CONCATENATE($C314,"_","P_"),MNU_GRAMAJE_REQUERIDO_TIPOB,"")))</f>
        <v>40</v>
      </c>
      <c r="N314" s="343">
        <f t="shared" si="230"/>
        <v>102000</v>
      </c>
      <c r="O314" s="343">
        <f t="shared" si="231"/>
        <v>0</v>
      </c>
      <c r="P314" s="343">
        <f t="shared" si="232"/>
        <v>102000</v>
      </c>
      <c r="Q314" s="344">
        <f t="shared" si="233"/>
        <v>109956000</v>
      </c>
      <c r="R314" s="344">
        <f t="shared" si="234"/>
        <v>0</v>
      </c>
      <c r="S314" s="344">
        <f t="shared" si="235"/>
        <v>109956000</v>
      </c>
      <c r="T314" s="348">
        <f t="array" ref="T314">MAX((IF(MNU_CODIGO_ALIMENTO_ENTREGA=CONCATENATE($C314,"_","P_"),MNU_GRAMAJE_REQUERIDO_TIPOC,"")))</f>
        <v>60</v>
      </c>
      <c r="U314" s="257">
        <f t="shared" si="236"/>
        <v>112695</v>
      </c>
      <c r="V314" s="257">
        <f t="shared" si="237"/>
        <v>0</v>
      </c>
      <c r="W314" s="257">
        <f t="shared" si="238"/>
        <v>112695</v>
      </c>
      <c r="X314" s="258">
        <f t="shared" si="239"/>
        <v>182115120</v>
      </c>
      <c r="Y314" s="258">
        <f t="shared" si="240"/>
        <v>0</v>
      </c>
      <c r="Z314" s="258">
        <f t="shared" si="241"/>
        <v>182115120</v>
      </c>
      <c r="AA314" s="256">
        <f t="array" ref="AA314">MAX((IF(MNU_CODIGO_ALIMENTO_ENTREGA=CONCATENATE($C314,"_","P_"),MNU_GRAMAJE_REQUERIDO_TIPOM,"")))</f>
        <v>40</v>
      </c>
      <c r="AB314" s="259">
        <f t="shared" si="242"/>
        <v>3450</v>
      </c>
      <c r="AC314" s="259">
        <v>0</v>
      </c>
      <c r="AD314" s="259">
        <f t="shared" si="243"/>
        <v>3450</v>
      </c>
      <c r="AE314" s="260">
        <f t="shared" si="244"/>
        <v>3719100</v>
      </c>
      <c r="AF314" s="260">
        <v>0</v>
      </c>
      <c r="AG314" s="260">
        <f t="shared" si="245"/>
        <v>3719100</v>
      </c>
      <c r="AH314" s="348">
        <f t="array" ref="AH314">MAX((IF(MNU_CODIGO_ALIMENTO_ENTREGA=CONCATENATE($C314,"_","P_"),MNU_GRAMAJE_REQUERIDO_TIPOH,"")))</f>
        <v>60</v>
      </c>
      <c r="AI314" s="257">
        <f t="shared" si="246"/>
        <v>4350</v>
      </c>
      <c r="AJ314" s="257">
        <v>0</v>
      </c>
      <c r="AK314" s="257">
        <f t="shared" si="247"/>
        <v>4350</v>
      </c>
      <c r="AL314" s="258">
        <f t="shared" si="248"/>
        <v>7029600</v>
      </c>
      <c r="AM314" s="258">
        <v>0</v>
      </c>
      <c r="AN314" s="258">
        <f t="shared" si="249"/>
        <v>7029600</v>
      </c>
      <c r="AO314" s="451">
        <f t="shared" si="250"/>
        <v>296595</v>
      </c>
      <c r="AP314" s="450">
        <f t="shared" si="251"/>
        <v>362692620</v>
      </c>
      <c r="AQ314" s="261" t="e">
        <f>#REF!+AH314+AA314+T314+M314</f>
        <v>#REF!</v>
      </c>
      <c r="AR314" s="261">
        <f t="shared" si="210"/>
        <v>362915115</v>
      </c>
      <c r="AS314" s="261" t="e">
        <f t="shared" si="211"/>
        <v>#REF!</v>
      </c>
      <c r="AT314" s="261">
        <f t="shared" si="212"/>
        <v>363137610</v>
      </c>
      <c r="AU314" s="261" t="e">
        <f t="shared" si="213"/>
        <v>#REF!</v>
      </c>
      <c r="AV314" s="261">
        <f t="shared" si="214"/>
        <v>363137610</v>
      </c>
      <c r="AW314" s="261" t="e">
        <f t="shared" si="215"/>
        <v>#REF!</v>
      </c>
      <c r="AX314" s="261" t="e">
        <f>AV314+#REF!+AH314+AA314+T314</f>
        <v>#REF!</v>
      </c>
      <c r="AY314" s="261" t="e">
        <f t="shared" si="216"/>
        <v>#REF!</v>
      </c>
      <c r="AZ314" s="261" t="e">
        <f t="shared" si="217"/>
        <v>#REF!</v>
      </c>
      <c r="BA314" s="261" t="e">
        <f t="shared" si="218"/>
        <v>#REF!</v>
      </c>
      <c r="BB314" s="261" t="e">
        <f t="shared" si="219"/>
        <v>#REF!</v>
      </c>
      <c r="BC314" s="261" t="e">
        <f t="shared" si="220"/>
        <v>#REF!</v>
      </c>
      <c r="BD314" s="261" t="e">
        <f t="shared" si="221"/>
        <v>#REF!</v>
      </c>
      <c r="BE314" s="261" t="e">
        <f>BC314+AV314+#REF!+AH314+AA314</f>
        <v>#REF!</v>
      </c>
      <c r="BF314" s="261" t="e">
        <f t="shared" si="222"/>
        <v>#REF!</v>
      </c>
      <c r="BG314" s="261" t="e">
        <f t="shared" si="223"/>
        <v>#REF!</v>
      </c>
    </row>
    <row r="315" spans="1:59" ht="15.75">
      <c r="A315" s="333">
        <v>26</v>
      </c>
      <c r="B315" s="333" t="s">
        <v>1607</v>
      </c>
      <c r="C315" s="256">
        <v>3</v>
      </c>
      <c r="D315" s="322" t="s">
        <v>12</v>
      </c>
      <c r="E315" s="256" t="s">
        <v>9</v>
      </c>
      <c r="F315" s="425">
        <f t="array" ref="F315">MAX((IF(MNU_CODIGO_ALIMENTO_ENTREGA=CONCATENATE($C315,"_","P_"),MNU_GRAMAJE_REQUERIDO_TIPOA,"")))</f>
        <v>50</v>
      </c>
      <c r="G315" s="257">
        <f t="shared" si="224"/>
        <v>83980</v>
      </c>
      <c r="H315" s="257">
        <f t="shared" si="225"/>
        <v>29963</v>
      </c>
      <c r="I315" s="257">
        <f t="shared" si="226"/>
        <v>113943</v>
      </c>
      <c r="J315" s="258">
        <f t="shared" si="227"/>
        <v>42409900</v>
      </c>
      <c r="K315" s="258">
        <f t="shared" si="228"/>
        <v>15131315</v>
      </c>
      <c r="L315" s="258">
        <f t="shared" si="229"/>
        <v>57541215</v>
      </c>
      <c r="M315" s="426">
        <f t="array" ref="M315">MAX((IF(MNU_CODIGO_ALIMENTO_ENTREGA=CONCATENATE($C315,"_","P_"),MNU_GRAMAJE_REQUERIDO_TIPOB,"")))</f>
        <v>50</v>
      </c>
      <c r="N315" s="343">
        <f t="shared" si="230"/>
        <v>115600</v>
      </c>
      <c r="O315" s="343">
        <f t="shared" si="231"/>
        <v>52706</v>
      </c>
      <c r="P315" s="343">
        <f t="shared" si="232"/>
        <v>168306</v>
      </c>
      <c r="Q315" s="344">
        <f t="shared" si="233"/>
        <v>58378000</v>
      </c>
      <c r="R315" s="344">
        <f t="shared" si="234"/>
        <v>26616530</v>
      </c>
      <c r="S315" s="344">
        <f t="shared" si="235"/>
        <v>84994530</v>
      </c>
      <c r="T315" s="348">
        <f t="array" ref="T315">MAX((IF(MNU_CODIGO_ALIMENTO_ENTREGA=CONCATENATE($C315,"_","P_"),MNU_GRAMAJE_REQUERIDO_TIPOC,"")))</f>
        <v>80</v>
      </c>
      <c r="U315" s="257">
        <f t="shared" si="236"/>
        <v>127721</v>
      </c>
      <c r="V315" s="257">
        <f t="shared" si="237"/>
        <v>68400</v>
      </c>
      <c r="W315" s="257">
        <f t="shared" si="238"/>
        <v>196121</v>
      </c>
      <c r="X315" s="258">
        <f t="shared" si="239"/>
        <v>97451123</v>
      </c>
      <c r="Y315" s="258">
        <f t="shared" si="240"/>
        <v>52189200</v>
      </c>
      <c r="Z315" s="258">
        <f t="shared" si="241"/>
        <v>149640323</v>
      </c>
      <c r="AA315" s="256">
        <f t="array" ref="AA315">MAX((IF(MNU_CODIGO_ALIMENTO_ENTREGA=CONCATENATE($C315,"_","P_"),MNU_GRAMAJE_REQUERIDO_TIPOM,"")))</f>
        <v>50</v>
      </c>
      <c r="AB315" s="259">
        <f t="shared" si="242"/>
        <v>3910</v>
      </c>
      <c r="AC315" s="259">
        <v>0</v>
      </c>
      <c r="AD315" s="259">
        <f t="shared" si="243"/>
        <v>3910</v>
      </c>
      <c r="AE315" s="260">
        <f t="shared" si="244"/>
        <v>1974550</v>
      </c>
      <c r="AF315" s="260">
        <v>0</v>
      </c>
      <c r="AG315" s="260">
        <f t="shared" si="245"/>
        <v>1974550</v>
      </c>
      <c r="AH315" s="348">
        <f t="array" ref="AH315">MAX((IF(MNU_CODIGO_ALIMENTO_ENTREGA=CONCATENATE($C315,"_","P_"),MNU_GRAMAJE_REQUERIDO_TIPOH,"")))</f>
        <v>80</v>
      </c>
      <c r="AI315" s="257">
        <f t="shared" si="246"/>
        <v>4930</v>
      </c>
      <c r="AJ315" s="257">
        <v>0</v>
      </c>
      <c r="AK315" s="257">
        <f t="shared" si="247"/>
        <v>4930</v>
      </c>
      <c r="AL315" s="258">
        <f t="shared" si="248"/>
        <v>3761590</v>
      </c>
      <c r="AM315" s="258">
        <v>0</v>
      </c>
      <c r="AN315" s="258">
        <f t="shared" si="249"/>
        <v>3761590</v>
      </c>
      <c r="AO315" s="451">
        <f t="shared" si="250"/>
        <v>487210</v>
      </c>
      <c r="AP315" s="450">
        <f t="shared" si="251"/>
        <v>297912208</v>
      </c>
      <c r="AQ315" s="261" t="e">
        <f>#REF!+AH315+AA315+T315+M315</f>
        <v>#REF!</v>
      </c>
      <c r="AR315" s="261">
        <f t="shared" si="210"/>
        <v>298164369</v>
      </c>
      <c r="AS315" s="261" t="e">
        <f t="shared" si="211"/>
        <v>#REF!</v>
      </c>
      <c r="AT315" s="261">
        <f t="shared" si="212"/>
        <v>298537636</v>
      </c>
      <c r="AU315" s="261" t="e">
        <f t="shared" si="213"/>
        <v>#REF!</v>
      </c>
      <c r="AV315" s="261">
        <f t="shared" si="214"/>
        <v>377343366</v>
      </c>
      <c r="AW315" s="261" t="e">
        <f t="shared" si="215"/>
        <v>#REF!</v>
      </c>
      <c r="AX315" s="261" t="e">
        <f>AV315+#REF!+AH315+AA315+T315</f>
        <v>#REF!</v>
      </c>
      <c r="AY315" s="261" t="e">
        <f t="shared" si="216"/>
        <v>#REF!</v>
      </c>
      <c r="AZ315" s="261" t="e">
        <f t="shared" si="217"/>
        <v>#REF!</v>
      </c>
      <c r="BA315" s="261" t="e">
        <f t="shared" si="218"/>
        <v>#REF!</v>
      </c>
      <c r="BB315" s="261" t="e">
        <f t="shared" si="219"/>
        <v>#REF!</v>
      </c>
      <c r="BC315" s="261" t="e">
        <f t="shared" si="220"/>
        <v>#REF!</v>
      </c>
      <c r="BD315" s="261" t="e">
        <f t="shared" si="221"/>
        <v>#REF!</v>
      </c>
      <c r="BE315" s="261" t="e">
        <f>BC315+AV315+#REF!+AH315+AA315</f>
        <v>#REF!</v>
      </c>
      <c r="BF315" s="261" t="e">
        <f t="shared" si="222"/>
        <v>#REF!</v>
      </c>
      <c r="BG315" s="261" t="e">
        <f t="shared" si="223"/>
        <v>#REF!</v>
      </c>
    </row>
    <row r="316" spans="1:59" ht="15.75">
      <c r="A316" s="333">
        <v>26</v>
      </c>
      <c r="B316" s="333" t="s">
        <v>1607</v>
      </c>
      <c r="C316" s="256">
        <v>15</v>
      </c>
      <c r="D316" s="322" t="s">
        <v>66</v>
      </c>
      <c r="E316" s="256" t="s">
        <v>9</v>
      </c>
      <c r="F316" s="425">
        <f t="array" ref="F316">MAX((IF(MNU_CODIGO_ALIMENTO_ENTREGA=CONCATENATE($C316,"_","P_"),MNU_GRAMAJE_REQUERIDO_TIPOA,"")))</f>
        <v>50</v>
      </c>
      <c r="G316" s="257">
        <f t="shared" si="224"/>
        <v>83980</v>
      </c>
      <c r="H316" s="257">
        <f t="shared" si="225"/>
        <v>18161</v>
      </c>
      <c r="I316" s="257">
        <f t="shared" si="226"/>
        <v>102141</v>
      </c>
      <c r="J316" s="258">
        <f t="shared" si="227"/>
        <v>56518540</v>
      </c>
      <c r="K316" s="258">
        <f t="shared" si="228"/>
        <v>12222353</v>
      </c>
      <c r="L316" s="258">
        <f t="shared" si="229"/>
        <v>68740893</v>
      </c>
      <c r="M316" s="426">
        <f t="array" ref="M316">MAX((IF(MNU_CODIGO_ALIMENTO_ENTREGA=CONCATENATE($C316,"_","P_"),MNU_GRAMAJE_REQUERIDO_TIPOB,"")))</f>
        <v>50</v>
      </c>
      <c r="N316" s="343">
        <f t="shared" si="230"/>
        <v>115600</v>
      </c>
      <c r="O316" s="343">
        <f t="shared" si="231"/>
        <v>32967</v>
      </c>
      <c r="P316" s="343">
        <f t="shared" si="232"/>
        <v>148567</v>
      </c>
      <c r="Q316" s="344">
        <f t="shared" si="233"/>
        <v>77798800</v>
      </c>
      <c r="R316" s="344">
        <f t="shared" si="234"/>
        <v>22186791</v>
      </c>
      <c r="S316" s="344">
        <f t="shared" si="235"/>
        <v>99985591</v>
      </c>
      <c r="T316" s="348">
        <f t="array" ref="T316">MAX((IF(MNU_CODIGO_ALIMENTO_ENTREGA=CONCATENATE($C316,"_","P_"),MNU_GRAMAJE_REQUERIDO_TIPOC,"")))</f>
        <v>80</v>
      </c>
      <c r="U316" s="257">
        <f t="shared" si="236"/>
        <v>127721</v>
      </c>
      <c r="V316" s="257">
        <f t="shared" si="237"/>
        <v>41602</v>
      </c>
      <c r="W316" s="257">
        <f t="shared" si="238"/>
        <v>169323</v>
      </c>
      <c r="X316" s="258">
        <f t="shared" si="239"/>
        <v>137427796</v>
      </c>
      <c r="Y316" s="258">
        <f t="shared" si="240"/>
        <v>44763752</v>
      </c>
      <c r="Z316" s="258">
        <f t="shared" si="241"/>
        <v>182191548</v>
      </c>
      <c r="AA316" s="256">
        <f t="array" ref="AA316">MAX((IF(MNU_CODIGO_ALIMENTO_ENTREGA=CONCATENATE($C316,"_","P_"),MNU_GRAMAJE_REQUERIDO_TIPOM,"")))</f>
        <v>50</v>
      </c>
      <c r="AB316" s="259">
        <f t="shared" si="242"/>
        <v>3910</v>
      </c>
      <c r="AC316" s="259">
        <v>0</v>
      </c>
      <c r="AD316" s="259">
        <f t="shared" si="243"/>
        <v>3910</v>
      </c>
      <c r="AE316" s="260">
        <f t="shared" si="244"/>
        <v>2631430</v>
      </c>
      <c r="AF316" s="260">
        <v>0</v>
      </c>
      <c r="AG316" s="260">
        <f t="shared" si="245"/>
        <v>2631430</v>
      </c>
      <c r="AH316" s="348">
        <f t="array" ref="AH316">MAX((IF(MNU_CODIGO_ALIMENTO_ENTREGA=CONCATENATE($C316,"_","P_"),MNU_GRAMAJE_REQUERIDO_TIPOH,"")))</f>
        <v>80</v>
      </c>
      <c r="AI316" s="257">
        <f t="shared" si="246"/>
        <v>4930</v>
      </c>
      <c r="AJ316" s="257">
        <v>0</v>
      </c>
      <c r="AK316" s="257">
        <f t="shared" si="247"/>
        <v>4930</v>
      </c>
      <c r="AL316" s="258">
        <f t="shared" si="248"/>
        <v>5304680</v>
      </c>
      <c r="AM316" s="258">
        <v>0</v>
      </c>
      <c r="AN316" s="258">
        <f t="shared" si="249"/>
        <v>5304680</v>
      </c>
      <c r="AO316" s="451">
        <f t="shared" si="250"/>
        <v>428871</v>
      </c>
      <c r="AP316" s="450">
        <f t="shared" si="251"/>
        <v>358854142</v>
      </c>
      <c r="AQ316" s="261" t="e">
        <f>#REF!+AH316+AA316+T316+M316</f>
        <v>#REF!</v>
      </c>
      <c r="AR316" s="261">
        <f t="shared" si="210"/>
        <v>359106303</v>
      </c>
      <c r="AS316" s="261" t="e">
        <f t="shared" si="211"/>
        <v>#REF!</v>
      </c>
      <c r="AT316" s="261">
        <f t="shared" si="212"/>
        <v>359433033</v>
      </c>
      <c r="AU316" s="261" t="e">
        <f t="shared" si="213"/>
        <v>#REF!</v>
      </c>
      <c r="AV316" s="261">
        <f t="shared" si="214"/>
        <v>426383576</v>
      </c>
      <c r="AW316" s="261" t="e">
        <f t="shared" si="215"/>
        <v>#REF!</v>
      </c>
      <c r="AX316" s="261" t="e">
        <f>AV316+#REF!+AH316+AA316+T316</f>
        <v>#REF!</v>
      </c>
      <c r="AY316" s="261" t="e">
        <f t="shared" si="216"/>
        <v>#REF!</v>
      </c>
      <c r="AZ316" s="261" t="e">
        <f t="shared" si="217"/>
        <v>#REF!</v>
      </c>
      <c r="BA316" s="261" t="e">
        <f t="shared" si="218"/>
        <v>#REF!</v>
      </c>
      <c r="BB316" s="261" t="e">
        <f t="shared" si="219"/>
        <v>#REF!</v>
      </c>
      <c r="BC316" s="261" t="e">
        <f t="shared" si="220"/>
        <v>#REF!</v>
      </c>
      <c r="BD316" s="261" t="e">
        <f t="shared" si="221"/>
        <v>#REF!</v>
      </c>
      <c r="BE316" s="261" t="e">
        <f>BC316+AV316+#REF!+AH316+AA316</f>
        <v>#REF!</v>
      </c>
      <c r="BF316" s="261" t="e">
        <f t="shared" si="222"/>
        <v>#REF!</v>
      </c>
      <c r="BG316" s="261" t="e">
        <f t="shared" si="223"/>
        <v>#REF!</v>
      </c>
    </row>
    <row r="317" spans="1:59" ht="15.75">
      <c r="A317" s="333">
        <v>26</v>
      </c>
      <c r="B317" s="333" t="s">
        <v>1607</v>
      </c>
      <c r="C317" s="256">
        <v>24</v>
      </c>
      <c r="D317" s="322" t="s">
        <v>61</v>
      </c>
      <c r="E317" s="256" t="s">
        <v>9</v>
      </c>
      <c r="F317" s="425">
        <f t="array" ref="F317">MAX((IF(MNU_CODIGO_ALIMENTO_ENTREGA=CONCATENATE($C317,"_","P_"),MNU_GRAMAJE_REQUERIDO_TIPOA,"")))</f>
        <v>20</v>
      </c>
      <c r="G317" s="257">
        <f t="shared" si="224"/>
        <v>83980</v>
      </c>
      <c r="H317" s="257">
        <f t="shared" si="225"/>
        <v>18161</v>
      </c>
      <c r="I317" s="257">
        <f t="shared" si="226"/>
        <v>102141</v>
      </c>
      <c r="J317" s="258">
        <f t="shared" si="227"/>
        <v>10749440</v>
      </c>
      <c r="K317" s="258">
        <f t="shared" si="228"/>
        <v>2324608</v>
      </c>
      <c r="L317" s="258">
        <f t="shared" si="229"/>
        <v>13074048</v>
      </c>
      <c r="M317" s="426">
        <f t="array" ref="M317">MAX((IF(MNU_CODIGO_ALIMENTO_ENTREGA=CONCATENATE($C317,"_","P_"),MNU_GRAMAJE_REQUERIDO_TIPOB,"")))</f>
        <v>30</v>
      </c>
      <c r="N317" s="343">
        <f t="shared" si="230"/>
        <v>115600</v>
      </c>
      <c r="O317" s="343">
        <f t="shared" si="231"/>
        <v>32967</v>
      </c>
      <c r="P317" s="343">
        <f t="shared" si="232"/>
        <v>148567</v>
      </c>
      <c r="Q317" s="344">
        <f t="shared" si="233"/>
        <v>23120000</v>
      </c>
      <c r="R317" s="344">
        <f t="shared" si="234"/>
        <v>6593400</v>
      </c>
      <c r="S317" s="344">
        <f t="shared" si="235"/>
        <v>29713400</v>
      </c>
      <c r="T317" s="348">
        <f t="array" ref="T317">MAX((IF(MNU_CODIGO_ALIMENTO_ENTREGA=CONCATENATE($C317,"_","P_"),MNU_GRAMAJE_REQUERIDO_TIPOC,"")))</f>
        <v>60</v>
      </c>
      <c r="U317" s="257">
        <f t="shared" si="236"/>
        <v>127721</v>
      </c>
      <c r="V317" s="257">
        <f t="shared" si="237"/>
        <v>41602</v>
      </c>
      <c r="W317" s="257">
        <f t="shared" si="238"/>
        <v>169323</v>
      </c>
      <c r="X317" s="258">
        <f t="shared" si="239"/>
        <v>49172585</v>
      </c>
      <c r="Y317" s="258">
        <f t="shared" si="240"/>
        <v>16016770</v>
      </c>
      <c r="Z317" s="258">
        <f t="shared" si="241"/>
        <v>65189355</v>
      </c>
      <c r="AA317" s="256">
        <f t="array" ref="AA317">MAX((IF(MNU_CODIGO_ALIMENTO_ENTREGA=CONCATENATE($C317,"_","P_"),MNU_GRAMAJE_REQUERIDO_TIPOM,"")))</f>
        <v>30</v>
      </c>
      <c r="AB317" s="259">
        <f t="shared" si="242"/>
        <v>3910</v>
      </c>
      <c r="AC317" s="259">
        <v>0</v>
      </c>
      <c r="AD317" s="259">
        <f t="shared" si="243"/>
        <v>3910</v>
      </c>
      <c r="AE317" s="260">
        <f t="shared" si="244"/>
        <v>782000</v>
      </c>
      <c r="AF317" s="260">
        <v>0</v>
      </c>
      <c r="AG317" s="260">
        <f t="shared" si="245"/>
        <v>782000</v>
      </c>
      <c r="AH317" s="348">
        <f t="array" ref="AH317">MAX((IF(MNU_CODIGO_ALIMENTO_ENTREGA=CONCATENATE($C317,"_","P_"),MNU_GRAMAJE_REQUERIDO_TIPOH,"")))</f>
        <v>60</v>
      </c>
      <c r="AI317" s="257">
        <f t="shared" si="246"/>
        <v>4930</v>
      </c>
      <c r="AJ317" s="257">
        <v>0</v>
      </c>
      <c r="AK317" s="257">
        <f t="shared" si="247"/>
        <v>4930</v>
      </c>
      <c r="AL317" s="258">
        <f t="shared" si="248"/>
        <v>1898050</v>
      </c>
      <c r="AM317" s="258">
        <v>0</v>
      </c>
      <c r="AN317" s="258">
        <f t="shared" si="249"/>
        <v>1898050</v>
      </c>
      <c r="AO317" s="451">
        <f t="shared" si="250"/>
        <v>428871</v>
      </c>
      <c r="AP317" s="450">
        <f t="shared" si="251"/>
        <v>110656853</v>
      </c>
      <c r="AQ317" s="261" t="e">
        <f>#REF!+AH317+AA317+T317+M317</f>
        <v>#REF!</v>
      </c>
      <c r="AR317" s="261">
        <f t="shared" si="210"/>
        <v>110909014</v>
      </c>
      <c r="AS317" s="261" t="e">
        <f t="shared" si="211"/>
        <v>#REF!</v>
      </c>
      <c r="AT317" s="261">
        <f t="shared" si="212"/>
        <v>111235744</v>
      </c>
      <c r="AU317" s="261" t="e">
        <f t="shared" si="213"/>
        <v>#REF!</v>
      </c>
      <c r="AV317" s="261">
        <f t="shared" si="214"/>
        <v>133845914</v>
      </c>
      <c r="AW317" s="261" t="e">
        <f t="shared" si="215"/>
        <v>#REF!</v>
      </c>
      <c r="AX317" s="261" t="e">
        <f>AV317+#REF!+AH317+AA317+T317</f>
        <v>#REF!</v>
      </c>
      <c r="AY317" s="261" t="e">
        <f t="shared" si="216"/>
        <v>#REF!</v>
      </c>
      <c r="AZ317" s="261" t="e">
        <f t="shared" si="217"/>
        <v>#REF!</v>
      </c>
      <c r="BA317" s="261" t="e">
        <f t="shared" si="218"/>
        <v>#REF!</v>
      </c>
      <c r="BB317" s="261" t="e">
        <f t="shared" si="219"/>
        <v>#REF!</v>
      </c>
      <c r="BC317" s="261" t="e">
        <f t="shared" si="220"/>
        <v>#REF!</v>
      </c>
      <c r="BD317" s="261" t="e">
        <f t="shared" si="221"/>
        <v>#REF!</v>
      </c>
      <c r="BE317" s="261" t="e">
        <f>BC317+AV317+#REF!+AH317+AA317</f>
        <v>#REF!</v>
      </c>
      <c r="BF317" s="261" t="e">
        <f t="shared" si="222"/>
        <v>#REF!</v>
      </c>
      <c r="BG317" s="261" t="e">
        <f t="shared" si="223"/>
        <v>#REF!</v>
      </c>
    </row>
    <row r="318" spans="1:59" ht="15.75">
      <c r="A318" s="333">
        <v>26</v>
      </c>
      <c r="B318" s="333" t="s">
        <v>1607</v>
      </c>
      <c r="C318" s="256">
        <v>25</v>
      </c>
      <c r="D318" s="322" t="s">
        <v>64</v>
      </c>
      <c r="E318" s="256" t="s">
        <v>9</v>
      </c>
      <c r="F318" s="425">
        <f t="array" ref="F318">MAX((IF(MNU_CODIGO_ALIMENTO_ENTREGA=CONCATENATE($C318,"_","P_"),MNU_GRAMAJE_REQUERIDO_TIPOA,"")))</f>
        <v>40</v>
      </c>
      <c r="G318" s="257">
        <f t="shared" si="224"/>
        <v>83980</v>
      </c>
      <c r="H318" s="257">
        <f t="shared" si="225"/>
        <v>34694</v>
      </c>
      <c r="I318" s="257">
        <f t="shared" si="226"/>
        <v>118674</v>
      </c>
      <c r="J318" s="258">
        <f t="shared" si="227"/>
        <v>21498880</v>
      </c>
      <c r="K318" s="258">
        <f t="shared" si="228"/>
        <v>8881664</v>
      </c>
      <c r="L318" s="258">
        <f t="shared" si="229"/>
        <v>30380544</v>
      </c>
      <c r="M318" s="426">
        <f t="array" ref="M318">MAX((IF(MNU_CODIGO_ALIMENTO_ENTREGA=CONCATENATE($C318,"_","P_"),MNU_GRAMAJE_REQUERIDO_TIPOB,"")))</f>
        <v>40</v>
      </c>
      <c r="N318" s="343">
        <f t="shared" si="230"/>
        <v>115600</v>
      </c>
      <c r="O318" s="343">
        <f t="shared" si="231"/>
        <v>61028</v>
      </c>
      <c r="P318" s="343">
        <f t="shared" si="232"/>
        <v>176628</v>
      </c>
      <c r="Q318" s="344">
        <f t="shared" si="233"/>
        <v>29593600</v>
      </c>
      <c r="R318" s="344">
        <f t="shared" si="234"/>
        <v>15623168</v>
      </c>
      <c r="S318" s="344">
        <f t="shared" si="235"/>
        <v>45216768</v>
      </c>
      <c r="T318" s="348">
        <f t="array" ref="T318">MAX((IF(MNU_CODIGO_ALIMENTO_ENTREGA=CONCATENATE($C318,"_","P_"),MNU_GRAMAJE_REQUERIDO_TIPOC,"")))</f>
        <v>60</v>
      </c>
      <c r="U318" s="257">
        <f t="shared" si="236"/>
        <v>127721</v>
      </c>
      <c r="V318" s="257">
        <f t="shared" si="237"/>
        <v>79200</v>
      </c>
      <c r="W318" s="257">
        <f t="shared" si="238"/>
        <v>206921</v>
      </c>
      <c r="X318" s="258">
        <f t="shared" si="239"/>
        <v>49044864</v>
      </c>
      <c r="Y318" s="258">
        <f t="shared" si="240"/>
        <v>30412800</v>
      </c>
      <c r="Z318" s="258">
        <f t="shared" si="241"/>
        <v>79457664</v>
      </c>
      <c r="AA318" s="256">
        <f t="array" ref="AA318">MAX((IF(MNU_CODIGO_ALIMENTO_ENTREGA=CONCATENATE($C318,"_","P_"),MNU_GRAMAJE_REQUERIDO_TIPOM,"")))</f>
        <v>40</v>
      </c>
      <c r="AB318" s="259">
        <f t="shared" si="242"/>
        <v>3910</v>
      </c>
      <c r="AC318" s="259">
        <v>0</v>
      </c>
      <c r="AD318" s="259">
        <f t="shared" si="243"/>
        <v>3910</v>
      </c>
      <c r="AE318" s="260">
        <f t="shared" si="244"/>
        <v>1000960</v>
      </c>
      <c r="AF318" s="260">
        <v>0</v>
      </c>
      <c r="AG318" s="260">
        <f t="shared" si="245"/>
        <v>1000960</v>
      </c>
      <c r="AH318" s="348">
        <f t="array" ref="AH318">MAX((IF(MNU_CODIGO_ALIMENTO_ENTREGA=CONCATENATE($C318,"_","P_"),MNU_GRAMAJE_REQUERIDO_TIPOH,"")))</f>
        <v>60</v>
      </c>
      <c r="AI318" s="257">
        <f t="shared" si="246"/>
        <v>4930</v>
      </c>
      <c r="AJ318" s="257">
        <v>0</v>
      </c>
      <c r="AK318" s="257">
        <f t="shared" si="247"/>
        <v>4930</v>
      </c>
      <c r="AL318" s="258">
        <f t="shared" si="248"/>
        <v>1893120</v>
      </c>
      <c r="AM318" s="258">
        <v>0</v>
      </c>
      <c r="AN318" s="258">
        <f t="shared" si="249"/>
        <v>1893120</v>
      </c>
      <c r="AO318" s="451">
        <f t="shared" si="250"/>
        <v>511063</v>
      </c>
      <c r="AP318" s="450">
        <f t="shared" si="251"/>
        <v>157949056</v>
      </c>
      <c r="AQ318" s="261" t="e">
        <f>#REF!+AH318+AA318+T318+M318</f>
        <v>#REF!</v>
      </c>
      <c r="AR318" s="261">
        <f t="shared" si="210"/>
        <v>158201217</v>
      </c>
      <c r="AS318" s="261" t="e">
        <f t="shared" si="211"/>
        <v>#REF!</v>
      </c>
      <c r="AT318" s="261">
        <f t="shared" si="212"/>
        <v>158593606</v>
      </c>
      <c r="AU318" s="261" t="e">
        <f t="shared" si="213"/>
        <v>#REF!</v>
      </c>
      <c r="AV318" s="261">
        <f t="shared" si="214"/>
        <v>204629574</v>
      </c>
      <c r="AW318" s="261" t="e">
        <f t="shared" si="215"/>
        <v>#REF!</v>
      </c>
      <c r="AX318" s="261" t="e">
        <f>AV318+#REF!+AH318+AA318+T318</f>
        <v>#REF!</v>
      </c>
      <c r="AY318" s="261" t="e">
        <f t="shared" si="216"/>
        <v>#REF!</v>
      </c>
      <c r="AZ318" s="261" t="e">
        <f t="shared" si="217"/>
        <v>#REF!</v>
      </c>
      <c r="BA318" s="261" t="e">
        <f t="shared" si="218"/>
        <v>#REF!</v>
      </c>
      <c r="BB318" s="261" t="e">
        <f t="shared" si="219"/>
        <v>#REF!</v>
      </c>
      <c r="BC318" s="261" t="e">
        <f t="shared" si="220"/>
        <v>#REF!</v>
      </c>
      <c r="BD318" s="261" t="e">
        <f t="shared" si="221"/>
        <v>#REF!</v>
      </c>
      <c r="BE318" s="261" t="e">
        <f>BC318+AV318+#REF!+AH318+AA318</f>
        <v>#REF!</v>
      </c>
      <c r="BF318" s="261" t="e">
        <f t="shared" si="222"/>
        <v>#REF!</v>
      </c>
      <c r="BG318" s="261" t="e">
        <f t="shared" si="223"/>
        <v>#REF!</v>
      </c>
    </row>
    <row r="319" spans="1:59" ht="15.75">
      <c r="A319" s="333">
        <v>26</v>
      </c>
      <c r="B319" s="333" t="s">
        <v>1607</v>
      </c>
      <c r="C319" s="256">
        <v>26</v>
      </c>
      <c r="D319" s="322" t="s">
        <v>69</v>
      </c>
      <c r="E319" s="256" t="s">
        <v>9</v>
      </c>
      <c r="F319" s="425">
        <f t="array" ref="F319">MAX((IF(MNU_CODIGO_ALIMENTO_ENTREGA=CONCATENATE($C319,"_","P_"),MNU_GRAMAJE_REQUERIDO_TIPOA,"")))</f>
        <v>30</v>
      </c>
      <c r="G319" s="257">
        <f t="shared" si="224"/>
        <v>29640</v>
      </c>
      <c r="H319" s="257">
        <f t="shared" si="225"/>
        <v>0</v>
      </c>
      <c r="I319" s="257">
        <f t="shared" si="226"/>
        <v>29640</v>
      </c>
      <c r="J319" s="258">
        <f t="shared" si="227"/>
        <v>5068440</v>
      </c>
      <c r="K319" s="258">
        <f t="shared" si="228"/>
        <v>0</v>
      </c>
      <c r="L319" s="258">
        <f t="shared" si="229"/>
        <v>5068440</v>
      </c>
      <c r="M319" s="426">
        <f t="array" ref="M319">MAX((IF(MNU_CODIGO_ALIMENTO_ENTREGA=CONCATENATE($C319,"_","P_"),MNU_GRAMAJE_REQUERIDO_TIPOB,"")))</f>
        <v>30</v>
      </c>
      <c r="N319" s="343">
        <f t="shared" si="230"/>
        <v>40800</v>
      </c>
      <c r="O319" s="343">
        <f t="shared" si="231"/>
        <v>0</v>
      </c>
      <c r="P319" s="343">
        <f t="shared" si="232"/>
        <v>40800</v>
      </c>
      <c r="Q319" s="344">
        <f t="shared" si="233"/>
        <v>6976800</v>
      </c>
      <c r="R319" s="344">
        <f t="shared" si="234"/>
        <v>0</v>
      </c>
      <c r="S319" s="344">
        <f t="shared" si="235"/>
        <v>6976800</v>
      </c>
      <c r="T319" s="348">
        <f t="array" ref="T319">MAX((IF(MNU_CODIGO_ALIMENTO_ENTREGA=CONCATENATE($C319,"_","P_"),MNU_GRAMAJE_REQUERIDO_TIPOC,"")))</f>
        <v>30</v>
      </c>
      <c r="U319" s="257">
        <f t="shared" si="236"/>
        <v>45078</v>
      </c>
      <c r="V319" s="257">
        <f t="shared" si="237"/>
        <v>0</v>
      </c>
      <c r="W319" s="257">
        <f t="shared" si="238"/>
        <v>45078</v>
      </c>
      <c r="X319" s="258">
        <f t="shared" si="239"/>
        <v>7708338</v>
      </c>
      <c r="Y319" s="258">
        <f t="shared" si="240"/>
        <v>0</v>
      </c>
      <c r="Z319" s="258">
        <f t="shared" si="241"/>
        <v>7708338</v>
      </c>
      <c r="AA319" s="256">
        <f t="array" ref="AA319">MAX((IF(MNU_CODIGO_ALIMENTO_ENTREGA=CONCATENATE($C319,"_","P_"),MNU_GRAMAJE_REQUERIDO_TIPOM,"")))</f>
        <v>30</v>
      </c>
      <c r="AB319" s="259">
        <f t="shared" si="242"/>
        <v>1380</v>
      </c>
      <c r="AC319" s="259">
        <v>0</v>
      </c>
      <c r="AD319" s="259">
        <f t="shared" si="243"/>
        <v>1380</v>
      </c>
      <c r="AE319" s="260">
        <f t="shared" si="244"/>
        <v>235980</v>
      </c>
      <c r="AF319" s="260">
        <v>0</v>
      </c>
      <c r="AG319" s="260">
        <f t="shared" si="245"/>
        <v>235980</v>
      </c>
      <c r="AH319" s="348">
        <f t="array" ref="AH319">MAX((IF(MNU_CODIGO_ALIMENTO_ENTREGA=CONCATENATE($C319,"_","P_"),MNU_GRAMAJE_REQUERIDO_TIPOH,"")))</f>
        <v>30</v>
      </c>
      <c r="AI319" s="257">
        <f t="shared" si="246"/>
        <v>1740</v>
      </c>
      <c r="AJ319" s="257">
        <v>0</v>
      </c>
      <c r="AK319" s="257">
        <f t="shared" si="247"/>
        <v>1740</v>
      </c>
      <c r="AL319" s="258">
        <f t="shared" si="248"/>
        <v>297540</v>
      </c>
      <c r="AM319" s="258">
        <v>0</v>
      </c>
      <c r="AN319" s="258">
        <f t="shared" si="249"/>
        <v>297540</v>
      </c>
      <c r="AO319" s="451">
        <f t="shared" si="250"/>
        <v>118638</v>
      </c>
      <c r="AP319" s="450">
        <f t="shared" si="251"/>
        <v>20287098</v>
      </c>
      <c r="AQ319" s="261" t="e">
        <f>#REF!+AH319+AA319+T319+M319</f>
        <v>#REF!</v>
      </c>
      <c r="AR319" s="261">
        <f t="shared" si="210"/>
        <v>20376096</v>
      </c>
      <c r="AS319" s="261" t="e">
        <f t="shared" si="211"/>
        <v>#REF!</v>
      </c>
      <c r="AT319" s="261">
        <f t="shared" si="212"/>
        <v>20465094</v>
      </c>
      <c r="AU319" s="261" t="e">
        <f t="shared" si="213"/>
        <v>#REF!</v>
      </c>
      <c r="AV319" s="261">
        <f t="shared" si="214"/>
        <v>20465094</v>
      </c>
      <c r="AW319" s="261" t="e">
        <f t="shared" si="215"/>
        <v>#REF!</v>
      </c>
      <c r="AX319" s="261" t="e">
        <f>AV319+#REF!+AH319+AA319+T319</f>
        <v>#REF!</v>
      </c>
      <c r="AY319" s="261" t="e">
        <f t="shared" si="216"/>
        <v>#REF!</v>
      </c>
      <c r="AZ319" s="261" t="e">
        <f t="shared" si="217"/>
        <v>#REF!</v>
      </c>
      <c r="BA319" s="261" t="e">
        <f t="shared" si="218"/>
        <v>#REF!</v>
      </c>
      <c r="BB319" s="261" t="e">
        <f t="shared" si="219"/>
        <v>#REF!</v>
      </c>
      <c r="BC319" s="261" t="e">
        <f t="shared" si="220"/>
        <v>#REF!</v>
      </c>
      <c r="BD319" s="261" t="e">
        <f t="shared" si="221"/>
        <v>#REF!</v>
      </c>
      <c r="BE319" s="261" t="e">
        <f>BC319+AV319+#REF!+AH319+AA319</f>
        <v>#REF!</v>
      </c>
      <c r="BF319" s="261" t="e">
        <f t="shared" si="222"/>
        <v>#REF!</v>
      </c>
      <c r="BG319" s="261" t="e">
        <f t="shared" si="223"/>
        <v>#REF!</v>
      </c>
    </row>
    <row r="320" spans="1:59" ht="27">
      <c r="A320" s="333">
        <v>26</v>
      </c>
      <c r="B320" s="333" t="s">
        <v>1607</v>
      </c>
      <c r="C320" s="256">
        <v>28</v>
      </c>
      <c r="D320" s="322" t="s">
        <v>67</v>
      </c>
      <c r="E320" s="256" t="s">
        <v>9</v>
      </c>
      <c r="F320" s="425">
        <f t="array" ref="F320">MAX((IF(MNU_CODIGO_ALIMENTO_ENTREGA=CONCATENATE($C320,"_","P_"),MNU_GRAMAJE_REQUERIDO_TIPOA,"")))</f>
        <v>30</v>
      </c>
      <c r="G320" s="257">
        <f t="shared" si="224"/>
        <v>29640</v>
      </c>
      <c r="H320" s="257">
        <f t="shared" si="225"/>
        <v>29963</v>
      </c>
      <c r="I320" s="257">
        <f t="shared" si="226"/>
        <v>59603</v>
      </c>
      <c r="J320" s="258">
        <f t="shared" si="227"/>
        <v>6698640</v>
      </c>
      <c r="K320" s="258">
        <f t="shared" si="228"/>
        <v>6771638</v>
      </c>
      <c r="L320" s="258">
        <f t="shared" si="229"/>
        <v>13470278</v>
      </c>
      <c r="M320" s="426">
        <f t="array" ref="M320">MAX((IF(MNU_CODIGO_ALIMENTO_ENTREGA=CONCATENATE($C320,"_","P_"),MNU_GRAMAJE_REQUERIDO_TIPOB,"")))</f>
        <v>40</v>
      </c>
      <c r="N320" s="343">
        <f t="shared" si="230"/>
        <v>40800</v>
      </c>
      <c r="O320" s="343">
        <f t="shared" si="231"/>
        <v>52706</v>
      </c>
      <c r="P320" s="343">
        <f t="shared" si="232"/>
        <v>93506</v>
      </c>
      <c r="Q320" s="344">
        <f t="shared" si="233"/>
        <v>12280800</v>
      </c>
      <c r="R320" s="344">
        <f t="shared" si="234"/>
        <v>15864506</v>
      </c>
      <c r="S320" s="344">
        <f t="shared" si="235"/>
        <v>28145306</v>
      </c>
      <c r="T320" s="348">
        <f t="array" ref="T320">MAX((IF(MNU_CODIGO_ALIMENTO_ENTREGA=CONCATENATE($C320,"_","P_"),MNU_GRAMAJE_REQUERIDO_TIPOC,"")))</f>
        <v>60</v>
      </c>
      <c r="U320" s="257">
        <f t="shared" si="236"/>
        <v>45078</v>
      </c>
      <c r="V320" s="257">
        <f t="shared" si="237"/>
        <v>68400</v>
      </c>
      <c r="W320" s="257">
        <f t="shared" si="238"/>
        <v>113478</v>
      </c>
      <c r="X320" s="258">
        <f t="shared" si="239"/>
        <v>20330178</v>
      </c>
      <c r="Y320" s="258">
        <f t="shared" si="240"/>
        <v>30848400</v>
      </c>
      <c r="Z320" s="258">
        <f t="shared" si="241"/>
        <v>51178578</v>
      </c>
      <c r="AA320" s="256">
        <f t="array" ref="AA320">MAX((IF(MNU_CODIGO_ALIMENTO_ENTREGA=CONCATENATE($C320,"_","P_"),MNU_GRAMAJE_REQUERIDO_TIPOM,"")))</f>
        <v>40</v>
      </c>
      <c r="AB320" s="259">
        <f t="shared" si="242"/>
        <v>1380</v>
      </c>
      <c r="AC320" s="259">
        <v>0</v>
      </c>
      <c r="AD320" s="259">
        <f t="shared" si="243"/>
        <v>1380</v>
      </c>
      <c r="AE320" s="260">
        <f t="shared" si="244"/>
        <v>415380</v>
      </c>
      <c r="AF320" s="260">
        <v>0</v>
      </c>
      <c r="AG320" s="260">
        <f t="shared" si="245"/>
        <v>415380</v>
      </c>
      <c r="AH320" s="348">
        <f t="array" ref="AH320">MAX((IF(MNU_CODIGO_ALIMENTO_ENTREGA=CONCATENATE($C320,"_","P_"),MNU_GRAMAJE_REQUERIDO_TIPOH,"")))</f>
        <v>60</v>
      </c>
      <c r="AI320" s="257">
        <f t="shared" si="246"/>
        <v>1740</v>
      </c>
      <c r="AJ320" s="257">
        <v>0</v>
      </c>
      <c r="AK320" s="257">
        <f t="shared" si="247"/>
        <v>1740</v>
      </c>
      <c r="AL320" s="258">
        <f t="shared" si="248"/>
        <v>784740</v>
      </c>
      <c r="AM320" s="258">
        <v>0</v>
      </c>
      <c r="AN320" s="258">
        <f t="shared" si="249"/>
        <v>784740</v>
      </c>
      <c r="AO320" s="451">
        <f t="shared" si="250"/>
        <v>269707</v>
      </c>
      <c r="AP320" s="450">
        <f t="shared" si="251"/>
        <v>93994282</v>
      </c>
      <c r="AQ320" s="261" t="e">
        <f>#REF!+AH320+AA320+T320+M320</f>
        <v>#REF!</v>
      </c>
      <c r="AR320" s="261">
        <f t="shared" si="210"/>
        <v>94083280</v>
      </c>
      <c r="AS320" s="261" t="e">
        <f t="shared" si="211"/>
        <v>#REF!</v>
      </c>
      <c r="AT320" s="261">
        <f t="shared" si="212"/>
        <v>94293384</v>
      </c>
      <c r="AU320" s="261" t="e">
        <f t="shared" si="213"/>
        <v>#REF!</v>
      </c>
      <c r="AV320" s="261">
        <f t="shared" si="214"/>
        <v>141006290</v>
      </c>
      <c r="AW320" s="261" t="e">
        <f t="shared" si="215"/>
        <v>#REF!</v>
      </c>
      <c r="AX320" s="261" t="e">
        <f>AV320+#REF!+AH320+AA320+T320</f>
        <v>#REF!</v>
      </c>
      <c r="AY320" s="261" t="e">
        <f t="shared" si="216"/>
        <v>#REF!</v>
      </c>
      <c r="AZ320" s="261" t="e">
        <f t="shared" si="217"/>
        <v>#REF!</v>
      </c>
      <c r="BA320" s="261" t="e">
        <f t="shared" si="218"/>
        <v>#REF!</v>
      </c>
      <c r="BB320" s="261" t="e">
        <f t="shared" si="219"/>
        <v>#REF!</v>
      </c>
      <c r="BC320" s="261" t="e">
        <f t="shared" si="220"/>
        <v>#REF!</v>
      </c>
      <c r="BD320" s="261" t="e">
        <f t="shared" si="221"/>
        <v>#REF!</v>
      </c>
      <c r="BE320" s="261" t="e">
        <f>BC320+AV320+#REF!+AH320+AA320</f>
        <v>#REF!</v>
      </c>
      <c r="BF320" s="261" t="e">
        <f t="shared" si="222"/>
        <v>#REF!</v>
      </c>
      <c r="BG320" s="261" t="e">
        <f t="shared" si="223"/>
        <v>#REF!</v>
      </c>
    </row>
    <row r="321" spans="1:59" ht="15.75">
      <c r="A321" s="333">
        <v>26</v>
      </c>
      <c r="B321" s="333" t="s">
        <v>1607</v>
      </c>
      <c r="C321" s="256">
        <v>30</v>
      </c>
      <c r="D321" s="322" t="s">
        <v>63</v>
      </c>
      <c r="E321" s="256" t="s">
        <v>9</v>
      </c>
      <c r="F321" s="425">
        <f t="array" ref="F321">MAX((IF(MNU_CODIGO_ALIMENTO_ENTREGA=CONCATENATE($C321,"_","P_"),MNU_GRAMAJE_REQUERIDO_TIPOA,"")))</f>
        <v>30</v>
      </c>
      <c r="G321" s="257">
        <f t="shared" si="224"/>
        <v>79040</v>
      </c>
      <c r="H321" s="257">
        <f t="shared" si="225"/>
        <v>0</v>
      </c>
      <c r="I321" s="257">
        <f t="shared" si="226"/>
        <v>79040</v>
      </c>
      <c r="J321" s="258">
        <f t="shared" si="227"/>
        <v>26241280</v>
      </c>
      <c r="K321" s="258">
        <f t="shared" si="228"/>
        <v>0</v>
      </c>
      <c r="L321" s="258">
        <f t="shared" si="229"/>
        <v>26241280</v>
      </c>
      <c r="M321" s="426">
        <f t="array" ref="M321">MAX((IF(MNU_CODIGO_ALIMENTO_ENTREGA=CONCATENATE($C321,"_","P_"),MNU_GRAMAJE_REQUERIDO_TIPOB,"")))</f>
        <v>30</v>
      </c>
      <c r="N321" s="343">
        <f t="shared" si="230"/>
        <v>108800</v>
      </c>
      <c r="O321" s="343">
        <f t="shared" si="231"/>
        <v>0</v>
      </c>
      <c r="P321" s="343">
        <f t="shared" si="232"/>
        <v>108800</v>
      </c>
      <c r="Q321" s="344">
        <f t="shared" si="233"/>
        <v>36121600</v>
      </c>
      <c r="R321" s="344">
        <f t="shared" si="234"/>
        <v>0</v>
      </c>
      <c r="S321" s="344">
        <f t="shared" si="235"/>
        <v>36121600</v>
      </c>
      <c r="T321" s="348">
        <f t="array" ref="T321">MAX((IF(MNU_CODIGO_ALIMENTO_ENTREGA=CONCATENATE($C321,"_","P_"),MNU_GRAMAJE_REQUERIDO_TIPOC,"")))</f>
        <v>30</v>
      </c>
      <c r="U321" s="257">
        <f t="shared" si="236"/>
        <v>120208</v>
      </c>
      <c r="V321" s="257">
        <f t="shared" si="237"/>
        <v>0</v>
      </c>
      <c r="W321" s="257">
        <f t="shared" si="238"/>
        <v>120208</v>
      </c>
      <c r="X321" s="258">
        <f t="shared" si="239"/>
        <v>39909056</v>
      </c>
      <c r="Y321" s="258">
        <f t="shared" si="240"/>
        <v>0</v>
      </c>
      <c r="Z321" s="258">
        <f t="shared" si="241"/>
        <v>39909056</v>
      </c>
      <c r="AA321" s="256">
        <f t="array" ref="AA321">MAX((IF(MNU_CODIGO_ALIMENTO_ENTREGA=CONCATENATE($C321,"_","P_"),MNU_GRAMAJE_REQUERIDO_TIPOM,"")))</f>
        <v>30</v>
      </c>
      <c r="AB321" s="259">
        <f t="shared" si="242"/>
        <v>3680</v>
      </c>
      <c r="AC321" s="259">
        <v>0</v>
      </c>
      <c r="AD321" s="259">
        <f t="shared" si="243"/>
        <v>3680</v>
      </c>
      <c r="AE321" s="260">
        <f t="shared" si="244"/>
        <v>1221760</v>
      </c>
      <c r="AF321" s="260">
        <v>0</v>
      </c>
      <c r="AG321" s="260">
        <f t="shared" si="245"/>
        <v>1221760</v>
      </c>
      <c r="AH321" s="348">
        <f t="array" ref="AH321">MAX((IF(MNU_CODIGO_ALIMENTO_ENTREGA=CONCATENATE($C321,"_","P_"),MNU_GRAMAJE_REQUERIDO_TIPOH,"")))</f>
        <v>30</v>
      </c>
      <c r="AI321" s="257">
        <f t="shared" si="246"/>
        <v>4640</v>
      </c>
      <c r="AJ321" s="257">
        <v>0</v>
      </c>
      <c r="AK321" s="257">
        <f t="shared" si="247"/>
        <v>4640</v>
      </c>
      <c r="AL321" s="258">
        <f t="shared" si="248"/>
        <v>1540480</v>
      </c>
      <c r="AM321" s="258">
        <v>0</v>
      </c>
      <c r="AN321" s="258">
        <f t="shared" si="249"/>
        <v>1540480</v>
      </c>
      <c r="AO321" s="451">
        <f t="shared" si="250"/>
        <v>316368</v>
      </c>
      <c r="AP321" s="450">
        <f t="shared" si="251"/>
        <v>105034176</v>
      </c>
      <c r="AQ321" s="261" t="e">
        <f>#REF!+AH321+AA321+T321+M321</f>
        <v>#REF!</v>
      </c>
      <c r="AR321" s="261">
        <f t="shared" si="210"/>
        <v>105271504</v>
      </c>
      <c r="AS321" s="261" t="e">
        <f t="shared" si="211"/>
        <v>#REF!</v>
      </c>
      <c r="AT321" s="261">
        <f t="shared" si="212"/>
        <v>105508832</v>
      </c>
      <c r="AU321" s="261" t="e">
        <f t="shared" si="213"/>
        <v>#REF!</v>
      </c>
      <c r="AV321" s="261">
        <f t="shared" si="214"/>
        <v>105508832</v>
      </c>
      <c r="AW321" s="261" t="e">
        <f t="shared" si="215"/>
        <v>#REF!</v>
      </c>
      <c r="AX321" s="261" t="e">
        <f>AV321+#REF!+AH321+AA321+T321</f>
        <v>#REF!</v>
      </c>
      <c r="AY321" s="261" t="e">
        <f t="shared" si="216"/>
        <v>#REF!</v>
      </c>
      <c r="AZ321" s="261" t="e">
        <f t="shared" si="217"/>
        <v>#REF!</v>
      </c>
      <c r="BA321" s="261" t="e">
        <f t="shared" si="218"/>
        <v>#REF!</v>
      </c>
      <c r="BB321" s="261" t="e">
        <f t="shared" si="219"/>
        <v>#REF!</v>
      </c>
      <c r="BC321" s="261" t="e">
        <f t="shared" si="220"/>
        <v>#REF!</v>
      </c>
      <c r="BD321" s="261" t="e">
        <f t="shared" si="221"/>
        <v>#REF!</v>
      </c>
      <c r="BE321" s="261" t="e">
        <f>BC321+AV321+#REF!+AH321+AA321</f>
        <v>#REF!</v>
      </c>
      <c r="BF321" s="261" t="e">
        <f t="shared" si="222"/>
        <v>#REF!</v>
      </c>
      <c r="BG321" s="261" t="e">
        <f t="shared" si="223"/>
        <v>#REF!</v>
      </c>
    </row>
    <row r="322" spans="1:59" ht="15.75">
      <c r="A322" s="333">
        <v>26</v>
      </c>
      <c r="B322" s="333" t="s">
        <v>1607</v>
      </c>
      <c r="C322" s="256">
        <v>45</v>
      </c>
      <c r="D322" s="322" t="s">
        <v>10</v>
      </c>
      <c r="E322" s="256" t="s">
        <v>9</v>
      </c>
      <c r="F322" s="425">
        <f t="array" ref="F322">MAX((IF(MNU_CODIGO_ALIMENTO_ENTREGA=CONCATENATE($C322,"_","P_"),MNU_GRAMAJE_REQUERIDO_TIPOA,"")))</f>
        <v>20</v>
      </c>
      <c r="G322" s="257">
        <f t="shared" si="224"/>
        <v>79040</v>
      </c>
      <c r="H322" s="257">
        <f t="shared" si="225"/>
        <v>31540</v>
      </c>
      <c r="I322" s="257">
        <f t="shared" si="226"/>
        <v>110580</v>
      </c>
      <c r="J322" s="258">
        <f t="shared" si="227"/>
        <v>15728960</v>
      </c>
      <c r="K322" s="258">
        <f t="shared" si="228"/>
        <v>6276460</v>
      </c>
      <c r="L322" s="258">
        <f t="shared" si="229"/>
        <v>22005420</v>
      </c>
      <c r="M322" s="426">
        <f t="array" ref="M322">MAX((IF(MNU_CODIGO_ALIMENTO_ENTREGA=CONCATENATE($C322,"_","P_"),MNU_GRAMAJE_REQUERIDO_TIPOB,"")))</f>
        <v>30</v>
      </c>
      <c r="N322" s="343">
        <f t="shared" si="230"/>
        <v>108800</v>
      </c>
      <c r="O322" s="343">
        <f t="shared" si="231"/>
        <v>55480</v>
      </c>
      <c r="P322" s="343">
        <f t="shared" si="232"/>
        <v>164280</v>
      </c>
      <c r="Q322" s="344">
        <f t="shared" si="233"/>
        <v>32422400</v>
      </c>
      <c r="R322" s="344">
        <f t="shared" si="234"/>
        <v>16533040</v>
      </c>
      <c r="S322" s="344">
        <f t="shared" si="235"/>
        <v>48955440</v>
      </c>
      <c r="T322" s="348">
        <f t="array" ref="T322">MAX((IF(MNU_CODIGO_ALIMENTO_ENTREGA=CONCATENATE($C322,"_","P_"),MNU_GRAMAJE_REQUERIDO_TIPOC,"")))</f>
        <v>60</v>
      </c>
      <c r="U322" s="257">
        <f t="shared" si="236"/>
        <v>120208</v>
      </c>
      <c r="V322" s="257">
        <f t="shared" si="237"/>
        <v>72000</v>
      </c>
      <c r="W322" s="257">
        <f t="shared" si="238"/>
        <v>192208</v>
      </c>
      <c r="X322" s="258">
        <f t="shared" si="239"/>
        <v>71764176</v>
      </c>
      <c r="Y322" s="258">
        <f t="shared" si="240"/>
        <v>42984000</v>
      </c>
      <c r="Z322" s="258">
        <f t="shared" si="241"/>
        <v>114748176</v>
      </c>
      <c r="AA322" s="256">
        <f t="array" ref="AA322">MAX((IF(MNU_CODIGO_ALIMENTO_ENTREGA=CONCATENATE($C322,"_","P_"),MNU_GRAMAJE_REQUERIDO_TIPOM,"")))</f>
        <v>30</v>
      </c>
      <c r="AB322" s="259">
        <f t="shared" si="242"/>
        <v>3680</v>
      </c>
      <c r="AC322" s="259">
        <v>0</v>
      </c>
      <c r="AD322" s="259">
        <f t="shared" si="243"/>
        <v>3680</v>
      </c>
      <c r="AE322" s="260">
        <f t="shared" si="244"/>
        <v>1096640</v>
      </c>
      <c r="AF322" s="260">
        <v>0</v>
      </c>
      <c r="AG322" s="260">
        <f t="shared" si="245"/>
        <v>1096640</v>
      </c>
      <c r="AH322" s="348">
        <f t="array" ref="AH322">MAX((IF(MNU_CODIGO_ALIMENTO_ENTREGA=CONCATENATE($C322,"_","P_"),MNU_GRAMAJE_REQUERIDO_TIPOH,"")))</f>
        <v>60</v>
      </c>
      <c r="AI322" s="257">
        <f t="shared" si="246"/>
        <v>4640</v>
      </c>
      <c r="AJ322" s="257">
        <v>0</v>
      </c>
      <c r="AK322" s="257">
        <f t="shared" si="247"/>
        <v>4640</v>
      </c>
      <c r="AL322" s="258">
        <f t="shared" si="248"/>
        <v>2770080</v>
      </c>
      <c r="AM322" s="258">
        <v>0</v>
      </c>
      <c r="AN322" s="258">
        <f t="shared" si="249"/>
        <v>2770080</v>
      </c>
      <c r="AO322" s="451">
        <f t="shared" si="250"/>
        <v>475388</v>
      </c>
      <c r="AP322" s="450">
        <f t="shared" si="251"/>
        <v>189575756</v>
      </c>
      <c r="AQ322" s="261" t="e">
        <f>#REF!+AH322+AA322+T322+M322</f>
        <v>#REF!</v>
      </c>
      <c r="AR322" s="261">
        <f t="shared" si="210"/>
        <v>189813084</v>
      </c>
      <c r="AS322" s="261" t="e">
        <f t="shared" si="211"/>
        <v>#REF!</v>
      </c>
      <c r="AT322" s="261">
        <f t="shared" si="212"/>
        <v>190177892</v>
      </c>
      <c r="AU322" s="261" t="e">
        <f t="shared" si="213"/>
        <v>#REF!</v>
      </c>
      <c r="AV322" s="261">
        <f t="shared" si="214"/>
        <v>249694932</v>
      </c>
      <c r="AW322" s="261" t="e">
        <f t="shared" si="215"/>
        <v>#REF!</v>
      </c>
      <c r="AX322" s="261" t="e">
        <f>AV322+#REF!+AH322+AA322+T322</f>
        <v>#REF!</v>
      </c>
      <c r="AY322" s="261" t="e">
        <f t="shared" si="216"/>
        <v>#REF!</v>
      </c>
      <c r="AZ322" s="261" t="e">
        <f t="shared" si="217"/>
        <v>#REF!</v>
      </c>
      <c r="BA322" s="261" t="e">
        <f t="shared" si="218"/>
        <v>#REF!</v>
      </c>
      <c r="BB322" s="261" t="e">
        <f t="shared" si="219"/>
        <v>#REF!</v>
      </c>
      <c r="BC322" s="261" t="e">
        <f t="shared" si="220"/>
        <v>#REF!</v>
      </c>
      <c r="BD322" s="261" t="e">
        <f t="shared" si="221"/>
        <v>#REF!</v>
      </c>
      <c r="BE322" s="261" t="e">
        <f>BC322+AV322+#REF!+AH322+AA322</f>
        <v>#REF!</v>
      </c>
      <c r="BF322" s="261" t="e">
        <f t="shared" si="222"/>
        <v>#REF!</v>
      </c>
      <c r="BG322" s="261" t="e">
        <f t="shared" si="223"/>
        <v>#REF!</v>
      </c>
    </row>
    <row r="323" spans="1:59" ht="15.75">
      <c r="A323" s="333">
        <v>26</v>
      </c>
      <c r="B323" s="333" t="s">
        <v>1607</v>
      </c>
      <c r="C323" s="256">
        <v>50</v>
      </c>
      <c r="D323" s="322" t="s">
        <v>65</v>
      </c>
      <c r="E323" s="256" t="s">
        <v>9</v>
      </c>
      <c r="F323" s="425">
        <f t="array" ref="F323">MAX((IF(MNU_CODIGO_ALIMENTO_ENTREGA=CONCATENATE($C323,"_","P_"),MNU_GRAMAJE_REQUERIDO_TIPOA,"")))</f>
        <v>30</v>
      </c>
      <c r="G323" s="257">
        <f t="shared" si="224"/>
        <v>83980</v>
      </c>
      <c r="H323" s="257">
        <f t="shared" si="225"/>
        <v>0</v>
      </c>
      <c r="I323" s="257">
        <f t="shared" si="226"/>
        <v>83980</v>
      </c>
      <c r="J323" s="258">
        <f t="shared" si="227"/>
        <v>26957580</v>
      </c>
      <c r="K323" s="258">
        <f t="shared" si="228"/>
        <v>0</v>
      </c>
      <c r="L323" s="258">
        <f t="shared" si="229"/>
        <v>26957580</v>
      </c>
      <c r="M323" s="426">
        <f t="array" ref="M323">MAX((IF(MNU_CODIGO_ALIMENTO_ENTREGA=CONCATENATE($C323,"_","P_"),MNU_GRAMAJE_REQUERIDO_TIPOB,"")))</f>
        <v>40</v>
      </c>
      <c r="N323" s="343">
        <f t="shared" si="230"/>
        <v>115600</v>
      </c>
      <c r="O323" s="343">
        <f t="shared" si="231"/>
        <v>0</v>
      </c>
      <c r="P323" s="343">
        <f t="shared" si="232"/>
        <v>115600</v>
      </c>
      <c r="Q323" s="344">
        <f t="shared" si="233"/>
        <v>49476800</v>
      </c>
      <c r="R323" s="344">
        <f t="shared" si="234"/>
        <v>0</v>
      </c>
      <c r="S323" s="344">
        <f t="shared" si="235"/>
        <v>49476800</v>
      </c>
      <c r="T323" s="348">
        <f t="array" ref="T323">MAX((IF(MNU_CODIGO_ALIMENTO_ENTREGA=CONCATENATE($C323,"_","P_"),MNU_GRAMAJE_REQUERIDO_TIPOC,"")))</f>
        <v>80</v>
      </c>
      <c r="U323" s="257">
        <f t="shared" si="236"/>
        <v>127721</v>
      </c>
      <c r="V323" s="257">
        <f t="shared" si="237"/>
        <v>0</v>
      </c>
      <c r="W323" s="257">
        <f t="shared" si="238"/>
        <v>127721</v>
      </c>
      <c r="X323" s="258">
        <f t="shared" si="239"/>
        <v>109201455</v>
      </c>
      <c r="Y323" s="258">
        <f t="shared" si="240"/>
        <v>0</v>
      </c>
      <c r="Z323" s="258">
        <f t="shared" si="241"/>
        <v>109201455</v>
      </c>
      <c r="AA323" s="256">
        <f t="array" ref="AA323">MAX((IF(MNU_CODIGO_ALIMENTO_ENTREGA=CONCATENATE($C323,"_","P_"),MNU_GRAMAJE_REQUERIDO_TIPOM,"")))</f>
        <v>40</v>
      </c>
      <c r="AB323" s="259">
        <f t="shared" si="242"/>
        <v>3910</v>
      </c>
      <c r="AC323" s="259">
        <v>0</v>
      </c>
      <c r="AD323" s="259">
        <f t="shared" si="243"/>
        <v>3910</v>
      </c>
      <c r="AE323" s="260">
        <f t="shared" si="244"/>
        <v>1673480</v>
      </c>
      <c r="AF323" s="260">
        <v>0</v>
      </c>
      <c r="AG323" s="260">
        <f t="shared" si="245"/>
        <v>1673480</v>
      </c>
      <c r="AH323" s="348">
        <f t="array" ref="AH323">MAX((IF(MNU_CODIGO_ALIMENTO_ENTREGA=CONCATENATE($C323,"_","P_"),MNU_GRAMAJE_REQUERIDO_TIPOH,"")))</f>
        <v>80</v>
      </c>
      <c r="AI323" s="257">
        <f t="shared" si="246"/>
        <v>4930</v>
      </c>
      <c r="AJ323" s="257">
        <v>0</v>
      </c>
      <c r="AK323" s="257">
        <f t="shared" si="247"/>
        <v>4930</v>
      </c>
      <c r="AL323" s="258">
        <f t="shared" si="248"/>
        <v>4215150</v>
      </c>
      <c r="AM323" s="258">
        <v>0</v>
      </c>
      <c r="AN323" s="258">
        <f t="shared" si="249"/>
        <v>4215150</v>
      </c>
      <c r="AO323" s="451">
        <f t="shared" si="250"/>
        <v>336141</v>
      </c>
      <c r="AP323" s="450">
        <f t="shared" si="251"/>
        <v>191524465</v>
      </c>
      <c r="AQ323" s="261" t="e">
        <f>#REF!+AH323+AA323+T323+M323</f>
        <v>#REF!</v>
      </c>
      <c r="AR323" s="261">
        <f t="shared" si="210"/>
        <v>191776626</v>
      </c>
      <c r="AS323" s="261" t="e">
        <f t="shared" si="211"/>
        <v>#REF!</v>
      </c>
      <c r="AT323" s="261">
        <f t="shared" si="212"/>
        <v>192028787</v>
      </c>
      <c r="AU323" s="261" t="e">
        <f t="shared" si="213"/>
        <v>#REF!</v>
      </c>
      <c r="AV323" s="261">
        <f t="shared" si="214"/>
        <v>192028787</v>
      </c>
      <c r="AW323" s="261" t="e">
        <f t="shared" si="215"/>
        <v>#REF!</v>
      </c>
      <c r="AX323" s="261" t="e">
        <f>AV323+#REF!+AH323+AA323+T323</f>
        <v>#REF!</v>
      </c>
      <c r="AY323" s="261" t="e">
        <f t="shared" si="216"/>
        <v>#REF!</v>
      </c>
      <c r="AZ323" s="261" t="e">
        <f t="shared" si="217"/>
        <v>#REF!</v>
      </c>
      <c r="BA323" s="261" t="e">
        <f t="shared" si="218"/>
        <v>#REF!</v>
      </c>
      <c r="BB323" s="261" t="e">
        <f t="shared" si="219"/>
        <v>#REF!</v>
      </c>
      <c r="BC323" s="261" t="e">
        <f t="shared" si="220"/>
        <v>#REF!</v>
      </c>
      <c r="BD323" s="261" t="e">
        <f t="shared" si="221"/>
        <v>#REF!</v>
      </c>
      <c r="BE323" s="261" t="e">
        <f>BC323+AV323+#REF!+AH323+AA323</f>
        <v>#REF!</v>
      </c>
      <c r="BF323" s="261" t="e">
        <f t="shared" si="222"/>
        <v>#REF!</v>
      </c>
      <c r="BG323" s="261" t="e">
        <f t="shared" si="223"/>
        <v>#REF!</v>
      </c>
    </row>
    <row r="324" spans="1:59" ht="15.75">
      <c r="A324" s="333">
        <v>26</v>
      </c>
      <c r="B324" s="333" t="s">
        <v>1607</v>
      </c>
      <c r="C324" s="256">
        <v>61</v>
      </c>
      <c r="D324" s="322" t="s">
        <v>13</v>
      </c>
      <c r="E324" s="256" t="s">
        <v>9</v>
      </c>
      <c r="F324" s="425">
        <f t="array" ref="F324">MAX((IF(MNU_CODIGO_ALIMENTO_ENTREGA=CONCATENATE($C324,"_","P_"),MNU_GRAMAJE_REQUERIDO_TIPOA,"")))</f>
        <v>20</v>
      </c>
      <c r="G324" s="257">
        <f t="shared" si="224"/>
        <v>79040</v>
      </c>
      <c r="H324" s="257">
        <f t="shared" si="225"/>
        <v>31540</v>
      </c>
      <c r="I324" s="257">
        <f t="shared" si="226"/>
        <v>110580</v>
      </c>
      <c r="J324" s="258">
        <f t="shared" si="227"/>
        <v>18416320</v>
      </c>
      <c r="K324" s="258">
        <f t="shared" si="228"/>
        <v>7348820</v>
      </c>
      <c r="L324" s="258">
        <f t="shared" si="229"/>
        <v>25765140</v>
      </c>
      <c r="M324" s="426">
        <f t="array" ref="M324">MAX((IF(MNU_CODIGO_ALIMENTO_ENTREGA=CONCATENATE($C324,"_","P_"),MNU_GRAMAJE_REQUERIDO_TIPOB,"")))</f>
        <v>30</v>
      </c>
      <c r="N324" s="343">
        <f t="shared" si="230"/>
        <v>108800</v>
      </c>
      <c r="O324" s="343">
        <f t="shared" si="231"/>
        <v>55480</v>
      </c>
      <c r="P324" s="343">
        <f t="shared" si="232"/>
        <v>164280</v>
      </c>
      <c r="Q324" s="344">
        <f t="shared" si="233"/>
        <v>38188800</v>
      </c>
      <c r="R324" s="344">
        <f t="shared" si="234"/>
        <v>19473480</v>
      </c>
      <c r="S324" s="344">
        <f t="shared" si="235"/>
        <v>57662280</v>
      </c>
      <c r="T324" s="348">
        <f t="array" ref="T324">MAX((IF(MNU_CODIGO_ALIMENTO_ENTREGA=CONCATENATE($C324,"_","P_"),MNU_GRAMAJE_REQUERIDO_TIPOC,"")))</f>
        <v>70</v>
      </c>
      <c r="U324" s="257">
        <f t="shared" si="236"/>
        <v>120208</v>
      </c>
      <c r="V324" s="257">
        <f t="shared" si="237"/>
        <v>72000</v>
      </c>
      <c r="W324" s="257">
        <f t="shared" si="238"/>
        <v>192208</v>
      </c>
      <c r="X324" s="258">
        <f t="shared" si="239"/>
        <v>98330144</v>
      </c>
      <c r="Y324" s="258">
        <f t="shared" si="240"/>
        <v>58896000</v>
      </c>
      <c r="Z324" s="258">
        <f t="shared" si="241"/>
        <v>157226144</v>
      </c>
      <c r="AA324" s="256">
        <f t="array" ref="AA324">MAX((IF(MNU_CODIGO_ALIMENTO_ENTREGA=CONCATENATE($C324,"_","P_"),MNU_GRAMAJE_REQUERIDO_TIPOM,"")))</f>
        <v>30</v>
      </c>
      <c r="AB324" s="259">
        <f t="shared" si="242"/>
        <v>3680</v>
      </c>
      <c r="AC324" s="259">
        <v>0</v>
      </c>
      <c r="AD324" s="259">
        <f t="shared" si="243"/>
        <v>3680</v>
      </c>
      <c r="AE324" s="260">
        <f t="shared" si="244"/>
        <v>1291680</v>
      </c>
      <c r="AF324" s="260">
        <v>0</v>
      </c>
      <c r="AG324" s="260">
        <f t="shared" si="245"/>
        <v>1291680</v>
      </c>
      <c r="AH324" s="348">
        <f t="array" ref="AH324">MAX((IF(MNU_CODIGO_ALIMENTO_ENTREGA=CONCATENATE($C324,"_","P_"),MNU_GRAMAJE_REQUERIDO_TIPOH,"")))</f>
        <v>70</v>
      </c>
      <c r="AI324" s="257">
        <f t="shared" si="246"/>
        <v>4640</v>
      </c>
      <c r="AJ324" s="257">
        <v>0</v>
      </c>
      <c r="AK324" s="257">
        <f t="shared" si="247"/>
        <v>4640</v>
      </c>
      <c r="AL324" s="258">
        <f t="shared" si="248"/>
        <v>3795520</v>
      </c>
      <c r="AM324" s="258">
        <v>0</v>
      </c>
      <c r="AN324" s="258">
        <f t="shared" si="249"/>
        <v>3795520</v>
      </c>
      <c r="AO324" s="451">
        <f t="shared" si="250"/>
        <v>475388</v>
      </c>
      <c r="AP324" s="450">
        <f t="shared" si="251"/>
        <v>245740764</v>
      </c>
      <c r="AQ324" s="261" t="e">
        <f>#REF!+AH324+AA324+T324+M324</f>
        <v>#REF!</v>
      </c>
      <c r="AR324" s="261">
        <f t="shared" si="210"/>
        <v>245978092</v>
      </c>
      <c r="AS324" s="261" t="e">
        <f t="shared" si="211"/>
        <v>#REF!</v>
      </c>
      <c r="AT324" s="261">
        <f t="shared" si="212"/>
        <v>246342900</v>
      </c>
      <c r="AU324" s="261" t="e">
        <f t="shared" si="213"/>
        <v>#REF!</v>
      </c>
      <c r="AV324" s="261">
        <f t="shared" si="214"/>
        <v>324712380</v>
      </c>
      <c r="AW324" s="261" t="e">
        <f t="shared" si="215"/>
        <v>#REF!</v>
      </c>
      <c r="AX324" s="261" t="e">
        <f>AV324+#REF!+AH324+AA324+T324</f>
        <v>#REF!</v>
      </c>
      <c r="AY324" s="261" t="e">
        <f t="shared" si="216"/>
        <v>#REF!</v>
      </c>
      <c r="AZ324" s="261" t="e">
        <f t="shared" si="217"/>
        <v>#REF!</v>
      </c>
      <c r="BA324" s="261" t="e">
        <f t="shared" si="218"/>
        <v>#REF!</v>
      </c>
      <c r="BB324" s="261" t="e">
        <f t="shared" si="219"/>
        <v>#REF!</v>
      </c>
      <c r="BC324" s="261" t="e">
        <f t="shared" si="220"/>
        <v>#REF!</v>
      </c>
      <c r="BD324" s="261" t="e">
        <f t="shared" si="221"/>
        <v>#REF!</v>
      </c>
      <c r="BE324" s="261" t="e">
        <f>BC324+AV324+#REF!+AH324+AA324</f>
        <v>#REF!</v>
      </c>
      <c r="BF324" s="261" t="e">
        <f t="shared" si="222"/>
        <v>#REF!</v>
      </c>
      <c r="BG324" s="261" t="e">
        <f t="shared" si="223"/>
        <v>#REF!</v>
      </c>
    </row>
    <row r="325" spans="1:59" ht="15.75">
      <c r="A325" s="333">
        <v>26</v>
      </c>
      <c r="B325" s="333" t="s">
        <v>1607</v>
      </c>
      <c r="C325" s="256">
        <v>62</v>
      </c>
      <c r="D325" s="322" t="s">
        <v>68</v>
      </c>
      <c r="E325" s="256" t="s">
        <v>9</v>
      </c>
      <c r="F325" s="425">
        <f t="array" ref="F325">MAX((IF(MNU_CODIGO_ALIMENTO_ENTREGA=CONCATENATE($C325,"_","P_"),MNU_GRAMAJE_REQUERIDO_TIPOA,"")))</f>
        <v>50</v>
      </c>
      <c r="G325" s="257">
        <f t="shared" si="224"/>
        <v>24700</v>
      </c>
      <c r="H325" s="257">
        <f t="shared" si="225"/>
        <v>0</v>
      </c>
      <c r="I325" s="257">
        <f t="shared" si="226"/>
        <v>24700</v>
      </c>
      <c r="J325" s="258">
        <f t="shared" si="227"/>
        <v>15437500</v>
      </c>
      <c r="K325" s="258">
        <f t="shared" si="228"/>
        <v>0</v>
      </c>
      <c r="L325" s="258">
        <f t="shared" si="229"/>
        <v>15437500</v>
      </c>
      <c r="M325" s="426">
        <f t="array" ref="M325">MAX((IF(MNU_CODIGO_ALIMENTO_ENTREGA=CONCATENATE($C325,"_","P_"),MNU_GRAMAJE_REQUERIDO_TIPOB,"")))</f>
        <v>50</v>
      </c>
      <c r="N325" s="343">
        <f t="shared" si="230"/>
        <v>34000</v>
      </c>
      <c r="O325" s="343">
        <f t="shared" si="231"/>
        <v>0</v>
      </c>
      <c r="P325" s="343">
        <f t="shared" si="232"/>
        <v>34000</v>
      </c>
      <c r="Q325" s="344">
        <f t="shared" si="233"/>
        <v>21250000</v>
      </c>
      <c r="R325" s="344">
        <f t="shared" si="234"/>
        <v>0</v>
      </c>
      <c r="S325" s="344">
        <f t="shared" si="235"/>
        <v>21250000</v>
      </c>
      <c r="T325" s="348">
        <f t="array" ref="T325">MAX((IF(MNU_CODIGO_ALIMENTO_ENTREGA=CONCATENATE($C325,"_","P_"),MNU_GRAMAJE_REQUERIDO_TIPOC,"")))</f>
        <v>50</v>
      </c>
      <c r="U325" s="257">
        <f t="shared" si="236"/>
        <v>37565</v>
      </c>
      <c r="V325" s="257">
        <f t="shared" si="237"/>
        <v>0</v>
      </c>
      <c r="W325" s="257">
        <f t="shared" si="238"/>
        <v>37565</v>
      </c>
      <c r="X325" s="258">
        <f t="shared" si="239"/>
        <v>23478125</v>
      </c>
      <c r="Y325" s="258">
        <f t="shared" si="240"/>
        <v>0</v>
      </c>
      <c r="Z325" s="258">
        <f t="shared" si="241"/>
        <v>23478125</v>
      </c>
      <c r="AA325" s="256">
        <f t="array" ref="AA325">MAX((IF(MNU_CODIGO_ALIMENTO_ENTREGA=CONCATENATE($C325,"_","P_"),MNU_GRAMAJE_REQUERIDO_TIPOM,"")))</f>
        <v>50</v>
      </c>
      <c r="AB325" s="259">
        <f t="shared" si="242"/>
        <v>1150</v>
      </c>
      <c r="AC325" s="259">
        <v>0</v>
      </c>
      <c r="AD325" s="259">
        <f t="shared" si="243"/>
        <v>1150</v>
      </c>
      <c r="AE325" s="260">
        <f t="shared" si="244"/>
        <v>718750</v>
      </c>
      <c r="AF325" s="260">
        <v>0</v>
      </c>
      <c r="AG325" s="260">
        <f t="shared" si="245"/>
        <v>718750</v>
      </c>
      <c r="AH325" s="348">
        <f t="array" ref="AH325">MAX((IF(MNU_CODIGO_ALIMENTO_ENTREGA=CONCATENATE($C325,"_","P_"),MNU_GRAMAJE_REQUERIDO_TIPOH,"")))</f>
        <v>50</v>
      </c>
      <c r="AI325" s="257">
        <f t="shared" si="246"/>
        <v>1450</v>
      </c>
      <c r="AJ325" s="257">
        <v>0</v>
      </c>
      <c r="AK325" s="257">
        <f t="shared" si="247"/>
        <v>1450</v>
      </c>
      <c r="AL325" s="258">
        <f t="shared" si="248"/>
        <v>906250</v>
      </c>
      <c r="AM325" s="258">
        <v>0</v>
      </c>
      <c r="AN325" s="258">
        <f t="shared" si="249"/>
        <v>906250</v>
      </c>
      <c r="AO325" s="451">
        <f t="shared" si="250"/>
        <v>98865</v>
      </c>
      <c r="AP325" s="450">
        <f t="shared" si="251"/>
        <v>61790625</v>
      </c>
      <c r="AQ325" s="261" t="e">
        <f>#REF!+AH325+AA325+T325+M325</f>
        <v>#REF!</v>
      </c>
      <c r="AR325" s="261">
        <f t="shared" si="210"/>
        <v>61864790</v>
      </c>
      <c r="AS325" s="261" t="e">
        <f t="shared" si="211"/>
        <v>#REF!</v>
      </c>
      <c r="AT325" s="261">
        <f t="shared" si="212"/>
        <v>61938955</v>
      </c>
      <c r="AU325" s="261" t="e">
        <f t="shared" si="213"/>
        <v>#REF!</v>
      </c>
      <c r="AV325" s="261">
        <f t="shared" si="214"/>
        <v>61938955</v>
      </c>
      <c r="AW325" s="261" t="e">
        <f t="shared" si="215"/>
        <v>#REF!</v>
      </c>
      <c r="AX325" s="261" t="e">
        <f>AV325+#REF!+AH325+AA325+T325</f>
        <v>#REF!</v>
      </c>
      <c r="AY325" s="261" t="e">
        <f t="shared" si="216"/>
        <v>#REF!</v>
      </c>
      <c r="AZ325" s="261" t="e">
        <f t="shared" si="217"/>
        <v>#REF!</v>
      </c>
      <c r="BA325" s="261" t="e">
        <f t="shared" si="218"/>
        <v>#REF!</v>
      </c>
      <c r="BB325" s="261" t="e">
        <f t="shared" si="219"/>
        <v>#REF!</v>
      </c>
      <c r="BC325" s="261" t="e">
        <f t="shared" si="220"/>
        <v>#REF!</v>
      </c>
      <c r="BD325" s="261" t="e">
        <f t="shared" si="221"/>
        <v>#REF!</v>
      </c>
      <c r="BE325" s="261" t="e">
        <f>BC325+AV325+#REF!+AH325+AA325</f>
        <v>#REF!</v>
      </c>
      <c r="BF325" s="261" t="e">
        <f t="shared" si="222"/>
        <v>#REF!</v>
      </c>
      <c r="BG325" s="261" t="e">
        <f t="shared" si="223"/>
        <v>#REF!</v>
      </c>
    </row>
    <row r="326" spans="1:59" ht="15.75">
      <c r="A326" s="333">
        <v>27</v>
      </c>
      <c r="B326" s="333" t="s">
        <v>1607</v>
      </c>
      <c r="C326" s="256">
        <v>1</v>
      </c>
      <c r="D326" s="322" t="s">
        <v>16</v>
      </c>
      <c r="E326" s="256" t="s">
        <v>9</v>
      </c>
      <c r="F326" s="425">
        <f t="array" ref="F326">MAX((IF(MNU_CODIGO_ALIMENTO_ENTREGA=CONCATENATE($C326,"_","P_"),MNU_GRAMAJE_REQUERIDO_TIPOA,"")))</f>
        <v>30</v>
      </c>
      <c r="G326" s="257">
        <f t="shared" si="224"/>
        <v>71115</v>
      </c>
      <c r="H326" s="257">
        <f t="shared" si="225"/>
        <v>0</v>
      </c>
      <c r="I326" s="257">
        <f t="shared" si="226"/>
        <v>71115</v>
      </c>
      <c r="J326" s="258">
        <f t="shared" si="227"/>
        <v>57460920</v>
      </c>
      <c r="K326" s="258">
        <f t="shared" si="228"/>
        <v>0</v>
      </c>
      <c r="L326" s="258">
        <f t="shared" si="229"/>
        <v>57460920</v>
      </c>
      <c r="M326" s="426">
        <f t="array" ref="M326">MAX((IF(MNU_CODIGO_ALIMENTO_ENTREGA=CONCATENATE($C326,"_","P_"),MNU_GRAMAJE_REQUERIDO_TIPOB,"")))</f>
        <v>40</v>
      </c>
      <c r="N326" s="343">
        <f t="shared" si="230"/>
        <v>95235</v>
      </c>
      <c r="O326" s="343">
        <f t="shared" si="231"/>
        <v>0</v>
      </c>
      <c r="P326" s="343">
        <f t="shared" si="232"/>
        <v>95235</v>
      </c>
      <c r="Q326" s="344">
        <f t="shared" si="233"/>
        <v>102663330</v>
      </c>
      <c r="R326" s="344">
        <f t="shared" si="234"/>
        <v>0</v>
      </c>
      <c r="S326" s="344">
        <f t="shared" si="235"/>
        <v>102663330</v>
      </c>
      <c r="T326" s="348">
        <f t="array" ref="T326">MAX((IF(MNU_CODIGO_ALIMENTO_ENTREGA=CONCATENATE($C326,"_","P_"),MNU_GRAMAJE_REQUERIDO_TIPOC,"")))</f>
        <v>60</v>
      </c>
      <c r="U326" s="257">
        <f t="shared" si="236"/>
        <v>72540</v>
      </c>
      <c r="V326" s="257">
        <f t="shared" si="237"/>
        <v>0</v>
      </c>
      <c r="W326" s="257">
        <f t="shared" si="238"/>
        <v>72540</v>
      </c>
      <c r="X326" s="258">
        <f t="shared" si="239"/>
        <v>117224640</v>
      </c>
      <c r="Y326" s="258">
        <f t="shared" si="240"/>
        <v>0</v>
      </c>
      <c r="Z326" s="258">
        <f t="shared" si="241"/>
        <v>117224640</v>
      </c>
      <c r="AA326" s="256">
        <f t="array" ref="AA326">MAX((IF(MNU_CODIGO_ALIMENTO_ENTREGA=CONCATENATE($C326,"_","P_"),MNU_GRAMAJE_REQUERIDO_TIPOM,"")))</f>
        <v>40</v>
      </c>
      <c r="AB326" s="259">
        <f t="shared" si="242"/>
        <v>3435</v>
      </c>
      <c r="AC326" s="259">
        <v>0</v>
      </c>
      <c r="AD326" s="259">
        <f t="shared" si="243"/>
        <v>3435</v>
      </c>
      <c r="AE326" s="260">
        <f t="shared" si="244"/>
        <v>3702930</v>
      </c>
      <c r="AF326" s="260">
        <v>0</v>
      </c>
      <c r="AG326" s="260">
        <f t="shared" si="245"/>
        <v>3702930</v>
      </c>
      <c r="AH326" s="348">
        <f t="array" ref="AH326">MAX((IF(MNU_CODIGO_ALIMENTO_ENTREGA=CONCATENATE($C326,"_","P_"),MNU_GRAMAJE_REQUERIDO_TIPOH,"")))</f>
        <v>60</v>
      </c>
      <c r="AI326" s="257">
        <f t="shared" si="246"/>
        <v>3780</v>
      </c>
      <c r="AJ326" s="257">
        <v>0</v>
      </c>
      <c r="AK326" s="257">
        <f t="shared" si="247"/>
        <v>3780</v>
      </c>
      <c r="AL326" s="258">
        <f t="shared" si="248"/>
        <v>6108480</v>
      </c>
      <c r="AM326" s="258">
        <v>0</v>
      </c>
      <c r="AN326" s="258">
        <f t="shared" si="249"/>
        <v>6108480</v>
      </c>
      <c r="AO326" s="451">
        <f t="shared" si="250"/>
        <v>246105</v>
      </c>
      <c r="AP326" s="450">
        <f t="shared" si="251"/>
        <v>287160300</v>
      </c>
      <c r="AQ326" s="261" t="e">
        <f>#REF!+AH326+AA326+T326+M326</f>
        <v>#REF!</v>
      </c>
      <c r="AR326" s="261">
        <f t="shared" si="210"/>
        <v>287335290</v>
      </c>
      <c r="AS326" s="261" t="e">
        <f t="shared" si="211"/>
        <v>#REF!</v>
      </c>
      <c r="AT326" s="261">
        <f t="shared" si="212"/>
        <v>287510280</v>
      </c>
      <c r="AU326" s="261" t="e">
        <f t="shared" si="213"/>
        <v>#REF!</v>
      </c>
      <c r="AV326" s="261">
        <f t="shared" si="214"/>
        <v>287510280</v>
      </c>
      <c r="AW326" s="261" t="e">
        <f t="shared" si="215"/>
        <v>#REF!</v>
      </c>
      <c r="AX326" s="261" t="e">
        <f>AV326+#REF!+AH326+AA326+T326</f>
        <v>#REF!</v>
      </c>
      <c r="AY326" s="261" t="e">
        <f t="shared" si="216"/>
        <v>#REF!</v>
      </c>
      <c r="AZ326" s="261" t="e">
        <f t="shared" si="217"/>
        <v>#REF!</v>
      </c>
      <c r="BA326" s="261" t="e">
        <f t="shared" si="218"/>
        <v>#REF!</v>
      </c>
      <c r="BB326" s="261" t="e">
        <f t="shared" si="219"/>
        <v>#REF!</v>
      </c>
      <c r="BC326" s="261" t="e">
        <f t="shared" si="220"/>
        <v>#REF!</v>
      </c>
      <c r="BD326" s="261" t="e">
        <f t="shared" si="221"/>
        <v>#REF!</v>
      </c>
      <c r="BE326" s="261" t="e">
        <f>BC326+AV326+#REF!+AH326+AA326</f>
        <v>#REF!</v>
      </c>
      <c r="BF326" s="261" t="e">
        <f t="shared" si="222"/>
        <v>#REF!</v>
      </c>
      <c r="BG326" s="261" t="e">
        <f t="shared" si="223"/>
        <v>#REF!</v>
      </c>
    </row>
    <row r="327" spans="1:59" ht="15.75">
      <c r="A327" s="333">
        <v>27</v>
      </c>
      <c r="B327" s="333" t="s">
        <v>1607</v>
      </c>
      <c r="C327" s="256">
        <v>3</v>
      </c>
      <c r="D327" s="322" t="s">
        <v>12</v>
      </c>
      <c r="E327" s="256" t="s">
        <v>9</v>
      </c>
      <c r="F327" s="425">
        <f t="array" ref="F327">MAX((IF(MNU_CODIGO_ALIMENTO_ENTREGA=CONCATENATE($C327,"_","P_"),MNU_GRAMAJE_REQUERIDO_TIPOA,"")))</f>
        <v>50</v>
      </c>
      <c r="G327" s="257">
        <f t="shared" si="224"/>
        <v>80597</v>
      </c>
      <c r="H327" s="257">
        <f t="shared" si="225"/>
        <v>49153</v>
      </c>
      <c r="I327" s="257">
        <f t="shared" si="226"/>
        <v>129750</v>
      </c>
      <c r="J327" s="258">
        <f t="shared" si="227"/>
        <v>40701485</v>
      </c>
      <c r="K327" s="258">
        <f t="shared" si="228"/>
        <v>24822265</v>
      </c>
      <c r="L327" s="258">
        <f t="shared" si="229"/>
        <v>65523750</v>
      </c>
      <c r="M327" s="426">
        <f t="array" ref="M327">MAX((IF(MNU_CODIGO_ALIMENTO_ENTREGA=CONCATENATE($C327,"_","P_"),MNU_GRAMAJE_REQUERIDO_TIPOB,"")))</f>
        <v>50</v>
      </c>
      <c r="N327" s="343">
        <f t="shared" si="230"/>
        <v>107933</v>
      </c>
      <c r="O327" s="343">
        <f t="shared" si="231"/>
        <v>30096</v>
      </c>
      <c r="P327" s="343">
        <f t="shared" si="232"/>
        <v>138029</v>
      </c>
      <c r="Q327" s="344">
        <f t="shared" si="233"/>
        <v>54506165</v>
      </c>
      <c r="R327" s="344">
        <f t="shared" si="234"/>
        <v>15198480</v>
      </c>
      <c r="S327" s="344">
        <f t="shared" si="235"/>
        <v>69704645</v>
      </c>
      <c r="T327" s="348">
        <f t="array" ref="T327">MAX((IF(MNU_CODIGO_ALIMENTO_ENTREGA=CONCATENATE($C327,"_","P_"),MNU_GRAMAJE_REQUERIDO_TIPOC,"")))</f>
        <v>80</v>
      </c>
      <c r="U327" s="257">
        <f t="shared" si="236"/>
        <v>82212</v>
      </c>
      <c r="V327" s="257">
        <f t="shared" si="237"/>
        <v>21508</v>
      </c>
      <c r="W327" s="257">
        <f t="shared" si="238"/>
        <v>103720</v>
      </c>
      <c r="X327" s="258">
        <f t="shared" si="239"/>
        <v>62727756</v>
      </c>
      <c r="Y327" s="258">
        <f t="shared" si="240"/>
        <v>16410604</v>
      </c>
      <c r="Z327" s="258">
        <f t="shared" si="241"/>
        <v>79138360</v>
      </c>
      <c r="AA327" s="256">
        <f t="array" ref="AA327">MAX((IF(MNU_CODIGO_ALIMENTO_ENTREGA=CONCATENATE($C327,"_","P_"),MNU_GRAMAJE_REQUERIDO_TIPOM,"")))</f>
        <v>50</v>
      </c>
      <c r="AB327" s="259">
        <f t="shared" si="242"/>
        <v>3893</v>
      </c>
      <c r="AC327" s="259">
        <v>0</v>
      </c>
      <c r="AD327" s="259">
        <f t="shared" si="243"/>
        <v>3893</v>
      </c>
      <c r="AE327" s="260">
        <f t="shared" si="244"/>
        <v>1965965</v>
      </c>
      <c r="AF327" s="260">
        <v>0</v>
      </c>
      <c r="AG327" s="260">
        <f t="shared" si="245"/>
        <v>1965965</v>
      </c>
      <c r="AH327" s="348">
        <f t="array" ref="AH327">MAX((IF(MNU_CODIGO_ALIMENTO_ENTREGA=CONCATENATE($C327,"_","P_"),MNU_GRAMAJE_REQUERIDO_TIPOH,"")))</f>
        <v>80</v>
      </c>
      <c r="AI327" s="257">
        <f t="shared" si="246"/>
        <v>4284</v>
      </c>
      <c r="AJ327" s="257">
        <v>0</v>
      </c>
      <c r="AK327" s="257">
        <f t="shared" si="247"/>
        <v>4284</v>
      </c>
      <c r="AL327" s="258">
        <f t="shared" si="248"/>
        <v>3268692</v>
      </c>
      <c r="AM327" s="258">
        <v>0</v>
      </c>
      <c r="AN327" s="258">
        <f t="shared" si="249"/>
        <v>3268692</v>
      </c>
      <c r="AO327" s="451">
        <f t="shared" si="250"/>
        <v>379676</v>
      </c>
      <c r="AP327" s="450">
        <f t="shared" si="251"/>
        <v>219601412</v>
      </c>
      <c r="AQ327" s="261" t="e">
        <f>#REF!+AH327+AA327+T327+M327</f>
        <v>#REF!</v>
      </c>
      <c r="AR327" s="261">
        <f t="shared" si="210"/>
        <v>219799734</v>
      </c>
      <c r="AS327" s="261" t="e">
        <f t="shared" si="211"/>
        <v>#REF!</v>
      </c>
      <c r="AT327" s="261">
        <f t="shared" si="212"/>
        <v>220049660</v>
      </c>
      <c r="AU327" s="261" t="e">
        <f t="shared" si="213"/>
        <v>#REF!</v>
      </c>
      <c r="AV327" s="261">
        <f t="shared" si="214"/>
        <v>251658744</v>
      </c>
      <c r="AW327" s="261" t="e">
        <f t="shared" si="215"/>
        <v>#REF!</v>
      </c>
      <c r="AX327" s="261" t="e">
        <f>AV327+#REF!+AH327+AA327+T327</f>
        <v>#REF!</v>
      </c>
      <c r="AY327" s="261" t="e">
        <f t="shared" si="216"/>
        <v>#REF!</v>
      </c>
      <c r="AZ327" s="261" t="e">
        <f t="shared" si="217"/>
        <v>#REF!</v>
      </c>
      <c r="BA327" s="261" t="e">
        <f t="shared" si="218"/>
        <v>#REF!</v>
      </c>
      <c r="BB327" s="261" t="e">
        <f t="shared" si="219"/>
        <v>#REF!</v>
      </c>
      <c r="BC327" s="261" t="e">
        <f t="shared" si="220"/>
        <v>#REF!</v>
      </c>
      <c r="BD327" s="261" t="e">
        <f t="shared" si="221"/>
        <v>#REF!</v>
      </c>
      <c r="BE327" s="261" t="e">
        <f>BC327+AV327+#REF!+AH327+AA327</f>
        <v>#REF!</v>
      </c>
      <c r="BF327" s="261" t="e">
        <f t="shared" si="222"/>
        <v>#REF!</v>
      </c>
      <c r="BG327" s="261" t="e">
        <f t="shared" si="223"/>
        <v>#REF!</v>
      </c>
    </row>
    <row r="328" spans="1:59" ht="15.75">
      <c r="A328" s="333">
        <v>27</v>
      </c>
      <c r="B328" s="333" t="s">
        <v>1607</v>
      </c>
      <c r="C328" s="256">
        <v>15</v>
      </c>
      <c r="D328" s="322" t="s">
        <v>66</v>
      </c>
      <c r="E328" s="256" t="s">
        <v>9</v>
      </c>
      <c r="F328" s="425">
        <f t="array" ref="F328">MAX((IF(MNU_CODIGO_ALIMENTO_ENTREGA=CONCATENATE($C328,"_","P_"),MNU_GRAMAJE_REQUERIDO_TIPOA,"")))</f>
        <v>50</v>
      </c>
      <c r="G328" s="257">
        <f t="shared" si="224"/>
        <v>80597</v>
      </c>
      <c r="H328" s="257">
        <f t="shared" si="225"/>
        <v>28457</v>
      </c>
      <c r="I328" s="257">
        <f t="shared" si="226"/>
        <v>109054</v>
      </c>
      <c r="J328" s="258">
        <f t="shared" si="227"/>
        <v>54241781</v>
      </c>
      <c r="K328" s="258">
        <f t="shared" si="228"/>
        <v>19151561</v>
      </c>
      <c r="L328" s="258">
        <f t="shared" si="229"/>
        <v>73393342</v>
      </c>
      <c r="M328" s="426">
        <f t="array" ref="M328">MAX((IF(MNU_CODIGO_ALIMENTO_ENTREGA=CONCATENATE($C328,"_","P_"),MNU_GRAMAJE_REQUERIDO_TIPOB,"")))</f>
        <v>50</v>
      </c>
      <c r="N328" s="343">
        <f t="shared" si="230"/>
        <v>107933</v>
      </c>
      <c r="O328" s="343">
        <f t="shared" si="231"/>
        <v>17424</v>
      </c>
      <c r="P328" s="343">
        <f t="shared" si="232"/>
        <v>125357</v>
      </c>
      <c r="Q328" s="344">
        <f t="shared" si="233"/>
        <v>72638909</v>
      </c>
      <c r="R328" s="344">
        <f t="shared" si="234"/>
        <v>11726352</v>
      </c>
      <c r="S328" s="344">
        <f t="shared" si="235"/>
        <v>84365261</v>
      </c>
      <c r="T328" s="348">
        <f t="array" ref="T328">MAX((IF(MNU_CODIGO_ALIMENTO_ENTREGA=CONCATENATE($C328,"_","P_"),MNU_GRAMAJE_REQUERIDO_TIPOC,"")))</f>
        <v>80</v>
      </c>
      <c r="U328" s="257">
        <f t="shared" si="236"/>
        <v>82212</v>
      </c>
      <c r="V328" s="257">
        <f t="shared" si="237"/>
        <v>12452</v>
      </c>
      <c r="W328" s="257">
        <f t="shared" si="238"/>
        <v>94664</v>
      </c>
      <c r="X328" s="258">
        <f t="shared" si="239"/>
        <v>88460112</v>
      </c>
      <c r="Y328" s="258">
        <f t="shared" si="240"/>
        <v>13398352</v>
      </c>
      <c r="Z328" s="258">
        <f t="shared" si="241"/>
        <v>101858464</v>
      </c>
      <c r="AA328" s="256">
        <f t="array" ref="AA328">MAX((IF(MNU_CODIGO_ALIMENTO_ENTREGA=CONCATENATE($C328,"_","P_"),MNU_GRAMAJE_REQUERIDO_TIPOM,"")))</f>
        <v>50</v>
      </c>
      <c r="AB328" s="259">
        <f t="shared" si="242"/>
        <v>3893</v>
      </c>
      <c r="AC328" s="259">
        <v>0</v>
      </c>
      <c r="AD328" s="259">
        <f t="shared" si="243"/>
        <v>3893</v>
      </c>
      <c r="AE328" s="260">
        <f t="shared" si="244"/>
        <v>2619989</v>
      </c>
      <c r="AF328" s="260">
        <v>0</v>
      </c>
      <c r="AG328" s="260">
        <f t="shared" si="245"/>
        <v>2619989</v>
      </c>
      <c r="AH328" s="348">
        <f t="array" ref="AH328">MAX((IF(MNU_CODIGO_ALIMENTO_ENTREGA=CONCATENATE($C328,"_","P_"),MNU_GRAMAJE_REQUERIDO_TIPOH,"")))</f>
        <v>80</v>
      </c>
      <c r="AI328" s="257">
        <f t="shared" si="246"/>
        <v>4284</v>
      </c>
      <c r="AJ328" s="257">
        <v>0</v>
      </c>
      <c r="AK328" s="257">
        <f t="shared" si="247"/>
        <v>4284</v>
      </c>
      <c r="AL328" s="258">
        <f t="shared" si="248"/>
        <v>4609584</v>
      </c>
      <c r="AM328" s="258">
        <v>0</v>
      </c>
      <c r="AN328" s="258">
        <f t="shared" si="249"/>
        <v>4609584</v>
      </c>
      <c r="AO328" s="451">
        <f t="shared" si="250"/>
        <v>337252</v>
      </c>
      <c r="AP328" s="450">
        <f t="shared" si="251"/>
        <v>266846640</v>
      </c>
      <c r="AQ328" s="261" t="e">
        <f>#REF!+AH328+AA328+T328+M328</f>
        <v>#REF!</v>
      </c>
      <c r="AR328" s="261">
        <f t="shared" si="210"/>
        <v>267044962</v>
      </c>
      <c r="AS328" s="261" t="e">
        <f t="shared" si="211"/>
        <v>#REF!</v>
      </c>
      <c r="AT328" s="261">
        <f t="shared" si="212"/>
        <v>267273160</v>
      </c>
      <c r="AU328" s="261" t="e">
        <f t="shared" si="213"/>
        <v>#REF!</v>
      </c>
      <c r="AV328" s="261">
        <f t="shared" si="214"/>
        <v>292397864</v>
      </c>
      <c r="AW328" s="261" t="e">
        <f t="shared" si="215"/>
        <v>#REF!</v>
      </c>
      <c r="AX328" s="261" t="e">
        <f>AV328+#REF!+AH328+AA328+T328</f>
        <v>#REF!</v>
      </c>
      <c r="AY328" s="261" t="e">
        <f t="shared" si="216"/>
        <v>#REF!</v>
      </c>
      <c r="AZ328" s="261" t="e">
        <f t="shared" si="217"/>
        <v>#REF!</v>
      </c>
      <c r="BA328" s="261" t="e">
        <f t="shared" si="218"/>
        <v>#REF!</v>
      </c>
      <c r="BB328" s="261" t="e">
        <f t="shared" si="219"/>
        <v>#REF!</v>
      </c>
      <c r="BC328" s="261" t="e">
        <f t="shared" si="220"/>
        <v>#REF!</v>
      </c>
      <c r="BD328" s="261" t="e">
        <f t="shared" si="221"/>
        <v>#REF!</v>
      </c>
      <c r="BE328" s="261" t="e">
        <f>BC328+AV328+#REF!+AH328+AA328</f>
        <v>#REF!</v>
      </c>
      <c r="BF328" s="261" t="e">
        <f t="shared" si="222"/>
        <v>#REF!</v>
      </c>
      <c r="BG328" s="261" t="e">
        <f t="shared" si="223"/>
        <v>#REF!</v>
      </c>
    </row>
    <row r="329" spans="1:59" ht="15.75">
      <c r="A329" s="333">
        <v>27</v>
      </c>
      <c r="B329" s="333" t="s">
        <v>1607</v>
      </c>
      <c r="C329" s="256">
        <v>24</v>
      </c>
      <c r="D329" s="322" t="s">
        <v>61</v>
      </c>
      <c r="E329" s="256" t="s">
        <v>9</v>
      </c>
      <c r="F329" s="425">
        <f t="array" ref="F329">MAX((IF(MNU_CODIGO_ALIMENTO_ENTREGA=CONCATENATE($C329,"_","P_"),MNU_GRAMAJE_REQUERIDO_TIPOA,"")))</f>
        <v>20</v>
      </c>
      <c r="G329" s="257">
        <f t="shared" si="224"/>
        <v>80597</v>
      </c>
      <c r="H329" s="257">
        <f t="shared" si="225"/>
        <v>28457</v>
      </c>
      <c r="I329" s="257">
        <f t="shared" si="226"/>
        <v>109054</v>
      </c>
      <c r="J329" s="258">
        <f t="shared" si="227"/>
        <v>10316416</v>
      </c>
      <c r="K329" s="258">
        <f t="shared" si="228"/>
        <v>3642496</v>
      </c>
      <c r="L329" s="258">
        <f t="shared" si="229"/>
        <v>13958912</v>
      </c>
      <c r="M329" s="426">
        <f t="array" ref="M329">MAX((IF(MNU_CODIGO_ALIMENTO_ENTREGA=CONCATENATE($C329,"_","P_"),MNU_GRAMAJE_REQUERIDO_TIPOB,"")))</f>
        <v>30</v>
      </c>
      <c r="N329" s="343">
        <f t="shared" si="230"/>
        <v>107933</v>
      </c>
      <c r="O329" s="343">
        <f t="shared" si="231"/>
        <v>17424</v>
      </c>
      <c r="P329" s="343">
        <f t="shared" si="232"/>
        <v>125357</v>
      </c>
      <c r="Q329" s="344">
        <f t="shared" si="233"/>
        <v>21586600</v>
      </c>
      <c r="R329" s="344">
        <f t="shared" si="234"/>
        <v>3484800</v>
      </c>
      <c r="S329" s="344">
        <f t="shared" si="235"/>
        <v>25071400</v>
      </c>
      <c r="T329" s="348">
        <f t="array" ref="T329">MAX((IF(MNU_CODIGO_ALIMENTO_ENTREGA=CONCATENATE($C329,"_","P_"),MNU_GRAMAJE_REQUERIDO_TIPOC,"")))</f>
        <v>60</v>
      </c>
      <c r="U329" s="257">
        <f t="shared" si="236"/>
        <v>82212</v>
      </c>
      <c r="V329" s="257">
        <f t="shared" si="237"/>
        <v>12452</v>
      </c>
      <c r="W329" s="257">
        <f t="shared" si="238"/>
        <v>94664</v>
      </c>
      <c r="X329" s="258">
        <f t="shared" si="239"/>
        <v>31651620</v>
      </c>
      <c r="Y329" s="258">
        <f t="shared" si="240"/>
        <v>4794020</v>
      </c>
      <c r="Z329" s="258">
        <f t="shared" si="241"/>
        <v>36445640</v>
      </c>
      <c r="AA329" s="256">
        <f t="array" ref="AA329">MAX((IF(MNU_CODIGO_ALIMENTO_ENTREGA=CONCATENATE($C329,"_","P_"),MNU_GRAMAJE_REQUERIDO_TIPOM,"")))</f>
        <v>30</v>
      </c>
      <c r="AB329" s="259">
        <f t="shared" si="242"/>
        <v>3893</v>
      </c>
      <c r="AC329" s="259">
        <v>0</v>
      </c>
      <c r="AD329" s="259">
        <f t="shared" si="243"/>
        <v>3893</v>
      </c>
      <c r="AE329" s="260">
        <f t="shared" si="244"/>
        <v>778600</v>
      </c>
      <c r="AF329" s="260">
        <v>0</v>
      </c>
      <c r="AG329" s="260">
        <f t="shared" si="245"/>
        <v>778600</v>
      </c>
      <c r="AH329" s="348">
        <f t="array" ref="AH329">MAX((IF(MNU_CODIGO_ALIMENTO_ENTREGA=CONCATENATE($C329,"_","P_"),MNU_GRAMAJE_REQUERIDO_TIPOH,"")))</f>
        <v>60</v>
      </c>
      <c r="AI329" s="257">
        <f t="shared" si="246"/>
        <v>4284</v>
      </c>
      <c r="AJ329" s="257">
        <v>0</v>
      </c>
      <c r="AK329" s="257">
        <f t="shared" si="247"/>
        <v>4284</v>
      </c>
      <c r="AL329" s="258">
        <f t="shared" si="248"/>
        <v>1649340</v>
      </c>
      <c r="AM329" s="258">
        <v>0</v>
      </c>
      <c r="AN329" s="258">
        <f t="shared" si="249"/>
        <v>1649340</v>
      </c>
      <c r="AO329" s="451">
        <f t="shared" si="250"/>
        <v>337252</v>
      </c>
      <c r="AP329" s="450">
        <f t="shared" si="251"/>
        <v>77903892</v>
      </c>
      <c r="AQ329" s="261" t="e">
        <f>#REF!+AH329+AA329+T329+M329</f>
        <v>#REF!</v>
      </c>
      <c r="AR329" s="261">
        <f t="shared" si="210"/>
        <v>78102214</v>
      </c>
      <c r="AS329" s="261" t="e">
        <f t="shared" si="211"/>
        <v>#REF!</v>
      </c>
      <c r="AT329" s="261">
        <f t="shared" si="212"/>
        <v>78330412</v>
      </c>
      <c r="AU329" s="261" t="e">
        <f t="shared" si="213"/>
        <v>#REF!</v>
      </c>
      <c r="AV329" s="261">
        <f t="shared" si="214"/>
        <v>86609232</v>
      </c>
      <c r="AW329" s="261" t="e">
        <f t="shared" si="215"/>
        <v>#REF!</v>
      </c>
      <c r="AX329" s="261" t="e">
        <f>AV329+#REF!+AH329+AA329+T329</f>
        <v>#REF!</v>
      </c>
      <c r="AY329" s="261" t="e">
        <f t="shared" si="216"/>
        <v>#REF!</v>
      </c>
      <c r="AZ329" s="261" t="e">
        <f t="shared" si="217"/>
        <v>#REF!</v>
      </c>
      <c r="BA329" s="261" t="e">
        <f t="shared" si="218"/>
        <v>#REF!</v>
      </c>
      <c r="BB329" s="261" t="e">
        <f t="shared" si="219"/>
        <v>#REF!</v>
      </c>
      <c r="BC329" s="261" t="e">
        <f t="shared" si="220"/>
        <v>#REF!</v>
      </c>
      <c r="BD329" s="261" t="e">
        <f t="shared" si="221"/>
        <v>#REF!</v>
      </c>
      <c r="BE329" s="261" t="e">
        <f>BC329+AV329+#REF!+AH329+AA329</f>
        <v>#REF!</v>
      </c>
      <c r="BF329" s="261" t="e">
        <f t="shared" si="222"/>
        <v>#REF!</v>
      </c>
      <c r="BG329" s="261" t="e">
        <f t="shared" si="223"/>
        <v>#REF!</v>
      </c>
    </row>
    <row r="330" spans="1:59" ht="15.75">
      <c r="A330" s="333">
        <v>27</v>
      </c>
      <c r="B330" s="333" t="s">
        <v>1607</v>
      </c>
      <c r="C330" s="256">
        <v>25</v>
      </c>
      <c r="D330" s="322" t="s">
        <v>64</v>
      </c>
      <c r="E330" s="256" t="s">
        <v>9</v>
      </c>
      <c r="F330" s="425">
        <f t="array" ref="F330">MAX((IF(MNU_CODIGO_ALIMENTO_ENTREGA=CONCATENATE($C330,"_","P_"),MNU_GRAMAJE_REQUERIDO_TIPOA,"")))</f>
        <v>40</v>
      </c>
      <c r="G330" s="257">
        <f t="shared" si="224"/>
        <v>80597</v>
      </c>
      <c r="H330" s="257">
        <f t="shared" si="225"/>
        <v>56914</v>
      </c>
      <c r="I330" s="257">
        <f t="shared" si="226"/>
        <v>137511</v>
      </c>
      <c r="J330" s="258">
        <f t="shared" si="227"/>
        <v>20632832</v>
      </c>
      <c r="K330" s="258">
        <f t="shared" si="228"/>
        <v>14569984</v>
      </c>
      <c r="L330" s="258">
        <f t="shared" si="229"/>
        <v>35202816</v>
      </c>
      <c r="M330" s="426">
        <f t="array" ref="M330">MAX((IF(MNU_CODIGO_ALIMENTO_ENTREGA=CONCATENATE($C330,"_","P_"),MNU_GRAMAJE_REQUERIDO_TIPOB,"")))</f>
        <v>40</v>
      </c>
      <c r="N330" s="343">
        <f t="shared" si="230"/>
        <v>107933</v>
      </c>
      <c r="O330" s="343">
        <f t="shared" si="231"/>
        <v>34848</v>
      </c>
      <c r="P330" s="343">
        <f t="shared" si="232"/>
        <v>142781</v>
      </c>
      <c r="Q330" s="344">
        <f t="shared" si="233"/>
        <v>27630848</v>
      </c>
      <c r="R330" s="344">
        <f t="shared" si="234"/>
        <v>8921088</v>
      </c>
      <c r="S330" s="344">
        <f t="shared" si="235"/>
        <v>36551936</v>
      </c>
      <c r="T330" s="348">
        <f t="array" ref="T330">MAX((IF(MNU_CODIGO_ALIMENTO_ENTREGA=CONCATENATE($C330,"_","P_"),MNU_GRAMAJE_REQUERIDO_TIPOC,"")))</f>
        <v>60</v>
      </c>
      <c r="U330" s="257">
        <f t="shared" si="236"/>
        <v>82212</v>
      </c>
      <c r="V330" s="257">
        <f t="shared" si="237"/>
        <v>24904</v>
      </c>
      <c r="W330" s="257">
        <f t="shared" si="238"/>
        <v>107116</v>
      </c>
      <c r="X330" s="258">
        <f t="shared" si="239"/>
        <v>31569408</v>
      </c>
      <c r="Y330" s="258">
        <f t="shared" si="240"/>
        <v>9563136</v>
      </c>
      <c r="Z330" s="258">
        <f t="shared" si="241"/>
        <v>41132544</v>
      </c>
      <c r="AA330" s="256">
        <f t="array" ref="AA330">MAX((IF(MNU_CODIGO_ALIMENTO_ENTREGA=CONCATENATE($C330,"_","P_"),MNU_GRAMAJE_REQUERIDO_TIPOM,"")))</f>
        <v>40</v>
      </c>
      <c r="AB330" s="259">
        <f t="shared" si="242"/>
        <v>3893</v>
      </c>
      <c r="AC330" s="259">
        <v>0</v>
      </c>
      <c r="AD330" s="259">
        <f t="shared" si="243"/>
        <v>3893</v>
      </c>
      <c r="AE330" s="260">
        <f t="shared" si="244"/>
        <v>996608</v>
      </c>
      <c r="AF330" s="260">
        <v>0</v>
      </c>
      <c r="AG330" s="260">
        <f t="shared" si="245"/>
        <v>996608</v>
      </c>
      <c r="AH330" s="348">
        <f t="array" ref="AH330">MAX((IF(MNU_CODIGO_ALIMENTO_ENTREGA=CONCATENATE($C330,"_","P_"),MNU_GRAMAJE_REQUERIDO_TIPOH,"")))</f>
        <v>60</v>
      </c>
      <c r="AI330" s="257">
        <f t="shared" si="246"/>
        <v>4284</v>
      </c>
      <c r="AJ330" s="257">
        <v>0</v>
      </c>
      <c r="AK330" s="257">
        <f t="shared" si="247"/>
        <v>4284</v>
      </c>
      <c r="AL330" s="258">
        <f t="shared" si="248"/>
        <v>1645056</v>
      </c>
      <c r="AM330" s="258">
        <v>0</v>
      </c>
      <c r="AN330" s="258">
        <f t="shared" si="249"/>
        <v>1645056</v>
      </c>
      <c r="AO330" s="451">
        <f t="shared" si="250"/>
        <v>395585</v>
      </c>
      <c r="AP330" s="450">
        <f t="shared" si="251"/>
        <v>115528960</v>
      </c>
      <c r="AQ330" s="261" t="e">
        <f>#REF!+AH330+AA330+T330+M330</f>
        <v>#REF!</v>
      </c>
      <c r="AR330" s="261">
        <f t="shared" si="210"/>
        <v>115727282</v>
      </c>
      <c r="AS330" s="261" t="e">
        <f t="shared" si="211"/>
        <v>#REF!</v>
      </c>
      <c r="AT330" s="261">
        <f t="shared" si="212"/>
        <v>115985356</v>
      </c>
      <c r="AU330" s="261" t="e">
        <f t="shared" si="213"/>
        <v>#REF!</v>
      </c>
      <c r="AV330" s="261">
        <f t="shared" si="214"/>
        <v>134469580</v>
      </c>
      <c r="AW330" s="261" t="e">
        <f t="shared" si="215"/>
        <v>#REF!</v>
      </c>
      <c r="AX330" s="261" t="e">
        <f>AV330+#REF!+AH330+AA330+T330</f>
        <v>#REF!</v>
      </c>
      <c r="AY330" s="261" t="e">
        <f t="shared" si="216"/>
        <v>#REF!</v>
      </c>
      <c r="AZ330" s="261" t="e">
        <f t="shared" si="217"/>
        <v>#REF!</v>
      </c>
      <c r="BA330" s="261" t="e">
        <f t="shared" si="218"/>
        <v>#REF!</v>
      </c>
      <c r="BB330" s="261" t="e">
        <f t="shared" si="219"/>
        <v>#REF!</v>
      </c>
      <c r="BC330" s="261" t="e">
        <f t="shared" si="220"/>
        <v>#REF!</v>
      </c>
      <c r="BD330" s="261" t="e">
        <f t="shared" si="221"/>
        <v>#REF!</v>
      </c>
      <c r="BE330" s="261" t="e">
        <f>BC330+AV330+#REF!+AH330+AA330</f>
        <v>#REF!</v>
      </c>
      <c r="BF330" s="261" t="e">
        <f t="shared" si="222"/>
        <v>#REF!</v>
      </c>
      <c r="BG330" s="261" t="e">
        <f t="shared" si="223"/>
        <v>#REF!</v>
      </c>
    </row>
    <row r="331" spans="1:59" ht="15.75">
      <c r="A331" s="333">
        <v>27</v>
      </c>
      <c r="B331" s="333" t="s">
        <v>1607</v>
      </c>
      <c r="C331" s="256">
        <v>26</v>
      </c>
      <c r="D331" s="322" t="s">
        <v>69</v>
      </c>
      <c r="E331" s="256" t="s">
        <v>9</v>
      </c>
      <c r="F331" s="425">
        <f t="array" ref="F331">MAX((IF(MNU_CODIGO_ALIMENTO_ENTREGA=CONCATENATE($C331,"_","P_"),MNU_GRAMAJE_REQUERIDO_TIPOA,"")))</f>
        <v>30</v>
      </c>
      <c r="G331" s="257">
        <f t="shared" si="224"/>
        <v>28446</v>
      </c>
      <c r="H331" s="257">
        <f t="shared" si="225"/>
        <v>0</v>
      </c>
      <c r="I331" s="257">
        <f t="shared" si="226"/>
        <v>28446</v>
      </c>
      <c r="J331" s="258">
        <f t="shared" si="227"/>
        <v>4864266</v>
      </c>
      <c r="K331" s="258">
        <f t="shared" si="228"/>
        <v>0</v>
      </c>
      <c r="L331" s="258">
        <f t="shared" si="229"/>
        <v>4864266</v>
      </c>
      <c r="M331" s="426">
        <f t="array" ref="M331">MAX((IF(MNU_CODIGO_ALIMENTO_ENTREGA=CONCATENATE($C331,"_","P_"),MNU_GRAMAJE_REQUERIDO_TIPOB,"")))</f>
        <v>30</v>
      </c>
      <c r="N331" s="343">
        <f t="shared" si="230"/>
        <v>38094</v>
      </c>
      <c r="O331" s="343">
        <f t="shared" si="231"/>
        <v>0</v>
      </c>
      <c r="P331" s="343">
        <f t="shared" si="232"/>
        <v>38094</v>
      </c>
      <c r="Q331" s="344">
        <f t="shared" si="233"/>
        <v>6514074</v>
      </c>
      <c r="R331" s="344">
        <f t="shared" si="234"/>
        <v>0</v>
      </c>
      <c r="S331" s="344">
        <f t="shared" si="235"/>
        <v>6514074</v>
      </c>
      <c r="T331" s="348">
        <f t="array" ref="T331">MAX((IF(MNU_CODIGO_ALIMENTO_ENTREGA=CONCATENATE($C331,"_","P_"),MNU_GRAMAJE_REQUERIDO_TIPOC,"")))</f>
        <v>30</v>
      </c>
      <c r="U331" s="257">
        <f t="shared" si="236"/>
        <v>29016</v>
      </c>
      <c r="V331" s="257">
        <f t="shared" si="237"/>
        <v>0</v>
      </c>
      <c r="W331" s="257">
        <f t="shared" si="238"/>
        <v>29016</v>
      </c>
      <c r="X331" s="258">
        <f t="shared" si="239"/>
        <v>4961736</v>
      </c>
      <c r="Y331" s="258">
        <f t="shared" si="240"/>
        <v>0</v>
      </c>
      <c r="Z331" s="258">
        <f t="shared" si="241"/>
        <v>4961736</v>
      </c>
      <c r="AA331" s="256">
        <f t="array" ref="AA331">MAX((IF(MNU_CODIGO_ALIMENTO_ENTREGA=CONCATENATE($C331,"_","P_"),MNU_GRAMAJE_REQUERIDO_TIPOM,"")))</f>
        <v>30</v>
      </c>
      <c r="AB331" s="259">
        <f t="shared" si="242"/>
        <v>1374</v>
      </c>
      <c r="AC331" s="259">
        <v>0</v>
      </c>
      <c r="AD331" s="259">
        <f t="shared" si="243"/>
        <v>1374</v>
      </c>
      <c r="AE331" s="260">
        <f t="shared" si="244"/>
        <v>234954</v>
      </c>
      <c r="AF331" s="260">
        <v>0</v>
      </c>
      <c r="AG331" s="260">
        <f t="shared" si="245"/>
        <v>234954</v>
      </c>
      <c r="AH331" s="348">
        <f t="array" ref="AH331">MAX((IF(MNU_CODIGO_ALIMENTO_ENTREGA=CONCATENATE($C331,"_","P_"),MNU_GRAMAJE_REQUERIDO_TIPOH,"")))</f>
        <v>30</v>
      </c>
      <c r="AI331" s="257">
        <f t="shared" si="246"/>
        <v>1512</v>
      </c>
      <c r="AJ331" s="257">
        <v>0</v>
      </c>
      <c r="AK331" s="257">
        <f t="shared" si="247"/>
        <v>1512</v>
      </c>
      <c r="AL331" s="258">
        <f t="shared" si="248"/>
        <v>258552</v>
      </c>
      <c r="AM331" s="258">
        <v>0</v>
      </c>
      <c r="AN331" s="258">
        <f t="shared" si="249"/>
        <v>258552</v>
      </c>
      <c r="AO331" s="451">
        <f t="shared" si="250"/>
        <v>98442</v>
      </c>
      <c r="AP331" s="450">
        <f t="shared" si="251"/>
        <v>16833582</v>
      </c>
      <c r="AQ331" s="261" t="e">
        <f>#REF!+AH331+AA331+T331+M331</f>
        <v>#REF!</v>
      </c>
      <c r="AR331" s="261">
        <f t="shared" si="210"/>
        <v>16903578</v>
      </c>
      <c r="AS331" s="261" t="e">
        <f t="shared" si="211"/>
        <v>#REF!</v>
      </c>
      <c r="AT331" s="261">
        <f t="shared" si="212"/>
        <v>16973574</v>
      </c>
      <c r="AU331" s="261" t="e">
        <f t="shared" si="213"/>
        <v>#REF!</v>
      </c>
      <c r="AV331" s="261">
        <f t="shared" si="214"/>
        <v>16973574</v>
      </c>
      <c r="AW331" s="261" t="e">
        <f t="shared" si="215"/>
        <v>#REF!</v>
      </c>
      <c r="AX331" s="261" t="e">
        <f>AV331+#REF!+AH331+AA331+T331</f>
        <v>#REF!</v>
      </c>
      <c r="AY331" s="261" t="e">
        <f t="shared" si="216"/>
        <v>#REF!</v>
      </c>
      <c r="AZ331" s="261" t="e">
        <f t="shared" si="217"/>
        <v>#REF!</v>
      </c>
      <c r="BA331" s="261" t="e">
        <f t="shared" si="218"/>
        <v>#REF!</v>
      </c>
      <c r="BB331" s="261" t="e">
        <f t="shared" si="219"/>
        <v>#REF!</v>
      </c>
      <c r="BC331" s="261" t="e">
        <f t="shared" si="220"/>
        <v>#REF!</v>
      </c>
      <c r="BD331" s="261" t="e">
        <f t="shared" si="221"/>
        <v>#REF!</v>
      </c>
      <c r="BE331" s="261" t="e">
        <f>BC331+AV331+#REF!+AH331+AA331</f>
        <v>#REF!</v>
      </c>
      <c r="BF331" s="261" t="e">
        <f t="shared" si="222"/>
        <v>#REF!</v>
      </c>
      <c r="BG331" s="261" t="e">
        <f t="shared" si="223"/>
        <v>#REF!</v>
      </c>
    </row>
    <row r="332" spans="1:59" ht="27">
      <c r="A332" s="333">
        <v>27</v>
      </c>
      <c r="B332" s="333" t="s">
        <v>1607</v>
      </c>
      <c r="C332" s="256">
        <v>28</v>
      </c>
      <c r="D332" s="322" t="s">
        <v>67</v>
      </c>
      <c r="E332" s="256" t="s">
        <v>9</v>
      </c>
      <c r="F332" s="425">
        <f t="array" ref="F332">MAX((IF(MNU_CODIGO_ALIMENTO_ENTREGA=CONCATENATE($C332,"_","P_"),MNU_GRAMAJE_REQUERIDO_TIPOA,"")))</f>
        <v>30</v>
      </c>
      <c r="G332" s="257">
        <f t="shared" si="224"/>
        <v>28446</v>
      </c>
      <c r="H332" s="257">
        <f t="shared" si="225"/>
        <v>49153</v>
      </c>
      <c r="I332" s="257">
        <f t="shared" si="226"/>
        <v>77599</v>
      </c>
      <c r="J332" s="258">
        <f t="shared" si="227"/>
        <v>6428796</v>
      </c>
      <c r="K332" s="258">
        <f t="shared" si="228"/>
        <v>11108578</v>
      </c>
      <c r="L332" s="258">
        <f t="shared" si="229"/>
        <v>17537374</v>
      </c>
      <c r="M332" s="426">
        <f t="array" ref="M332">MAX((IF(MNU_CODIGO_ALIMENTO_ENTREGA=CONCATENATE($C332,"_","P_"),MNU_GRAMAJE_REQUERIDO_TIPOB,"")))</f>
        <v>40</v>
      </c>
      <c r="N332" s="343">
        <f t="shared" si="230"/>
        <v>38094</v>
      </c>
      <c r="O332" s="343">
        <f t="shared" si="231"/>
        <v>30096</v>
      </c>
      <c r="P332" s="343">
        <f t="shared" si="232"/>
        <v>68190</v>
      </c>
      <c r="Q332" s="344">
        <f t="shared" si="233"/>
        <v>11466294</v>
      </c>
      <c r="R332" s="344">
        <f t="shared" si="234"/>
        <v>9058896</v>
      </c>
      <c r="S332" s="344">
        <f t="shared" si="235"/>
        <v>20525190</v>
      </c>
      <c r="T332" s="348">
        <f t="array" ref="T332">MAX((IF(MNU_CODIGO_ALIMENTO_ENTREGA=CONCATENATE($C332,"_","P_"),MNU_GRAMAJE_REQUERIDO_TIPOC,"")))</f>
        <v>60</v>
      </c>
      <c r="U332" s="257">
        <f t="shared" si="236"/>
        <v>29016</v>
      </c>
      <c r="V332" s="257">
        <f t="shared" si="237"/>
        <v>21508</v>
      </c>
      <c r="W332" s="257">
        <f t="shared" si="238"/>
        <v>50524</v>
      </c>
      <c r="X332" s="258">
        <f t="shared" si="239"/>
        <v>13086216</v>
      </c>
      <c r="Y332" s="258">
        <f t="shared" si="240"/>
        <v>9700108</v>
      </c>
      <c r="Z332" s="258">
        <f t="shared" si="241"/>
        <v>22786324</v>
      </c>
      <c r="AA332" s="256">
        <f t="array" ref="AA332">MAX((IF(MNU_CODIGO_ALIMENTO_ENTREGA=CONCATENATE($C332,"_","P_"),MNU_GRAMAJE_REQUERIDO_TIPOM,"")))</f>
        <v>40</v>
      </c>
      <c r="AB332" s="259">
        <f t="shared" si="242"/>
        <v>1374</v>
      </c>
      <c r="AC332" s="259">
        <v>0</v>
      </c>
      <c r="AD332" s="259">
        <f t="shared" si="243"/>
        <v>1374</v>
      </c>
      <c r="AE332" s="260">
        <f t="shared" si="244"/>
        <v>413574</v>
      </c>
      <c r="AF332" s="260">
        <v>0</v>
      </c>
      <c r="AG332" s="260">
        <f t="shared" si="245"/>
        <v>413574</v>
      </c>
      <c r="AH332" s="348">
        <f t="array" ref="AH332">MAX((IF(MNU_CODIGO_ALIMENTO_ENTREGA=CONCATENATE($C332,"_","P_"),MNU_GRAMAJE_REQUERIDO_TIPOH,"")))</f>
        <v>60</v>
      </c>
      <c r="AI332" s="257">
        <f t="shared" si="246"/>
        <v>1512</v>
      </c>
      <c r="AJ332" s="257">
        <v>0</v>
      </c>
      <c r="AK332" s="257">
        <f t="shared" si="247"/>
        <v>1512</v>
      </c>
      <c r="AL332" s="258">
        <f t="shared" si="248"/>
        <v>681912</v>
      </c>
      <c r="AM332" s="258">
        <v>0</v>
      </c>
      <c r="AN332" s="258">
        <f t="shared" si="249"/>
        <v>681912</v>
      </c>
      <c r="AO332" s="451">
        <f t="shared" si="250"/>
        <v>199199</v>
      </c>
      <c r="AP332" s="450">
        <f t="shared" si="251"/>
        <v>61944374</v>
      </c>
      <c r="AQ332" s="261" t="e">
        <f>#REF!+AH332+AA332+T332+M332</f>
        <v>#REF!</v>
      </c>
      <c r="AR332" s="261">
        <f t="shared" si="210"/>
        <v>62014370</v>
      </c>
      <c r="AS332" s="261" t="e">
        <f t="shared" si="211"/>
        <v>#REF!</v>
      </c>
      <c r="AT332" s="261">
        <f t="shared" si="212"/>
        <v>62135970</v>
      </c>
      <c r="AU332" s="261" t="e">
        <f t="shared" si="213"/>
        <v>#REF!</v>
      </c>
      <c r="AV332" s="261">
        <f t="shared" si="214"/>
        <v>80894974</v>
      </c>
      <c r="AW332" s="261" t="e">
        <f t="shared" si="215"/>
        <v>#REF!</v>
      </c>
      <c r="AX332" s="261" t="e">
        <f>AV332+#REF!+AH332+AA332+T332</f>
        <v>#REF!</v>
      </c>
      <c r="AY332" s="261" t="e">
        <f t="shared" si="216"/>
        <v>#REF!</v>
      </c>
      <c r="AZ332" s="261" t="e">
        <f t="shared" si="217"/>
        <v>#REF!</v>
      </c>
      <c r="BA332" s="261" t="e">
        <f t="shared" si="218"/>
        <v>#REF!</v>
      </c>
      <c r="BB332" s="261" t="e">
        <f t="shared" si="219"/>
        <v>#REF!</v>
      </c>
      <c r="BC332" s="261" t="e">
        <f t="shared" si="220"/>
        <v>#REF!</v>
      </c>
      <c r="BD332" s="261" t="e">
        <f t="shared" si="221"/>
        <v>#REF!</v>
      </c>
      <c r="BE332" s="261" t="e">
        <f>BC332+AV332+#REF!+AH332+AA332</f>
        <v>#REF!</v>
      </c>
      <c r="BF332" s="261" t="e">
        <f t="shared" si="222"/>
        <v>#REF!</v>
      </c>
      <c r="BG332" s="261" t="e">
        <f t="shared" si="223"/>
        <v>#REF!</v>
      </c>
    </row>
    <row r="333" spans="1:59" ht="15.75">
      <c r="A333" s="333">
        <v>27</v>
      </c>
      <c r="B333" s="333" t="s">
        <v>1607</v>
      </c>
      <c r="C333" s="256">
        <v>30</v>
      </c>
      <c r="D333" s="322" t="s">
        <v>63</v>
      </c>
      <c r="E333" s="256" t="s">
        <v>9</v>
      </c>
      <c r="F333" s="425">
        <f t="array" ref="F333">MAX((IF(MNU_CODIGO_ALIMENTO_ENTREGA=CONCATENATE($C333,"_","P_"),MNU_GRAMAJE_REQUERIDO_TIPOA,"")))</f>
        <v>30</v>
      </c>
      <c r="G333" s="257">
        <f t="shared" si="224"/>
        <v>75856</v>
      </c>
      <c r="H333" s="257">
        <f t="shared" si="225"/>
        <v>0</v>
      </c>
      <c r="I333" s="257">
        <f t="shared" si="226"/>
        <v>75856</v>
      </c>
      <c r="J333" s="258">
        <f t="shared" si="227"/>
        <v>25184192</v>
      </c>
      <c r="K333" s="258">
        <f t="shared" si="228"/>
        <v>0</v>
      </c>
      <c r="L333" s="258">
        <f t="shared" si="229"/>
        <v>25184192</v>
      </c>
      <c r="M333" s="426">
        <f t="array" ref="M333">MAX((IF(MNU_CODIGO_ALIMENTO_ENTREGA=CONCATENATE($C333,"_","P_"),MNU_GRAMAJE_REQUERIDO_TIPOB,"")))</f>
        <v>30</v>
      </c>
      <c r="N333" s="343">
        <f t="shared" si="230"/>
        <v>101584</v>
      </c>
      <c r="O333" s="343">
        <f t="shared" si="231"/>
        <v>0</v>
      </c>
      <c r="P333" s="343">
        <f t="shared" si="232"/>
        <v>101584</v>
      </c>
      <c r="Q333" s="344">
        <f t="shared" si="233"/>
        <v>33725888</v>
      </c>
      <c r="R333" s="344">
        <f t="shared" si="234"/>
        <v>0</v>
      </c>
      <c r="S333" s="344">
        <f t="shared" si="235"/>
        <v>33725888</v>
      </c>
      <c r="T333" s="348">
        <f t="array" ref="T333">MAX((IF(MNU_CODIGO_ALIMENTO_ENTREGA=CONCATENATE($C333,"_","P_"),MNU_GRAMAJE_REQUERIDO_TIPOC,"")))</f>
        <v>30</v>
      </c>
      <c r="U333" s="257">
        <f t="shared" si="236"/>
        <v>77376</v>
      </c>
      <c r="V333" s="257">
        <f t="shared" si="237"/>
        <v>0</v>
      </c>
      <c r="W333" s="257">
        <f t="shared" si="238"/>
        <v>77376</v>
      </c>
      <c r="X333" s="258">
        <f t="shared" si="239"/>
        <v>25688832</v>
      </c>
      <c r="Y333" s="258">
        <f t="shared" si="240"/>
        <v>0</v>
      </c>
      <c r="Z333" s="258">
        <f t="shared" si="241"/>
        <v>25688832</v>
      </c>
      <c r="AA333" s="256">
        <f t="array" ref="AA333">MAX((IF(MNU_CODIGO_ALIMENTO_ENTREGA=CONCATENATE($C333,"_","P_"),MNU_GRAMAJE_REQUERIDO_TIPOM,"")))</f>
        <v>30</v>
      </c>
      <c r="AB333" s="259">
        <f t="shared" si="242"/>
        <v>3664</v>
      </c>
      <c r="AC333" s="259">
        <v>0</v>
      </c>
      <c r="AD333" s="259">
        <f t="shared" si="243"/>
        <v>3664</v>
      </c>
      <c r="AE333" s="260">
        <f t="shared" si="244"/>
        <v>1216448</v>
      </c>
      <c r="AF333" s="260">
        <v>0</v>
      </c>
      <c r="AG333" s="260">
        <f t="shared" si="245"/>
        <v>1216448</v>
      </c>
      <c r="AH333" s="348">
        <f t="array" ref="AH333">MAX((IF(MNU_CODIGO_ALIMENTO_ENTREGA=CONCATENATE($C333,"_","P_"),MNU_GRAMAJE_REQUERIDO_TIPOH,"")))</f>
        <v>30</v>
      </c>
      <c r="AI333" s="257">
        <f t="shared" si="246"/>
        <v>4032</v>
      </c>
      <c r="AJ333" s="257">
        <v>0</v>
      </c>
      <c r="AK333" s="257">
        <f t="shared" si="247"/>
        <v>4032</v>
      </c>
      <c r="AL333" s="258">
        <f t="shared" si="248"/>
        <v>1338624</v>
      </c>
      <c r="AM333" s="258">
        <v>0</v>
      </c>
      <c r="AN333" s="258">
        <f t="shared" si="249"/>
        <v>1338624</v>
      </c>
      <c r="AO333" s="451">
        <f t="shared" si="250"/>
        <v>262512</v>
      </c>
      <c r="AP333" s="450">
        <f t="shared" si="251"/>
        <v>87153984</v>
      </c>
      <c r="AQ333" s="261" t="e">
        <f>#REF!+AH333+AA333+T333+M333</f>
        <v>#REF!</v>
      </c>
      <c r="AR333" s="261">
        <f t="shared" si="210"/>
        <v>87340640</v>
      </c>
      <c r="AS333" s="261" t="e">
        <f t="shared" si="211"/>
        <v>#REF!</v>
      </c>
      <c r="AT333" s="261">
        <f t="shared" si="212"/>
        <v>87527296</v>
      </c>
      <c r="AU333" s="261" t="e">
        <f t="shared" si="213"/>
        <v>#REF!</v>
      </c>
      <c r="AV333" s="261">
        <f t="shared" si="214"/>
        <v>87527296</v>
      </c>
      <c r="AW333" s="261" t="e">
        <f t="shared" si="215"/>
        <v>#REF!</v>
      </c>
      <c r="AX333" s="261" t="e">
        <f>AV333+#REF!+AH333+AA333+T333</f>
        <v>#REF!</v>
      </c>
      <c r="AY333" s="261" t="e">
        <f t="shared" si="216"/>
        <v>#REF!</v>
      </c>
      <c r="AZ333" s="261" t="e">
        <f t="shared" si="217"/>
        <v>#REF!</v>
      </c>
      <c r="BA333" s="261" t="e">
        <f t="shared" si="218"/>
        <v>#REF!</v>
      </c>
      <c r="BB333" s="261" t="e">
        <f t="shared" si="219"/>
        <v>#REF!</v>
      </c>
      <c r="BC333" s="261" t="e">
        <f t="shared" si="220"/>
        <v>#REF!</v>
      </c>
      <c r="BD333" s="261" t="e">
        <f t="shared" si="221"/>
        <v>#REF!</v>
      </c>
      <c r="BE333" s="261" t="e">
        <f>BC333+AV333+#REF!+AH333+AA333</f>
        <v>#REF!</v>
      </c>
      <c r="BF333" s="261" t="e">
        <f t="shared" si="222"/>
        <v>#REF!</v>
      </c>
      <c r="BG333" s="261" t="e">
        <f t="shared" si="223"/>
        <v>#REF!</v>
      </c>
    </row>
    <row r="334" spans="1:59" ht="15.75">
      <c r="A334" s="333">
        <v>27</v>
      </c>
      <c r="B334" s="333" t="s">
        <v>1607</v>
      </c>
      <c r="C334" s="256">
        <v>45</v>
      </c>
      <c r="D334" s="322" t="s">
        <v>10</v>
      </c>
      <c r="E334" s="256" t="s">
        <v>9</v>
      </c>
      <c r="F334" s="425">
        <f t="array" ref="F334">MAX((IF(MNU_CODIGO_ALIMENTO_ENTREGA=CONCATENATE($C334,"_","P_"),MNU_GRAMAJE_REQUERIDO_TIPOA,"")))</f>
        <v>20</v>
      </c>
      <c r="G334" s="257">
        <f t="shared" si="224"/>
        <v>75856</v>
      </c>
      <c r="H334" s="257">
        <f t="shared" si="225"/>
        <v>51740</v>
      </c>
      <c r="I334" s="257">
        <f t="shared" si="226"/>
        <v>127596</v>
      </c>
      <c r="J334" s="258">
        <f t="shared" si="227"/>
        <v>15095344</v>
      </c>
      <c r="K334" s="258">
        <f t="shared" si="228"/>
        <v>10296260</v>
      </c>
      <c r="L334" s="258">
        <f t="shared" si="229"/>
        <v>25391604</v>
      </c>
      <c r="M334" s="426">
        <f t="array" ref="M334">MAX((IF(MNU_CODIGO_ALIMENTO_ENTREGA=CONCATENATE($C334,"_","P_"),MNU_GRAMAJE_REQUERIDO_TIPOB,"")))</f>
        <v>30</v>
      </c>
      <c r="N334" s="343">
        <f t="shared" si="230"/>
        <v>101584</v>
      </c>
      <c r="O334" s="343">
        <f t="shared" si="231"/>
        <v>31680</v>
      </c>
      <c r="P334" s="343">
        <f t="shared" si="232"/>
        <v>133264</v>
      </c>
      <c r="Q334" s="344">
        <f t="shared" si="233"/>
        <v>30272032</v>
      </c>
      <c r="R334" s="344">
        <f t="shared" si="234"/>
        <v>9440640</v>
      </c>
      <c r="S334" s="344">
        <f t="shared" si="235"/>
        <v>39712672</v>
      </c>
      <c r="T334" s="348">
        <f t="array" ref="T334">MAX((IF(MNU_CODIGO_ALIMENTO_ENTREGA=CONCATENATE($C334,"_","P_"),MNU_GRAMAJE_REQUERIDO_TIPOC,"")))</f>
        <v>60</v>
      </c>
      <c r="U334" s="257">
        <f t="shared" si="236"/>
        <v>77376</v>
      </c>
      <c r="V334" s="257">
        <f t="shared" si="237"/>
        <v>22640</v>
      </c>
      <c r="W334" s="257">
        <f t="shared" si="238"/>
        <v>100016</v>
      </c>
      <c r="X334" s="258">
        <f t="shared" si="239"/>
        <v>46193472</v>
      </c>
      <c r="Y334" s="258">
        <f t="shared" si="240"/>
        <v>13516080</v>
      </c>
      <c r="Z334" s="258">
        <f t="shared" si="241"/>
        <v>59709552</v>
      </c>
      <c r="AA334" s="256">
        <f t="array" ref="AA334">MAX((IF(MNU_CODIGO_ALIMENTO_ENTREGA=CONCATENATE($C334,"_","P_"),MNU_GRAMAJE_REQUERIDO_TIPOM,"")))</f>
        <v>30</v>
      </c>
      <c r="AB334" s="259">
        <f t="shared" si="242"/>
        <v>3664</v>
      </c>
      <c r="AC334" s="259">
        <v>0</v>
      </c>
      <c r="AD334" s="259">
        <f t="shared" si="243"/>
        <v>3664</v>
      </c>
      <c r="AE334" s="260">
        <f t="shared" si="244"/>
        <v>1091872</v>
      </c>
      <c r="AF334" s="260">
        <v>0</v>
      </c>
      <c r="AG334" s="260">
        <f t="shared" si="245"/>
        <v>1091872</v>
      </c>
      <c r="AH334" s="348">
        <f t="array" ref="AH334">MAX((IF(MNU_CODIGO_ALIMENTO_ENTREGA=CONCATENATE($C334,"_","P_"),MNU_GRAMAJE_REQUERIDO_TIPOH,"")))</f>
        <v>60</v>
      </c>
      <c r="AI334" s="257">
        <f t="shared" si="246"/>
        <v>4032</v>
      </c>
      <c r="AJ334" s="257">
        <v>0</v>
      </c>
      <c r="AK334" s="257">
        <f t="shared" si="247"/>
        <v>4032</v>
      </c>
      <c r="AL334" s="258">
        <f t="shared" si="248"/>
        <v>2407104</v>
      </c>
      <c r="AM334" s="258">
        <v>0</v>
      </c>
      <c r="AN334" s="258">
        <f t="shared" si="249"/>
        <v>2407104</v>
      </c>
      <c r="AO334" s="451">
        <f t="shared" si="250"/>
        <v>368572</v>
      </c>
      <c r="AP334" s="450">
        <f t="shared" si="251"/>
        <v>128312804</v>
      </c>
      <c r="AQ334" s="261" t="e">
        <f>#REF!+AH334+AA334+T334+M334</f>
        <v>#REF!</v>
      </c>
      <c r="AR334" s="261">
        <f t="shared" si="210"/>
        <v>128499460</v>
      </c>
      <c r="AS334" s="261" t="e">
        <f t="shared" si="211"/>
        <v>#REF!</v>
      </c>
      <c r="AT334" s="261">
        <f t="shared" si="212"/>
        <v>128740436</v>
      </c>
      <c r="AU334" s="261" t="e">
        <f t="shared" si="213"/>
        <v>#REF!</v>
      </c>
      <c r="AV334" s="261">
        <f t="shared" si="214"/>
        <v>151697156</v>
      </c>
      <c r="AW334" s="261" t="e">
        <f t="shared" si="215"/>
        <v>#REF!</v>
      </c>
      <c r="AX334" s="261" t="e">
        <f>AV334+#REF!+AH334+AA334+T334</f>
        <v>#REF!</v>
      </c>
      <c r="AY334" s="261" t="e">
        <f t="shared" si="216"/>
        <v>#REF!</v>
      </c>
      <c r="AZ334" s="261" t="e">
        <f t="shared" si="217"/>
        <v>#REF!</v>
      </c>
      <c r="BA334" s="261" t="e">
        <f t="shared" si="218"/>
        <v>#REF!</v>
      </c>
      <c r="BB334" s="261" t="e">
        <f t="shared" si="219"/>
        <v>#REF!</v>
      </c>
      <c r="BC334" s="261" t="e">
        <f t="shared" si="220"/>
        <v>#REF!</v>
      </c>
      <c r="BD334" s="261" t="e">
        <f t="shared" si="221"/>
        <v>#REF!</v>
      </c>
      <c r="BE334" s="261" t="e">
        <f>BC334+AV334+#REF!+AH334+AA334</f>
        <v>#REF!</v>
      </c>
      <c r="BF334" s="261" t="e">
        <f t="shared" si="222"/>
        <v>#REF!</v>
      </c>
      <c r="BG334" s="261" t="e">
        <f t="shared" si="223"/>
        <v>#REF!</v>
      </c>
    </row>
    <row r="335" spans="1:59" ht="15.75">
      <c r="A335" s="333">
        <v>27</v>
      </c>
      <c r="B335" s="333" t="s">
        <v>1607</v>
      </c>
      <c r="C335" s="256">
        <v>50</v>
      </c>
      <c r="D335" s="322" t="s">
        <v>65</v>
      </c>
      <c r="E335" s="256" t="s">
        <v>9</v>
      </c>
      <c r="F335" s="425">
        <f t="array" ref="F335">MAX((IF(MNU_CODIGO_ALIMENTO_ENTREGA=CONCATENATE($C335,"_","P_"),MNU_GRAMAJE_REQUERIDO_TIPOA,"")))</f>
        <v>30</v>
      </c>
      <c r="G335" s="257">
        <f t="shared" si="224"/>
        <v>80597</v>
      </c>
      <c r="H335" s="257">
        <f t="shared" si="225"/>
        <v>0</v>
      </c>
      <c r="I335" s="257">
        <f t="shared" si="226"/>
        <v>80597</v>
      </c>
      <c r="J335" s="258">
        <f t="shared" si="227"/>
        <v>25871637</v>
      </c>
      <c r="K335" s="258">
        <f t="shared" si="228"/>
        <v>0</v>
      </c>
      <c r="L335" s="258">
        <f t="shared" si="229"/>
        <v>25871637</v>
      </c>
      <c r="M335" s="426">
        <f t="array" ref="M335">MAX((IF(MNU_CODIGO_ALIMENTO_ENTREGA=CONCATENATE($C335,"_","P_"),MNU_GRAMAJE_REQUERIDO_TIPOB,"")))</f>
        <v>40</v>
      </c>
      <c r="N335" s="343">
        <f t="shared" si="230"/>
        <v>107933</v>
      </c>
      <c r="O335" s="343">
        <f t="shared" si="231"/>
        <v>0</v>
      </c>
      <c r="P335" s="343">
        <f t="shared" si="232"/>
        <v>107933</v>
      </c>
      <c r="Q335" s="344">
        <f t="shared" si="233"/>
        <v>46195324</v>
      </c>
      <c r="R335" s="344">
        <f t="shared" si="234"/>
        <v>0</v>
      </c>
      <c r="S335" s="344">
        <f t="shared" si="235"/>
        <v>46195324</v>
      </c>
      <c r="T335" s="348">
        <f t="array" ref="T335">MAX((IF(MNU_CODIGO_ALIMENTO_ENTREGA=CONCATENATE($C335,"_","P_"),MNU_GRAMAJE_REQUERIDO_TIPOC,"")))</f>
        <v>80</v>
      </c>
      <c r="U335" s="257">
        <f t="shared" si="236"/>
        <v>82212</v>
      </c>
      <c r="V335" s="257">
        <f t="shared" si="237"/>
        <v>0</v>
      </c>
      <c r="W335" s="257">
        <f t="shared" si="238"/>
        <v>82212</v>
      </c>
      <c r="X335" s="258">
        <f t="shared" si="239"/>
        <v>70291260</v>
      </c>
      <c r="Y335" s="258">
        <f t="shared" si="240"/>
        <v>0</v>
      </c>
      <c r="Z335" s="258">
        <f t="shared" si="241"/>
        <v>70291260</v>
      </c>
      <c r="AA335" s="256">
        <f t="array" ref="AA335">MAX((IF(MNU_CODIGO_ALIMENTO_ENTREGA=CONCATENATE($C335,"_","P_"),MNU_GRAMAJE_REQUERIDO_TIPOM,"")))</f>
        <v>40</v>
      </c>
      <c r="AB335" s="259">
        <f t="shared" si="242"/>
        <v>3893</v>
      </c>
      <c r="AC335" s="259">
        <v>0</v>
      </c>
      <c r="AD335" s="259">
        <f t="shared" si="243"/>
        <v>3893</v>
      </c>
      <c r="AE335" s="260">
        <f t="shared" si="244"/>
        <v>1666204</v>
      </c>
      <c r="AF335" s="260">
        <v>0</v>
      </c>
      <c r="AG335" s="260">
        <f t="shared" si="245"/>
        <v>1666204</v>
      </c>
      <c r="AH335" s="348">
        <f t="array" ref="AH335">MAX((IF(MNU_CODIGO_ALIMENTO_ENTREGA=CONCATENATE($C335,"_","P_"),MNU_GRAMAJE_REQUERIDO_TIPOH,"")))</f>
        <v>80</v>
      </c>
      <c r="AI335" s="257">
        <f t="shared" si="246"/>
        <v>4284</v>
      </c>
      <c r="AJ335" s="257">
        <v>0</v>
      </c>
      <c r="AK335" s="257">
        <f t="shared" si="247"/>
        <v>4284</v>
      </c>
      <c r="AL335" s="258">
        <f t="shared" si="248"/>
        <v>3662820</v>
      </c>
      <c r="AM335" s="258">
        <v>0</v>
      </c>
      <c r="AN335" s="258">
        <f t="shared" si="249"/>
        <v>3662820</v>
      </c>
      <c r="AO335" s="451">
        <f t="shared" si="250"/>
        <v>278919</v>
      </c>
      <c r="AP335" s="450">
        <f t="shared" si="251"/>
        <v>147687245</v>
      </c>
      <c r="AQ335" s="261" t="e">
        <f>#REF!+AH335+AA335+T335+M335</f>
        <v>#REF!</v>
      </c>
      <c r="AR335" s="261">
        <f t="shared" si="210"/>
        <v>147885567</v>
      </c>
      <c r="AS335" s="261" t="e">
        <f t="shared" si="211"/>
        <v>#REF!</v>
      </c>
      <c r="AT335" s="261">
        <f t="shared" si="212"/>
        <v>148083889</v>
      </c>
      <c r="AU335" s="261" t="e">
        <f t="shared" si="213"/>
        <v>#REF!</v>
      </c>
      <c r="AV335" s="261">
        <f t="shared" si="214"/>
        <v>148083889</v>
      </c>
      <c r="AW335" s="261" t="e">
        <f t="shared" si="215"/>
        <v>#REF!</v>
      </c>
      <c r="AX335" s="261" t="e">
        <f>AV335+#REF!+AH335+AA335+T335</f>
        <v>#REF!</v>
      </c>
      <c r="AY335" s="261" t="e">
        <f t="shared" si="216"/>
        <v>#REF!</v>
      </c>
      <c r="AZ335" s="261" t="e">
        <f t="shared" si="217"/>
        <v>#REF!</v>
      </c>
      <c r="BA335" s="261" t="e">
        <f t="shared" si="218"/>
        <v>#REF!</v>
      </c>
      <c r="BB335" s="261" t="e">
        <f t="shared" si="219"/>
        <v>#REF!</v>
      </c>
      <c r="BC335" s="261" t="e">
        <f t="shared" si="220"/>
        <v>#REF!</v>
      </c>
      <c r="BD335" s="261" t="e">
        <f t="shared" si="221"/>
        <v>#REF!</v>
      </c>
      <c r="BE335" s="261" t="e">
        <f>BC335+AV335+#REF!+AH335+AA335</f>
        <v>#REF!</v>
      </c>
      <c r="BF335" s="261" t="e">
        <f t="shared" si="222"/>
        <v>#REF!</v>
      </c>
      <c r="BG335" s="261" t="e">
        <f t="shared" si="223"/>
        <v>#REF!</v>
      </c>
    </row>
    <row r="336" spans="1:59" ht="15.75">
      <c r="A336" s="333">
        <v>27</v>
      </c>
      <c r="B336" s="333" t="s">
        <v>1607</v>
      </c>
      <c r="C336" s="256">
        <v>61</v>
      </c>
      <c r="D336" s="322" t="s">
        <v>13</v>
      </c>
      <c r="E336" s="256" t="s">
        <v>9</v>
      </c>
      <c r="F336" s="425">
        <f t="array" ref="F336">MAX((IF(MNU_CODIGO_ALIMENTO_ENTREGA=CONCATENATE($C336,"_","P_"),MNU_GRAMAJE_REQUERIDO_TIPOA,"")))</f>
        <v>20</v>
      </c>
      <c r="G336" s="257">
        <f t="shared" si="224"/>
        <v>75856</v>
      </c>
      <c r="H336" s="257">
        <f t="shared" si="225"/>
        <v>51740</v>
      </c>
      <c r="I336" s="257">
        <f t="shared" si="226"/>
        <v>127596</v>
      </c>
      <c r="J336" s="258">
        <f t="shared" si="227"/>
        <v>17674448</v>
      </c>
      <c r="K336" s="258">
        <f t="shared" si="228"/>
        <v>12055420</v>
      </c>
      <c r="L336" s="258">
        <f t="shared" si="229"/>
        <v>29729868</v>
      </c>
      <c r="M336" s="426">
        <f t="array" ref="M336">MAX((IF(MNU_CODIGO_ALIMENTO_ENTREGA=CONCATENATE($C336,"_","P_"),MNU_GRAMAJE_REQUERIDO_TIPOB,"")))</f>
        <v>30</v>
      </c>
      <c r="N336" s="343">
        <f t="shared" si="230"/>
        <v>101584</v>
      </c>
      <c r="O336" s="343">
        <f t="shared" si="231"/>
        <v>31680</v>
      </c>
      <c r="P336" s="343">
        <f t="shared" si="232"/>
        <v>133264</v>
      </c>
      <c r="Q336" s="344">
        <f t="shared" si="233"/>
        <v>35655984</v>
      </c>
      <c r="R336" s="344">
        <f t="shared" si="234"/>
        <v>11119680</v>
      </c>
      <c r="S336" s="344">
        <f t="shared" si="235"/>
        <v>46775664</v>
      </c>
      <c r="T336" s="348">
        <f t="array" ref="T336">MAX((IF(MNU_CODIGO_ALIMENTO_ENTREGA=CONCATENATE($C336,"_","P_"),MNU_GRAMAJE_REQUERIDO_TIPOC,"")))</f>
        <v>70</v>
      </c>
      <c r="U336" s="257">
        <f t="shared" si="236"/>
        <v>77376</v>
      </c>
      <c r="V336" s="257">
        <f t="shared" si="237"/>
        <v>22640</v>
      </c>
      <c r="W336" s="257">
        <f t="shared" si="238"/>
        <v>100016</v>
      </c>
      <c r="X336" s="258">
        <f t="shared" si="239"/>
        <v>63293568</v>
      </c>
      <c r="Y336" s="258">
        <f t="shared" si="240"/>
        <v>18519520</v>
      </c>
      <c r="Z336" s="258">
        <f t="shared" si="241"/>
        <v>81813088</v>
      </c>
      <c r="AA336" s="256">
        <f t="array" ref="AA336">MAX((IF(MNU_CODIGO_ALIMENTO_ENTREGA=CONCATENATE($C336,"_","P_"),MNU_GRAMAJE_REQUERIDO_TIPOM,"")))</f>
        <v>30</v>
      </c>
      <c r="AB336" s="259">
        <f t="shared" si="242"/>
        <v>3664</v>
      </c>
      <c r="AC336" s="259">
        <v>0</v>
      </c>
      <c r="AD336" s="259">
        <f t="shared" si="243"/>
        <v>3664</v>
      </c>
      <c r="AE336" s="260">
        <f t="shared" si="244"/>
        <v>1286064</v>
      </c>
      <c r="AF336" s="260">
        <v>0</v>
      </c>
      <c r="AG336" s="260">
        <f t="shared" si="245"/>
        <v>1286064</v>
      </c>
      <c r="AH336" s="348">
        <f t="array" ref="AH336">MAX((IF(MNU_CODIGO_ALIMENTO_ENTREGA=CONCATENATE($C336,"_","P_"),MNU_GRAMAJE_REQUERIDO_TIPOH,"")))</f>
        <v>70</v>
      </c>
      <c r="AI336" s="257">
        <f t="shared" si="246"/>
        <v>4032</v>
      </c>
      <c r="AJ336" s="257">
        <v>0</v>
      </c>
      <c r="AK336" s="257">
        <f t="shared" si="247"/>
        <v>4032</v>
      </c>
      <c r="AL336" s="258">
        <f t="shared" si="248"/>
        <v>3298176</v>
      </c>
      <c r="AM336" s="258">
        <v>0</v>
      </c>
      <c r="AN336" s="258">
        <f t="shared" si="249"/>
        <v>3298176</v>
      </c>
      <c r="AO336" s="451">
        <f t="shared" si="250"/>
        <v>368572</v>
      </c>
      <c r="AP336" s="450">
        <f t="shared" si="251"/>
        <v>162902860</v>
      </c>
      <c r="AQ336" s="261" t="e">
        <f>#REF!+AH336+AA336+T336+M336</f>
        <v>#REF!</v>
      </c>
      <c r="AR336" s="261">
        <f t="shared" si="210"/>
        <v>163089516</v>
      </c>
      <c r="AS336" s="261" t="e">
        <f t="shared" si="211"/>
        <v>#REF!</v>
      </c>
      <c r="AT336" s="261">
        <f t="shared" si="212"/>
        <v>163330492</v>
      </c>
      <c r="AU336" s="261" t="e">
        <f t="shared" si="213"/>
        <v>#REF!</v>
      </c>
      <c r="AV336" s="261">
        <f t="shared" si="214"/>
        <v>192969692</v>
      </c>
      <c r="AW336" s="261" t="e">
        <f t="shared" si="215"/>
        <v>#REF!</v>
      </c>
      <c r="AX336" s="261" t="e">
        <f>AV336+#REF!+AH336+AA336+T336</f>
        <v>#REF!</v>
      </c>
      <c r="AY336" s="261" t="e">
        <f t="shared" si="216"/>
        <v>#REF!</v>
      </c>
      <c r="AZ336" s="261" t="e">
        <f t="shared" si="217"/>
        <v>#REF!</v>
      </c>
      <c r="BA336" s="261" t="e">
        <f t="shared" si="218"/>
        <v>#REF!</v>
      </c>
      <c r="BB336" s="261" t="e">
        <f t="shared" si="219"/>
        <v>#REF!</v>
      </c>
      <c r="BC336" s="261" t="e">
        <f t="shared" si="220"/>
        <v>#REF!</v>
      </c>
      <c r="BD336" s="261" t="e">
        <f t="shared" si="221"/>
        <v>#REF!</v>
      </c>
      <c r="BE336" s="261" t="e">
        <f>BC336+AV336+#REF!+AH336+AA336</f>
        <v>#REF!</v>
      </c>
      <c r="BF336" s="261" t="e">
        <f t="shared" si="222"/>
        <v>#REF!</v>
      </c>
      <c r="BG336" s="261" t="e">
        <f t="shared" si="223"/>
        <v>#REF!</v>
      </c>
    </row>
    <row r="337" spans="1:59" ht="15.75">
      <c r="A337" s="333">
        <v>27</v>
      </c>
      <c r="B337" s="333" t="s">
        <v>1607</v>
      </c>
      <c r="C337" s="256">
        <v>62</v>
      </c>
      <c r="D337" s="322" t="s">
        <v>68</v>
      </c>
      <c r="E337" s="256" t="s">
        <v>9</v>
      </c>
      <c r="F337" s="425">
        <f t="array" ref="F337">MAX((IF(MNU_CODIGO_ALIMENTO_ENTREGA=CONCATENATE($C337,"_","P_"),MNU_GRAMAJE_REQUERIDO_TIPOA,"")))</f>
        <v>50</v>
      </c>
      <c r="G337" s="257">
        <f t="shared" si="224"/>
        <v>23705</v>
      </c>
      <c r="H337" s="257">
        <f t="shared" si="225"/>
        <v>0</v>
      </c>
      <c r="I337" s="257">
        <f t="shared" si="226"/>
        <v>23705</v>
      </c>
      <c r="J337" s="258">
        <f t="shared" si="227"/>
        <v>14815625</v>
      </c>
      <c r="K337" s="258">
        <f t="shared" si="228"/>
        <v>0</v>
      </c>
      <c r="L337" s="258">
        <f t="shared" si="229"/>
        <v>14815625</v>
      </c>
      <c r="M337" s="426">
        <f t="array" ref="M337">MAX((IF(MNU_CODIGO_ALIMENTO_ENTREGA=CONCATENATE($C337,"_","P_"),MNU_GRAMAJE_REQUERIDO_TIPOB,"")))</f>
        <v>50</v>
      </c>
      <c r="N337" s="343">
        <f t="shared" si="230"/>
        <v>31745</v>
      </c>
      <c r="O337" s="343">
        <f t="shared" si="231"/>
        <v>0</v>
      </c>
      <c r="P337" s="343">
        <f t="shared" si="232"/>
        <v>31745</v>
      </c>
      <c r="Q337" s="344">
        <f t="shared" si="233"/>
        <v>19840625</v>
      </c>
      <c r="R337" s="344">
        <f t="shared" si="234"/>
        <v>0</v>
      </c>
      <c r="S337" s="344">
        <f t="shared" si="235"/>
        <v>19840625</v>
      </c>
      <c r="T337" s="348">
        <f t="array" ref="T337">MAX((IF(MNU_CODIGO_ALIMENTO_ENTREGA=CONCATENATE($C337,"_","P_"),MNU_GRAMAJE_REQUERIDO_TIPOC,"")))</f>
        <v>50</v>
      </c>
      <c r="U337" s="257">
        <f t="shared" si="236"/>
        <v>24180</v>
      </c>
      <c r="V337" s="257">
        <f t="shared" si="237"/>
        <v>0</v>
      </c>
      <c r="W337" s="257">
        <f t="shared" si="238"/>
        <v>24180</v>
      </c>
      <c r="X337" s="258">
        <f t="shared" si="239"/>
        <v>15112500</v>
      </c>
      <c r="Y337" s="258">
        <f t="shared" si="240"/>
        <v>0</v>
      </c>
      <c r="Z337" s="258">
        <f t="shared" si="241"/>
        <v>15112500</v>
      </c>
      <c r="AA337" s="256">
        <f t="array" ref="AA337">MAX((IF(MNU_CODIGO_ALIMENTO_ENTREGA=CONCATENATE($C337,"_","P_"),MNU_GRAMAJE_REQUERIDO_TIPOM,"")))</f>
        <v>50</v>
      </c>
      <c r="AB337" s="259">
        <f t="shared" si="242"/>
        <v>1145</v>
      </c>
      <c r="AC337" s="259">
        <v>0</v>
      </c>
      <c r="AD337" s="259">
        <f t="shared" si="243"/>
        <v>1145</v>
      </c>
      <c r="AE337" s="260">
        <f t="shared" si="244"/>
        <v>715625</v>
      </c>
      <c r="AF337" s="260">
        <v>0</v>
      </c>
      <c r="AG337" s="260">
        <f t="shared" si="245"/>
        <v>715625</v>
      </c>
      <c r="AH337" s="348">
        <f t="array" ref="AH337">MAX((IF(MNU_CODIGO_ALIMENTO_ENTREGA=CONCATENATE($C337,"_","P_"),MNU_GRAMAJE_REQUERIDO_TIPOH,"")))</f>
        <v>50</v>
      </c>
      <c r="AI337" s="257">
        <f t="shared" si="246"/>
        <v>1260</v>
      </c>
      <c r="AJ337" s="257">
        <v>0</v>
      </c>
      <c r="AK337" s="257">
        <f t="shared" si="247"/>
        <v>1260</v>
      </c>
      <c r="AL337" s="258">
        <f t="shared" si="248"/>
        <v>787500</v>
      </c>
      <c r="AM337" s="258">
        <v>0</v>
      </c>
      <c r="AN337" s="258">
        <f t="shared" si="249"/>
        <v>787500</v>
      </c>
      <c r="AO337" s="451">
        <f t="shared" si="250"/>
        <v>82035</v>
      </c>
      <c r="AP337" s="450">
        <f t="shared" si="251"/>
        <v>51271875</v>
      </c>
      <c r="AQ337" s="261" t="e">
        <f>#REF!+AH337+AA337+T337+M337</f>
        <v>#REF!</v>
      </c>
      <c r="AR337" s="261">
        <f t="shared" si="210"/>
        <v>51330205</v>
      </c>
      <c r="AS337" s="261" t="e">
        <f t="shared" si="211"/>
        <v>#REF!</v>
      </c>
      <c r="AT337" s="261">
        <f t="shared" si="212"/>
        <v>51388535</v>
      </c>
      <c r="AU337" s="261" t="e">
        <f t="shared" si="213"/>
        <v>#REF!</v>
      </c>
      <c r="AV337" s="261">
        <f t="shared" si="214"/>
        <v>51388535</v>
      </c>
      <c r="AW337" s="261" t="e">
        <f t="shared" si="215"/>
        <v>#REF!</v>
      </c>
      <c r="AX337" s="261" t="e">
        <f>AV337+#REF!+AH337+AA337+T337</f>
        <v>#REF!</v>
      </c>
      <c r="AY337" s="261" t="e">
        <f t="shared" si="216"/>
        <v>#REF!</v>
      </c>
      <c r="AZ337" s="261" t="e">
        <f t="shared" si="217"/>
        <v>#REF!</v>
      </c>
      <c r="BA337" s="261" t="e">
        <f t="shared" si="218"/>
        <v>#REF!</v>
      </c>
      <c r="BB337" s="261" t="e">
        <f t="shared" si="219"/>
        <v>#REF!</v>
      </c>
      <c r="BC337" s="261" t="e">
        <f t="shared" si="220"/>
        <v>#REF!</v>
      </c>
      <c r="BD337" s="261" t="e">
        <f t="shared" si="221"/>
        <v>#REF!</v>
      </c>
      <c r="BE337" s="261" t="e">
        <f>BC337+AV337+#REF!+AH337+AA337</f>
        <v>#REF!</v>
      </c>
      <c r="BF337" s="261" t="e">
        <f t="shared" si="222"/>
        <v>#REF!</v>
      </c>
      <c r="BG337" s="261" t="e">
        <f t="shared" si="223"/>
        <v>#REF!</v>
      </c>
    </row>
    <row r="338" spans="1:59" ht="15.75">
      <c r="A338" s="333">
        <v>28</v>
      </c>
      <c r="B338" s="333" t="s">
        <v>1607</v>
      </c>
      <c r="C338" s="256">
        <v>1</v>
      </c>
      <c r="D338" s="322" t="s">
        <v>16</v>
      </c>
      <c r="E338" s="256" t="s">
        <v>9</v>
      </c>
      <c r="F338" s="425">
        <f t="array" ref="F338">MAX((IF(MNU_CODIGO_ALIMENTO_ENTREGA=CONCATENATE($C338,"_","P_"),MNU_GRAMAJE_REQUERIDO_TIPOA,"")))</f>
        <v>30</v>
      </c>
      <c r="G338" s="257">
        <f t="shared" si="224"/>
        <v>82260</v>
      </c>
      <c r="H338" s="257">
        <f t="shared" si="225"/>
        <v>0</v>
      </c>
      <c r="I338" s="257">
        <f t="shared" si="226"/>
        <v>82260</v>
      </c>
      <c r="J338" s="258">
        <f t="shared" si="227"/>
        <v>66466080</v>
      </c>
      <c r="K338" s="258">
        <f t="shared" si="228"/>
        <v>0</v>
      </c>
      <c r="L338" s="258">
        <f t="shared" si="229"/>
        <v>66466080</v>
      </c>
      <c r="M338" s="426">
        <f t="array" ref="M338">MAX((IF(MNU_CODIGO_ALIMENTO_ENTREGA=CONCATENATE($C338,"_","P_"),MNU_GRAMAJE_REQUERIDO_TIPOB,"")))</f>
        <v>40</v>
      </c>
      <c r="N338" s="343">
        <f t="shared" si="230"/>
        <v>95475</v>
      </c>
      <c r="O338" s="343">
        <f t="shared" si="231"/>
        <v>0</v>
      </c>
      <c r="P338" s="343">
        <f t="shared" si="232"/>
        <v>95475</v>
      </c>
      <c r="Q338" s="344">
        <f t="shared" si="233"/>
        <v>102922050</v>
      </c>
      <c r="R338" s="344">
        <f t="shared" si="234"/>
        <v>0</v>
      </c>
      <c r="S338" s="344">
        <f t="shared" si="235"/>
        <v>102922050</v>
      </c>
      <c r="T338" s="348">
        <f t="array" ref="T338">MAX((IF(MNU_CODIGO_ALIMENTO_ENTREGA=CONCATENATE($C338,"_","P_"),MNU_GRAMAJE_REQUERIDO_TIPOC,"")))</f>
        <v>60</v>
      </c>
      <c r="U338" s="257">
        <f t="shared" si="236"/>
        <v>85245</v>
      </c>
      <c r="V338" s="257">
        <f t="shared" si="237"/>
        <v>0</v>
      </c>
      <c r="W338" s="257">
        <f t="shared" si="238"/>
        <v>85245</v>
      </c>
      <c r="X338" s="258">
        <f t="shared" si="239"/>
        <v>137755920</v>
      </c>
      <c r="Y338" s="258">
        <f t="shared" si="240"/>
        <v>0</v>
      </c>
      <c r="Z338" s="258">
        <f t="shared" si="241"/>
        <v>137755920</v>
      </c>
      <c r="AA338" s="256">
        <f t="array" ref="AA338">MAX((IF(MNU_CODIGO_ALIMENTO_ENTREGA=CONCATENATE($C338,"_","P_"),MNU_GRAMAJE_REQUERIDO_TIPOM,"")))</f>
        <v>40</v>
      </c>
      <c r="AB338" s="259">
        <f t="shared" si="242"/>
        <v>4665</v>
      </c>
      <c r="AC338" s="259">
        <v>0</v>
      </c>
      <c r="AD338" s="259">
        <f t="shared" si="243"/>
        <v>4665</v>
      </c>
      <c r="AE338" s="260">
        <f t="shared" si="244"/>
        <v>5028870</v>
      </c>
      <c r="AF338" s="260">
        <v>0</v>
      </c>
      <c r="AG338" s="260">
        <f t="shared" si="245"/>
        <v>5028870</v>
      </c>
      <c r="AH338" s="348">
        <f t="array" ref="AH338">MAX((IF(MNU_CODIGO_ALIMENTO_ENTREGA=CONCATENATE($C338,"_","P_"),MNU_GRAMAJE_REQUERIDO_TIPOH,"")))</f>
        <v>60</v>
      </c>
      <c r="AI338" s="257">
        <f t="shared" si="246"/>
        <v>4830</v>
      </c>
      <c r="AJ338" s="257">
        <v>0</v>
      </c>
      <c r="AK338" s="257">
        <f t="shared" si="247"/>
        <v>4830</v>
      </c>
      <c r="AL338" s="258">
        <f t="shared" si="248"/>
        <v>7805280</v>
      </c>
      <c r="AM338" s="258">
        <v>0</v>
      </c>
      <c r="AN338" s="258">
        <f t="shared" si="249"/>
        <v>7805280</v>
      </c>
      <c r="AO338" s="451">
        <f t="shared" si="250"/>
        <v>272475</v>
      </c>
      <c r="AP338" s="450">
        <f t="shared" si="251"/>
        <v>319978200</v>
      </c>
      <c r="AQ338" s="261" t="e">
        <f>#REF!+AH338+AA338+T338+M338</f>
        <v>#REF!</v>
      </c>
      <c r="AR338" s="261">
        <f t="shared" si="210"/>
        <v>320168415</v>
      </c>
      <c r="AS338" s="261" t="e">
        <f t="shared" si="211"/>
        <v>#REF!</v>
      </c>
      <c r="AT338" s="261">
        <f t="shared" si="212"/>
        <v>320358630</v>
      </c>
      <c r="AU338" s="261" t="e">
        <f t="shared" si="213"/>
        <v>#REF!</v>
      </c>
      <c r="AV338" s="261">
        <f t="shared" si="214"/>
        <v>320358630</v>
      </c>
      <c r="AW338" s="261" t="e">
        <f t="shared" si="215"/>
        <v>#REF!</v>
      </c>
      <c r="AX338" s="261" t="e">
        <f>AV338+#REF!+AH338+AA338+T338</f>
        <v>#REF!</v>
      </c>
      <c r="AY338" s="261" t="e">
        <f t="shared" si="216"/>
        <v>#REF!</v>
      </c>
      <c r="AZ338" s="261" t="e">
        <f t="shared" si="217"/>
        <v>#REF!</v>
      </c>
      <c r="BA338" s="261" t="e">
        <f t="shared" si="218"/>
        <v>#REF!</v>
      </c>
      <c r="BB338" s="261" t="e">
        <f t="shared" si="219"/>
        <v>#REF!</v>
      </c>
      <c r="BC338" s="261" t="e">
        <f t="shared" si="220"/>
        <v>#REF!</v>
      </c>
      <c r="BD338" s="261" t="e">
        <f t="shared" si="221"/>
        <v>#REF!</v>
      </c>
      <c r="BE338" s="261" t="e">
        <f>BC338+AV338+#REF!+AH338+AA338</f>
        <v>#REF!</v>
      </c>
      <c r="BF338" s="261" t="e">
        <f t="shared" si="222"/>
        <v>#REF!</v>
      </c>
      <c r="BG338" s="261" t="e">
        <f t="shared" si="223"/>
        <v>#REF!</v>
      </c>
    </row>
    <row r="339" spans="1:59" ht="15.75">
      <c r="A339" s="333">
        <v>28</v>
      </c>
      <c r="B339" s="333" t="s">
        <v>1607</v>
      </c>
      <c r="C339" s="256">
        <v>3</v>
      </c>
      <c r="D339" s="322" t="s">
        <v>12</v>
      </c>
      <c r="E339" s="256" t="s">
        <v>9</v>
      </c>
      <c r="F339" s="425">
        <f t="array" ref="F339">MAX((IF(MNU_CODIGO_ALIMENTO_ENTREGA=CONCATENATE($C339,"_","P_"),MNU_GRAMAJE_REQUERIDO_TIPOA,"")))</f>
        <v>50</v>
      </c>
      <c r="G339" s="257">
        <f t="shared" si="224"/>
        <v>93228</v>
      </c>
      <c r="H339" s="257">
        <f t="shared" si="225"/>
        <v>36062</v>
      </c>
      <c r="I339" s="257">
        <f t="shared" si="226"/>
        <v>129290</v>
      </c>
      <c r="J339" s="258">
        <f t="shared" si="227"/>
        <v>47080140</v>
      </c>
      <c r="K339" s="258">
        <f t="shared" si="228"/>
        <v>18211310</v>
      </c>
      <c r="L339" s="258">
        <f t="shared" si="229"/>
        <v>65291450</v>
      </c>
      <c r="M339" s="426">
        <f t="array" ref="M339">MAX((IF(MNU_CODIGO_ALIMENTO_ENTREGA=CONCATENATE($C339,"_","P_"),MNU_GRAMAJE_REQUERIDO_TIPOB,"")))</f>
        <v>50</v>
      </c>
      <c r="N339" s="343">
        <f t="shared" si="230"/>
        <v>108205</v>
      </c>
      <c r="O339" s="343">
        <f t="shared" si="231"/>
        <v>7638</v>
      </c>
      <c r="P339" s="343">
        <f t="shared" si="232"/>
        <v>115843</v>
      </c>
      <c r="Q339" s="344">
        <f t="shared" si="233"/>
        <v>54643525</v>
      </c>
      <c r="R339" s="344">
        <f t="shared" si="234"/>
        <v>3857190</v>
      </c>
      <c r="S339" s="344">
        <f t="shared" si="235"/>
        <v>58500715</v>
      </c>
      <c r="T339" s="348">
        <f t="array" ref="T339">MAX((IF(MNU_CODIGO_ALIMENTO_ENTREGA=CONCATENATE($C339,"_","P_"),MNU_GRAMAJE_REQUERIDO_TIPOC,"")))</f>
        <v>80</v>
      </c>
      <c r="U339" s="257">
        <f t="shared" si="236"/>
        <v>96611</v>
      </c>
      <c r="V339" s="257">
        <f t="shared" si="237"/>
        <v>15162</v>
      </c>
      <c r="W339" s="257">
        <f t="shared" si="238"/>
        <v>111773</v>
      </c>
      <c r="X339" s="258">
        <f t="shared" si="239"/>
        <v>73714193</v>
      </c>
      <c r="Y339" s="258">
        <f t="shared" si="240"/>
        <v>11568606</v>
      </c>
      <c r="Z339" s="258">
        <f t="shared" si="241"/>
        <v>85282799</v>
      </c>
      <c r="AA339" s="256">
        <f t="array" ref="AA339">MAX((IF(MNU_CODIGO_ALIMENTO_ENTREGA=CONCATENATE($C339,"_","P_"),MNU_GRAMAJE_REQUERIDO_TIPOM,"")))</f>
        <v>50</v>
      </c>
      <c r="AB339" s="259">
        <f t="shared" si="242"/>
        <v>5287</v>
      </c>
      <c r="AC339" s="259">
        <v>0</v>
      </c>
      <c r="AD339" s="259">
        <f t="shared" si="243"/>
        <v>5287</v>
      </c>
      <c r="AE339" s="260">
        <f t="shared" si="244"/>
        <v>2669935</v>
      </c>
      <c r="AF339" s="260">
        <v>0</v>
      </c>
      <c r="AG339" s="260">
        <f t="shared" si="245"/>
        <v>2669935</v>
      </c>
      <c r="AH339" s="348">
        <f t="array" ref="AH339">MAX((IF(MNU_CODIGO_ALIMENTO_ENTREGA=CONCATENATE($C339,"_","P_"),MNU_GRAMAJE_REQUERIDO_TIPOH,"")))</f>
        <v>80</v>
      </c>
      <c r="AI339" s="257">
        <f t="shared" si="246"/>
        <v>5474</v>
      </c>
      <c r="AJ339" s="257">
        <v>0</v>
      </c>
      <c r="AK339" s="257">
        <f t="shared" si="247"/>
        <v>5474</v>
      </c>
      <c r="AL339" s="258">
        <f t="shared" si="248"/>
        <v>4176662</v>
      </c>
      <c r="AM339" s="258">
        <v>0</v>
      </c>
      <c r="AN339" s="258">
        <f t="shared" si="249"/>
        <v>4176662</v>
      </c>
      <c r="AO339" s="451">
        <f t="shared" si="250"/>
        <v>367667</v>
      </c>
      <c r="AP339" s="450">
        <f t="shared" si="251"/>
        <v>215921561</v>
      </c>
      <c r="AQ339" s="261" t="e">
        <f>#REF!+AH339+AA339+T339+M339</f>
        <v>#REF!</v>
      </c>
      <c r="AR339" s="261">
        <f t="shared" si="210"/>
        <v>216137138</v>
      </c>
      <c r="AS339" s="261" t="e">
        <f t="shared" si="211"/>
        <v>#REF!</v>
      </c>
      <c r="AT339" s="261">
        <f t="shared" si="212"/>
        <v>216375515</v>
      </c>
      <c r="AU339" s="261" t="e">
        <f t="shared" si="213"/>
        <v>#REF!</v>
      </c>
      <c r="AV339" s="261">
        <f t="shared" si="214"/>
        <v>231801311</v>
      </c>
      <c r="AW339" s="261" t="e">
        <f t="shared" si="215"/>
        <v>#REF!</v>
      </c>
      <c r="AX339" s="261" t="e">
        <f>AV339+#REF!+AH339+AA339+T339</f>
        <v>#REF!</v>
      </c>
      <c r="AY339" s="261" t="e">
        <f t="shared" si="216"/>
        <v>#REF!</v>
      </c>
      <c r="AZ339" s="261" t="e">
        <f t="shared" si="217"/>
        <v>#REF!</v>
      </c>
      <c r="BA339" s="261" t="e">
        <f t="shared" si="218"/>
        <v>#REF!</v>
      </c>
      <c r="BB339" s="261" t="e">
        <f t="shared" si="219"/>
        <v>#REF!</v>
      </c>
      <c r="BC339" s="261" t="e">
        <f t="shared" si="220"/>
        <v>#REF!</v>
      </c>
      <c r="BD339" s="261" t="e">
        <f t="shared" si="221"/>
        <v>#REF!</v>
      </c>
      <c r="BE339" s="261" t="e">
        <f>BC339+AV339+#REF!+AH339+AA339</f>
        <v>#REF!</v>
      </c>
      <c r="BF339" s="261" t="e">
        <f t="shared" si="222"/>
        <v>#REF!</v>
      </c>
      <c r="BG339" s="261" t="e">
        <f t="shared" si="223"/>
        <v>#REF!</v>
      </c>
    </row>
    <row r="340" spans="1:59" ht="15.75">
      <c r="A340" s="333">
        <v>28</v>
      </c>
      <c r="B340" s="333" t="s">
        <v>1607</v>
      </c>
      <c r="C340" s="256">
        <v>15</v>
      </c>
      <c r="D340" s="322" t="s">
        <v>66</v>
      </c>
      <c r="E340" s="256" t="s">
        <v>9</v>
      </c>
      <c r="F340" s="425">
        <f t="array" ref="F340">MAX((IF(MNU_CODIGO_ALIMENTO_ENTREGA=CONCATENATE($C340,"_","P_"),MNU_GRAMAJE_REQUERIDO_TIPOA,"")))</f>
        <v>50</v>
      </c>
      <c r="G340" s="257">
        <f t="shared" si="224"/>
        <v>93228</v>
      </c>
      <c r="H340" s="257">
        <f t="shared" si="225"/>
        <v>20878</v>
      </c>
      <c r="I340" s="257">
        <f t="shared" si="226"/>
        <v>114106</v>
      </c>
      <c r="J340" s="258">
        <f t="shared" si="227"/>
        <v>62742444</v>
      </c>
      <c r="K340" s="258">
        <f t="shared" si="228"/>
        <v>14050894</v>
      </c>
      <c r="L340" s="258">
        <f t="shared" si="229"/>
        <v>76793338</v>
      </c>
      <c r="M340" s="426">
        <f t="array" ref="M340">MAX((IF(MNU_CODIGO_ALIMENTO_ENTREGA=CONCATENATE($C340,"_","P_"),MNU_GRAMAJE_REQUERIDO_TIPOB,"")))</f>
        <v>50</v>
      </c>
      <c r="N340" s="343">
        <f t="shared" si="230"/>
        <v>108205</v>
      </c>
      <c r="O340" s="343">
        <f t="shared" si="231"/>
        <v>4422</v>
      </c>
      <c r="P340" s="343">
        <f t="shared" si="232"/>
        <v>112627</v>
      </c>
      <c r="Q340" s="344">
        <f t="shared" si="233"/>
        <v>72821965</v>
      </c>
      <c r="R340" s="344">
        <f t="shared" si="234"/>
        <v>2976006</v>
      </c>
      <c r="S340" s="344">
        <f t="shared" si="235"/>
        <v>75797971</v>
      </c>
      <c r="T340" s="348">
        <f t="array" ref="T340">MAX((IF(MNU_CODIGO_ALIMENTO_ENTREGA=CONCATENATE($C340,"_","P_"),MNU_GRAMAJE_REQUERIDO_TIPOC,"")))</f>
        <v>80</v>
      </c>
      <c r="U340" s="257">
        <f t="shared" si="236"/>
        <v>96611</v>
      </c>
      <c r="V340" s="257">
        <f t="shared" si="237"/>
        <v>8778</v>
      </c>
      <c r="W340" s="257">
        <f t="shared" si="238"/>
        <v>105389</v>
      </c>
      <c r="X340" s="258">
        <f t="shared" si="239"/>
        <v>103953436</v>
      </c>
      <c r="Y340" s="258">
        <f t="shared" si="240"/>
        <v>9445128</v>
      </c>
      <c r="Z340" s="258">
        <f t="shared" si="241"/>
        <v>113398564</v>
      </c>
      <c r="AA340" s="256">
        <f t="array" ref="AA340">MAX((IF(MNU_CODIGO_ALIMENTO_ENTREGA=CONCATENATE($C340,"_","P_"),MNU_GRAMAJE_REQUERIDO_TIPOM,"")))</f>
        <v>50</v>
      </c>
      <c r="AB340" s="259">
        <f t="shared" si="242"/>
        <v>5287</v>
      </c>
      <c r="AC340" s="259">
        <v>0</v>
      </c>
      <c r="AD340" s="259">
        <f t="shared" si="243"/>
        <v>5287</v>
      </c>
      <c r="AE340" s="260">
        <f t="shared" si="244"/>
        <v>3558151</v>
      </c>
      <c r="AF340" s="260">
        <v>0</v>
      </c>
      <c r="AG340" s="260">
        <f t="shared" si="245"/>
        <v>3558151</v>
      </c>
      <c r="AH340" s="348">
        <f t="array" ref="AH340">MAX((IF(MNU_CODIGO_ALIMENTO_ENTREGA=CONCATENATE($C340,"_","P_"),MNU_GRAMAJE_REQUERIDO_TIPOH,"")))</f>
        <v>80</v>
      </c>
      <c r="AI340" s="257">
        <f t="shared" si="246"/>
        <v>5474</v>
      </c>
      <c r="AJ340" s="257">
        <v>0</v>
      </c>
      <c r="AK340" s="257">
        <f t="shared" si="247"/>
        <v>5474</v>
      </c>
      <c r="AL340" s="258">
        <f t="shared" si="248"/>
        <v>5890024</v>
      </c>
      <c r="AM340" s="258">
        <v>0</v>
      </c>
      <c r="AN340" s="258">
        <f t="shared" si="249"/>
        <v>5890024</v>
      </c>
      <c r="AO340" s="451">
        <f t="shared" si="250"/>
        <v>342883</v>
      </c>
      <c r="AP340" s="450">
        <f t="shared" si="251"/>
        <v>275438048</v>
      </c>
      <c r="AQ340" s="261" t="e">
        <f>#REF!+AH340+AA340+T340+M340</f>
        <v>#REF!</v>
      </c>
      <c r="AR340" s="261">
        <f t="shared" si="210"/>
        <v>275653625</v>
      </c>
      <c r="AS340" s="261" t="e">
        <f t="shared" si="211"/>
        <v>#REF!</v>
      </c>
      <c r="AT340" s="261">
        <f t="shared" si="212"/>
        <v>275882402</v>
      </c>
      <c r="AU340" s="261" t="e">
        <f t="shared" si="213"/>
        <v>#REF!</v>
      </c>
      <c r="AV340" s="261">
        <f t="shared" si="214"/>
        <v>288303536</v>
      </c>
      <c r="AW340" s="261" t="e">
        <f t="shared" si="215"/>
        <v>#REF!</v>
      </c>
      <c r="AX340" s="261" t="e">
        <f>AV340+#REF!+AH340+AA340+T340</f>
        <v>#REF!</v>
      </c>
      <c r="AY340" s="261" t="e">
        <f t="shared" si="216"/>
        <v>#REF!</v>
      </c>
      <c r="AZ340" s="261" t="e">
        <f t="shared" si="217"/>
        <v>#REF!</v>
      </c>
      <c r="BA340" s="261" t="e">
        <f t="shared" si="218"/>
        <v>#REF!</v>
      </c>
      <c r="BB340" s="261" t="e">
        <f t="shared" si="219"/>
        <v>#REF!</v>
      </c>
      <c r="BC340" s="261" t="e">
        <f t="shared" si="220"/>
        <v>#REF!</v>
      </c>
      <c r="BD340" s="261" t="e">
        <f t="shared" si="221"/>
        <v>#REF!</v>
      </c>
      <c r="BE340" s="261" t="e">
        <f>BC340+AV340+#REF!+AH340+AA340</f>
        <v>#REF!</v>
      </c>
      <c r="BF340" s="261" t="e">
        <f t="shared" si="222"/>
        <v>#REF!</v>
      </c>
      <c r="BG340" s="261" t="e">
        <f t="shared" si="223"/>
        <v>#REF!</v>
      </c>
    </row>
    <row r="341" spans="1:59" ht="15.75">
      <c r="A341" s="333">
        <v>28</v>
      </c>
      <c r="B341" s="333" t="s">
        <v>1607</v>
      </c>
      <c r="C341" s="256">
        <v>24</v>
      </c>
      <c r="D341" s="322" t="s">
        <v>61</v>
      </c>
      <c r="E341" s="256" t="s">
        <v>9</v>
      </c>
      <c r="F341" s="425">
        <f t="array" ref="F341">MAX((IF(MNU_CODIGO_ALIMENTO_ENTREGA=CONCATENATE($C341,"_","P_"),MNU_GRAMAJE_REQUERIDO_TIPOA,"")))</f>
        <v>20</v>
      </c>
      <c r="G341" s="257">
        <f t="shared" si="224"/>
        <v>93228</v>
      </c>
      <c r="H341" s="257">
        <f t="shared" si="225"/>
        <v>20878</v>
      </c>
      <c r="I341" s="257">
        <f t="shared" si="226"/>
        <v>114106</v>
      </c>
      <c r="J341" s="258">
        <f t="shared" si="227"/>
        <v>11933184</v>
      </c>
      <c r="K341" s="258">
        <f t="shared" si="228"/>
        <v>2672384</v>
      </c>
      <c r="L341" s="258">
        <f t="shared" si="229"/>
        <v>14605568</v>
      </c>
      <c r="M341" s="426">
        <f t="array" ref="M341">MAX((IF(MNU_CODIGO_ALIMENTO_ENTREGA=CONCATENATE($C341,"_","P_"),MNU_GRAMAJE_REQUERIDO_TIPOB,"")))</f>
        <v>30</v>
      </c>
      <c r="N341" s="343">
        <f t="shared" si="230"/>
        <v>108205</v>
      </c>
      <c r="O341" s="343">
        <f t="shared" si="231"/>
        <v>4422</v>
      </c>
      <c r="P341" s="343">
        <f t="shared" si="232"/>
        <v>112627</v>
      </c>
      <c r="Q341" s="344">
        <f t="shared" si="233"/>
        <v>21641000</v>
      </c>
      <c r="R341" s="344">
        <f t="shared" si="234"/>
        <v>884400</v>
      </c>
      <c r="S341" s="344">
        <f t="shared" si="235"/>
        <v>22525400</v>
      </c>
      <c r="T341" s="348">
        <f t="array" ref="T341">MAX((IF(MNU_CODIGO_ALIMENTO_ENTREGA=CONCATENATE($C341,"_","P_"),MNU_GRAMAJE_REQUERIDO_TIPOC,"")))</f>
        <v>60</v>
      </c>
      <c r="U341" s="257">
        <f t="shared" si="236"/>
        <v>96611</v>
      </c>
      <c r="V341" s="257">
        <f t="shared" si="237"/>
        <v>8778</v>
      </c>
      <c r="W341" s="257">
        <f t="shared" si="238"/>
        <v>105389</v>
      </c>
      <c r="X341" s="258">
        <f t="shared" si="239"/>
        <v>37195235</v>
      </c>
      <c r="Y341" s="258">
        <f t="shared" si="240"/>
        <v>3379530</v>
      </c>
      <c r="Z341" s="258">
        <f t="shared" si="241"/>
        <v>40574765</v>
      </c>
      <c r="AA341" s="256">
        <f t="array" ref="AA341">MAX((IF(MNU_CODIGO_ALIMENTO_ENTREGA=CONCATENATE($C341,"_","P_"),MNU_GRAMAJE_REQUERIDO_TIPOM,"")))</f>
        <v>30</v>
      </c>
      <c r="AB341" s="259">
        <f t="shared" si="242"/>
        <v>5287</v>
      </c>
      <c r="AC341" s="259">
        <v>0</v>
      </c>
      <c r="AD341" s="259">
        <f t="shared" si="243"/>
        <v>5287</v>
      </c>
      <c r="AE341" s="260">
        <f t="shared" si="244"/>
        <v>1057400</v>
      </c>
      <c r="AF341" s="260">
        <v>0</v>
      </c>
      <c r="AG341" s="260">
        <f t="shared" si="245"/>
        <v>1057400</v>
      </c>
      <c r="AH341" s="348">
        <f t="array" ref="AH341">MAX((IF(MNU_CODIGO_ALIMENTO_ENTREGA=CONCATENATE($C341,"_","P_"),MNU_GRAMAJE_REQUERIDO_TIPOH,"")))</f>
        <v>60</v>
      </c>
      <c r="AI341" s="257">
        <f t="shared" si="246"/>
        <v>5474</v>
      </c>
      <c r="AJ341" s="257">
        <v>0</v>
      </c>
      <c r="AK341" s="257">
        <f t="shared" si="247"/>
        <v>5474</v>
      </c>
      <c r="AL341" s="258">
        <f t="shared" si="248"/>
        <v>2107490</v>
      </c>
      <c r="AM341" s="258">
        <v>0</v>
      </c>
      <c r="AN341" s="258">
        <f t="shared" si="249"/>
        <v>2107490</v>
      </c>
      <c r="AO341" s="451">
        <f t="shared" si="250"/>
        <v>342883</v>
      </c>
      <c r="AP341" s="450">
        <f t="shared" si="251"/>
        <v>80870623</v>
      </c>
      <c r="AQ341" s="261" t="e">
        <f>#REF!+AH341+AA341+T341+M341</f>
        <v>#REF!</v>
      </c>
      <c r="AR341" s="261">
        <f t="shared" si="210"/>
        <v>81086200</v>
      </c>
      <c r="AS341" s="261" t="e">
        <f t="shared" si="211"/>
        <v>#REF!</v>
      </c>
      <c r="AT341" s="261">
        <f t="shared" si="212"/>
        <v>81314977</v>
      </c>
      <c r="AU341" s="261" t="e">
        <f t="shared" si="213"/>
        <v>#REF!</v>
      </c>
      <c r="AV341" s="261">
        <f t="shared" si="214"/>
        <v>85578907</v>
      </c>
      <c r="AW341" s="261" t="e">
        <f t="shared" si="215"/>
        <v>#REF!</v>
      </c>
      <c r="AX341" s="261" t="e">
        <f>AV341+#REF!+AH341+AA341+T341</f>
        <v>#REF!</v>
      </c>
      <c r="AY341" s="261" t="e">
        <f t="shared" si="216"/>
        <v>#REF!</v>
      </c>
      <c r="AZ341" s="261" t="e">
        <f t="shared" si="217"/>
        <v>#REF!</v>
      </c>
      <c r="BA341" s="261" t="e">
        <f t="shared" si="218"/>
        <v>#REF!</v>
      </c>
      <c r="BB341" s="261" t="e">
        <f t="shared" si="219"/>
        <v>#REF!</v>
      </c>
      <c r="BC341" s="261" t="e">
        <f t="shared" si="220"/>
        <v>#REF!</v>
      </c>
      <c r="BD341" s="261" t="e">
        <f t="shared" si="221"/>
        <v>#REF!</v>
      </c>
      <c r="BE341" s="261" t="e">
        <f>BC341+AV341+#REF!+AH341+AA341</f>
        <v>#REF!</v>
      </c>
      <c r="BF341" s="261" t="e">
        <f t="shared" si="222"/>
        <v>#REF!</v>
      </c>
      <c r="BG341" s="261" t="e">
        <f t="shared" si="223"/>
        <v>#REF!</v>
      </c>
    </row>
    <row r="342" spans="1:59" ht="15.75">
      <c r="A342" s="333">
        <v>28</v>
      </c>
      <c r="B342" s="333" t="s">
        <v>1607</v>
      </c>
      <c r="C342" s="256">
        <v>25</v>
      </c>
      <c r="D342" s="322" t="s">
        <v>64</v>
      </c>
      <c r="E342" s="256" t="s">
        <v>9</v>
      </c>
      <c r="F342" s="425">
        <f t="array" ref="F342">MAX((IF(MNU_CODIGO_ALIMENTO_ENTREGA=CONCATENATE($C342,"_","P_"),MNU_GRAMAJE_REQUERIDO_TIPOA,"")))</f>
        <v>40</v>
      </c>
      <c r="G342" s="257">
        <f t="shared" si="224"/>
        <v>93228</v>
      </c>
      <c r="H342" s="257">
        <f t="shared" si="225"/>
        <v>41756</v>
      </c>
      <c r="I342" s="257">
        <f t="shared" si="226"/>
        <v>134984</v>
      </c>
      <c r="J342" s="258">
        <f t="shared" si="227"/>
        <v>23866368</v>
      </c>
      <c r="K342" s="258">
        <f t="shared" si="228"/>
        <v>10689536</v>
      </c>
      <c r="L342" s="258">
        <f t="shared" si="229"/>
        <v>34555904</v>
      </c>
      <c r="M342" s="426">
        <f t="array" ref="M342">MAX((IF(MNU_CODIGO_ALIMENTO_ENTREGA=CONCATENATE($C342,"_","P_"),MNU_GRAMAJE_REQUERIDO_TIPOB,"")))</f>
        <v>40</v>
      </c>
      <c r="N342" s="343">
        <f t="shared" si="230"/>
        <v>108205</v>
      </c>
      <c r="O342" s="343">
        <f t="shared" si="231"/>
        <v>8844</v>
      </c>
      <c r="P342" s="343">
        <f t="shared" si="232"/>
        <v>117049</v>
      </c>
      <c r="Q342" s="344">
        <f t="shared" si="233"/>
        <v>27700480</v>
      </c>
      <c r="R342" s="344">
        <f t="shared" si="234"/>
        <v>2264064</v>
      </c>
      <c r="S342" s="344">
        <f t="shared" si="235"/>
        <v>29964544</v>
      </c>
      <c r="T342" s="348">
        <f t="array" ref="T342">MAX((IF(MNU_CODIGO_ALIMENTO_ENTREGA=CONCATENATE($C342,"_","P_"),MNU_GRAMAJE_REQUERIDO_TIPOC,"")))</f>
        <v>60</v>
      </c>
      <c r="U342" s="257">
        <f t="shared" si="236"/>
        <v>96611</v>
      </c>
      <c r="V342" s="257">
        <f t="shared" si="237"/>
        <v>17556</v>
      </c>
      <c r="W342" s="257">
        <f t="shared" si="238"/>
        <v>114167</v>
      </c>
      <c r="X342" s="258">
        <f t="shared" si="239"/>
        <v>37098624</v>
      </c>
      <c r="Y342" s="258">
        <f t="shared" si="240"/>
        <v>6741504</v>
      </c>
      <c r="Z342" s="258">
        <f t="shared" si="241"/>
        <v>43840128</v>
      </c>
      <c r="AA342" s="256">
        <f t="array" ref="AA342">MAX((IF(MNU_CODIGO_ALIMENTO_ENTREGA=CONCATENATE($C342,"_","P_"),MNU_GRAMAJE_REQUERIDO_TIPOM,"")))</f>
        <v>40</v>
      </c>
      <c r="AB342" s="259">
        <f t="shared" si="242"/>
        <v>5287</v>
      </c>
      <c r="AC342" s="259">
        <v>0</v>
      </c>
      <c r="AD342" s="259">
        <f t="shared" si="243"/>
        <v>5287</v>
      </c>
      <c r="AE342" s="260">
        <f t="shared" si="244"/>
        <v>1353472</v>
      </c>
      <c r="AF342" s="260">
        <v>0</v>
      </c>
      <c r="AG342" s="260">
        <f t="shared" si="245"/>
        <v>1353472</v>
      </c>
      <c r="AH342" s="348">
        <f t="array" ref="AH342">MAX((IF(MNU_CODIGO_ALIMENTO_ENTREGA=CONCATENATE($C342,"_","P_"),MNU_GRAMAJE_REQUERIDO_TIPOH,"")))</f>
        <v>60</v>
      </c>
      <c r="AI342" s="257">
        <f t="shared" si="246"/>
        <v>5474</v>
      </c>
      <c r="AJ342" s="257">
        <v>0</v>
      </c>
      <c r="AK342" s="257">
        <f t="shared" si="247"/>
        <v>5474</v>
      </c>
      <c r="AL342" s="258">
        <f t="shared" si="248"/>
        <v>2102016</v>
      </c>
      <c r="AM342" s="258">
        <v>0</v>
      </c>
      <c r="AN342" s="258">
        <f t="shared" si="249"/>
        <v>2102016</v>
      </c>
      <c r="AO342" s="451">
        <f t="shared" si="250"/>
        <v>376961</v>
      </c>
      <c r="AP342" s="450">
        <f t="shared" si="251"/>
        <v>111816064</v>
      </c>
      <c r="AQ342" s="261" t="e">
        <f>#REF!+AH342+AA342+T342+M342</f>
        <v>#REF!</v>
      </c>
      <c r="AR342" s="261">
        <f t="shared" si="210"/>
        <v>112031641</v>
      </c>
      <c r="AS342" s="261" t="e">
        <f t="shared" si="211"/>
        <v>#REF!</v>
      </c>
      <c r="AT342" s="261">
        <f t="shared" si="212"/>
        <v>112273618</v>
      </c>
      <c r="AU342" s="261" t="e">
        <f t="shared" si="213"/>
        <v>#REF!</v>
      </c>
      <c r="AV342" s="261">
        <f t="shared" si="214"/>
        <v>121279186</v>
      </c>
      <c r="AW342" s="261" t="e">
        <f t="shared" si="215"/>
        <v>#REF!</v>
      </c>
      <c r="AX342" s="261" t="e">
        <f>AV342+#REF!+AH342+AA342+T342</f>
        <v>#REF!</v>
      </c>
      <c r="AY342" s="261" t="e">
        <f t="shared" si="216"/>
        <v>#REF!</v>
      </c>
      <c r="AZ342" s="261" t="e">
        <f t="shared" si="217"/>
        <v>#REF!</v>
      </c>
      <c r="BA342" s="261" t="e">
        <f t="shared" si="218"/>
        <v>#REF!</v>
      </c>
      <c r="BB342" s="261" t="e">
        <f t="shared" si="219"/>
        <v>#REF!</v>
      </c>
      <c r="BC342" s="261" t="e">
        <f t="shared" si="220"/>
        <v>#REF!</v>
      </c>
      <c r="BD342" s="261" t="e">
        <f t="shared" si="221"/>
        <v>#REF!</v>
      </c>
      <c r="BE342" s="261" t="e">
        <f>BC342+AV342+#REF!+AH342+AA342</f>
        <v>#REF!</v>
      </c>
      <c r="BF342" s="261" t="e">
        <f t="shared" si="222"/>
        <v>#REF!</v>
      </c>
      <c r="BG342" s="261" t="e">
        <f t="shared" si="223"/>
        <v>#REF!</v>
      </c>
    </row>
    <row r="343" spans="1:59" ht="15.75">
      <c r="A343" s="333">
        <v>28</v>
      </c>
      <c r="B343" s="333" t="s">
        <v>1607</v>
      </c>
      <c r="C343" s="256">
        <v>26</v>
      </c>
      <c r="D343" s="322" t="s">
        <v>69</v>
      </c>
      <c r="E343" s="256" t="s">
        <v>9</v>
      </c>
      <c r="F343" s="425">
        <f t="array" ref="F343">MAX((IF(MNU_CODIGO_ALIMENTO_ENTREGA=CONCATENATE($C343,"_","P_"),MNU_GRAMAJE_REQUERIDO_TIPOA,"")))</f>
        <v>30</v>
      </c>
      <c r="G343" s="257">
        <f t="shared" si="224"/>
        <v>32904</v>
      </c>
      <c r="H343" s="257">
        <f t="shared" si="225"/>
        <v>0</v>
      </c>
      <c r="I343" s="257">
        <f t="shared" si="226"/>
        <v>32904</v>
      </c>
      <c r="J343" s="258">
        <f t="shared" si="227"/>
        <v>5626584</v>
      </c>
      <c r="K343" s="258">
        <f t="shared" si="228"/>
        <v>0</v>
      </c>
      <c r="L343" s="258">
        <f t="shared" si="229"/>
        <v>5626584</v>
      </c>
      <c r="M343" s="426">
        <f t="array" ref="M343">MAX((IF(MNU_CODIGO_ALIMENTO_ENTREGA=CONCATENATE($C343,"_","P_"),MNU_GRAMAJE_REQUERIDO_TIPOB,"")))</f>
        <v>30</v>
      </c>
      <c r="N343" s="343">
        <f t="shared" si="230"/>
        <v>38190</v>
      </c>
      <c r="O343" s="343">
        <f t="shared" si="231"/>
        <v>0</v>
      </c>
      <c r="P343" s="343">
        <f t="shared" si="232"/>
        <v>38190</v>
      </c>
      <c r="Q343" s="344">
        <f t="shared" si="233"/>
        <v>6530490</v>
      </c>
      <c r="R343" s="344">
        <f t="shared" si="234"/>
        <v>0</v>
      </c>
      <c r="S343" s="344">
        <f t="shared" si="235"/>
        <v>6530490</v>
      </c>
      <c r="T343" s="348">
        <f t="array" ref="T343">MAX((IF(MNU_CODIGO_ALIMENTO_ENTREGA=CONCATENATE($C343,"_","P_"),MNU_GRAMAJE_REQUERIDO_TIPOC,"")))</f>
        <v>30</v>
      </c>
      <c r="U343" s="257">
        <f t="shared" si="236"/>
        <v>34098</v>
      </c>
      <c r="V343" s="257">
        <f t="shared" si="237"/>
        <v>0</v>
      </c>
      <c r="W343" s="257">
        <f t="shared" si="238"/>
        <v>34098</v>
      </c>
      <c r="X343" s="258">
        <f t="shared" si="239"/>
        <v>5830758</v>
      </c>
      <c r="Y343" s="258">
        <f t="shared" si="240"/>
        <v>0</v>
      </c>
      <c r="Z343" s="258">
        <f t="shared" si="241"/>
        <v>5830758</v>
      </c>
      <c r="AA343" s="256">
        <f t="array" ref="AA343">MAX((IF(MNU_CODIGO_ALIMENTO_ENTREGA=CONCATENATE($C343,"_","P_"),MNU_GRAMAJE_REQUERIDO_TIPOM,"")))</f>
        <v>30</v>
      </c>
      <c r="AB343" s="259">
        <f t="shared" si="242"/>
        <v>1866</v>
      </c>
      <c r="AC343" s="259">
        <v>0</v>
      </c>
      <c r="AD343" s="259">
        <f t="shared" si="243"/>
        <v>1866</v>
      </c>
      <c r="AE343" s="260">
        <f t="shared" si="244"/>
        <v>319086</v>
      </c>
      <c r="AF343" s="260">
        <v>0</v>
      </c>
      <c r="AG343" s="260">
        <f t="shared" si="245"/>
        <v>319086</v>
      </c>
      <c r="AH343" s="348">
        <f t="array" ref="AH343">MAX((IF(MNU_CODIGO_ALIMENTO_ENTREGA=CONCATENATE($C343,"_","P_"),MNU_GRAMAJE_REQUERIDO_TIPOH,"")))</f>
        <v>30</v>
      </c>
      <c r="AI343" s="257">
        <f t="shared" si="246"/>
        <v>1932</v>
      </c>
      <c r="AJ343" s="257">
        <v>0</v>
      </c>
      <c r="AK343" s="257">
        <f t="shared" si="247"/>
        <v>1932</v>
      </c>
      <c r="AL343" s="258">
        <f t="shared" si="248"/>
        <v>330372</v>
      </c>
      <c r="AM343" s="258">
        <v>0</v>
      </c>
      <c r="AN343" s="258">
        <f t="shared" si="249"/>
        <v>330372</v>
      </c>
      <c r="AO343" s="451">
        <f t="shared" si="250"/>
        <v>108990</v>
      </c>
      <c r="AP343" s="450">
        <f t="shared" si="251"/>
        <v>18637290</v>
      </c>
      <c r="AQ343" s="261" t="e">
        <f>#REF!+AH343+AA343+T343+M343</f>
        <v>#REF!</v>
      </c>
      <c r="AR343" s="261">
        <f t="shared" si="210"/>
        <v>18713376</v>
      </c>
      <c r="AS343" s="261" t="e">
        <f t="shared" si="211"/>
        <v>#REF!</v>
      </c>
      <c r="AT343" s="261">
        <f t="shared" si="212"/>
        <v>18789462</v>
      </c>
      <c r="AU343" s="261" t="e">
        <f t="shared" si="213"/>
        <v>#REF!</v>
      </c>
      <c r="AV343" s="261">
        <f t="shared" si="214"/>
        <v>18789462</v>
      </c>
      <c r="AW343" s="261" t="e">
        <f t="shared" si="215"/>
        <v>#REF!</v>
      </c>
      <c r="AX343" s="261" t="e">
        <f>AV343+#REF!+AH343+AA343+T343</f>
        <v>#REF!</v>
      </c>
      <c r="AY343" s="261" t="e">
        <f t="shared" si="216"/>
        <v>#REF!</v>
      </c>
      <c r="AZ343" s="261" t="e">
        <f t="shared" si="217"/>
        <v>#REF!</v>
      </c>
      <c r="BA343" s="261" t="e">
        <f t="shared" si="218"/>
        <v>#REF!</v>
      </c>
      <c r="BB343" s="261" t="e">
        <f t="shared" si="219"/>
        <v>#REF!</v>
      </c>
      <c r="BC343" s="261" t="e">
        <f t="shared" si="220"/>
        <v>#REF!</v>
      </c>
      <c r="BD343" s="261" t="e">
        <f t="shared" si="221"/>
        <v>#REF!</v>
      </c>
      <c r="BE343" s="261" t="e">
        <f>BC343+AV343+#REF!+AH343+AA343</f>
        <v>#REF!</v>
      </c>
      <c r="BF343" s="261" t="e">
        <f t="shared" si="222"/>
        <v>#REF!</v>
      </c>
      <c r="BG343" s="261" t="e">
        <f t="shared" si="223"/>
        <v>#REF!</v>
      </c>
    </row>
    <row r="344" spans="1:59" ht="27">
      <c r="A344" s="333">
        <v>28</v>
      </c>
      <c r="B344" s="333" t="s">
        <v>1607</v>
      </c>
      <c r="C344" s="256">
        <v>28</v>
      </c>
      <c r="D344" s="322" t="s">
        <v>67</v>
      </c>
      <c r="E344" s="256" t="s">
        <v>9</v>
      </c>
      <c r="F344" s="425">
        <f t="array" ref="F344">MAX((IF(MNU_CODIGO_ALIMENTO_ENTREGA=CONCATENATE($C344,"_","P_"),MNU_GRAMAJE_REQUERIDO_TIPOA,"")))</f>
        <v>30</v>
      </c>
      <c r="G344" s="257">
        <f t="shared" si="224"/>
        <v>32904</v>
      </c>
      <c r="H344" s="257">
        <f t="shared" si="225"/>
        <v>36062</v>
      </c>
      <c r="I344" s="257">
        <f t="shared" si="226"/>
        <v>68966</v>
      </c>
      <c r="J344" s="258">
        <f t="shared" si="227"/>
        <v>7436304</v>
      </c>
      <c r="K344" s="258">
        <f t="shared" si="228"/>
        <v>8150012</v>
      </c>
      <c r="L344" s="258">
        <f t="shared" si="229"/>
        <v>15586316</v>
      </c>
      <c r="M344" s="426">
        <f t="array" ref="M344">MAX((IF(MNU_CODIGO_ALIMENTO_ENTREGA=CONCATENATE($C344,"_","P_"),MNU_GRAMAJE_REQUERIDO_TIPOB,"")))</f>
        <v>40</v>
      </c>
      <c r="N344" s="343">
        <f t="shared" si="230"/>
        <v>38190</v>
      </c>
      <c r="O344" s="343">
        <f t="shared" si="231"/>
        <v>7638</v>
      </c>
      <c r="P344" s="343">
        <f t="shared" si="232"/>
        <v>45828</v>
      </c>
      <c r="Q344" s="344">
        <f t="shared" si="233"/>
        <v>11495190</v>
      </c>
      <c r="R344" s="344">
        <f t="shared" si="234"/>
        <v>2299038</v>
      </c>
      <c r="S344" s="344">
        <f t="shared" si="235"/>
        <v>13794228</v>
      </c>
      <c r="T344" s="348">
        <f t="array" ref="T344">MAX((IF(MNU_CODIGO_ALIMENTO_ENTREGA=CONCATENATE($C344,"_","P_"),MNU_GRAMAJE_REQUERIDO_TIPOC,"")))</f>
        <v>60</v>
      </c>
      <c r="U344" s="257">
        <f t="shared" si="236"/>
        <v>34098</v>
      </c>
      <c r="V344" s="257">
        <f t="shared" si="237"/>
        <v>15162</v>
      </c>
      <c r="W344" s="257">
        <f t="shared" si="238"/>
        <v>49260</v>
      </c>
      <c r="X344" s="258">
        <f t="shared" si="239"/>
        <v>15378198</v>
      </c>
      <c r="Y344" s="258">
        <f t="shared" si="240"/>
        <v>6838062</v>
      </c>
      <c r="Z344" s="258">
        <f t="shared" si="241"/>
        <v>22216260</v>
      </c>
      <c r="AA344" s="256">
        <f t="array" ref="AA344">MAX((IF(MNU_CODIGO_ALIMENTO_ENTREGA=CONCATENATE($C344,"_","P_"),MNU_GRAMAJE_REQUERIDO_TIPOM,"")))</f>
        <v>40</v>
      </c>
      <c r="AB344" s="259">
        <f t="shared" si="242"/>
        <v>1866</v>
      </c>
      <c r="AC344" s="259">
        <v>0</v>
      </c>
      <c r="AD344" s="259">
        <f t="shared" si="243"/>
        <v>1866</v>
      </c>
      <c r="AE344" s="260">
        <f t="shared" si="244"/>
        <v>561666</v>
      </c>
      <c r="AF344" s="260">
        <v>0</v>
      </c>
      <c r="AG344" s="260">
        <f t="shared" si="245"/>
        <v>561666</v>
      </c>
      <c r="AH344" s="348">
        <f t="array" ref="AH344">MAX((IF(MNU_CODIGO_ALIMENTO_ENTREGA=CONCATENATE($C344,"_","P_"),MNU_GRAMAJE_REQUERIDO_TIPOH,"")))</f>
        <v>60</v>
      </c>
      <c r="AI344" s="257">
        <f t="shared" si="246"/>
        <v>1932</v>
      </c>
      <c r="AJ344" s="257">
        <v>0</v>
      </c>
      <c r="AK344" s="257">
        <f t="shared" si="247"/>
        <v>1932</v>
      </c>
      <c r="AL344" s="258">
        <f t="shared" si="248"/>
        <v>871332</v>
      </c>
      <c r="AM344" s="258">
        <v>0</v>
      </c>
      <c r="AN344" s="258">
        <f t="shared" si="249"/>
        <v>871332</v>
      </c>
      <c r="AO344" s="451">
        <f t="shared" si="250"/>
        <v>167852</v>
      </c>
      <c r="AP344" s="450">
        <f t="shared" si="251"/>
        <v>53029802</v>
      </c>
      <c r="AQ344" s="261" t="e">
        <f>#REF!+AH344+AA344+T344+M344</f>
        <v>#REF!</v>
      </c>
      <c r="AR344" s="261">
        <f t="shared" si="210"/>
        <v>53105888</v>
      </c>
      <c r="AS344" s="261" t="e">
        <f t="shared" si="211"/>
        <v>#REF!</v>
      </c>
      <c r="AT344" s="261">
        <f t="shared" si="212"/>
        <v>53204774</v>
      </c>
      <c r="AU344" s="261" t="e">
        <f t="shared" si="213"/>
        <v>#REF!</v>
      </c>
      <c r="AV344" s="261">
        <f t="shared" si="214"/>
        <v>62341874</v>
      </c>
      <c r="AW344" s="261" t="e">
        <f t="shared" si="215"/>
        <v>#REF!</v>
      </c>
      <c r="AX344" s="261" t="e">
        <f>AV344+#REF!+AH344+AA344+T344</f>
        <v>#REF!</v>
      </c>
      <c r="AY344" s="261" t="e">
        <f t="shared" si="216"/>
        <v>#REF!</v>
      </c>
      <c r="AZ344" s="261" t="e">
        <f t="shared" si="217"/>
        <v>#REF!</v>
      </c>
      <c r="BA344" s="261" t="e">
        <f t="shared" si="218"/>
        <v>#REF!</v>
      </c>
      <c r="BB344" s="261" t="e">
        <f t="shared" si="219"/>
        <v>#REF!</v>
      </c>
      <c r="BC344" s="261" t="e">
        <f t="shared" si="220"/>
        <v>#REF!</v>
      </c>
      <c r="BD344" s="261" t="e">
        <f t="shared" si="221"/>
        <v>#REF!</v>
      </c>
      <c r="BE344" s="261" t="e">
        <f>BC344+AV344+#REF!+AH344+AA344</f>
        <v>#REF!</v>
      </c>
      <c r="BF344" s="261" t="e">
        <f t="shared" si="222"/>
        <v>#REF!</v>
      </c>
      <c r="BG344" s="261" t="e">
        <f t="shared" si="223"/>
        <v>#REF!</v>
      </c>
    </row>
    <row r="345" spans="1:59" ht="15.75">
      <c r="A345" s="333">
        <v>28</v>
      </c>
      <c r="B345" s="333" t="s">
        <v>1607</v>
      </c>
      <c r="C345" s="256">
        <v>30</v>
      </c>
      <c r="D345" s="322" t="s">
        <v>63</v>
      </c>
      <c r="E345" s="256" t="s">
        <v>9</v>
      </c>
      <c r="F345" s="425">
        <f t="array" ref="F345">MAX((IF(MNU_CODIGO_ALIMENTO_ENTREGA=CONCATENATE($C345,"_","P_"),MNU_GRAMAJE_REQUERIDO_TIPOA,"")))</f>
        <v>30</v>
      </c>
      <c r="G345" s="257">
        <f t="shared" si="224"/>
        <v>87744</v>
      </c>
      <c r="H345" s="257">
        <f t="shared" si="225"/>
        <v>0</v>
      </c>
      <c r="I345" s="257">
        <f t="shared" si="226"/>
        <v>87744</v>
      </c>
      <c r="J345" s="258">
        <f t="shared" si="227"/>
        <v>29131008</v>
      </c>
      <c r="K345" s="258">
        <f t="shared" si="228"/>
        <v>0</v>
      </c>
      <c r="L345" s="258">
        <f t="shared" si="229"/>
        <v>29131008</v>
      </c>
      <c r="M345" s="426">
        <f t="array" ref="M345">MAX((IF(MNU_CODIGO_ALIMENTO_ENTREGA=CONCATENATE($C345,"_","P_"),MNU_GRAMAJE_REQUERIDO_TIPOB,"")))</f>
        <v>30</v>
      </c>
      <c r="N345" s="343">
        <f t="shared" si="230"/>
        <v>101840</v>
      </c>
      <c r="O345" s="343">
        <f t="shared" si="231"/>
        <v>0</v>
      </c>
      <c r="P345" s="343">
        <f t="shared" si="232"/>
        <v>101840</v>
      </c>
      <c r="Q345" s="344">
        <f t="shared" si="233"/>
        <v>33810880</v>
      </c>
      <c r="R345" s="344">
        <f t="shared" si="234"/>
        <v>0</v>
      </c>
      <c r="S345" s="344">
        <f t="shared" si="235"/>
        <v>33810880</v>
      </c>
      <c r="T345" s="348">
        <f t="array" ref="T345">MAX((IF(MNU_CODIGO_ALIMENTO_ENTREGA=CONCATENATE($C345,"_","P_"),MNU_GRAMAJE_REQUERIDO_TIPOC,"")))</f>
        <v>30</v>
      </c>
      <c r="U345" s="257">
        <f t="shared" si="236"/>
        <v>90928</v>
      </c>
      <c r="V345" s="257">
        <f t="shared" si="237"/>
        <v>0</v>
      </c>
      <c r="W345" s="257">
        <f t="shared" si="238"/>
        <v>90928</v>
      </c>
      <c r="X345" s="258">
        <f t="shared" si="239"/>
        <v>30188096</v>
      </c>
      <c r="Y345" s="258">
        <f t="shared" si="240"/>
        <v>0</v>
      </c>
      <c r="Z345" s="258">
        <f t="shared" si="241"/>
        <v>30188096</v>
      </c>
      <c r="AA345" s="256">
        <f t="array" ref="AA345">MAX((IF(MNU_CODIGO_ALIMENTO_ENTREGA=CONCATENATE($C345,"_","P_"),MNU_GRAMAJE_REQUERIDO_TIPOM,"")))</f>
        <v>30</v>
      </c>
      <c r="AB345" s="259">
        <f t="shared" si="242"/>
        <v>4976</v>
      </c>
      <c r="AC345" s="259">
        <v>0</v>
      </c>
      <c r="AD345" s="259">
        <f t="shared" si="243"/>
        <v>4976</v>
      </c>
      <c r="AE345" s="260">
        <f t="shared" si="244"/>
        <v>1652032</v>
      </c>
      <c r="AF345" s="260">
        <v>0</v>
      </c>
      <c r="AG345" s="260">
        <f t="shared" si="245"/>
        <v>1652032</v>
      </c>
      <c r="AH345" s="348">
        <f t="array" ref="AH345">MAX((IF(MNU_CODIGO_ALIMENTO_ENTREGA=CONCATENATE($C345,"_","P_"),MNU_GRAMAJE_REQUERIDO_TIPOH,"")))</f>
        <v>30</v>
      </c>
      <c r="AI345" s="257">
        <f t="shared" si="246"/>
        <v>5152</v>
      </c>
      <c r="AJ345" s="257">
        <v>0</v>
      </c>
      <c r="AK345" s="257">
        <f t="shared" si="247"/>
        <v>5152</v>
      </c>
      <c r="AL345" s="258">
        <f t="shared" si="248"/>
        <v>1710464</v>
      </c>
      <c r="AM345" s="258">
        <v>0</v>
      </c>
      <c r="AN345" s="258">
        <f t="shared" si="249"/>
        <v>1710464</v>
      </c>
      <c r="AO345" s="451">
        <f t="shared" si="250"/>
        <v>290640</v>
      </c>
      <c r="AP345" s="450">
        <f t="shared" si="251"/>
        <v>96492480</v>
      </c>
      <c r="AQ345" s="261" t="e">
        <f>#REF!+AH345+AA345+T345+M345</f>
        <v>#REF!</v>
      </c>
      <c r="AR345" s="261">
        <f t="shared" si="210"/>
        <v>96695376</v>
      </c>
      <c r="AS345" s="261" t="e">
        <f t="shared" si="211"/>
        <v>#REF!</v>
      </c>
      <c r="AT345" s="261">
        <f t="shared" si="212"/>
        <v>96898272</v>
      </c>
      <c r="AU345" s="261" t="e">
        <f t="shared" si="213"/>
        <v>#REF!</v>
      </c>
      <c r="AV345" s="261">
        <f t="shared" si="214"/>
        <v>96898272</v>
      </c>
      <c r="AW345" s="261" t="e">
        <f t="shared" si="215"/>
        <v>#REF!</v>
      </c>
      <c r="AX345" s="261" t="e">
        <f>AV345+#REF!+AH345+AA345+T345</f>
        <v>#REF!</v>
      </c>
      <c r="AY345" s="261" t="e">
        <f t="shared" si="216"/>
        <v>#REF!</v>
      </c>
      <c r="AZ345" s="261" t="e">
        <f t="shared" si="217"/>
        <v>#REF!</v>
      </c>
      <c r="BA345" s="261" t="e">
        <f t="shared" si="218"/>
        <v>#REF!</v>
      </c>
      <c r="BB345" s="261" t="e">
        <f t="shared" si="219"/>
        <v>#REF!</v>
      </c>
      <c r="BC345" s="261" t="e">
        <f t="shared" si="220"/>
        <v>#REF!</v>
      </c>
      <c r="BD345" s="261" t="e">
        <f t="shared" si="221"/>
        <v>#REF!</v>
      </c>
      <c r="BE345" s="261" t="e">
        <f>BC345+AV345+#REF!+AH345+AA345</f>
        <v>#REF!</v>
      </c>
      <c r="BF345" s="261" t="e">
        <f t="shared" si="222"/>
        <v>#REF!</v>
      </c>
      <c r="BG345" s="261" t="e">
        <f t="shared" si="223"/>
        <v>#REF!</v>
      </c>
    </row>
    <row r="346" spans="1:59" ht="15.75">
      <c r="A346" s="333">
        <v>28</v>
      </c>
      <c r="B346" s="333" t="s">
        <v>1607</v>
      </c>
      <c r="C346" s="256">
        <v>45</v>
      </c>
      <c r="D346" s="322" t="s">
        <v>10</v>
      </c>
      <c r="E346" s="256" t="s">
        <v>9</v>
      </c>
      <c r="F346" s="425">
        <f t="array" ref="F346">MAX((IF(MNU_CODIGO_ALIMENTO_ENTREGA=CONCATENATE($C346,"_","P_"),MNU_GRAMAJE_REQUERIDO_TIPOA,"")))</f>
        <v>20</v>
      </c>
      <c r="G346" s="257">
        <f t="shared" si="224"/>
        <v>87744</v>
      </c>
      <c r="H346" s="257">
        <f t="shared" si="225"/>
        <v>37960</v>
      </c>
      <c r="I346" s="257">
        <f t="shared" si="226"/>
        <v>125704</v>
      </c>
      <c r="J346" s="258">
        <f t="shared" si="227"/>
        <v>17461056</v>
      </c>
      <c r="K346" s="258">
        <f t="shared" si="228"/>
        <v>7554040</v>
      </c>
      <c r="L346" s="258">
        <f t="shared" si="229"/>
        <v>25015096</v>
      </c>
      <c r="M346" s="426">
        <f t="array" ref="M346">MAX((IF(MNU_CODIGO_ALIMENTO_ENTREGA=CONCATENATE($C346,"_","P_"),MNU_GRAMAJE_REQUERIDO_TIPOB,"")))</f>
        <v>30</v>
      </c>
      <c r="N346" s="343">
        <f t="shared" si="230"/>
        <v>101840</v>
      </c>
      <c r="O346" s="343">
        <f t="shared" si="231"/>
        <v>8040</v>
      </c>
      <c r="P346" s="343">
        <f t="shared" si="232"/>
        <v>109880</v>
      </c>
      <c r="Q346" s="344">
        <f t="shared" si="233"/>
        <v>30348320</v>
      </c>
      <c r="R346" s="344">
        <f t="shared" si="234"/>
        <v>2395920</v>
      </c>
      <c r="S346" s="344">
        <f t="shared" si="235"/>
        <v>32744240</v>
      </c>
      <c r="T346" s="348">
        <f t="array" ref="T346">MAX((IF(MNU_CODIGO_ALIMENTO_ENTREGA=CONCATENATE($C346,"_","P_"),MNU_GRAMAJE_REQUERIDO_TIPOC,"")))</f>
        <v>60</v>
      </c>
      <c r="U346" s="257">
        <f t="shared" si="236"/>
        <v>90928</v>
      </c>
      <c r="V346" s="257">
        <f t="shared" si="237"/>
        <v>15960</v>
      </c>
      <c r="W346" s="257">
        <f t="shared" si="238"/>
        <v>106888</v>
      </c>
      <c r="X346" s="258">
        <f t="shared" si="239"/>
        <v>54284016</v>
      </c>
      <c r="Y346" s="258">
        <f t="shared" si="240"/>
        <v>9528120</v>
      </c>
      <c r="Z346" s="258">
        <f t="shared" si="241"/>
        <v>63812136</v>
      </c>
      <c r="AA346" s="256">
        <f t="array" ref="AA346">MAX((IF(MNU_CODIGO_ALIMENTO_ENTREGA=CONCATENATE($C346,"_","P_"),MNU_GRAMAJE_REQUERIDO_TIPOM,"")))</f>
        <v>30</v>
      </c>
      <c r="AB346" s="259">
        <f t="shared" si="242"/>
        <v>4976</v>
      </c>
      <c r="AC346" s="259">
        <v>0</v>
      </c>
      <c r="AD346" s="259">
        <f t="shared" si="243"/>
        <v>4976</v>
      </c>
      <c r="AE346" s="260">
        <f t="shared" si="244"/>
        <v>1482848</v>
      </c>
      <c r="AF346" s="260">
        <v>0</v>
      </c>
      <c r="AG346" s="260">
        <f t="shared" si="245"/>
        <v>1482848</v>
      </c>
      <c r="AH346" s="348">
        <f t="array" ref="AH346">MAX((IF(MNU_CODIGO_ALIMENTO_ENTREGA=CONCATENATE($C346,"_","P_"),MNU_GRAMAJE_REQUERIDO_TIPOH,"")))</f>
        <v>60</v>
      </c>
      <c r="AI346" s="257">
        <f t="shared" si="246"/>
        <v>5152</v>
      </c>
      <c r="AJ346" s="257">
        <v>0</v>
      </c>
      <c r="AK346" s="257">
        <f t="shared" si="247"/>
        <v>5152</v>
      </c>
      <c r="AL346" s="258">
        <f t="shared" si="248"/>
        <v>3075744</v>
      </c>
      <c r="AM346" s="258">
        <v>0</v>
      </c>
      <c r="AN346" s="258">
        <f t="shared" si="249"/>
        <v>3075744</v>
      </c>
      <c r="AO346" s="451">
        <f t="shared" si="250"/>
        <v>352600</v>
      </c>
      <c r="AP346" s="450">
        <f t="shared" si="251"/>
        <v>126130064</v>
      </c>
      <c r="AQ346" s="261" t="e">
        <f>#REF!+AH346+AA346+T346+M346</f>
        <v>#REF!</v>
      </c>
      <c r="AR346" s="261">
        <f t="shared" si="210"/>
        <v>126332960</v>
      </c>
      <c r="AS346" s="261" t="e">
        <f t="shared" si="211"/>
        <v>#REF!</v>
      </c>
      <c r="AT346" s="261">
        <f t="shared" si="212"/>
        <v>126559856</v>
      </c>
      <c r="AU346" s="261" t="e">
        <f t="shared" si="213"/>
        <v>#REF!</v>
      </c>
      <c r="AV346" s="261">
        <f t="shared" si="214"/>
        <v>138483896</v>
      </c>
      <c r="AW346" s="261" t="e">
        <f t="shared" si="215"/>
        <v>#REF!</v>
      </c>
      <c r="AX346" s="261" t="e">
        <f>AV346+#REF!+AH346+AA346+T346</f>
        <v>#REF!</v>
      </c>
      <c r="AY346" s="261" t="e">
        <f t="shared" si="216"/>
        <v>#REF!</v>
      </c>
      <c r="AZ346" s="261" t="e">
        <f t="shared" si="217"/>
        <v>#REF!</v>
      </c>
      <c r="BA346" s="261" t="e">
        <f t="shared" si="218"/>
        <v>#REF!</v>
      </c>
      <c r="BB346" s="261" t="e">
        <f t="shared" si="219"/>
        <v>#REF!</v>
      </c>
      <c r="BC346" s="261" t="e">
        <f t="shared" si="220"/>
        <v>#REF!</v>
      </c>
      <c r="BD346" s="261" t="e">
        <f t="shared" si="221"/>
        <v>#REF!</v>
      </c>
      <c r="BE346" s="261" t="e">
        <f>BC346+AV346+#REF!+AH346+AA346</f>
        <v>#REF!</v>
      </c>
      <c r="BF346" s="261" t="e">
        <f t="shared" si="222"/>
        <v>#REF!</v>
      </c>
      <c r="BG346" s="261" t="e">
        <f t="shared" si="223"/>
        <v>#REF!</v>
      </c>
    </row>
    <row r="347" spans="1:59" ht="15.75">
      <c r="A347" s="333">
        <v>28</v>
      </c>
      <c r="B347" s="333" t="s">
        <v>1607</v>
      </c>
      <c r="C347" s="256">
        <v>50</v>
      </c>
      <c r="D347" s="322" t="s">
        <v>65</v>
      </c>
      <c r="E347" s="256" t="s">
        <v>9</v>
      </c>
      <c r="F347" s="425">
        <f t="array" ref="F347">MAX((IF(MNU_CODIGO_ALIMENTO_ENTREGA=CONCATENATE($C347,"_","P_"),MNU_GRAMAJE_REQUERIDO_TIPOA,"")))</f>
        <v>30</v>
      </c>
      <c r="G347" s="257">
        <f t="shared" si="224"/>
        <v>93228</v>
      </c>
      <c r="H347" s="257">
        <f t="shared" si="225"/>
        <v>0</v>
      </c>
      <c r="I347" s="257">
        <f t="shared" si="226"/>
        <v>93228</v>
      </c>
      <c r="J347" s="258">
        <f t="shared" si="227"/>
        <v>29926188</v>
      </c>
      <c r="K347" s="258">
        <f t="shared" si="228"/>
        <v>0</v>
      </c>
      <c r="L347" s="258">
        <f t="shared" si="229"/>
        <v>29926188</v>
      </c>
      <c r="M347" s="426">
        <f t="array" ref="M347">MAX((IF(MNU_CODIGO_ALIMENTO_ENTREGA=CONCATENATE($C347,"_","P_"),MNU_GRAMAJE_REQUERIDO_TIPOB,"")))</f>
        <v>40</v>
      </c>
      <c r="N347" s="343">
        <f t="shared" si="230"/>
        <v>108205</v>
      </c>
      <c r="O347" s="343">
        <f t="shared" si="231"/>
        <v>0</v>
      </c>
      <c r="P347" s="343">
        <f t="shared" si="232"/>
        <v>108205</v>
      </c>
      <c r="Q347" s="344">
        <f t="shared" si="233"/>
        <v>46311740</v>
      </c>
      <c r="R347" s="344">
        <f t="shared" si="234"/>
        <v>0</v>
      </c>
      <c r="S347" s="344">
        <f t="shared" si="235"/>
        <v>46311740</v>
      </c>
      <c r="T347" s="348">
        <f t="array" ref="T347">MAX((IF(MNU_CODIGO_ALIMENTO_ENTREGA=CONCATENATE($C347,"_","P_"),MNU_GRAMAJE_REQUERIDO_TIPOC,"")))</f>
        <v>80</v>
      </c>
      <c r="U347" s="257">
        <f t="shared" si="236"/>
        <v>96611</v>
      </c>
      <c r="V347" s="257">
        <f t="shared" si="237"/>
        <v>0</v>
      </c>
      <c r="W347" s="257">
        <f t="shared" si="238"/>
        <v>96611</v>
      </c>
      <c r="X347" s="258">
        <f t="shared" si="239"/>
        <v>82602405</v>
      </c>
      <c r="Y347" s="258">
        <f t="shared" si="240"/>
        <v>0</v>
      </c>
      <c r="Z347" s="258">
        <f t="shared" si="241"/>
        <v>82602405</v>
      </c>
      <c r="AA347" s="256">
        <f t="array" ref="AA347">MAX((IF(MNU_CODIGO_ALIMENTO_ENTREGA=CONCATENATE($C347,"_","P_"),MNU_GRAMAJE_REQUERIDO_TIPOM,"")))</f>
        <v>40</v>
      </c>
      <c r="AB347" s="259">
        <f t="shared" si="242"/>
        <v>5287</v>
      </c>
      <c r="AC347" s="259">
        <v>0</v>
      </c>
      <c r="AD347" s="259">
        <f t="shared" si="243"/>
        <v>5287</v>
      </c>
      <c r="AE347" s="260">
        <f t="shared" si="244"/>
        <v>2262836</v>
      </c>
      <c r="AF347" s="260">
        <v>0</v>
      </c>
      <c r="AG347" s="260">
        <f t="shared" si="245"/>
        <v>2262836</v>
      </c>
      <c r="AH347" s="348">
        <f t="array" ref="AH347">MAX((IF(MNU_CODIGO_ALIMENTO_ENTREGA=CONCATENATE($C347,"_","P_"),MNU_GRAMAJE_REQUERIDO_TIPOH,"")))</f>
        <v>80</v>
      </c>
      <c r="AI347" s="257">
        <f t="shared" si="246"/>
        <v>5474</v>
      </c>
      <c r="AJ347" s="257">
        <v>0</v>
      </c>
      <c r="AK347" s="257">
        <f t="shared" si="247"/>
        <v>5474</v>
      </c>
      <c r="AL347" s="258">
        <f t="shared" si="248"/>
        <v>4680270</v>
      </c>
      <c r="AM347" s="258">
        <v>0</v>
      </c>
      <c r="AN347" s="258">
        <f t="shared" si="249"/>
        <v>4680270</v>
      </c>
      <c r="AO347" s="451">
        <f t="shared" si="250"/>
        <v>308805</v>
      </c>
      <c r="AP347" s="450">
        <f t="shared" si="251"/>
        <v>165783439</v>
      </c>
      <c r="AQ347" s="261" t="e">
        <f>#REF!+AH347+AA347+T347+M347</f>
        <v>#REF!</v>
      </c>
      <c r="AR347" s="261">
        <f t="shared" si="210"/>
        <v>165999016</v>
      </c>
      <c r="AS347" s="261" t="e">
        <f t="shared" si="211"/>
        <v>#REF!</v>
      </c>
      <c r="AT347" s="261">
        <f t="shared" si="212"/>
        <v>166214593</v>
      </c>
      <c r="AU347" s="261" t="e">
        <f t="shared" si="213"/>
        <v>#REF!</v>
      </c>
      <c r="AV347" s="261">
        <f t="shared" si="214"/>
        <v>166214593</v>
      </c>
      <c r="AW347" s="261" t="e">
        <f t="shared" si="215"/>
        <v>#REF!</v>
      </c>
      <c r="AX347" s="261" t="e">
        <f>AV347+#REF!+AH347+AA347+T347</f>
        <v>#REF!</v>
      </c>
      <c r="AY347" s="261" t="e">
        <f t="shared" si="216"/>
        <v>#REF!</v>
      </c>
      <c r="AZ347" s="261" t="e">
        <f t="shared" si="217"/>
        <v>#REF!</v>
      </c>
      <c r="BA347" s="261" t="e">
        <f t="shared" si="218"/>
        <v>#REF!</v>
      </c>
      <c r="BB347" s="261" t="e">
        <f t="shared" si="219"/>
        <v>#REF!</v>
      </c>
      <c r="BC347" s="261" t="e">
        <f t="shared" si="220"/>
        <v>#REF!</v>
      </c>
      <c r="BD347" s="261" t="e">
        <f t="shared" si="221"/>
        <v>#REF!</v>
      </c>
      <c r="BE347" s="261" t="e">
        <f>BC347+AV347+#REF!+AH347+AA347</f>
        <v>#REF!</v>
      </c>
      <c r="BF347" s="261" t="e">
        <f t="shared" si="222"/>
        <v>#REF!</v>
      </c>
      <c r="BG347" s="261" t="e">
        <f t="shared" si="223"/>
        <v>#REF!</v>
      </c>
    </row>
    <row r="348" spans="1:59" ht="15.75">
      <c r="A348" s="333">
        <v>28</v>
      </c>
      <c r="B348" s="333" t="s">
        <v>1607</v>
      </c>
      <c r="C348" s="256">
        <v>61</v>
      </c>
      <c r="D348" s="322" t="s">
        <v>13</v>
      </c>
      <c r="E348" s="256" t="s">
        <v>9</v>
      </c>
      <c r="F348" s="425">
        <f t="array" ref="F348">MAX((IF(MNU_CODIGO_ALIMENTO_ENTREGA=CONCATENATE($C348,"_","P_"),MNU_GRAMAJE_REQUERIDO_TIPOA,"")))</f>
        <v>20</v>
      </c>
      <c r="G348" s="257">
        <f t="shared" si="224"/>
        <v>87744</v>
      </c>
      <c r="H348" s="257">
        <f t="shared" si="225"/>
        <v>37960</v>
      </c>
      <c r="I348" s="257">
        <f t="shared" si="226"/>
        <v>125704</v>
      </c>
      <c r="J348" s="258">
        <f t="shared" si="227"/>
        <v>20444352</v>
      </c>
      <c r="K348" s="258">
        <f t="shared" si="228"/>
        <v>8844680</v>
      </c>
      <c r="L348" s="258">
        <f t="shared" si="229"/>
        <v>29289032</v>
      </c>
      <c r="M348" s="426">
        <f t="array" ref="M348">MAX((IF(MNU_CODIGO_ALIMENTO_ENTREGA=CONCATENATE($C348,"_","P_"),MNU_GRAMAJE_REQUERIDO_TIPOB,"")))</f>
        <v>30</v>
      </c>
      <c r="N348" s="343">
        <f t="shared" si="230"/>
        <v>101840</v>
      </c>
      <c r="O348" s="343">
        <f t="shared" si="231"/>
        <v>8040</v>
      </c>
      <c r="P348" s="343">
        <f t="shared" si="232"/>
        <v>109880</v>
      </c>
      <c r="Q348" s="344">
        <f t="shared" si="233"/>
        <v>35745840</v>
      </c>
      <c r="R348" s="344">
        <f t="shared" si="234"/>
        <v>2822040</v>
      </c>
      <c r="S348" s="344">
        <f t="shared" si="235"/>
        <v>38567880</v>
      </c>
      <c r="T348" s="348">
        <f t="array" ref="T348">MAX((IF(MNU_CODIGO_ALIMENTO_ENTREGA=CONCATENATE($C348,"_","P_"),MNU_GRAMAJE_REQUERIDO_TIPOC,"")))</f>
        <v>70</v>
      </c>
      <c r="U348" s="257">
        <f t="shared" si="236"/>
        <v>90928</v>
      </c>
      <c r="V348" s="257">
        <f t="shared" si="237"/>
        <v>15960</v>
      </c>
      <c r="W348" s="257">
        <f t="shared" si="238"/>
        <v>106888</v>
      </c>
      <c r="X348" s="258">
        <f t="shared" si="239"/>
        <v>74379104</v>
      </c>
      <c r="Y348" s="258">
        <f t="shared" si="240"/>
        <v>13055280</v>
      </c>
      <c r="Z348" s="258">
        <f t="shared" si="241"/>
        <v>87434384</v>
      </c>
      <c r="AA348" s="256">
        <f t="array" ref="AA348">MAX((IF(MNU_CODIGO_ALIMENTO_ENTREGA=CONCATENATE($C348,"_","P_"),MNU_GRAMAJE_REQUERIDO_TIPOM,"")))</f>
        <v>30</v>
      </c>
      <c r="AB348" s="259">
        <f t="shared" si="242"/>
        <v>4976</v>
      </c>
      <c r="AC348" s="259">
        <v>0</v>
      </c>
      <c r="AD348" s="259">
        <f t="shared" si="243"/>
        <v>4976</v>
      </c>
      <c r="AE348" s="260">
        <f t="shared" si="244"/>
        <v>1746576</v>
      </c>
      <c r="AF348" s="260">
        <v>0</v>
      </c>
      <c r="AG348" s="260">
        <f t="shared" si="245"/>
        <v>1746576</v>
      </c>
      <c r="AH348" s="348">
        <f t="array" ref="AH348">MAX((IF(MNU_CODIGO_ALIMENTO_ENTREGA=CONCATENATE($C348,"_","P_"),MNU_GRAMAJE_REQUERIDO_TIPOH,"")))</f>
        <v>70</v>
      </c>
      <c r="AI348" s="257">
        <f t="shared" si="246"/>
        <v>5152</v>
      </c>
      <c r="AJ348" s="257">
        <v>0</v>
      </c>
      <c r="AK348" s="257">
        <f t="shared" si="247"/>
        <v>5152</v>
      </c>
      <c r="AL348" s="258">
        <f t="shared" si="248"/>
        <v>4214336</v>
      </c>
      <c r="AM348" s="258">
        <v>0</v>
      </c>
      <c r="AN348" s="258">
        <f t="shared" si="249"/>
        <v>4214336</v>
      </c>
      <c r="AO348" s="451">
        <f t="shared" si="250"/>
        <v>352600</v>
      </c>
      <c r="AP348" s="450">
        <f t="shared" si="251"/>
        <v>161252208</v>
      </c>
      <c r="AQ348" s="261" t="e">
        <f>#REF!+AH348+AA348+T348+M348</f>
        <v>#REF!</v>
      </c>
      <c r="AR348" s="261">
        <f t="shared" si="210"/>
        <v>161455104</v>
      </c>
      <c r="AS348" s="261" t="e">
        <f t="shared" si="211"/>
        <v>#REF!</v>
      </c>
      <c r="AT348" s="261">
        <f t="shared" si="212"/>
        <v>161682000</v>
      </c>
      <c r="AU348" s="261" t="e">
        <f t="shared" si="213"/>
        <v>#REF!</v>
      </c>
      <c r="AV348" s="261">
        <f t="shared" si="214"/>
        <v>177559320</v>
      </c>
      <c r="AW348" s="261" t="e">
        <f t="shared" si="215"/>
        <v>#REF!</v>
      </c>
      <c r="AX348" s="261" t="e">
        <f>AV348+#REF!+AH348+AA348+T348</f>
        <v>#REF!</v>
      </c>
      <c r="AY348" s="261" t="e">
        <f t="shared" si="216"/>
        <v>#REF!</v>
      </c>
      <c r="AZ348" s="261" t="e">
        <f t="shared" si="217"/>
        <v>#REF!</v>
      </c>
      <c r="BA348" s="261" t="e">
        <f t="shared" si="218"/>
        <v>#REF!</v>
      </c>
      <c r="BB348" s="261" t="e">
        <f t="shared" si="219"/>
        <v>#REF!</v>
      </c>
      <c r="BC348" s="261" t="e">
        <f t="shared" si="220"/>
        <v>#REF!</v>
      </c>
      <c r="BD348" s="261" t="e">
        <f t="shared" si="221"/>
        <v>#REF!</v>
      </c>
      <c r="BE348" s="261" t="e">
        <f>BC348+AV348+#REF!+AH348+AA348</f>
        <v>#REF!</v>
      </c>
      <c r="BF348" s="261" t="e">
        <f t="shared" si="222"/>
        <v>#REF!</v>
      </c>
      <c r="BG348" s="261" t="e">
        <f t="shared" si="223"/>
        <v>#REF!</v>
      </c>
    </row>
    <row r="349" spans="1:59" ht="15.75">
      <c r="A349" s="333">
        <v>28</v>
      </c>
      <c r="B349" s="333" t="s">
        <v>1607</v>
      </c>
      <c r="C349" s="256">
        <v>62</v>
      </c>
      <c r="D349" s="322" t="s">
        <v>68</v>
      </c>
      <c r="E349" s="256" t="s">
        <v>9</v>
      </c>
      <c r="F349" s="425">
        <f t="array" ref="F349">MAX((IF(MNU_CODIGO_ALIMENTO_ENTREGA=CONCATENATE($C349,"_","P_"),MNU_GRAMAJE_REQUERIDO_TIPOA,"")))</f>
        <v>50</v>
      </c>
      <c r="G349" s="257">
        <f t="shared" si="224"/>
        <v>27420</v>
      </c>
      <c r="H349" s="257">
        <f t="shared" si="225"/>
        <v>0</v>
      </c>
      <c r="I349" s="257">
        <f t="shared" si="226"/>
        <v>27420</v>
      </c>
      <c r="J349" s="258">
        <f t="shared" si="227"/>
        <v>17137500</v>
      </c>
      <c r="K349" s="258">
        <f t="shared" si="228"/>
        <v>0</v>
      </c>
      <c r="L349" s="258">
        <f t="shared" si="229"/>
        <v>17137500</v>
      </c>
      <c r="M349" s="426">
        <f t="array" ref="M349">MAX((IF(MNU_CODIGO_ALIMENTO_ENTREGA=CONCATENATE($C349,"_","P_"),MNU_GRAMAJE_REQUERIDO_TIPOB,"")))</f>
        <v>50</v>
      </c>
      <c r="N349" s="343">
        <f t="shared" si="230"/>
        <v>31825</v>
      </c>
      <c r="O349" s="343">
        <f t="shared" si="231"/>
        <v>0</v>
      </c>
      <c r="P349" s="343">
        <f t="shared" si="232"/>
        <v>31825</v>
      </c>
      <c r="Q349" s="344">
        <f t="shared" si="233"/>
        <v>19890625</v>
      </c>
      <c r="R349" s="344">
        <f t="shared" si="234"/>
        <v>0</v>
      </c>
      <c r="S349" s="344">
        <f t="shared" si="235"/>
        <v>19890625</v>
      </c>
      <c r="T349" s="348">
        <f t="array" ref="T349">MAX((IF(MNU_CODIGO_ALIMENTO_ENTREGA=CONCATENATE($C349,"_","P_"),MNU_GRAMAJE_REQUERIDO_TIPOC,"")))</f>
        <v>50</v>
      </c>
      <c r="U349" s="257">
        <f t="shared" si="236"/>
        <v>28415</v>
      </c>
      <c r="V349" s="257">
        <f t="shared" si="237"/>
        <v>0</v>
      </c>
      <c r="W349" s="257">
        <f t="shared" si="238"/>
        <v>28415</v>
      </c>
      <c r="X349" s="258">
        <f t="shared" si="239"/>
        <v>17759375</v>
      </c>
      <c r="Y349" s="258">
        <f t="shared" si="240"/>
        <v>0</v>
      </c>
      <c r="Z349" s="258">
        <f t="shared" si="241"/>
        <v>17759375</v>
      </c>
      <c r="AA349" s="256">
        <f t="array" ref="AA349">MAX((IF(MNU_CODIGO_ALIMENTO_ENTREGA=CONCATENATE($C349,"_","P_"),MNU_GRAMAJE_REQUERIDO_TIPOM,"")))</f>
        <v>50</v>
      </c>
      <c r="AB349" s="259">
        <f t="shared" si="242"/>
        <v>1555</v>
      </c>
      <c r="AC349" s="259">
        <v>0</v>
      </c>
      <c r="AD349" s="259">
        <f t="shared" si="243"/>
        <v>1555</v>
      </c>
      <c r="AE349" s="260">
        <f t="shared" si="244"/>
        <v>971875</v>
      </c>
      <c r="AF349" s="260">
        <v>0</v>
      </c>
      <c r="AG349" s="260">
        <f t="shared" si="245"/>
        <v>971875</v>
      </c>
      <c r="AH349" s="348">
        <f t="array" ref="AH349">MAX((IF(MNU_CODIGO_ALIMENTO_ENTREGA=CONCATENATE($C349,"_","P_"),MNU_GRAMAJE_REQUERIDO_TIPOH,"")))</f>
        <v>50</v>
      </c>
      <c r="AI349" s="257">
        <f t="shared" si="246"/>
        <v>1610</v>
      </c>
      <c r="AJ349" s="257">
        <v>0</v>
      </c>
      <c r="AK349" s="257">
        <f t="shared" si="247"/>
        <v>1610</v>
      </c>
      <c r="AL349" s="258">
        <f t="shared" si="248"/>
        <v>1006250</v>
      </c>
      <c r="AM349" s="258">
        <v>0</v>
      </c>
      <c r="AN349" s="258">
        <f t="shared" si="249"/>
        <v>1006250</v>
      </c>
      <c r="AO349" s="451">
        <f t="shared" si="250"/>
        <v>90825</v>
      </c>
      <c r="AP349" s="450">
        <f t="shared" si="251"/>
        <v>56765625</v>
      </c>
      <c r="AQ349" s="261" t="e">
        <f>#REF!+AH349+AA349+T349+M349</f>
        <v>#REF!</v>
      </c>
      <c r="AR349" s="261">
        <f t="shared" si="210"/>
        <v>56829030</v>
      </c>
      <c r="AS349" s="261" t="e">
        <f t="shared" si="211"/>
        <v>#REF!</v>
      </c>
      <c r="AT349" s="261">
        <f t="shared" si="212"/>
        <v>56892435</v>
      </c>
      <c r="AU349" s="261" t="e">
        <f t="shared" si="213"/>
        <v>#REF!</v>
      </c>
      <c r="AV349" s="261">
        <f t="shared" si="214"/>
        <v>56892435</v>
      </c>
      <c r="AW349" s="261" t="e">
        <f t="shared" si="215"/>
        <v>#REF!</v>
      </c>
      <c r="AX349" s="261" t="e">
        <f>AV349+#REF!+AH349+AA349+T349</f>
        <v>#REF!</v>
      </c>
      <c r="AY349" s="261" t="e">
        <f t="shared" si="216"/>
        <v>#REF!</v>
      </c>
      <c r="AZ349" s="261" t="e">
        <f t="shared" si="217"/>
        <v>#REF!</v>
      </c>
      <c r="BA349" s="261" t="e">
        <f t="shared" si="218"/>
        <v>#REF!</v>
      </c>
      <c r="BB349" s="261" t="e">
        <f t="shared" si="219"/>
        <v>#REF!</v>
      </c>
      <c r="BC349" s="261" t="e">
        <f t="shared" si="220"/>
        <v>#REF!</v>
      </c>
      <c r="BD349" s="261" t="e">
        <f t="shared" si="221"/>
        <v>#REF!</v>
      </c>
      <c r="BE349" s="261" t="e">
        <f>BC349+AV349+#REF!+AH349+AA349</f>
        <v>#REF!</v>
      </c>
      <c r="BF349" s="261" t="e">
        <f t="shared" si="222"/>
        <v>#REF!</v>
      </c>
      <c r="BG349" s="261" t="e">
        <f t="shared" si="223"/>
        <v>#REF!</v>
      </c>
    </row>
    <row r="350" spans="1:59" ht="15.75">
      <c r="A350" s="333">
        <v>29</v>
      </c>
      <c r="B350" s="333" t="s">
        <v>1607</v>
      </c>
      <c r="C350" s="256">
        <v>1</v>
      </c>
      <c r="D350" s="322" t="s">
        <v>16</v>
      </c>
      <c r="E350" s="256" t="s">
        <v>9</v>
      </c>
      <c r="F350" s="425">
        <f t="array" ref="F350">MAX((IF(MNU_CODIGO_ALIMENTO_ENTREGA=CONCATENATE($C350,"_","P_"),MNU_GRAMAJE_REQUERIDO_TIPOA,"")))</f>
        <v>30</v>
      </c>
      <c r="G350" s="257">
        <f t="shared" si="224"/>
        <v>89880</v>
      </c>
      <c r="H350" s="257">
        <f t="shared" si="225"/>
        <v>0</v>
      </c>
      <c r="I350" s="257">
        <f t="shared" si="226"/>
        <v>89880</v>
      </c>
      <c r="J350" s="258">
        <f t="shared" si="227"/>
        <v>72623040</v>
      </c>
      <c r="K350" s="258">
        <f t="shared" si="228"/>
        <v>0</v>
      </c>
      <c r="L350" s="258">
        <f t="shared" si="229"/>
        <v>72623040</v>
      </c>
      <c r="M350" s="426">
        <f t="array" ref="M350">MAX((IF(MNU_CODIGO_ALIMENTO_ENTREGA=CONCATENATE($C350,"_","P_"),MNU_GRAMAJE_REQUERIDO_TIPOB,"")))</f>
        <v>40</v>
      </c>
      <c r="N350" s="343">
        <f t="shared" si="230"/>
        <v>114975</v>
      </c>
      <c r="O350" s="343">
        <f t="shared" si="231"/>
        <v>0</v>
      </c>
      <c r="P350" s="343">
        <f t="shared" si="232"/>
        <v>114975</v>
      </c>
      <c r="Q350" s="344">
        <f t="shared" si="233"/>
        <v>123943050</v>
      </c>
      <c r="R350" s="344">
        <f t="shared" si="234"/>
        <v>0</v>
      </c>
      <c r="S350" s="344">
        <f t="shared" si="235"/>
        <v>123943050</v>
      </c>
      <c r="T350" s="348">
        <f t="array" ref="T350">MAX((IF(MNU_CODIGO_ALIMENTO_ENTREGA=CONCATENATE($C350,"_","P_"),MNU_GRAMAJE_REQUERIDO_TIPOC,"")))</f>
        <v>60</v>
      </c>
      <c r="U350" s="257">
        <f t="shared" si="236"/>
        <v>139965</v>
      </c>
      <c r="V350" s="257">
        <f t="shared" si="237"/>
        <v>0</v>
      </c>
      <c r="W350" s="257">
        <f t="shared" si="238"/>
        <v>139965</v>
      </c>
      <c r="X350" s="258">
        <f t="shared" si="239"/>
        <v>226183440</v>
      </c>
      <c r="Y350" s="258">
        <f t="shared" si="240"/>
        <v>0</v>
      </c>
      <c r="Z350" s="258">
        <f t="shared" si="241"/>
        <v>226183440</v>
      </c>
      <c r="AA350" s="256">
        <f t="array" ref="AA350">MAX((IF(MNU_CODIGO_ALIMENTO_ENTREGA=CONCATENATE($C350,"_","P_"),MNU_GRAMAJE_REQUERIDO_TIPOM,"")))</f>
        <v>40</v>
      </c>
      <c r="AB350" s="259">
        <f t="shared" si="242"/>
        <v>3765</v>
      </c>
      <c r="AC350" s="259">
        <v>0</v>
      </c>
      <c r="AD350" s="259">
        <f t="shared" si="243"/>
        <v>3765</v>
      </c>
      <c r="AE350" s="260">
        <f t="shared" si="244"/>
        <v>4058670</v>
      </c>
      <c r="AF350" s="260">
        <v>0</v>
      </c>
      <c r="AG350" s="260">
        <f t="shared" si="245"/>
        <v>4058670</v>
      </c>
      <c r="AH350" s="348">
        <f t="array" ref="AH350">MAX((IF(MNU_CODIGO_ALIMENTO_ENTREGA=CONCATENATE($C350,"_","P_"),MNU_GRAMAJE_REQUERIDO_TIPOH,"")))</f>
        <v>60</v>
      </c>
      <c r="AI350" s="257">
        <f t="shared" si="246"/>
        <v>4455</v>
      </c>
      <c r="AJ350" s="257">
        <v>0</v>
      </c>
      <c r="AK350" s="257">
        <f t="shared" si="247"/>
        <v>4455</v>
      </c>
      <c r="AL350" s="258">
        <f t="shared" si="248"/>
        <v>7199280</v>
      </c>
      <c r="AM350" s="258">
        <v>0</v>
      </c>
      <c r="AN350" s="258">
        <f t="shared" si="249"/>
        <v>7199280</v>
      </c>
      <c r="AO350" s="451">
        <f t="shared" si="250"/>
        <v>353040</v>
      </c>
      <c r="AP350" s="450">
        <f t="shared" si="251"/>
        <v>434007480</v>
      </c>
      <c r="AQ350" s="261" t="e">
        <f>#REF!+AH350+AA350+T350+M350</f>
        <v>#REF!</v>
      </c>
      <c r="AR350" s="261">
        <f t="shared" si="210"/>
        <v>434270640</v>
      </c>
      <c r="AS350" s="261" t="e">
        <f t="shared" si="211"/>
        <v>#REF!</v>
      </c>
      <c r="AT350" s="261">
        <f t="shared" si="212"/>
        <v>434533800</v>
      </c>
      <c r="AU350" s="261" t="e">
        <f t="shared" si="213"/>
        <v>#REF!</v>
      </c>
      <c r="AV350" s="261">
        <f t="shared" si="214"/>
        <v>434533800</v>
      </c>
      <c r="AW350" s="261" t="e">
        <f t="shared" si="215"/>
        <v>#REF!</v>
      </c>
      <c r="AX350" s="261" t="e">
        <f>AV350+#REF!+AH350+AA350+T350</f>
        <v>#REF!</v>
      </c>
      <c r="AY350" s="261" t="e">
        <f t="shared" si="216"/>
        <v>#REF!</v>
      </c>
      <c r="AZ350" s="261" t="e">
        <f t="shared" si="217"/>
        <v>#REF!</v>
      </c>
      <c r="BA350" s="261" t="e">
        <f t="shared" si="218"/>
        <v>#REF!</v>
      </c>
      <c r="BB350" s="261" t="e">
        <f t="shared" si="219"/>
        <v>#REF!</v>
      </c>
      <c r="BC350" s="261" t="e">
        <f t="shared" si="220"/>
        <v>#REF!</v>
      </c>
      <c r="BD350" s="261" t="e">
        <f t="shared" si="221"/>
        <v>#REF!</v>
      </c>
      <c r="BE350" s="261" t="e">
        <f>BC350+AV350+#REF!+AH350+AA350</f>
        <v>#REF!</v>
      </c>
      <c r="BF350" s="261" t="e">
        <f t="shared" si="222"/>
        <v>#REF!</v>
      </c>
      <c r="BG350" s="261" t="e">
        <f t="shared" si="223"/>
        <v>#REF!</v>
      </c>
    </row>
    <row r="351" spans="1:59" ht="15.75">
      <c r="A351" s="333">
        <v>29</v>
      </c>
      <c r="B351" s="333" t="s">
        <v>1607</v>
      </c>
      <c r="C351" s="256">
        <v>3</v>
      </c>
      <c r="D351" s="322" t="s">
        <v>12</v>
      </c>
      <c r="E351" s="256" t="s">
        <v>9</v>
      </c>
      <c r="F351" s="425">
        <f t="array" ref="F351">MAX((IF(MNU_CODIGO_ALIMENTO_ENTREGA=CONCATENATE($C351,"_","P_"),MNU_GRAMAJE_REQUERIDO_TIPOA,"")))</f>
        <v>50</v>
      </c>
      <c r="G351" s="257">
        <f t="shared" si="224"/>
        <v>101864</v>
      </c>
      <c r="H351" s="257">
        <f t="shared" si="225"/>
        <v>24263</v>
      </c>
      <c r="I351" s="257">
        <f t="shared" si="226"/>
        <v>126127</v>
      </c>
      <c r="J351" s="258">
        <f t="shared" si="227"/>
        <v>51441320</v>
      </c>
      <c r="K351" s="258">
        <f t="shared" si="228"/>
        <v>12252815</v>
      </c>
      <c r="L351" s="258">
        <f t="shared" si="229"/>
        <v>63694135</v>
      </c>
      <c r="M351" s="426">
        <f t="array" ref="M351">MAX((IF(MNU_CODIGO_ALIMENTO_ENTREGA=CONCATENATE($C351,"_","P_"),MNU_GRAMAJE_REQUERIDO_TIPOB,"")))</f>
        <v>50</v>
      </c>
      <c r="N351" s="343">
        <f t="shared" si="230"/>
        <v>130305</v>
      </c>
      <c r="O351" s="343">
        <f t="shared" si="231"/>
        <v>13604</v>
      </c>
      <c r="P351" s="343">
        <f t="shared" si="232"/>
        <v>143909</v>
      </c>
      <c r="Q351" s="344">
        <f t="shared" si="233"/>
        <v>65804025</v>
      </c>
      <c r="R351" s="344">
        <f t="shared" si="234"/>
        <v>6870020</v>
      </c>
      <c r="S351" s="344">
        <f t="shared" si="235"/>
        <v>72674045</v>
      </c>
      <c r="T351" s="348">
        <f t="array" ref="T351">MAX((IF(MNU_CODIGO_ALIMENTO_ENTREGA=CONCATENATE($C351,"_","P_"),MNU_GRAMAJE_REQUERIDO_TIPOC,"")))</f>
        <v>80</v>
      </c>
      <c r="U351" s="257">
        <f t="shared" si="236"/>
        <v>158627</v>
      </c>
      <c r="V351" s="257">
        <f t="shared" si="237"/>
        <v>7771</v>
      </c>
      <c r="W351" s="257">
        <f t="shared" si="238"/>
        <v>166398</v>
      </c>
      <c r="X351" s="258">
        <f t="shared" si="239"/>
        <v>121032401</v>
      </c>
      <c r="Y351" s="258">
        <f t="shared" si="240"/>
        <v>5929273</v>
      </c>
      <c r="Z351" s="258">
        <f t="shared" si="241"/>
        <v>126961674</v>
      </c>
      <c r="AA351" s="256">
        <f t="array" ref="AA351">MAX((IF(MNU_CODIGO_ALIMENTO_ENTREGA=CONCATENATE($C351,"_","P_"),MNU_GRAMAJE_REQUERIDO_TIPOM,"")))</f>
        <v>50</v>
      </c>
      <c r="AB351" s="259">
        <f t="shared" si="242"/>
        <v>4267</v>
      </c>
      <c r="AC351" s="259">
        <v>0</v>
      </c>
      <c r="AD351" s="259">
        <f t="shared" si="243"/>
        <v>4267</v>
      </c>
      <c r="AE351" s="260">
        <f t="shared" si="244"/>
        <v>2154835</v>
      </c>
      <c r="AF351" s="260">
        <v>0</v>
      </c>
      <c r="AG351" s="260">
        <f t="shared" si="245"/>
        <v>2154835</v>
      </c>
      <c r="AH351" s="348">
        <f t="array" ref="AH351">MAX((IF(MNU_CODIGO_ALIMENTO_ENTREGA=CONCATENATE($C351,"_","P_"),MNU_GRAMAJE_REQUERIDO_TIPOH,"")))</f>
        <v>80</v>
      </c>
      <c r="AI351" s="257">
        <f t="shared" si="246"/>
        <v>5049</v>
      </c>
      <c r="AJ351" s="257">
        <v>0</v>
      </c>
      <c r="AK351" s="257">
        <f t="shared" si="247"/>
        <v>5049</v>
      </c>
      <c r="AL351" s="258">
        <f t="shared" si="248"/>
        <v>3852387</v>
      </c>
      <c r="AM351" s="258">
        <v>0</v>
      </c>
      <c r="AN351" s="258">
        <f t="shared" si="249"/>
        <v>3852387</v>
      </c>
      <c r="AO351" s="451">
        <f t="shared" si="250"/>
        <v>445750</v>
      </c>
      <c r="AP351" s="450">
        <f t="shared" si="251"/>
        <v>269337076</v>
      </c>
      <c r="AQ351" s="261" t="e">
        <f>#REF!+AH351+AA351+T351+M351</f>
        <v>#REF!</v>
      </c>
      <c r="AR351" s="261">
        <f t="shared" si="210"/>
        <v>269635324</v>
      </c>
      <c r="AS351" s="261" t="e">
        <f t="shared" si="211"/>
        <v>#REF!</v>
      </c>
      <c r="AT351" s="261">
        <f t="shared" si="212"/>
        <v>269954947</v>
      </c>
      <c r="AU351" s="261" t="e">
        <f t="shared" si="213"/>
        <v>#REF!</v>
      </c>
      <c r="AV351" s="261">
        <f t="shared" si="214"/>
        <v>282754240</v>
      </c>
      <c r="AW351" s="261" t="e">
        <f t="shared" si="215"/>
        <v>#REF!</v>
      </c>
      <c r="AX351" s="261" t="e">
        <f>AV351+#REF!+AH351+AA351+T351</f>
        <v>#REF!</v>
      </c>
      <c r="AY351" s="261" t="e">
        <f t="shared" si="216"/>
        <v>#REF!</v>
      </c>
      <c r="AZ351" s="261" t="e">
        <f t="shared" si="217"/>
        <v>#REF!</v>
      </c>
      <c r="BA351" s="261" t="e">
        <f t="shared" si="218"/>
        <v>#REF!</v>
      </c>
      <c r="BB351" s="261" t="e">
        <f t="shared" si="219"/>
        <v>#REF!</v>
      </c>
      <c r="BC351" s="261" t="e">
        <f t="shared" si="220"/>
        <v>#REF!</v>
      </c>
      <c r="BD351" s="261" t="e">
        <f t="shared" si="221"/>
        <v>#REF!</v>
      </c>
      <c r="BE351" s="261" t="e">
        <f>BC351+AV351+#REF!+AH351+AA351</f>
        <v>#REF!</v>
      </c>
      <c r="BF351" s="261" t="e">
        <f t="shared" si="222"/>
        <v>#REF!</v>
      </c>
      <c r="BG351" s="261" t="e">
        <f t="shared" si="223"/>
        <v>#REF!</v>
      </c>
    </row>
    <row r="352" spans="1:59" ht="15.75">
      <c r="A352" s="333">
        <v>29</v>
      </c>
      <c r="B352" s="333" t="s">
        <v>1607</v>
      </c>
      <c r="C352" s="256">
        <v>15</v>
      </c>
      <c r="D352" s="322" t="s">
        <v>66</v>
      </c>
      <c r="E352" s="256" t="s">
        <v>9</v>
      </c>
      <c r="F352" s="425">
        <f t="array" ref="F352">MAX((IF(MNU_CODIGO_ALIMENTO_ENTREGA=CONCATENATE($C352,"_","P_"),MNU_GRAMAJE_REQUERIDO_TIPOA,"")))</f>
        <v>50</v>
      </c>
      <c r="G352" s="257">
        <f t="shared" si="224"/>
        <v>101864</v>
      </c>
      <c r="H352" s="257">
        <f t="shared" si="225"/>
        <v>14047</v>
      </c>
      <c r="I352" s="257">
        <f t="shared" si="226"/>
        <v>115911</v>
      </c>
      <c r="J352" s="258">
        <f t="shared" si="227"/>
        <v>68554472</v>
      </c>
      <c r="K352" s="258">
        <f t="shared" si="228"/>
        <v>9453631</v>
      </c>
      <c r="L352" s="258">
        <f t="shared" si="229"/>
        <v>78008103</v>
      </c>
      <c r="M352" s="426">
        <f t="array" ref="M352">MAX((IF(MNU_CODIGO_ALIMENTO_ENTREGA=CONCATENATE($C352,"_","P_"),MNU_GRAMAJE_REQUERIDO_TIPOB,"")))</f>
        <v>50</v>
      </c>
      <c r="N352" s="343">
        <f t="shared" si="230"/>
        <v>130305</v>
      </c>
      <c r="O352" s="343">
        <f t="shared" si="231"/>
        <v>7876</v>
      </c>
      <c r="P352" s="343">
        <f t="shared" si="232"/>
        <v>138181</v>
      </c>
      <c r="Q352" s="344">
        <f t="shared" si="233"/>
        <v>87695265</v>
      </c>
      <c r="R352" s="344">
        <f t="shared" si="234"/>
        <v>5300548</v>
      </c>
      <c r="S352" s="344">
        <f t="shared" si="235"/>
        <v>92995813</v>
      </c>
      <c r="T352" s="348">
        <f t="array" ref="T352">MAX((IF(MNU_CODIGO_ALIMENTO_ENTREGA=CONCATENATE($C352,"_","P_"),MNU_GRAMAJE_REQUERIDO_TIPOC,"")))</f>
        <v>80</v>
      </c>
      <c r="U352" s="257">
        <f t="shared" si="236"/>
        <v>158627</v>
      </c>
      <c r="V352" s="257">
        <f t="shared" si="237"/>
        <v>4499</v>
      </c>
      <c r="W352" s="257">
        <f t="shared" si="238"/>
        <v>163126</v>
      </c>
      <c r="X352" s="258">
        <f t="shared" si="239"/>
        <v>170682652</v>
      </c>
      <c r="Y352" s="258">
        <f t="shared" si="240"/>
        <v>4840924</v>
      </c>
      <c r="Z352" s="258">
        <f t="shared" si="241"/>
        <v>175523576</v>
      </c>
      <c r="AA352" s="256">
        <f t="array" ref="AA352">MAX((IF(MNU_CODIGO_ALIMENTO_ENTREGA=CONCATENATE($C352,"_","P_"),MNU_GRAMAJE_REQUERIDO_TIPOM,"")))</f>
        <v>50</v>
      </c>
      <c r="AB352" s="259">
        <f t="shared" si="242"/>
        <v>4267</v>
      </c>
      <c r="AC352" s="259">
        <v>0</v>
      </c>
      <c r="AD352" s="259">
        <f t="shared" si="243"/>
        <v>4267</v>
      </c>
      <c r="AE352" s="260">
        <f t="shared" si="244"/>
        <v>2871691</v>
      </c>
      <c r="AF352" s="260">
        <v>0</v>
      </c>
      <c r="AG352" s="260">
        <f t="shared" si="245"/>
        <v>2871691</v>
      </c>
      <c r="AH352" s="348">
        <f t="array" ref="AH352">MAX((IF(MNU_CODIGO_ALIMENTO_ENTREGA=CONCATENATE($C352,"_","P_"),MNU_GRAMAJE_REQUERIDO_TIPOH,"")))</f>
        <v>80</v>
      </c>
      <c r="AI352" s="257">
        <f t="shared" si="246"/>
        <v>5049</v>
      </c>
      <c r="AJ352" s="257">
        <v>0</v>
      </c>
      <c r="AK352" s="257">
        <f t="shared" si="247"/>
        <v>5049</v>
      </c>
      <c r="AL352" s="258">
        <f t="shared" si="248"/>
        <v>5432724</v>
      </c>
      <c r="AM352" s="258">
        <v>0</v>
      </c>
      <c r="AN352" s="258">
        <f t="shared" si="249"/>
        <v>5432724</v>
      </c>
      <c r="AO352" s="451">
        <f t="shared" si="250"/>
        <v>426534</v>
      </c>
      <c r="AP352" s="450">
        <f t="shared" si="251"/>
        <v>354831907</v>
      </c>
      <c r="AQ352" s="261" t="e">
        <f>#REF!+AH352+AA352+T352+M352</f>
        <v>#REF!</v>
      </c>
      <c r="AR352" s="261">
        <f t="shared" si="210"/>
        <v>355130155</v>
      </c>
      <c r="AS352" s="261" t="e">
        <f t="shared" si="211"/>
        <v>#REF!</v>
      </c>
      <c r="AT352" s="261">
        <f t="shared" si="212"/>
        <v>355440778</v>
      </c>
      <c r="AU352" s="261" t="e">
        <f t="shared" si="213"/>
        <v>#REF!</v>
      </c>
      <c r="AV352" s="261">
        <f t="shared" si="214"/>
        <v>365582250</v>
      </c>
      <c r="AW352" s="261" t="e">
        <f t="shared" si="215"/>
        <v>#REF!</v>
      </c>
      <c r="AX352" s="261" t="e">
        <f>AV352+#REF!+AH352+AA352+T352</f>
        <v>#REF!</v>
      </c>
      <c r="AY352" s="261" t="e">
        <f t="shared" si="216"/>
        <v>#REF!</v>
      </c>
      <c r="AZ352" s="261" t="e">
        <f t="shared" si="217"/>
        <v>#REF!</v>
      </c>
      <c r="BA352" s="261" t="e">
        <f t="shared" si="218"/>
        <v>#REF!</v>
      </c>
      <c r="BB352" s="261" t="e">
        <f t="shared" si="219"/>
        <v>#REF!</v>
      </c>
      <c r="BC352" s="261" t="e">
        <f t="shared" si="220"/>
        <v>#REF!</v>
      </c>
      <c r="BD352" s="261" t="e">
        <f t="shared" si="221"/>
        <v>#REF!</v>
      </c>
      <c r="BE352" s="261" t="e">
        <f>BC352+AV352+#REF!+AH352+AA352</f>
        <v>#REF!</v>
      </c>
      <c r="BF352" s="261" t="e">
        <f t="shared" si="222"/>
        <v>#REF!</v>
      </c>
      <c r="BG352" s="261" t="e">
        <f t="shared" si="223"/>
        <v>#REF!</v>
      </c>
    </row>
    <row r="353" spans="1:59" ht="15.75">
      <c r="A353" s="333">
        <v>29</v>
      </c>
      <c r="B353" s="333" t="s">
        <v>1607</v>
      </c>
      <c r="C353" s="256">
        <v>24</v>
      </c>
      <c r="D353" s="322" t="s">
        <v>61</v>
      </c>
      <c r="E353" s="256" t="s">
        <v>9</v>
      </c>
      <c r="F353" s="425">
        <f t="array" ref="F353">MAX((IF(MNU_CODIGO_ALIMENTO_ENTREGA=CONCATENATE($C353,"_","P_"),MNU_GRAMAJE_REQUERIDO_TIPOA,"")))</f>
        <v>20</v>
      </c>
      <c r="G353" s="257">
        <f t="shared" si="224"/>
        <v>101864</v>
      </c>
      <c r="H353" s="257">
        <f t="shared" si="225"/>
        <v>14047</v>
      </c>
      <c r="I353" s="257">
        <f t="shared" si="226"/>
        <v>115911</v>
      </c>
      <c r="J353" s="258">
        <f t="shared" si="227"/>
        <v>13038592</v>
      </c>
      <c r="K353" s="258">
        <f t="shared" si="228"/>
        <v>1798016</v>
      </c>
      <c r="L353" s="258">
        <f t="shared" si="229"/>
        <v>14836608</v>
      </c>
      <c r="M353" s="426">
        <f t="array" ref="M353">MAX((IF(MNU_CODIGO_ALIMENTO_ENTREGA=CONCATENATE($C353,"_","P_"),MNU_GRAMAJE_REQUERIDO_TIPOB,"")))</f>
        <v>30</v>
      </c>
      <c r="N353" s="343">
        <f t="shared" si="230"/>
        <v>130305</v>
      </c>
      <c r="O353" s="343">
        <f t="shared" si="231"/>
        <v>7876</v>
      </c>
      <c r="P353" s="343">
        <f t="shared" si="232"/>
        <v>138181</v>
      </c>
      <c r="Q353" s="344">
        <f t="shared" si="233"/>
        <v>26061000</v>
      </c>
      <c r="R353" s="344">
        <f t="shared" si="234"/>
        <v>1575200</v>
      </c>
      <c r="S353" s="344">
        <f t="shared" si="235"/>
        <v>27636200</v>
      </c>
      <c r="T353" s="348">
        <f t="array" ref="T353">MAX((IF(MNU_CODIGO_ALIMENTO_ENTREGA=CONCATENATE($C353,"_","P_"),MNU_GRAMAJE_REQUERIDO_TIPOC,"")))</f>
        <v>60</v>
      </c>
      <c r="U353" s="257">
        <f t="shared" si="236"/>
        <v>158627</v>
      </c>
      <c r="V353" s="257">
        <f t="shared" si="237"/>
        <v>4499</v>
      </c>
      <c r="W353" s="257">
        <f t="shared" si="238"/>
        <v>163126</v>
      </c>
      <c r="X353" s="258">
        <f t="shared" si="239"/>
        <v>61071395</v>
      </c>
      <c r="Y353" s="258">
        <f t="shared" si="240"/>
        <v>1732115</v>
      </c>
      <c r="Z353" s="258">
        <f t="shared" si="241"/>
        <v>62803510</v>
      </c>
      <c r="AA353" s="256">
        <f t="array" ref="AA353">MAX((IF(MNU_CODIGO_ALIMENTO_ENTREGA=CONCATENATE($C353,"_","P_"),MNU_GRAMAJE_REQUERIDO_TIPOM,"")))</f>
        <v>30</v>
      </c>
      <c r="AB353" s="259">
        <f t="shared" si="242"/>
        <v>4267</v>
      </c>
      <c r="AC353" s="259">
        <v>0</v>
      </c>
      <c r="AD353" s="259">
        <f t="shared" si="243"/>
        <v>4267</v>
      </c>
      <c r="AE353" s="260">
        <f t="shared" si="244"/>
        <v>853400</v>
      </c>
      <c r="AF353" s="260">
        <v>0</v>
      </c>
      <c r="AG353" s="260">
        <f t="shared" si="245"/>
        <v>853400</v>
      </c>
      <c r="AH353" s="348">
        <f t="array" ref="AH353">MAX((IF(MNU_CODIGO_ALIMENTO_ENTREGA=CONCATENATE($C353,"_","P_"),MNU_GRAMAJE_REQUERIDO_TIPOH,"")))</f>
        <v>60</v>
      </c>
      <c r="AI353" s="257">
        <f t="shared" si="246"/>
        <v>5049</v>
      </c>
      <c r="AJ353" s="257">
        <v>0</v>
      </c>
      <c r="AK353" s="257">
        <f t="shared" si="247"/>
        <v>5049</v>
      </c>
      <c r="AL353" s="258">
        <f t="shared" si="248"/>
        <v>1943865</v>
      </c>
      <c r="AM353" s="258">
        <v>0</v>
      </c>
      <c r="AN353" s="258">
        <f t="shared" si="249"/>
        <v>1943865</v>
      </c>
      <c r="AO353" s="451">
        <f t="shared" si="250"/>
        <v>426534</v>
      </c>
      <c r="AP353" s="450">
        <f t="shared" si="251"/>
        <v>108073583</v>
      </c>
      <c r="AQ353" s="261" t="e">
        <f>#REF!+AH353+AA353+T353+M353</f>
        <v>#REF!</v>
      </c>
      <c r="AR353" s="261">
        <f t="shared" si="210"/>
        <v>108371831</v>
      </c>
      <c r="AS353" s="261" t="e">
        <f t="shared" si="211"/>
        <v>#REF!</v>
      </c>
      <c r="AT353" s="261">
        <f t="shared" si="212"/>
        <v>108682454</v>
      </c>
      <c r="AU353" s="261" t="e">
        <f t="shared" si="213"/>
        <v>#REF!</v>
      </c>
      <c r="AV353" s="261">
        <f t="shared" si="214"/>
        <v>111989769</v>
      </c>
      <c r="AW353" s="261" t="e">
        <f t="shared" si="215"/>
        <v>#REF!</v>
      </c>
      <c r="AX353" s="261" t="e">
        <f>AV353+#REF!+AH353+AA353+T353</f>
        <v>#REF!</v>
      </c>
      <c r="AY353" s="261" t="e">
        <f t="shared" si="216"/>
        <v>#REF!</v>
      </c>
      <c r="AZ353" s="261" t="e">
        <f t="shared" si="217"/>
        <v>#REF!</v>
      </c>
      <c r="BA353" s="261" t="e">
        <f t="shared" si="218"/>
        <v>#REF!</v>
      </c>
      <c r="BB353" s="261" t="e">
        <f t="shared" si="219"/>
        <v>#REF!</v>
      </c>
      <c r="BC353" s="261" t="e">
        <f t="shared" si="220"/>
        <v>#REF!</v>
      </c>
      <c r="BD353" s="261" t="e">
        <f t="shared" si="221"/>
        <v>#REF!</v>
      </c>
      <c r="BE353" s="261" t="e">
        <f>BC353+AV353+#REF!+AH353+AA353</f>
        <v>#REF!</v>
      </c>
      <c r="BF353" s="261" t="e">
        <f t="shared" si="222"/>
        <v>#REF!</v>
      </c>
      <c r="BG353" s="261" t="e">
        <f t="shared" si="223"/>
        <v>#REF!</v>
      </c>
    </row>
    <row r="354" spans="1:59" ht="15.75">
      <c r="A354" s="333">
        <v>29</v>
      </c>
      <c r="B354" s="333" t="s">
        <v>1607</v>
      </c>
      <c r="C354" s="256">
        <v>25</v>
      </c>
      <c r="D354" s="322" t="s">
        <v>64</v>
      </c>
      <c r="E354" s="256" t="s">
        <v>9</v>
      </c>
      <c r="F354" s="425">
        <f t="array" ref="F354">MAX((IF(MNU_CODIGO_ALIMENTO_ENTREGA=CONCATENATE($C354,"_","P_"),MNU_GRAMAJE_REQUERIDO_TIPOA,"")))</f>
        <v>40</v>
      </c>
      <c r="G354" s="257">
        <f t="shared" si="224"/>
        <v>101864</v>
      </c>
      <c r="H354" s="257">
        <f t="shared" si="225"/>
        <v>28094</v>
      </c>
      <c r="I354" s="257">
        <f t="shared" si="226"/>
        <v>129958</v>
      </c>
      <c r="J354" s="258">
        <f t="shared" si="227"/>
        <v>26077184</v>
      </c>
      <c r="K354" s="258">
        <f t="shared" si="228"/>
        <v>7192064</v>
      </c>
      <c r="L354" s="258">
        <f t="shared" si="229"/>
        <v>33269248</v>
      </c>
      <c r="M354" s="426">
        <f t="array" ref="M354">MAX((IF(MNU_CODIGO_ALIMENTO_ENTREGA=CONCATENATE($C354,"_","P_"),MNU_GRAMAJE_REQUERIDO_TIPOB,"")))</f>
        <v>40</v>
      </c>
      <c r="N354" s="343">
        <f t="shared" si="230"/>
        <v>130305</v>
      </c>
      <c r="O354" s="343">
        <f t="shared" si="231"/>
        <v>15752</v>
      </c>
      <c r="P354" s="343">
        <f t="shared" si="232"/>
        <v>146057</v>
      </c>
      <c r="Q354" s="344">
        <f t="shared" si="233"/>
        <v>33358080</v>
      </c>
      <c r="R354" s="344">
        <f t="shared" si="234"/>
        <v>4032512</v>
      </c>
      <c r="S354" s="344">
        <f t="shared" si="235"/>
        <v>37390592</v>
      </c>
      <c r="T354" s="348">
        <f t="array" ref="T354">MAX((IF(MNU_CODIGO_ALIMENTO_ENTREGA=CONCATENATE($C354,"_","P_"),MNU_GRAMAJE_REQUERIDO_TIPOC,"")))</f>
        <v>60</v>
      </c>
      <c r="U354" s="257">
        <f t="shared" si="236"/>
        <v>158627</v>
      </c>
      <c r="V354" s="257">
        <f t="shared" si="237"/>
        <v>8998</v>
      </c>
      <c r="W354" s="257">
        <f t="shared" si="238"/>
        <v>167625</v>
      </c>
      <c r="X354" s="258">
        <f t="shared" si="239"/>
        <v>60912768</v>
      </c>
      <c r="Y354" s="258">
        <f t="shared" si="240"/>
        <v>3455232</v>
      </c>
      <c r="Z354" s="258">
        <f t="shared" si="241"/>
        <v>64368000</v>
      </c>
      <c r="AA354" s="256">
        <f t="array" ref="AA354">MAX((IF(MNU_CODIGO_ALIMENTO_ENTREGA=CONCATENATE($C354,"_","P_"),MNU_GRAMAJE_REQUERIDO_TIPOM,"")))</f>
        <v>40</v>
      </c>
      <c r="AB354" s="259">
        <f t="shared" si="242"/>
        <v>4267</v>
      </c>
      <c r="AC354" s="259">
        <v>0</v>
      </c>
      <c r="AD354" s="259">
        <f t="shared" si="243"/>
        <v>4267</v>
      </c>
      <c r="AE354" s="260">
        <f t="shared" si="244"/>
        <v>1092352</v>
      </c>
      <c r="AF354" s="260">
        <v>0</v>
      </c>
      <c r="AG354" s="260">
        <f t="shared" si="245"/>
        <v>1092352</v>
      </c>
      <c r="AH354" s="348">
        <f t="array" ref="AH354">MAX((IF(MNU_CODIGO_ALIMENTO_ENTREGA=CONCATENATE($C354,"_","P_"),MNU_GRAMAJE_REQUERIDO_TIPOH,"")))</f>
        <v>60</v>
      </c>
      <c r="AI354" s="257">
        <f t="shared" si="246"/>
        <v>5049</v>
      </c>
      <c r="AJ354" s="257">
        <v>0</v>
      </c>
      <c r="AK354" s="257">
        <f t="shared" si="247"/>
        <v>5049</v>
      </c>
      <c r="AL354" s="258">
        <f t="shared" si="248"/>
        <v>1938816</v>
      </c>
      <c r="AM354" s="258">
        <v>0</v>
      </c>
      <c r="AN354" s="258">
        <f t="shared" si="249"/>
        <v>1938816</v>
      </c>
      <c r="AO354" s="451">
        <f t="shared" si="250"/>
        <v>452956</v>
      </c>
      <c r="AP354" s="450">
        <f t="shared" si="251"/>
        <v>138059008</v>
      </c>
      <c r="AQ354" s="261" t="e">
        <f>#REF!+AH354+AA354+T354+M354</f>
        <v>#REF!</v>
      </c>
      <c r="AR354" s="261">
        <f t="shared" si="210"/>
        <v>138357256</v>
      </c>
      <c r="AS354" s="261" t="e">
        <f t="shared" si="211"/>
        <v>#REF!</v>
      </c>
      <c r="AT354" s="261">
        <f t="shared" si="212"/>
        <v>138680254</v>
      </c>
      <c r="AU354" s="261" t="e">
        <f t="shared" si="213"/>
        <v>#REF!</v>
      </c>
      <c r="AV354" s="261">
        <f t="shared" si="214"/>
        <v>146167998</v>
      </c>
      <c r="AW354" s="261" t="e">
        <f t="shared" si="215"/>
        <v>#REF!</v>
      </c>
      <c r="AX354" s="261" t="e">
        <f>AV354+#REF!+AH354+AA354+T354</f>
        <v>#REF!</v>
      </c>
      <c r="AY354" s="261" t="e">
        <f t="shared" si="216"/>
        <v>#REF!</v>
      </c>
      <c r="AZ354" s="261" t="e">
        <f t="shared" si="217"/>
        <v>#REF!</v>
      </c>
      <c r="BA354" s="261" t="e">
        <f t="shared" si="218"/>
        <v>#REF!</v>
      </c>
      <c r="BB354" s="261" t="e">
        <f t="shared" si="219"/>
        <v>#REF!</v>
      </c>
      <c r="BC354" s="261" t="e">
        <f t="shared" si="220"/>
        <v>#REF!</v>
      </c>
      <c r="BD354" s="261" t="e">
        <f t="shared" si="221"/>
        <v>#REF!</v>
      </c>
      <c r="BE354" s="261" t="e">
        <f>BC354+AV354+#REF!+AH354+AA354</f>
        <v>#REF!</v>
      </c>
      <c r="BF354" s="261" t="e">
        <f t="shared" si="222"/>
        <v>#REF!</v>
      </c>
      <c r="BG354" s="261" t="e">
        <f t="shared" si="223"/>
        <v>#REF!</v>
      </c>
    </row>
    <row r="355" spans="1:59" ht="15.75">
      <c r="A355" s="333">
        <v>29</v>
      </c>
      <c r="B355" s="333" t="s">
        <v>1607</v>
      </c>
      <c r="C355" s="256">
        <v>26</v>
      </c>
      <c r="D355" s="322" t="s">
        <v>69</v>
      </c>
      <c r="E355" s="256" t="s">
        <v>9</v>
      </c>
      <c r="F355" s="425">
        <f t="array" ref="F355">MAX((IF(MNU_CODIGO_ALIMENTO_ENTREGA=CONCATENATE($C355,"_","P_"),MNU_GRAMAJE_REQUERIDO_TIPOA,"")))</f>
        <v>30</v>
      </c>
      <c r="G355" s="257">
        <f t="shared" si="224"/>
        <v>35952</v>
      </c>
      <c r="H355" s="257">
        <f t="shared" si="225"/>
        <v>0</v>
      </c>
      <c r="I355" s="257">
        <f t="shared" si="226"/>
        <v>35952</v>
      </c>
      <c r="J355" s="258">
        <f t="shared" si="227"/>
        <v>6147792</v>
      </c>
      <c r="K355" s="258">
        <f t="shared" si="228"/>
        <v>0</v>
      </c>
      <c r="L355" s="258">
        <f t="shared" si="229"/>
        <v>6147792</v>
      </c>
      <c r="M355" s="426">
        <f t="array" ref="M355">MAX((IF(MNU_CODIGO_ALIMENTO_ENTREGA=CONCATENATE($C355,"_","P_"),MNU_GRAMAJE_REQUERIDO_TIPOB,"")))</f>
        <v>30</v>
      </c>
      <c r="N355" s="343">
        <f t="shared" si="230"/>
        <v>45990</v>
      </c>
      <c r="O355" s="343">
        <f t="shared" si="231"/>
        <v>0</v>
      </c>
      <c r="P355" s="343">
        <f t="shared" si="232"/>
        <v>45990</v>
      </c>
      <c r="Q355" s="344">
        <f t="shared" si="233"/>
        <v>7864290</v>
      </c>
      <c r="R355" s="344">
        <f t="shared" si="234"/>
        <v>0</v>
      </c>
      <c r="S355" s="344">
        <f t="shared" si="235"/>
        <v>7864290</v>
      </c>
      <c r="T355" s="348">
        <f t="array" ref="T355">MAX((IF(MNU_CODIGO_ALIMENTO_ENTREGA=CONCATENATE($C355,"_","P_"),MNU_GRAMAJE_REQUERIDO_TIPOC,"")))</f>
        <v>30</v>
      </c>
      <c r="U355" s="257">
        <f t="shared" si="236"/>
        <v>55986</v>
      </c>
      <c r="V355" s="257">
        <f t="shared" si="237"/>
        <v>0</v>
      </c>
      <c r="W355" s="257">
        <f t="shared" si="238"/>
        <v>55986</v>
      </c>
      <c r="X355" s="258">
        <f t="shared" si="239"/>
        <v>9573606</v>
      </c>
      <c r="Y355" s="258">
        <f t="shared" si="240"/>
        <v>0</v>
      </c>
      <c r="Z355" s="258">
        <f t="shared" si="241"/>
        <v>9573606</v>
      </c>
      <c r="AA355" s="256">
        <f t="array" ref="AA355">MAX((IF(MNU_CODIGO_ALIMENTO_ENTREGA=CONCATENATE($C355,"_","P_"),MNU_GRAMAJE_REQUERIDO_TIPOM,"")))</f>
        <v>30</v>
      </c>
      <c r="AB355" s="259">
        <f t="shared" si="242"/>
        <v>1506</v>
      </c>
      <c r="AC355" s="259">
        <v>0</v>
      </c>
      <c r="AD355" s="259">
        <f t="shared" si="243"/>
        <v>1506</v>
      </c>
      <c r="AE355" s="260">
        <f t="shared" si="244"/>
        <v>257526</v>
      </c>
      <c r="AF355" s="260">
        <v>0</v>
      </c>
      <c r="AG355" s="260">
        <f t="shared" si="245"/>
        <v>257526</v>
      </c>
      <c r="AH355" s="348">
        <f t="array" ref="AH355">MAX((IF(MNU_CODIGO_ALIMENTO_ENTREGA=CONCATENATE($C355,"_","P_"),MNU_GRAMAJE_REQUERIDO_TIPOH,"")))</f>
        <v>30</v>
      </c>
      <c r="AI355" s="257">
        <f t="shared" si="246"/>
        <v>1782</v>
      </c>
      <c r="AJ355" s="257">
        <v>0</v>
      </c>
      <c r="AK355" s="257">
        <f t="shared" si="247"/>
        <v>1782</v>
      </c>
      <c r="AL355" s="258">
        <f t="shared" si="248"/>
        <v>304722</v>
      </c>
      <c r="AM355" s="258">
        <v>0</v>
      </c>
      <c r="AN355" s="258">
        <f t="shared" si="249"/>
        <v>304722</v>
      </c>
      <c r="AO355" s="451">
        <f t="shared" si="250"/>
        <v>141216</v>
      </c>
      <c r="AP355" s="450">
        <f t="shared" si="251"/>
        <v>24147936</v>
      </c>
      <c r="AQ355" s="261" t="e">
        <f>#REF!+AH355+AA355+T355+M355</f>
        <v>#REF!</v>
      </c>
      <c r="AR355" s="261">
        <f t="shared" si="210"/>
        <v>24253200</v>
      </c>
      <c r="AS355" s="261" t="e">
        <f t="shared" si="211"/>
        <v>#REF!</v>
      </c>
      <c r="AT355" s="261">
        <f t="shared" si="212"/>
        <v>24358464</v>
      </c>
      <c r="AU355" s="261" t="e">
        <f t="shared" si="213"/>
        <v>#REF!</v>
      </c>
      <c r="AV355" s="261">
        <f t="shared" si="214"/>
        <v>24358464</v>
      </c>
      <c r="AW355" s="261" t="e">
        <f t="shared" si="215"/>
        <v>#REF!</v>
      </c>
      <c r="AX355" s="261" t="e">
        <f>AV355+#REF!+AH355+AA355+T355</f>
        <v>#REF!</v>
      </c>
      <c r="AY355" s="261" t="e">
        <f t="shared" si="216"/>
        <v>#REF!</v>
      </c>
      <c r="AZ355" s="261" t="e">
        <f t="shared" si="217"/>
        <v>#REF!</v>
      </c>
      <c r="BA355" s="261" t="e">
        <f t="shared" si="218"/>
        <v>#REF!</v>
      </c>
      <c r="BB355" s="261" t="e">
        <f t="shared" si="219"/>
        <v>#REF!</v>
      </c>
      <c r="BC355" s="261" t="e">
        <f t="shared" si="220"/>
        <v>#REF!</v>
      </c>
      <c r="BD355" s="261" t="e">
        <f t="shared" si="221"/>
        <v>#REF!</v>
      </c>
      <c r="BE355" s="261" t="e">
        <f>BC355+AV355+#REF!+AH355+AA355</f>
        <v>#REF!</v>
      </c>
      <c r="BF355" s="261" t="e">
        <f t="shared" si="222"/>
        <v>#REF!</v>
      </c>
      <c r="BG355" s="261" t="e">
        <f t="shared" si="223"/>
        <v>#REF!</v>
      </c>
    </row>
    <row r="356" spans="1:59" ht="27">
      <c r="A356" s="333">
        <v>29</v>
      </c>
      <c r="B356" s="333" t="s">
        <v>1607</v>
      </c>
      <c r="C356" s="256">
        <v>28</v>
      </c>
      <c r="D356" s="322" t="s">
        <v>67</v>
      </c>
      <c r="E356" s="256" t="s">
        <v>9</v>
      </c>
      <c r="F356" s="425">
        <f t="array" ref="F356">MAX((IF(MNU_CODIGO_ALIMENTO_ENTREGA=CONCATENATE($C356,"_","P_"),MNU_GRAMAJE_REQUERIDO_TIPOA,"")))</f>
        <v>30</v>
      </c>
      <c r="G356" s="257">
        <f t="shared" si="224"/>
        <v>35952</v>
      </c>
      <c r="H356" s="257">
        <f t="shared" si="225"/>
        <v>24263</v>
      </c>
      <c r="I356" s="257">
        <f t="shared" si="226"/>
        <v>60215</v>
      </c>
      <c r="J356" s="258">
        <f t="shared" si="227"/>
        <v>8125152</v>
      </c>
      <c r="K356" s="258">
        <f t="shared" si="228"/>
        <v>5483438</v>
      </c>
      <c r="L356" s="258">
        <f t="shared" si="229"/>
        <v>13608590</v>
      </c>
      <c r="M356" s="426">
        <f t="array" ref="M356">MAX((IF(MNU_CODIGO_ALIMENTO_ENTREGA=CONCATENATE($C356,"_","P_"),MNU_GRAMAJE_REQUERIDO_TIPOB,"")))</f>
        <v>40</v>
      </c>
      <c r="N356" s="343">
        <f t="shared" si="230"/>
        <v>45990</v>
      </c>
      <c r="O356" s="343">
        <f t="shared" si="231"/>
        <v>13604</v>
      </c>
      <c r="P356" s="343">
        <f t="shared" si="232"/>
        <v>59594</v>
      </c>
      <c r="Q356" s="344">
        <f t="shared" si="233"/>
        <v>13842990</v>
      </c>
      <c r="R356" s="344">
        <f t="shared" si="234"/>
        <v>4094804</v>
      </c>
      <c r="S356" s="344">
        <f t="shared" si="235"/>
        <v>17937794</v>
      </c>
      <c r="T356" s="348">
        <f t="array" ref="T356">MAX((IF(MNU_CODIGO_ALIMENTO_ENTREGA=CONCATENATE($C356,"_","P_"),MNU_GRAMAJE_REQUERIDO_TIPOC,"")))</f>
        <v>60</v>
      </c>
      <c r="U356" s="257">
        <f t="shared" si="236"/>
        <v>55986</v>
      </c>
      <c r="V356" s="257">
        <f t="shared" si="237"/>
        <v>7771</v>
      </c>
      <c r="W356" s="257">
        <f t="shared" si="238"/>
        <v>63757</v>
      </c>
      <c r="X356" s="258">
        <f t="shared" si="239"/>
        <v>25249686</v>
      </c>
      <c r="Y356" s="258">
        <f t="shared" si="240"/>
        <v>3504721</v>
      </c>
      <c r="Z356" s="258">
        <f t="shared" si="241"/>
        <v>28754407</v>
      </c>
      <c r="AA356" s="256">
        <f t="array" ref="AA356">MAX((IF(MNU_CODIGO_ALIMENTO_ENTREGA=CONCATENATE($C356,"_","P_"),MNU_GRAMAJE_REQUERIDO_TIPOM,"")))</f>
        <v>40</v>
      </c>
      <c r="AB356" s="259">
        <f t="shared" si="242"/>
        <v>1506</v>
      </c>
      <c r="AC356" s="259">
        <v>0</v>
      </c>
      <c r="AD356" s="259">
        <f t="shared" si="243"/>
        <v>1506</v>
      </c>
      <c r="AE356" s="260">
        <f t="shared" si="244"/>
        <v>453306</v>
      </c>
      <c r="AF356" s="260">
        <v>0</v>
      </c>
      <c r="AG356" s="260">
        <f t="shared" si="245"/>
        <v>453306</v>
      </c>
      <c r="AH356" s="348">
        <f t="array" ref="AH356">MAX((IF(MNU_CODIGO_ALIMENTO_ENTREGA=CONCATENATE($C356,"_","P_"),MNU_GRAMAJE_REQUERIDO_TIPOH,"")))</f>
        <v>60</v>
      </c>
      <c r="AI356" s="257">
        <f t="shared" si="246"/>
        <v>1782</v>
      </c>
      <c r="AJ356" s="257">
        <v>0</v>
      </c>
      <c r="AK356" s="257">
        <f t="shared" si="247"/>
        <v>1782</v>
      </c>
      <c r="AL356" s="258">
        <f t="shared" si="248"/>
        <v>803682</v>
      </c>
      <c r="AM356" s="258">
        <v>0</v>
      </c>
      <c r="AN356" s="258">
        <f t="shared" si="249"/>
        <v>803682</v>
      </c>
      <c r="AO356" s="451">
        <f t="shared" si="250"/>
        <v>186854</v>
      </c>
      <c r="AP356" s="450">
        <f t="shared" si="251"/>
        <v>61557779</v>
      </c>
      <c r="AQ356" s="261" t="e">
        <f>#REF!+AH356+AA356+T356+M356</f>
        <v>#REF!</v>
      </c>
      <c r="AR356" s="261">
        <f t="shared" si="210"/>
        <v>61663043</v>
      </c>
      <c r="AS356" s="261" t="e">
        <f t="shared" si="211"/>
        <v>#REF!</v>
      </c>
      <c r="AT356" s="261">
        <f t="shared" si="212"/>
        <v>61789682</v>
      </c>
      <c r="AU356" s="261" t="e">
        <f t="shared" si="213"/>
        <v>#REF!</v>
      </c>
      <c r="AV356" s="261">
        <f t="shared" si="214"/>
        <v>69389207</v>
      </c>
      <c r="AW356" s="261" t="e">
        <f t="shared" si="215"/>
        <v>#REF!</v>
      </c>
      <c r="AX356" s="261" t="e">
        <f>AV356+#REF!+AH356+AA356+T356</f>
        <v>#REF!</v>
      </c>
      <c r="AY356" s="261" t="e">
        <f t="shared" si="216"/>
        <v>#REF!</v>
      </c>
      <c r="AZ356" s="261" t="e">
        <f t="shared" si="217"/>
        <v>#REF!</v>
      </c>
      <c r="BA356" s="261" t="e">
        <f t="shared" si="218"/>
        <v>#REF!</v>
      </c>
      <c r="BB356" s="261" t="e">
        <f t="shared" si="219"/>
        <v>#REF!</v>
      </c>
      <c r="BC356" s="261" t="e">
        <f t="shared" si="220"/>
        <v>#REF!</v>
      </c>
      <c r="BD356" s="261" t="e">
        <f t="shared" si="221"/>
        <v>#REF!</v>
      </c>
      <c r="BE356" s="261" t="e">
        <f>BC356+AV356+#REF!+AH356+AA356</f>
        <v>#REF!</v>
      </c>
      <c r="BF356" s="261" t="e">
        <f t="shared" si="222"/>
        <v>#REF!</v>
      </c>
      <c r="BG356" s="261" t="e">
        <f t="shared" si="223"/>
        <v>#REF!</v>
      </c>
    </row>
    <row r="357" spans="1:59" ht="15.75">
      <c r="A357" s="333">
        <v>29</v>
      </c>
      <c r="B357" s="333" t="s">
        <v>1607</v>
      </c>
      <c r="C357" s="256">
        <v>30</v>
      </c>
      <c r="D357" s="322" t="s">
        <v>63</v>
      </c>
      <c r="E357" s="256" t="s">
        <v>9</v>
      </c>
      <c r="F357" s="425">
        <f t="array" ref="F357">MAX((IF(MNU_CODIGO_ALIMENTO_ENTREGA=CONCATENATE($C357,"_","P_"),MNU_GRAMAJE_REQUERIDO_TIPOA,"")))</f>
        <v>30</v>
      </c>
      <c r="G357" s="257">
        <f t="shared" si="224"/>
        <v>95872</v>
      </c>
      <c r="H357" s="257">
        <f t="shared" si="225"/>
        <v>0</v>
      </c>
      <c r="I357" s="257">
        <f t="shared" si="226"/>
        <v>95872</v>
      </c>
      <c r="J357" s="258">
        <f t="shared" si="227"/>
        <v>31829504</v>
      </c>
      <c r="K357" s="258">
        <f t="shared" si="228"/>
        <v>0</v>
      </c>
      <c r="L357" s="258">
        <f t="shared" si="229"/>
        <v>31829504</v>
      </c>
      <c r="M357" s="426">
        <f t="array" ref="M357">MAX((IF(MNU_CODIGO_ALIMENTO_ENTREGA=CONCATENATE($C357,"_","P_"),MNU_GRAMAJE_REQUERIDO_TIPOB,"")))</f>
        <v>30</v>
      </c>
      <c r="N357" s="343">
        <f t="shared" si="230"/>
        <v>122640</v>
      </c>
      <c r="O357" s="343">
        <f t="shared" si="231"/>
        <v>0</v>
      </c>
      <c r="P357" s="343">
        <f t="shared" si="232"/>
        <v>122640</v>
      </c>
      <c r="Q357" s="344">
        <f t="shared" si="233"/>
        <v>40716480</v>
      </c>
      <c r="R357" s="344">
        <f t="shared" si="234"/>
        <v>0</v>
      </c>
      <c r="S357" s="344">
        <f t="shared" si="235"/>
        <v>40716480</v>
      </c>
      <c r="T357" s="348">
        <f t="array" ref="T357">MAX((IF(MNU_CODIGO_ALIMENTO_ENTREGA=CONCATENATE($C357,"_","P_"),MNU_GRAMAJE_REQUERIDO_TIPOC,"")))</f>
        <v>30</v>
      </c>
      <c r="U357" s="257">
        <f t="shared" si="236"/>
        <v>149296</v>
      </c>
      <c r="V357" s="257">
        <f t="shared" si="237"/>
        <v>0</v>
      </c>
      <c r="W357" s="257">
        <f t="shared" si="238"/>
        <v>149296</v>
      </c>
      <c r="X357" s="258">
        <f t="shared" si="239"/>
        <v>49566272</v>
      </c>
      <c r="Y357" s="258">
        <f t="shared" si="240"/>
        <v>0</v>
      </c>
      <c r="Z357" s="258">
        <f t="shared" si="241"/>
        <v>49566272</v>
      </c>
      <c r="AA357" s="256">
        <f t="array" ref="AA357">MAX((IF(MNU_CODIGO_ALIMENTO_ENTREGA=CONCATENATE($C357,"_","P_"),MNU_GRAMAJE_REQUERIDO_TIPOM,"")))</f>
        <v>30</v>
      </c>
      <c r="AB357" s="259">
        <f t="shared" si="242"/>
        <v>4016</v>
      </c>
      <c r="AC357" s="259">
        <v>0</v>
      </c>
      <c r="AD357" s="259">
        <f t="shared" si="243"/>
        <v>4016</v>
      </c>
      <c r="AE357" s="260">
        <f t="shared" si="244"/>
        <v>1333312</v>
      </c>
      <c r="AF357" s="260">
        <v>0</v>
      </c>
      <c r="AG357" s="260">
        <f t="shared" si="245"/>
        <v>1333312</v>
      </c>
      <c r="AH357" s="348">
        <f t="array" ref="AH357">MAX((IF(MNU_CODIGO_ALIMENTO_ENTREGA=CONCATENATE($C357,"_","P_"),MNU_GRAMAJE_REQUERIDO_TIPOH,"")))</f>
        <v>30</v>
      </c>
      <c r="AI357" s="257">
        <f t="shared" si="246"/>
        <v>4752</v>
      </c>
      <c r="AJ357" s="257">
        <v>0</v>
      </c>
      <c r="AK357" s="257">
        <f t="shared" si="247"/>
        <v>4752</v>
      </c>
      <c r="AL357" s="258">
        <f t="shared" si="248"/>
        <v>1577664</v>
      </c>
      <c r="AM357" s="258">
        <v>0</v>
      </c>
      <c r="AN357" s="258">
        <f t="shared" si="249"/>
        <v>1577664</v>
      </c>
      <c r="AO357" s="451">
        <f t="shared" si="250"/>
        <v>376576</v>
      </c>
      <c r="AP357" s="450">
        <f t="shared" si="251"/>
        <v>125023232</v>
      </c>
      <c r="AQ357" s="261" t="e">
        <f>#REF!+AH357+AA357+T357+M357</f>
        <v>#REF!</v>
      </c>
      <c r="AR357" s="261">
        <f t="shared" si="210"/>
        <v>125303936</v>
      </c>
      <c r="AS357" s="261" t="e">
        <f t="shared" si="211"/>
        <v>#REF!</v>
      </c>
      <c r="AT357" s="261">
        <f t="shared" si="212"/>
        <v>125584640</v>
      </c>
      <c r="AU357" s="261" t="e">
        <f t="shared" si="213"/>
        <v>#REF!</v>
      </c>
      <c r="AV357" s="261">
        <f t="shared" si="214"/>
        <v>125584640</v>
      </c>
      <c r="AW357" s="261" t="e">
        <f t="shared" si="215"/>
        <v>#REF!</v>
      </c>
      <c r="AX357" s="261" t="e">
        <f>AV357+#REF!+AH357+AA357+T357</f>
        <v>#REF!</v>
      </c>
      <c r="AY357" s="261" t="e">
        <f t="shared" si="216"/>
        <v>#REF!</v>
      </c>
      <c r="AZ357" s="261" t="e">
        <f t="shared" si="217"/>
        <v>#REF!</v>
      </c>
      <c r="BA357" s="261" t="e">
        <f t="shared" si="218"/>
        <v>#REF!</v>
      </c>
      <c r="BB357" s="261" t="e">
        <f t="shared" si="219"/>
        <v>#REF!</v>
      </c>
      <c r="BC357" s="261" t="e">
        <f t="shared" si="220"/>
        <v>#REF!</v>
      </c>
      <c r="BD357" s="261" t="e">
        <f t="shared" si="221"/>
        <v>#REF!</v>
      </c>
      <c r="BE357" s="261" t="e">
        <f>BC357+AV357+#REF!+AH357+AA357</f>
        <v>#REF!</v>
      </c>
      <c r="BF357" s="261" t="e">
        <f t="shared" si="222"/>
        <v>#REF!</v>
      </c>
      <c r="BG357" s="261" t="e">
        <f t="shared" si="223"/>
        <v>#REF!</v>
      </c>
    </row>
    <row r="358" spans="1:59" ht="15.75">
      <c r="A358" s="333">
        <v>29</v>
      </c>
      <c r="B358" s="333" t="s">
        <v>1607</v>
      </c>
      <c r="C358" s="256">
        <v>45</v>
      </c>
      <c r="D358" s="322" t="s">
        <v>10</v>
      </c>
      <c r="E358" s="256" t="s">
        <v>9</v>
      </c>
      <c r="F358" s="425">
        <f t="array" ref="F358">MAX((IF(MNU_CODIGO_ALIMENTO_ENTREGA=CONCATENATE($C358,"_","P_"),MNU_GRAMAJE_REQUERIDO_TIPOA,"")))</f>
        <v>20</v>
      </c>
      <c r="G358" s="257">
        <f t="shared" si="224"/>
        <v>95872</v>
      </c>
      <c r="H358" s="257">
        <f t="shared" si="225"/>
        <v>25540</v>
      </c>
      <c r="I358" s="257">
        <f t="shared" si="226"/>
        <v>121412</v>
      </c>
      <c r="J358" s="258">
        <f t="shared" si="227"/>
        <v>19078528</v>
      </c>
      <c r="K358" s="258">
        <f t="shared" si="228"/>
        <v>5082460</v>
      </c>
      <c r="L358" s="258">
        <f t="shared" si="229"/>
        <v>24160988</v>
      </c>
      <c r="M358" s="426">
        <f t="array" ref="M358">MAX((IF(MNU_CODIGO_ALIMENTO_ENTREGA=CONCATENATE($C358,"_","P_"),MNU_GRAMAJE_REQUERIDO_TIPOB,"")))</f>
        <v>30</v>
      </c>
      <c r="N358" s="343">
        <f t="shared" si="230"/>
        <v>122640</v>
      </c>
      <c r="O358" s="343">
        <f t="shared" si="231"/>
        <v>14320</v>
      </c>
      <c r="P358" s="343">
        <f t="shared" si="232"/>
        <v>136960</v>
      </c>
      <c r="Q358" s="344">
        <f t="shared" si="233"/>
        <v>36546720</v>
      </c>
      <c r="R358" s="344">
        <f t="shared" si="234"/>
        <v>4267360</v>
      </c>
      <c r="S358" s="344">
        <f t="shared" si="235"/>
        <v>40814080</v>
      </c>
      <c r="T358" s="348">
        <f t="array" ref="T358">MAX((IF(MNU_CODIGO_ALIMENTO_ENTREGA=CONCATENATE($C358,"_","P_"),MNU_GRAMAJE_REQUERIDO_TIPOC,"")))</f>
        <v>60</v>
      </c>
      <c r="U358" s="257">
        <f t="shared" si="236"/>
        <v>149296</v>
      </c>
      <c r="V358" s="257">
        <f t="shared" si="237"/>
        <v>8180</v>
      </c>
      <c r="W358" s="257">
        <f t="shared" si="238"/>
        <v>157476</v>
      </c>
      <c r="X358" s="258">
        <f t="shared" si="239"/>
        <v>89129712</v>
      </c>
      <c r="Y358" s="258">
        <f t="shared" si="240"/>
        <v>4883460</v>
      </c>
      <c r="Z358" s="258">
        <f t="shared" si="241"/>
        <v>94013172</v>
      </c>
      <c r="AA358" s="256">
        <f t="array" ref="AA358">MAX((IF(MNU_CODIGO_ALIMENTO_ENTREGA=CONCATENATE($C358,"_","P_"),MNU_GRAMAJE_REQUERIDO_TIPOM,"")))</f>
        <v>30</v>
      </c>
      <c r="AB358" s="259">
        <f t="shared" si="242"/>
        <v>4016</v>
      </c>
      <c r="AC358" s="259">
        <v>0</v>
      </c>
      <c r="AD358" s="259">
        <f t="shared" si="243"/>
        <v>4016</v>
      </c>
      <c r="AE358" s="260">
        <f t="shared" si="244"/>
        <v>1196768</v>
      </c>
      <c r="AF358" s="260">
        <v>0</v>
      </c>
      <c r="AG358" s="260">
        <f t="shared" si="245"/>
        <v>1196768</v>
      </c>
      <c r="AH358" s="348">
        <f t="array" ref="AH358">MAX((IF(MNU_CODIGO_ALIMENTO_ENTREGA=CONCATENATE($C358,"_","P_"),MNU_GRAMAJE_REQUERIDO_TIPOH,"")))</f>
        <v>60</v>
      </c>
      <c r="AI358" s="257">
        <f t="shared" si="246"/>
        <v>4752</v>
      </c>
      <c r="AJ358" s="257">
        <v>0</v>
      </c>
      <c r="AK358" s="257">
        <f t="shared" si="247"/>
        <v>4752</v>
      </c>
      <c r="AL358" s="258">
        <f t="shared" si="248"/>
        <v>2836944</v>
      </c>
      <c r="AM358" s="258">
        <v>0</v>
      </c>
      <c r="AN358" s="258">
        <f t="shared" si="249"/>
        <v>2836944</v>
      </c>
      <c r="AO358" s="451">
        <f t="shared" si="250"/>
        <v>424616</v>
      </c>
      <c r="AP358" s="450">
        <f t="shared" si="251"/>
        <v>163021952</v>
      </c>
      <c r="AQ358" s="261" t="e">
        <f>#REF!+AH358+AA358+T358+M358</f>
        <v>#REF!</v>
      </c>
      <c r="AR358" s="261">
        <f t="shared" si="210"/>
        <v>163302656</v>
      </c>
      <c r="AS358" s="261" t="e">
        <f t="shared" si="211"/>
        <v>#REF!</v>
      </c>
      <c r="AT358" s="261">
        <f t="shared" si="212"/>
        <v>163605860</v>
      </c>
      <c r="AU358" s="261" t="e">
        <f t="shared" si="213"/>
        <v>#REF!</v>
      </c>
      <c r="AV358" s="261">
        <f t="shared" si="214"/>
        <v>172756680</v>
      </c>
      <c r="AW358" s="261" t="e">
        <f t="shared" si="215"/>
        <v>#REF!</v>
      </c>
      <c r="AX358" s="261" t="e">
        <f>AV358+#REF!+AH358+AA358+T358</f>
        <v>#REF!</v>
      </c>
      <c r="AY358" s="261" t="e">
        <f t="shared" si="216"/>
        <v>#REF!</v>
      </c>
      <c r="AZ358" s="261" t="e">
        <f t="shared" si="217"/>
        <v>#REF!</v>
      </c>
      <c r="BA358" s="261" t="e">
        <f t="shared" si="218"/>
        <v>#REF!</v>
      </c>
      <c r="BB358" s="261" t="e">
        <f t="shared" si="219"/>
        <v>#REF!</v>
      </c>
      <c r="BC358" s="261" t="e">
        <f t="shared" si="220"/>
        <v>#REF!</v>
      </c>
      <c r="BD358" s="261" t="e">
        <f t="shared" si="221"/>
        <v>#REF!</v>
      </c>
      <c r="BE358" s="261" t="e">
        <f>BC358+AV358+#REF!+AH358+AA358</f>
        <v>#REF!</v>
      </c>
      <c r="BF358" s="261" t="e">
        <f t="shared" si="222"/>
        <v>#REF!</v>
      </c>
      <c r="BG358" s="261" t="e">
        <f t="shared" si="223"/>
        <v>#REF!</v>
      </c>
    </row>
    <row r="359" spans="1:59" ht="15.75">
      <c r="A359" s="333">
        <v>29</v>
      </c>
      <c r="B359" s="333" t="s">
        <v>1607</v>
      </c>
      <c r="C359" s="256">
        <v>50</v>
      </c>
      <c r="D359" s="322" t="s">
        <v>65</v>
      </c>
      <c r="E359" s="256" t="s">
        <v>9</v>
      </c>
      <c r="F359" s="425">
        <f t="array" ref="F359">MAX((IF(MNU_CODIGO_ALIMENTO_ENTREGA=CONCATENATE($C359,"_","P_"),MNU_GRAMAJE_REQUERIDO_TIPOA,"")))</f>
        <v>30</v>
      </c>
      <c r="G359" s="257">
        <f t="shared" si="224"/>
        <v>101864</v>
      </c>
      <c r="H359" s="257">
        <f t="shared" si="225"/>
        <v>0</v>
      </c>
      <c r="I359" s="257">
        <f t="shared" si="226"/>
        <v>101864</v>
      </c>
      <c r="J359" s="258">
        <f t="shared" si="227"/>
        <v>32698344</v>
      </c>
      <c r="K359" s="258">
        <f t="shared" si="228"/>
        <v>0</v>
      </c>
      <c r="L359" s="258">
        <f t="shared" si="229"/>
        <v>32698344</v>
      </c>
      <c r="M359" s="426">
        <f t="array" ref="M359">MAX((IF(MNU_CODIGO_ALIMENTO_ENTREGA=CONCATENATE($C359,"_","P_"),MNU_GRAMAJE_REQUERIDO_TIPOB,"")))</f>
        <v>40</v>
      </c>
      <c r="N359" s="343">
        <f t="shared" si="230"/>
        <v>130305</v>
      </c>
      <c r="O359" s="343">
        <f t="shared" si="231"/>
        <v>0</v>
      </c>
      <c r="P359" s="343">
        <f t="shared" si="232"/>
        <v>130305</v>
      </c>
      <c r="Q359" s="344">
        <f t="shared" si="233"/>
        <v>55770540</v>
      </c>
      <c r="R359" s="344">
        <f t="shared" si="234"/>
        <v>0</v>
      </c>
      <c r="S359" s="344">
        <f t="shared" si="235"/>
        <v>55770540</v>
      </c>
      <c r="T359" s="348">
        <f t="array" ref="T359">MAX((IF(MNU_CODIGO_ALIMENTO_ENTREGA=CONCATENATE($C359,"_","P_"),MNU_GRAMAJE_REQUERIDO_TIPOC,"")))</f>
        <v>80</v>
      </c>
      <c r="U359" s="257">
        <f t="shared" si="236"/>
        <v>158627</v>
      </c>
      <c r="V359" s="257">
        <f t="shared" si="237"/>
        <v>0</v>
      </c>
      <c r="W359" s="257">
        <f t="shared" si="238"/>
        <v>158627</v>
      </c>
      <c r="X359" s="258">
        <f t="shared" si="239"/>
        <v>135626085</v>
      </c>
      <c r="Y359" s="258">
        <f t="shared" si="240"/>
        <v>0</v>
      </c>
      <c r="Z359" s="258">
        <f t="shared" si="241"/>
        <v>135626085</v>
      </c>
      <c r="AA359" s="256">
        <f t="array" ref="AA359">MAX((IF(MNU_CODIGO_ALIMENTO_ENTREGA=CONCATENATE($C359,"_","P_"),MNU_GRAMAJE_REQUERIDO_TIPOM,"")))</f>
        <v>40</v>
      </c>
      <c r="AB359" s="259">
        <f t="shared" si="242"/>
        <v>4267</v>
      </c>
      <c r="AC359" s="259">
        <v>0</v>
      </c>
      <c r="AD359" s="259">
        <f t="shared" si="243"/>
        <v>4267</v>
      </c>
      <c r="AE359" s="260">
        <f t="shared" si="244"/>
        <v>1826276</v>
      </c>
      <c r="AF359" s="260">
        <v>0</v>
      </c>
      <c r="AG359" s="260">
        <f t="shared" si="245"/>
        <v>1826276</v>
      </c>
      <c r="AH359" s="348">
        <f t="array" ref="AH359">MAX((IF(MNU_CODIGO_ALIMENTO_ENTREGA=CONCATENATE($C359,"_","P_"),MNU_GRAMAJE_REQUERIDO_TIPOH,"")))</f>
        <v>80</v>
      </c>
      <c r="AI359" s="257">
        <f t="shared" si="246"/>
        <v>5049</v>
      </c>
      <c r="AJ359" s="257">
        <v>0</v>
      </c>
      <c r="AK359" s="257">
        <f t="shared" si="247"/>
        <v>5049</v>
      </c>
      <c r="AL359" s="258">
        <f t="shared" si="248"/>
        <v>4316895</v>
      </c>
      <c r="AM359" s="258">
        <v>0</v>
      </c>
      <c r="AN359" s="258">
        <f t="shared" si="249"/>
        <v>4316895</v>
      </c>
      <c r="AO359" s="451">
        <f t="shared" si="250"/>
        <v>400112</v>
      </c>
      <c r="AP359" s="450">
        <f t="shared" si="251"/>
        <v>230238140</v>
      </c>
      <c r="AQ359" s="261" t="e">
        <f>#REF!+AH359+AA359+T359+M359</f>
        <v>#REF!</v>
      </c>
      <c r="AR359" s="261">
        <f t="shared" si="210"/>
        <v>230536388</v>
      </c>
      <c r="AS359" s="261" t="e">
        <f t="shared" si="211"/>
        <v>#REF!</v>
      </c>
      <c r="AT359" s="261">
        <f t="shared" si="212"/>
        <v>230834636</v>
      </c>
      <c r="AU359" s="261" t="e">
        <f t="shared" si="213"/>
        <v>#REF!</v>
      </c>
      <c r="AV359" s="261">
        <f t="shared" si="214"/>
        <v>230834636</v>
      </c>
      <c r="AW359" s="261" t="e">
        <f t="shared" si="215"/>
        <v>#REF!</v>
      </c>
      <c r="AX359" s="261" t="e">
        <f>AV359+#REF!+AH359+AA359+T359</f>
        <v>#REF!</v>
      </c>
      <c r="AY359" s="261" t="e">
        <f t="shared" si="216"/>
        <v>#REF!</v>
      </c>
      <c r="AZ359" s="261" t="e">
        <f t="shared" si="217"/>
        <v>#REF!</v>
      </c>
      <c r="BA359" s="261" t="e">
        <f t="shared" si="218"/>
        <v>#REF!</v>
      </c>
      <c r="BB359" s="261" t="e">
        <f t="shared" si="219"/>
        <v>#REF!</v>
      </c>
      <c r="BC359" s="261" t="e">
        <f t="shared" si="220"/>
        <v>#REF!</v>
      </c>
      <c r="BD359" s="261" t="e">
        <f t="shared" si="221"/>
        <v>#REF!</v>
      </c>
      <c r="BE359" s="261" t="e">
        <f>BC359+AV359+#REF!+AH359+AA359</f>
        <v>#REF!</v>
      </c>
      <c r="BF359" s="261" t="e">
        <f t="shared" si="222"/>
        <v>#REF!</v>
      </c>
      <c r="BG359" s="261" t="e">
        <f t="shared" si="223"/>
        <v>#REF!</v>
      </c>
    </row>
    <row r="360" spans="1:59" ht="15.75">
      <c r="A360" s="333">
        <v>29</v>
      </c>
      <c r="B360" s="333" t="s">
        <v>1607</v>
      </c>
      <c r="C360" s="256">
        <v>61</v>
      </c>
      <c r="D360" s="322" t="s">
        <v>13</v>
      </c>
      <c r="E360" s="256" t="s">
        <v>9</v>
      </c>
      <c r="F360" s="425">
        <f t="array" ref="F360">MAX((IF(MNU_CODIGO_ALIMENTO_ENTREGA=CONCATENATE($C360,"_","P_"),MNU_GRAMAJE_REQUERIDO_TIPOA,"")))</f>
        <v>20</v>
      </c>
      <c r="G360" s="257">
        <f t="shared" si="224"/>
        <v>95872</v>
      </c>
      <c r="H360" s="257">
        <f t="shared" si="225"/>
        <v>25540</v>
      </c>
      <c r="I360" s="257">
        <f t="shared" si="226"/>
        <v>121412</v>
      </c>
      <c r="J360" s="258">
        <f t="shared" si="227"/>
        <v>22338176</v>
      </c>
      <c r="K360" s="258">
        <f t="shared" si="228"/>
        <v>5950820</v>
      </c>
      <c r="L360" s="258">
        <f t="shared" si="229"/>
        <v>28288996</v>
      </c>
      <c r="M360" s="426">
        <f t="array" ref="M360">MAX((IF(MNU_CODIGO_ALIMENTO_ENTREGA=CONCATENATE($C360,"_","P_"),MNU_GRAMAJE_REQUERIDO_TIPOB,"")))</f>
        <v>30</v>
      </c>
      <c r="N360" s="343">
        <f t="shared" si="230"/>
        <v>122640</v>
      </c>
      <c r="O360" s="343">
        <f t="shared" si="231"/>
        <v>14320</v>
      </c>
      <c r="P360" s="343">
        <f t="shared" si="232"/>
        <v>136960</v>
      </c>
      <c r="Q360" s="344">
        <f t="shared" si="233"/>
        <v>43046640</v>
      </c>
      <c r="R360" s="344">
        <f t="shared" si="234"/>
        <v>5026320</v>
      </c>
      <c r="S360" s="344">
        <f t="shared" si="235"/>
        <v>48072960</v>
      </c>
      <c r="T360" s="348">
        <f t="array" ref="T360">MAX((IF(MNU_CODIGO_ALIMENTO_ENTREGA=CONCATENATE($C360,"_","P_"),MNU_GRAMAJE_REQUERIDO_TIPOC,"")))</f>
        <v>70</v>
      </c>
      <c r="U360" s="257">
        <f t="shared" si="236"/>
        <v>149296</v>
      </c>
      <c r="V360" s="257">
        <f t="shared" si="237"/>
        <v>8180</v>
      </c>
      <c r="W360" s="257">
        <f t="shared" si="238"/>
        <v>157476</v>
      </c>
      <c r="X360" s="258">
        <f t="shared" si="239"/>
        <v>122124128</v>
      </c>
      <c r="Y360" s="258">
        <f t="shared" si="240"/>
        <v>6691240</v>
      </c>
      <c r="Z360" s="258">
        <f t="shared" si="241"/>
        <v>128815368</v>
      </c>
      <c r="AA360" s="256">
        <f t="array" ref="AA360">MAX((IF(MNU_CODIGO_ALIMENTO_ENTREGA=CONCATENATE($C360,"_","P_"),MNU_GRAMAJE_REQUERIDO_TIPOM,"")))</f>
        <v>30</v>
      </c>
      <c r="AB360" s="259">
        <f t="shared" si="242"/>
        <v>4016</v>
      </c>
      <c r="AC360" s="259">
        <v>0</v>
      </c>
      <c r="AD360" s="259">
        <f t="shared" si="243"/>
        <v>4016</v>
      </c>
      <c r="AE360" s="260">
        <f t="shared" si="244"/>
        <v>1409616</v>
      </c>
      <c r="AF360" s="260">
        <v>0</v>
      </c>
      <c r="AG360" s="260">
        <f t="shared" si="245"/>
        <v>1409616</v>
      </c>
      <c r="AH360" s="348">
        <f t="array" ref="AH360">MAX((IF(MNU_CODIGO_ALIMENTO_ENTREGA=CONCATENATE($C360,"_","P_"),MNU_GRAMAJE_REQUERIDO_TIPOH,"")))</f>
        <v>70</v>
      </c>
      <c r="AI360" s="257">
        <f t="shared" si="246"/>
        <v>4752</v>
      </c>
      <c r="AJ360" s="257">
        <v>0</v>
      </c>
      <c r="AK360" s="257">
        <f t="shared" si="247"/>
        <v>4752</v>
      </c>
      <c r="AL360" s="258">
        <f t="shared" si="248"/>
        <v>3887136</v>
      </c>
      <c r="AM360" s="258">
        <v>0</v>
      </c>
      <c r="AN360" s="258">
        <f t="shared" si="249"/>
        <v>3887136</v>
      </c>
      <c r="AO360" s="451">
        <f t="shared" si="250"/>
        <v>424616</v>
      </c>
      <c r="AP360" s="450">
        <f t="shared" si="251"/>
        <v>210474076</v>
      </c>
      <c r="AQ360" s="261" t="e">
        <f>#REF!+AH360+AA360+T360+M360</f>
        <v>#REF!</v>
      </c>
      <c r="AR360" s="261">
        <f t="shared" si="210"/>
        <v>210754780</v>
      </c>
      <c r="AS360" s="261" t="e">
        <f t="shared" si="211"/>
        <v>#REF!</v>
      </c>
      <c r="AT360" s="261">
        <f t="shared" si="212"/>
        <v>211057984</v>
      </c>
      <c r="AU360" s="261" t="e">
        <f t="shared" si="213"/>
        <v>#REF!</v>
      </c>
      <c r="AV360" s="261">
        <f t="shared" si="214"/>
        <v>222775544</v>
      </c>
      <c r="AW360" s="261" t="e">
        <f t="shared" si="215"/>
        <v>#REF!</v>
      </c>
      <c r="AX360" s="261" t="e">
        <f>AV360+#REF!+AH360+AA360+T360</f>
        <v>#REF!</v>
      </c>
      <c r="AY360" s="261" t="e">
        <f t="shared" si="216"/>
        <v>#REF!</v>
      </c>
      <c r="AZ360" s="261" t="e">
        <f t="shared" si="217"/>
        <v>#REF!</v>
      </c>
      <c r="BA360" s="261" t="e">
        <f t="shared" si="218"/>
        <v>#REF!</v>
      </c>
      <c r="BB360" s="261" t="e">
        <f t="shared" si="219"/>
        <v>#REF!</v>
      </c>
      <c r="BC360" s="261" t="e">
        <f t="shared" si="220"/>
        <v>#REF!</v>
      </c>
      <c r="BD360" s="261" t="e">
        <f t="shared" si="221"/>
        <v>#REF!</v>
      </c>
      <c r="BE360" s="261" t="e">
        <f>BC360+AV360+#REF!+AH360+AA360</f>
        <v>#REF!</v>
      </c>
      <c r="BF360" s="261" t="e">
        <f t="shared" si="222"/>
        <v>#REF!</v>
      </c>
      <c r="BG360" s="261" t="e">
        <f t="shared" si="223"/>
        <v>#REF!</v>
      </c>
    </row>
    <row r="361" spans="1:59" ht="15.75">
      <c r="A361" s="333">
        <v>29</v>
      </c>
      <c r="B361" s="333" t="s">
        <v>1607</v>
      </c>
      <c r="C361" s="256">
        <v>62</v>
      </c>
      <c r="D361" s="322" t="s">
        <v>68</v>
      </c>
      <c r="E361" s="256" t="s">
        <v>9</v>
      </c>
      <c r="F361" s="425">
        <f t="array" ref="F361">MAX((IF(MNU_CODIGO_ALIMENTO_ENTREGA=CONCATENATE($C361,"_","P_"),MNU_GRAMAJE_REQUERIDO_TIPOA,"")))</f>
        <v>50</v>
      </c>
      <c r="G361" s="257">
        <f t="shared" si="224"/>
        <v>29960</v>
      </c>
      <c r="H361" s="257">
        <f t="shared" si="225"/>
        <v>0</v>
      </c>
      <c r="I361" s="257">
        <f t="shared" si="226"/>
        <v>29960</v>
      </c>
      <c r="J361" s="258">
        <f t="shared" si="227"/>
        <v>18725000</v>
      </c>
      <c r="K361" s="258">
        <f t="shared" si="228"/>
        <v>0</v>
      </c>
      <c r="L361" s="258">
        <f t="shared" si="229"/>
        <v>18725000</v>
      </c>
      <c r="M361" s="426">
        <f t="array" ref="M361">MAX((IF(MNU_CODIGO_ALIMENTO_ENTREGA=CONCATENATE($C361,"_","P_"),MNU_GRAMAJE_REQUERIDO_TIPOB,"")))</f>
        <v>50</v>
      </c>
      <c r="N361" s="343">
        <f t="shared" si="230"/>
        <v>38325</v>
      </c>
      <c r="O361" s="343">
        <f t="shared" si="231"/>
        <v>0</v>
      </c>
      <c r="P361" s="343">
        <f t="shared" si="232"/>
        <v>38325</v>
      </c>
      <c r="Q361" s="344">
        <f t="shared" si="233"/>
        <v>23953125</v>
      </c>
      <c r="R361" s="344">
        <f t="shared" si="234"/>
        <v>0</v>
      </c>
      <c r="S361" s="344">
        <f t="shared" si="235"/>
        <v>23953125</v>
      </c>
      <c r="T361" s="348">
        <f t="array" ref="T361">MAX((IF(MNU_CODIGO_ALIMENTO_ENTREGA=CONCATENATE($C361,"_","P_"),MNU_GRAMAJE_REQUERIDO_TIPOC,"")))</f>
        <v>50</v>
      </c>
      <c r="U361" s="257">
        <f t="shared" si="236"/>
        <v>46655</v>
      </c>
      <c r="V361" s="257">
        <f t="shared" si="237"/>
        <v>0</v>
      </c>
      <c r="W361" s="257">
        <f t="shared" si="238"/>
        <v>46655</v>
      </c>
      <c r="X361" s="258">
        <f t="shared" si="239"/>
        <v>29159375</v>
      </c>
      <c r="Y361" s="258">
        <f t="shared" si="240"/>
        <v>0</v>
      </c>
      <c r="Z361" s="258">
        <f t="shared" si="241"/>
        <v>29159375</v>
      </c>
      <c r="AA361" s="256">
        <f t="array" ref="AA361">MAX((IF(MNU_CODIGO_ALIMENTO_ENTREGA=CONCATENATE($C361,"_","P_"),MNU_GRAMAJE_REQUERIDO_TIPOM,"")))</f>
        <v>50</v>
      </c>
      <c r="AB361" s="259">
        <f t="shared" si="242"/>
        <v>1255</v>
      </c>
      <c r="AC361" s="259">
        <v>0</v>
      </c>
      <c r="AD361" s="259">
        <f t="shared" si="243"/>
        <v>1255</v>
      </c>
      <c r="AE361" s="260">
        <f t="shared" si="244"/>
        <v>784375</v>
      </c>
      <c r="AF361" s="260">
        <v>0</v>
      </c>
      <c r="AG361" s="260">
        <f t="shared" si="245"/>
        <v>784375</v>
      </c>
      <c r="AH361" s="348">
        <f t="array" ref="AH361">MAX((IF(MNU_CODIGO_ALIMENTO_ENTREGA=CONCATENATE($C361,"_","P_"),MNU_GRAMAJE_REQUERIDO_TIPOH,"")))</f>
        <v>50</v>
      </c>
      <c r="AI361" s="257">
        <f t="shared" si="246"/>
        <v>1485</v>
      </c>
      <c r="AJ361" s="257">
        <v>0</v>
      </c>
      <c r="AK361" s="257">
        <f t="shared" si="247"/>
        <v>1485</v>
      </c>
      <c r="AL361" s="258">
        <f t="shared" si="248"/>
        <v>928125</v>
      </c>
      <c r="AM361" s="258">
        <v>0</v>
      </c>
      <c r="AN361" s="258">
        <f t="shared" si="249"/>
        <v>928125</v>
      </c>
      <c r="AO361" s="451">
        <f t="shared" si="250"/>
        <v>117680</v>
      </c>
      <c r="AP361" s="450">
        <f t="shared" si="251"/>
        <v>73550000</v>
      </c>
      <c r="AQ361" s="261" t="e">
        <f>#REF!+AH361+AA361+T361+M361</f>
        <v>#REF!</v>
      </c>
      <c r="AR361" s="261">
        <f t="shared" si="210"/>
        <v>73637720</v>
      </c>
      <c r="AS361" s="261" t="e">
        <f t="shared" si="211"/>
        <v>#REF!</v>
      </c>
      <c r="AT361" s="261">
        <f t="shared" si="212"/>
        <v>73725440</v>
      </c>
      <c r="AU361" s="261" t="e">
        <f t="shared" si="213"/>
        <v>#REF!</v>
      </c>
      <c r="AV361" s="261">
        <f t="shared" si="214"/>
        <v>73725440</v>
      </c>
      <c r="AW361" s="261" t="e">
        <f t="shared" si="215"/>
        <v>#REF!</v>
      </c>
      <c r="AX361" s="261" t="e">
        <f>AV361+#REF!+AH361+AA361+T361</f>
        <v>#REF!</v>
      </c>
      <c r="AY361" s="261" t="e">
        <f t="shared" si="216"/>
        <v>#REF!</v>
      </c>
      <c r="AZ361" s="261" t="e">
        <f t="shared" si="217"/>
        <v>#REF!</v>
      </c>
      <c r="BA361" s="261" t="e">
        <f t="shared" si="218"/>
        <v>#REF!</v>
      </c>
      <c r="BB361" s="261" t="e">
        <f t="shared" si="219"/>
        <v>#REF!</v>
      </c>
      <c r="BC361" s="261" t="e">
        <f t="shared" si="220"/>
        <v>#REF!</v>
      </c>
      <c r="BD361" s="261" t="e">
        <f t="shared" si="221"/>
        <v>#REF!</v>
      </c>
      <c r="BE361" s="261" t="e">
        <f>BC361+AV361+#REF!+AH361+AA361</f>
        <v>#REF!</v>
      </c>
      <c r="BF361" s="261" t="e">
        <f t="shared" si="222"/>
        <v>#REF!</v>
      </c>
      <c r="BG361" s="261" t="e">
        <f t="shared" si="223"/>
        <v>#REF!</v>
      </c>
    </row>
    <row r="362" spans="1:59" ht="15.75">
      <c r="A362" s="333">
        <v>30</v>
      </c>
      <c r="B362" s="333" t="s">
        <v>1607</v>
      </c>
      <c r="C362" s="256">
        <v>1</v>
      </c>
      <c r="D362" s="322" t="s">
        <v>16</v>
      </c>
      <c r="E362" s="256" t="s">
        <v>9</v>
      </c>
      <c r="F362" s="425">
        <f t="array" ref="F362">MAX((IF(MNU_CODIGO_ALIMENTO_ENTREGA=CONCATENATE($C362,"_","P_"),MNU_GRAMAJE_REQUERIDO_TIPOA,"")))</f>
        <v>30</v>
      </c>
      <c r="G362" s="257">
        <f t="shared" si="224"/>
        <v>73110</v>
      </c>
      <c r="H362" s="257">
        <f t="shared" si="225"/>
        <v>0</v>
      </c>
      <c r="I362" s="257">
        <f t="shared" si="226"/>
        <v>73110</v>
      </c>
      <c r="J362" s="258">
        <f t="shared" si="227"/>
        <v>59072880</v>
      </c>
      <c r="K362" s="258">
        <f t="shared" si="228"/>
        <v>0</v>
      </c>
      <c r="L362" s="258">
        <f t="shared" si="229"/>
        <v>59072880</v>
      </c>
      <c r="M362" s="426">
        <f t="array" ref="M362">MAX((IF(MNU_CODIGO_ALIMENTO_ENTREGA=CONCATENATE($C362,"_","P_"),MNU_GRAMAJE_REQUERIDO_TIPOB,"")))</f>
        <v>40</v>
      </c>
      <c r="N362" s="343">
        <f t="shared" si="230"/>
        <v>88995</v>
      </c>
      <c r="O362" s="343">
        <f t="shared" si="231"/>
        <v>0</v>
      </c>
      <c r="P362" s="343">
        <f t="shared" si="232"/>
        <v>88995</v>
      </c>
      <c r="Q362" s="344">
        <f t="shared" si="233"/>
        <v>95936610</v>
      </c>
      <c r="R362" s="344">
        <f t="shared" si="234"/>
        <v>0</v>
      </c>
      <c r="S362" s="344">
        <f t="shared" si="235"/>
        <v>95936610</v>
      </c>
      <c r="T362" s="348">
        <f t="array" ref="T362">MAX((IF(MNU_CODIGO_ALIMENTO_ENTREGA=CONCATENATE($C362,"_","P_"),MNU_GRAMAJE_REQUERIDO_TIPOC,"")))</f>
        <v>60</v>
      </c>
      <c r="U362" s="257">
        <f t="shared" si="236"/>
        <v>94650</v>
      </c>
      <c r="V362" s="257">
        <f t="shared" si="237"/>
        <v>0</v>
      </c>
      <c r="W362" s="257">
        <f t="shared" si="238"/>
        <v>94650</v>
      </c>
      <c r="X362" s="258">
        <f t="shared" si="239"/>
        <v>152954400</v>
      </c>
      <c r="Y362" s="258">
        <f t="shared" si="240"/>
        <v>0</v>
      </c>
      <c r="Z362" s="258">
        <f t="shared" si="241"/>
        <v>152954400</v>
      </c>
      <c r="AA362" s="256">
        <f t="array" ref="AA362">MAX((IF(MNU_CODIGO_ALIMENTO_ENTREGA=CONCATENATE($C362,"_","P_"),MNU_GRAMAJE_REQUERIDO_TIPOM,"")))</f>
        <v>40</v>
      </c>
      <c r="AB362" s="259">
        <f t="shared" si="242"/>
        <v>4245</v>
      </c>
      <c r="AC362" s="259">
        <v>0</v>
      </c>
      <c r="AD362" s="259">
        <f t="shared" si="243"/>
        <v>4245</v>
      </c>
      <c r="AE362" s="260">
        <f t="shared" si="244"/>
        <v>4576110</v>
      </c>
      <c r="AF362" s="260">
        <v>0</v>
      </c>
      <c r="AG362" s="260">
        <f t="shared" si="245"/>
        <v>4576110</v>
      </c>
      <c r="AH362" s="348">
        <f t="array" ref="AH362">MAX((IF(MNU_CODIGO_ALIMENTO_ENTREGA=CONCATENATE($C362,"_","P_"),MNU_GRAMAJE_REQUERIDO_TIPOH,"")))</f>
        <v>60</v>
      </c>
      <c r="AI362" s="257">
        <f t="shared" si="246"/>
        <v>4155</v>
      </c>
      <c r="AJ362" s="257">
        <v>0</v>
      </c>
      <c r="AK362" s="257">
        <f t="shared" si="247"/>
        <v>4155</v>
      </c>
      <c r="AL362" s="258">
        <f t="shared" si="248"/>
        <v>6714480</v>
      </c>
      <c r="AM362" s="258">
        <v>0</v>
      </c>
      <c r="AN362" s="258">
        <f t="shared" si="249"/>
        <v>6714480</v>
      </c>
      <c r="AO362" s="451">
        <f t="shared" si="250"/>
        <v>265155</v>
      </c>
      <c r="AP362" s="450">
        <f t="shared" si="251"/>
        <v>319254480</v>
      </c>
      <c r="AQ362" s="261" t="e">
        <f>#REF!+AH362+AA362+T362+M362</f>
        <v>#REF!</v>
      </c>
      <c r="AR362" s="261">
        <f t="shared" si="210"/>
        <v>319446525</v>
      </c>
      <c r="AS362" s="261" t="e">
        <f t="shared" si="211"/>
        <v>#REF!</v>
      </c>
      <c r="AT362" s="261">
        <f t="shared" si="212"/>
        <v>319638570</v>
      </c>
      <c r="AU362" s="261" t="e">
        <f t="shared" si="213"/>
        <v>#REF!</v>
      </c>
      <c r="AV362" s="261">
        <f t="shared" si="214"/>
        <v>319638570</v>
      </c>
      <c r="AW362" s="261" t="e">
        <f t="shared" si="215"/>
        <v>#REF!</v>
      </c>
      <c r="AX362" s="261" t="e">
        <f>AV362+#REF!+AH362+AA362+T362</f>
        <v>#REF!</v>
      </c>
      <c r="AY362" s="261" t="e">
        <f t="shared" si="216"/>
        <v>#REF!</v>
      </c>
      <c r="AZ362" s="261" t="e">
        <f t="shared" si="217"/>
        <v>#REF!</v>
      </c>
      <c r="BA362" s="261" t="e">
        <f t="shared" si="218"/>
        <v>#REF!</v>
      </c>
      <c r="BB362" s="261" t="e">
        <f t="shared" si="219"/>
        <v>#REF!</v>
      </c>
      <c r="BC362" s="261" t="e">
        <f t="shared" si="220"/>
        <v>#REF!</v>
      </c>
      <c r="BD362" s="261" t="e">
        <f t="shared" si="221"/>
        <v>#REF!</v>
      </c>
      <c r="BE362" s="261" t="e">
        <f>BC362+AV362+#REF!+AH362+AA362</f>
        <v>#REF!</v>
      </c>
      <c r="BF362" s="261" t="e">
        <f t="shared" si="222"/>
        <v>#REF!</v>
      </c>
      <c r="BG362" s="261" t="e">
        <f t="shared" si="223"/>
        <v>#REF!</v>
      </c>
    </row>
    <row r="363" spans="1:59" ht="15.75">
      <c r="A363" s="333">
        <v>30</v>
      </c>
      <c r="B363" s="333" t="s">
        <v>1607</v>
      </c>
      <c r="C363" s="256">
        <v>3</v>
      </c>
      <c r="D363" s="322" t="s">
        <v>12</v>
      </c>
      <c r="E363" s="256" t="s">
        <v>9</v>
      </c>
      <c r="F363" s="425">
        <f t="array" ref="F363">MAX((IF(MNU_CODIGO_ALIMENTO_ENTREGA=CONCATENATE($C363,"_","P_"),MNU_GRAMAJE_REQUERIDO_TIPOA,"")))</f>
        <v>50</v>
      </c>
      <c r="G363" s="257">
        <f t="shared" si="224"/>
        <v>82858</v>
      </c>
      <c r="H363" s="257">
        <f t="shared" si="225"/>
        <v>5776</v>
      </c>
      <c r="I363" s="257">
        <f t="shared" si="226"/>
        <v>88634</v>
      </c>
      <c r="J363" s="258">
        <f t="shared" si="227"/>
        <v>41843290</v>
      </c>
      <c r="K363" s="258">
        <f t="shared" si="228"/>
        <v>2916880</v>
      </c>
      <c r="L363" s="258">
        <f t="shared" si="229"/>
        <v>44760170</v>
      </c>
      <c r="M363" s="426">
        <f t="array" ref="M363">MAX((IF(MNU_CODIGO_ALIMENTO_ENTREGA=CONCATENATE($C363,"_","P_"),MNU_GRAMAJE_REQUERIDO_TIPOB,"")))</f>
        <v>50</v>
      </c>
      <c r="N363" s="343">
        <f t="shared" si="230"/>
        <v>100861</v>
      </c>
      <c r="O363" s="343">
        <f t="shared" si="231"/>
        <v>2736</v>
      </c>
      <c r="P363" s="343">
        <f t="shared" si="232"/>
        <v>103597</v>
      </c>
      <c r="Q363" s="344">
        <f t="shared" si="233"/>
        <v>50934805</v>
      </c>
      <c r="R363" s="344">
        <f t="shared" si="234"/>
        <v>1381680</v>
      </c>
      <c r="S363" s="344">
        <f t="shared" si="235"/>
        <v>52316485</v>
      </c>
      <c r="T363" s="348">
        <f t="array" ref="T363">MAX((IF(MNU_CODIGO_ALIMENTO_ENTREGA=CONCATENATE($C363,"_","P_"),MNU_GRAMAJE_REQUERIDO_TIPOC,"")))</f>
        <v>80</v>
      </c>
      <c r="U363" s="257">
        <f t="shared" si="236"/>
        <v>107270</v>
      </c>
      <c r="V363" s="257">
        <f t="shared" si="237"/>
        <v>21318</v>
      </c>
      <c r="W363" s="257">
        <f t="shared" si="238"/>
        <v>128588</v>
      </c>
      <c r="X363" s="258">
        <f t="shared" si="239"/>
        <v>81847010</v>
      </c>
      <c r="Y363" s="258">
        <f t="shared" si="240"/>
        <v>16265634</v>
      </c>
      <c r="Z363" s="258">
        <f t="shared" si="241"/>
        <v>98112644</v>
      </c>
      <c r="AA363" s="256">
        <f t="array" ref="AA363">MAX((IF(MNU_CODIGO_ALIMENTO_ENTREGA=CONCATENATE($C363,"_","P_"),MNU_GRAMAJE_REQUERIDO_TIPOM,"")))</f>
        <v>50</v>
      </c>
      <c r="AB363" s="259">
        <f t="shared" si="242"/>
        <v>4811</v>
      </c>
      <c r="AC363" s="259">
        <v>0</v>
      </c>
      <c r="AD363" s="259">
        <f t="shared" si="243"/>
        <v>4811</v>
      </c>
      <c r="AE363" s="260">
        <f t="shared" si="244"/>
        <v>2429555</v>
      </c>
      <c r="AF363" s="260">
        <v>0</v>
      </c>
      <c r="AG363" s="260">
        <f t="shared" si="245"/>
        <v>2429555</v>
      </c>
      <c r="AH363" s="348">
        <f t="array" ref="AH363">MAX((IF(MNU_CODIGO_ALIMENTO_ENTREGA=CONCATENATE($C363,"_","P_"),MNU_GRAMAJE_REQUERIDO_TIPOH,"")))</f>
        <v>80</v>
      </c>
      <c r="AI363" s="257">
        <f t="shared" si="246"/>
        <v>4709</v>
      </c>
      <c r="AJ363" s="257">
        <v>0</v>
      </c>
      <c r="AK363" s="257">
        <f t="shared" si="247"/>
        <v>4709</v>
      </c>
      <c r="AL363" s="258">
        <f t="shared" si="248"/>
        <v>3592967</v>
      </c>
      <c r="AM363" s="258">
        <v>0</v>
      </c>
      <c r="AN363" s="258">
        <f t="shared" si="249"/>
        <v>3592967</v>
      </c>
      <c r="AO363" s="451">
        <f t="shared" si="250"/>
        <v>330339</v>
      </c>
      <c r="AP363" s="450">
        <f t="shared" si="251"/>
        <v>201211821</v>
      </c>
      <c r="AQ363" s="261" t="e">
        <f>#REF!+AH363+AA363+T363+M363</f>
        <v>#REF!</v>
      </c>
      <c r="AR363" s="261">
        <f t="shared" si="210"/>
        <v>201429472</v>
      </c>
      <c r="AS363" s="261" t="e">
        <f t="shared" si="211"/>
        <v>#REF!</v>
      </c>
      <c r="AT363" s="261">
        <f t="shared" si="212"/>
        <v>201671177</v>
      </c>
      <c r="AU363" s="261" t="e">
        <f t="shared" si="213"/>
        <v>#REF!</v>
      </c>
      <c r="AV363" s="261">
        <f t="shared" si="214"/>
        <v>219318491</v>
      </c>
      <c r="AW363" s="261" t="e">
        <f t="shared" si="215"/>
        <v>#REF!</v>
      </c>
      <c r="AX363" s="261" t="e">
        <f>AV363+#REF!+AH363+AA363+T363</f>
        <v>#REF!</v>
      </c>
      <c r="AY363" s="261" t="e">
        <f t="shared" si="216"/>
        <v>#REF!</v>
      </c>
      <c r="AZ363" s="261" t="e">
        <f t="shared" si="217"/>
        <v>#REF!</v>
      </c>
      <c r="BA363" s="261" t="e">
        <f t="shared" si="218"/>
        <v>#REF!</v>
      </c>
      <c r="BB363" s="261" t="e">
        <f t="shared" si="219"/>
        <v>#REF!</v>
      </c>
      <c r="BC363" s="261" t="e">
        <f t="shared" si="220"/>
        <v>#REF!</v>
      </c>
      <c r="BD363" s="261" t="e">
        <f t="shared" si="221"/>
        <v>#REF!</v>
      </c>
      <c r="BE363" s="261" t="e">
        <f>BC363+AV363+#REF!+AH363+AA363</f>
        <v>#REF!</v>
      </c>
      <c r="BF363" s="261" t="e">
        <f t="shared" si="222"/>
        <v>#REF!</v>
      </c>
      <c r="BG363" s="261" t="e">
        <f t="shared" si="223"/>
        <v>#REF!</v>
      </c>
    </row>
    <row r="364" spans="1:59" ht="15.75">
      <c r="A364" s="333">
        <v>30</v>
      </c>
      <c r="B364" s="333" t="s">
        <v>1607</v>
      </c>
      <c r="C364" s="256">
        <v>15</v>
      </c>
      <c r="D364" s="322" t="s">
        <v>66</v>
      </c>
      <c r="E364" s="256" t="s">
        <v>9</v>
      </c>
      <c r="F364" s="425">
        <f t="array" ref="F364">MAX((IF(MNU_CODIGO_ALIMENTO_ENTREGA=CONCATENATE($C364,"_","P_"),MNU_GRAMAJE_REQUERIDO_TIPOA,"")))</f>
        <v>50</v>
      </c>
      <c r="G364" s="257">
        <f t="shared" si="224"/>
        <v>82858</v>
      </c>
      <c r="H364" s="257">
        <f t="shared" si="225"/>
        <v>3344</v>
      </c>
      <c r="I364" s="257">
        <f t="shared" si="226"/>
        <v>86202</v>
      </c>
      <c r="J364" s="258">
        <f t="shared" si="227"/>
        <v>55763434</v>
      </c>
      <c r="K364" s="258">
        <f t="shared" si="228"/>
        <v>2250512</v>
      </c>
      <c r="L364" s="258">
        <f t="shared" si="229"/>
        <v>58013946</v>
      </c>
      <c r="M364" s="426">
        <f t="array" ref="M364">MAX((IF(MNU_CODIGO_ALIMENTO_ENTREGA=CONCATENATE($C364,"_","P_"),MNU_GRAMAJE_REQUERIDO_TIPOB,"")))</f>
        <v>50</v>
      </c>
      <c r="N364" s="343">
        <f t="shared" si="230"/>
        <v>100861</v>
      </c>
      <c r="O364" s="343">
        <f t="shared" si="231"/>
        <v>1584</v>
      </c>
      <c r="P364" s="343">
        <f t="shared" si="232"/>
        <v>102445</v>
      </c>
      <c r="Q364" s="344">
        <f t="shared" si="233"/>
        <v>67879453</v>
      </c>
      <c r="R364" s="344">
        <f t="shared" si="234"/>
        <v>1066032</v>
      </c>
      <c r="S364" s="344">
        <f t="shared" si="235"/>
        <v>68945485</v>
      </c>
      <c r="T364" s="348">
        <f t="array" ref="T364">MAX((IF(MNU_CODIGO_ALIMENTO_ENTREGA=CONCATENATE($C364,"_","P_"),MNU_GRAMAJE_REQUERIDO_TIPOC,"")))</f>
        <v>80</v>
      </c>
      <c r="U364" s="257">
        <f t="shared" si="236"/>
        <v>107270</v>
      </c>
      <c r="V364" s="257">
        <f t="shared" si="237"/>
        <v>12342</v>
      </c>
      <c r="W364" s="257">
        <f t="shared" si="238"/>
        <v>119612</v>
      </c>
      <c r="X364" s="258">
        <f t="shared" si="239"/>
        <v>115422520</v>
      </c>
      <c r="Y364" s="258">
        <f t="shared" si="240"/>
        <v>13279992</v>
      </c>
      <c r="Z364" s="258">
        <f t="shared" si="241"/>
        <v>128702512</v>
      </c>
      <c r="AA364" s="256">
        <f t="array" ref="AA364">MAX((IF(MNU_CODIGO_ALIMENTO_ENTREGA=CONCATENATE($C364,"_","P_"),MNU_GRAMAJE_REQUERIDO_TIPOM,"")))</f>
        <v>50</v>
      </c>
      <c r="AB364" s="259">
        <f t="shared" si="242"/>
        <v>4811</v>
      </c>
      <c r="AC364" s="259">
        <v>0</v>
      </c>
      <c r="AD364" s="259">
        <f t="shared" si="243"/>
        <v>4811</v>
      </c>
      <c r="AE364" s="260">
        <f t="shared" si="244"/>
        <v>3237803</v>
      </c>
      <c r="AF364" s="260">
        <v>0</v>
      </c>
      <c r="AG364" s="260">
        <f t="shared" si="245"/>
        <v>3237803</v>
      </c>
      <c r="AH364" s="348">
        <f t="array" ref="AH364">MAX((IF(MNU_CODIGO_ALIMENTO_ENTREGA=CONCATENATE($C364,"_","P_"),MNU_GRAMAJE_REQUERIDO_TIPOH,"")))</f>
        <v>80</v>
      </c>
      <c r="AI364" s="257">
        <f t="shared" si="246"/>
        <v>4709</v>
      </c>
      <c r="AJ364" s="257">
        <v>0</v>
      </c>
      <c r="AK364" s="257">
        <f t="shared" si="247"/>
        <v>4709</v>
      </c>
      <c r="AL364" s="258">
        <f t="shared" si="248"/>
        <v>5066884</v>
      </c>
      <c r="AM364" s="258">
        <v>0</v>
      </c>
      <c r="AN364" s="258">
        <f t="shared" si="249"/>
        <v>5066884</v>
      </c>
      <c r="AO364" s="451">
        <f t="shared" si="250"/>
        <v>317779</v>
      </c>
      <c r="AP364" s="450">
        <f t="shared" si="251"/>
        <v>263966630</v>
      </c>
      <c r="AQ364" s="261" t="e">
        <f>#REF!+AH364+AA364+T364+M364</f>
        <v>#REF!</v>
      </c>
      <c r="AR364" s="261">
        <f t="shared" si="210"/>
        <v>264184281</v>
      </c>
      <c r="AS364" s="261" t="e">
        <f t="shared" si="211"/>
        <v>#REF!</v>
      </c>
      <c r="AT364" s="261">
        <f t="shared" si="212"/>
        <v>264415858</v>
      </c>
      <c r="AU364" s="261" t="e">
        <f t="shared" si="213"/>
        <v>#REF!</v>
      </c>
      <c r="AV364" s="261">
        <f t="shared" si="214"/>
        <v>278761882</v>
      </c>
      <c r="AW364" s="261" t="e">
        <f t="shared" si="215"/>
        <v>#REF!</v>
      </c>
      <c r="AX364" s="261" t="e">
        <f>AV364+#REF!+AH364+AA364+T364</f>
        <v>#REF!</v>
      </c>
      <c r="AY364" s="261" t="e">
        <f t="shared" si="216"/>
        <v>#REF!</v>
      </c>
      <c r="AZ364" s="261" t="e">
        <f t="shared" si="217"/>
        <v>#REF!</v>
      </c>
      <c r="BA364" s="261" t="e">
        <f t="shared" si="218"/>
        <v>#REF!</v>
      </c>
      <c r="BB364" s="261" t="e">
        <f t="shared" si="219"/>
        <v>#REF!</v>
      </c>
      <c r="BC364" s="261" t="e">
        <f t="shared" si="220"/>
        <v>#REF!</v>
      </c>
      <c r="BD364" s="261" t="e">
        <f t="shared" si="221"/>
        <v>#REF!</v>
      </c>
      <c r="BE364" s="261" t="e">
        <f>BC364+AV364+#REF!+AH364+AA364</f>
        <v>#REF!</v>
      </c>
      <c r="BF364" s="261" t="e">
        <f t="shared" si="222"/>
        <v>#REF!</v>
      </c>
      <c r="BG364" s="261" t="e">
        <f t="shared" si="223"/>
        <v>#REF!</v>
      </c>
    </row>
    <row r="365" spans="1:59" ht="15.75">
      <c r="A365" s="333">
        <v>30</v>
      </c>
      <c r="B365" s="333" t="s">
        <v>1607</v>
      </c>
      <c r="C365" s="256">
        <v>24</v>
      </c>
      <c r="D365" s="322" t="s">
        <v>61</v>
      </c>
      <c r="E365" s="256" t="s">
        <v>9</v>
      </c>
      <c r="F365" s="425">
        <f t="array" ref="F365">MAX((IF(MNU_CODIGO_ALIMENTO_ENTREGA=CONCATENATE($C365,"_","P_"),MNU_GRAMAJE_REQUERIDO_TIPOA,"")))</f>
        <v>20</v>
      </c>
      <c r="G365" s="257">
        <f t="shared" si="224"/>
        <v>82858</v>
      </c>
      <c r="H365" s="257">
        <f t="shared" si="225"/>
        <v>3344</v>
      </c>
      <c r="I365" s="257">
        <f t="shared" si="226"/>
        <v>86202</v>
      </c>
      <c r="J365" s="258">
        <f t="shared" si="227"/>
        <v>10605824</v>
      </c>
      <c r="K365" s="258">
        <f t="shared" si="228"/>
        <v>428032</v>
      </c>
      <c r="L365" s="258">
        <f t="shared" si="229"/>
        <v>11033856</v>
      </c>
      <c r="M365" s="426">
        <f t="array" ref="M365">MAX((IF(MNU_CODIGO_ALIMENTO_ENTREGA=CONCATENATE($C365,"_","P_"),MNU_GRAMAJE_REQUERIDO_TIPOB,"")))</f>
        <v>30</v>
      </c>
      <c r="N365" s="343">
        <f t="shared" si="230"/>
        <v>100861</v>
      </c>
      <c r="O365" s="343">
        <f t="shared" si="231"/>
        <v>1584</v>
      </c>
      <c r="P365" s="343">
        <f t="shared" si="232"/>
        <v>102445</v>
      </c>
      <c r="Q365" s="344">
        <f t="shared" si="233"/>
        <v>20172200</v>
      </c>
      <c r="R365" s="344">
        <f t="shared" si="234"/>
        <v>316800</v>
      </c>
      <c r="S365" s="344">
        <f t="shared" si="235"/>
        <v>20489000</v>
      </c>
      <c r="T365" s="348">
        <f t="array" ref="T365">MAX((IF(MNU_CODIGO_ALIMENTO_ENTREGA=CONCATENATE($C365,"_","P_"),MNU_GRAMAJE_REQUERIDO_TIPOC,"")))</f>
        <v>60</v>
      </c>
      <c r="U365" s="257">
        <f t="shared" si="236"/>
        <v>107270</v>
      </c>
      <c r="V365" s="257">
        <f t="shared" si="237"/>
        <v>12342</v>
      </c>
      <c r="W365" s="257">
        <f t="shared" si="238"/>
        <v>119612</v>
      </c>
      <c r="X365" s="258">
        <f t="shared" si="239"/>
        <v>41298950</v>
      </c>
      <c r="Y365" s="258">
        <f t="shared" si="240"/>
        <v>4751670</v>
      </c>
      <c r="Z365" s="258">
        <f t="shared" si="241"/>
        <v>46050620</v>
      </c>
      <c r="AA365" s="256">
        <f t="array" ref="AA365">MAX((IF(MNU_CODIGO_ALIMENTO_ENTREGA=CONCATENATE($C365,"_","P_"),MNU_GRAMAJE_REQUERIDO_TIPOM,"")))</f>
        <v>30</v>
      </c>
      <c r="AB365" s="259">
        <f t="shared" si="242"/>
        <v>4811</v>
      </c>
      <c r="AC365" s="259">
        <v>0</v>
      </c>
      <c r="AD365" s="259">
        <f t="shared" si="243"/>
        <v>4811</v>
      </c>
      <c r="AE365" s="260">
        <f t="shared" si="244"/>
        <v>962200</v>
      </c>
      <c r="AF365" s="260">
        <v>0</v>
      </c>
      <c r="AG365" s="260">
        <f t="shared" si="245"/>
        <v>962200</v>
      </c>
      <c r="AH365" s="348">
        <f t="array" ref="AH365">MAX((IF(MNU_CODIGO_ALIMENTO_ENTREGA=CONCATENATE($C365,"_","P_"),MNU_GRAMAJE_REQUERIDO_TIPOH,"")))</f>
        <v>60</v>
      </c>
      <c r="AI365" s="257">
        <f t="shared" si="246"/>
        <v>4709</v>
      </c>
      <c r="AJ365" s="257">
        <v>0</v>
      </c>
      <c r="AK365" s="257">
        <f t="shared" si="247"/>
        <v>4709</v>
      </c>
      <c r="AL365" s="258">
        <f t="shared" si="248"/>
        <v>1812965</v>
      </c>
      <c r="AM365" s="258">
        <v>0</v>
      </c>
      <c r="AN365" s="258">
        <f t="shared" si="249"/>
        <v>1812965</v>
      </c>
      <c r="AO365" s="451">
        <f t="shared" si="250"/>
        <v>317779</v>
      </c>
      <c r="AP365" s="450">
        <f t="shared" si="251"/>
        <v>80348641</v>
      </c>
      <c r="AQ365" s="261" t="e">
        <f>#REF!+AH365+AA365+T365+M365</f>
        <v>#REF!</v>
      </c>
      <c r="AR365" s="261">
        <f t="shared" si="210"/>
        <v>80566292</v>
      </c>
      <c r="AS365" s="261" t="e">
        <f t="shared" si="211"/>
        <v>#REF!</v>
      </c>
      <c r="AT365" s="261">
        <f t="shared" si="212"/>
        <v>80797869</v>
      </c>
      <c r="AU365" s="261" t="e">
        <f t="shared" si="213"/>
        <v>#REF!</v>
      </c>
      <c r="AV365" s="261">
        <f t="shared" si="214"/>
        <v>85866339</v>
      </c>
      <c r="AW365" s="261" t="e">
        <f t="shared" si="215"/>
        <v>#REF!</v>
      </c>
      <c r="AX365" s="261" t="e">
        <f>AV365+#REF!+AH365+AA365+T365</f>
        <v>#REF!</v>
      </c>
      <c r="AY365" s="261" t="e">
        <f t="shared" si="216"/>
        <v>#REF!</v>
      </c>
      <c r="AZ365" s="261" t="e">
        <f t="shared" si="217"/>
        <v>#REF!</v>
      </c>
      <c r="BA365" s="261" t="e">
        <f t="shared" si="218"/>
        <v>#REF!</v>
      </c>
      <c r="BB365" s="261" t="e">
        <f t="shared" si="219"/>
        <v>#REF!</v>
      </c>
      <c r="BC365" s="261" t="e">
        <f t="shared" si="220"/>
        <v>#REF!</v>
      </c>
      <c r="BD365" s="261" t="e">
        <f t="shared" si="221"/>
        <v>#REF!</v>
      </c>
      <c r="BE365" s="261" t="e">
        <f>BC365+AV365+#REF!+AH365+AA365</f>
        <v>#REF!</v>
      </c>
      <c r="BF365" s="261" t="e">
        <f t="shared" si="222"/>
        <v>#REF!</v>
      </c>
      <c r="BG365" s="261" t="e">
        <f t="shared" si="223"/>
        <v>#REF!</v>
      </c>
    </row>
    <row r="366" spans="1:59" ht="15.75">
      <c r="A366" s="333">
        <v>30</v>
      </c>
      <c r="B366" s="333" t="s">
        <v>1607</v>
      </c>
      <c r="C366" s="256">
        <v>25</v>
      </c>
      <c r="D366" s="322" t="s">
        <v>64</v>
      </c>
      <c r="E366" s="256" t="s">
        <v>9</v>
      </c>
      <c r="F366" s="425">
        <f t="array" ref="F366">MAX((IF(MNU_CODIGO_ALIMENTO_ENTREGA=CONCATENATE($C366,"_","P_"),MNU_GRAMAJE_REQUERIDO_TIPOA,"")))</f>
        <v>40</v>
      </c>
      <c r="G366" s="257">
        <f t="shared" si="224"/>
        <v>82858</v>
      </c>
      <c r="H366" s="257">
        <f t="shared" si="225"/>
        <v>6688</v>
      </c>
      <c r="I366" s="257">
        <f t="shared" si="226"/>
        <v>89546</v>
      </c>
      <c r="J366" s="258">
        <f t="shared" si="227"/>
        <v>21211648</v>
      </c>
      <c r="K366" s="258">
        <f t="shared" si="228"/>
        <v>1712128</v>
      </c>
      <c r="L366" s="258">
        <f t="shared" si="229"/>
        <v>22923776</v>
      </c>
      <c r="M366" s="426">
        <f t="array" ref="M366">MAX((IF(MNU_CODIGO_ALIMENTO_ENTREGA=CONCATENATE($C366,"_","P_"),MNU_GRAMAJE_REQUERIDO_TIPOB,"")))</f>
        <v>40</v>
      </c>
      <c r="N366" s="343">
        <f t="shared" si="230"/>
        <v>100861</v>
      </c>
      <c r="O366" s="343">
        <f t="shared" si="231"/>
        <v>3168</v>
      </c>
      <c r="P366" s="343">
        <f t="shared" si="232"/>
        <v>104029</v>
      </c>
      <c r="Q366" s="344">
        <f t="shared" si="233"/>
        <v>25820416</v>
      </c>
      <c r="R366" s="344">
        <f t="shared" si="234"/>
        <v>811008</v>
      </c>
      <c r="S366" s="344">
        <f t="shared" si="235"/>
        <v>26631424</v>
      </c>
      <c r="T366" s="348">
        <f t="array" ref="T366">MAX((IF(MNU_CODIGO_ALIMENTO_ENTREGA=CONCATENATE($C366,"_","P_"),MNU_GRAMAJE_REQUERIDO_TIPOC,"")))</f>
        <v>60</v>
      </c>
      <c r="U366" s="257">
        <f t="shared" si="236"/>
        <v>107270</v>
      </c>
      <c r="V366" s="257">
        <f t="shared" si="237"/>
        <v>24684</v>
      </c>
      <c r="W366" s="257">
        <f t="shared" si="238"/>
        <v>131954</v>
      </c>
      <c r="X366" s="258">
        <f t="shared" si="239"/>
        <v>41191680</v>
      </c>
      <c r="Y366" s="258">
        <f t="shared" si="240"/>
        <v>9478656</v>
      </c>
      <c r="Z366" s="258">
        <f t="shared" si="241"/>
        <v>50670336</v>
      </c>
      <c r="AA366" s="256">
        <f t="array" ref="AA366">MAX((IF(MNU_CODIGO_ALIMENTO_ENTREGA=CONCATENATE($C366,"_","P_"),MNU_GRAMAJE_REQUERIDO_TIPOM,"")))</f>
        <v>40</v>
      </c>
      <c r="AB366" s="259">
        <f t="shared" si="242"/>
        <v>4811</v>
      </c>
      <c r="AC366" s="259">
        <v>0</v>
      </c>
      <c r="AD366" s="259">
        <f t="shared" si="243"/>
        <v>4811</v>
      </c>
      <c r="AE366" s="260">
        <f t="shared" si="244"/>
        <v>1231616</v>
      </c>
      <c r="AF366" s="260">
        <v>0</v>
      </c>
      <c r="AG366" s="260">
        <f t="shared" si="245"/>
        <v>1231616</v>
      </c>
      <c r="AH366" s="348">
        <f t="array" ref="AH366">MAX((IF(MNU_CODIGO_ALIMENTO_ENTREGA=CONCATENATE($C366,"_","P_"),MNU_GRAMAJE_REQUERIDO_TIPOH,"")))</f>
        <v>60</v>
      </c>
      <c r="AI366" s="257">
        <f t="shared" si="246"/>
        <v>4709</v>
      </c>
      <c r="AJ366" s="257">
        <v>0</v>
      </c>
      <c r="AK366" s="257">
        <f t="shared" si="247"/>
        <v>4709</v>
      </c>
      <c r="AL366" s="258">
        <f t="shared" si="248"/>
        <v>1808256</v>
      </c>
      <c r="AM366" s="258">
        <v>0</v>
      </c>
      <c r="AN366" s="258">
        <f t="shared" si="249"/>
        <v>1808256</v>
      </c>
      <c r="AO366" s="451">
        <f t="shared" si="250"/>
        <v>335049</v>
      </c>
      <c r="AP366" s="450">
        <f t="shared" si="251"/>
        <v>103265408</v>
      </c>
      <c r="AQ366" s="261" t="e">
        <f>#REF!+AH366+AA366+T366+M366</f>
        <v>#REF!</v>
      </c>
      <c r="AR366" s="261">
        <f t="shared" si="210"/>
        <v>103483059</v>
      </c>
      <c r="AS366" s="261" t="e">
        <f t="shared" si="211"/>
        <v>#REF!</v>
      </c>
      <c r="AT366" s="261">
        <f t="shared" si="212"/>
        <v>103728562</v>
      </c>
      <c r="AU366" s="261" t="e">
        <f t="shared" si="213"/>
        <v>#REF!</v>
      </c>
      <c r="AV366" s="261">
        <f t="shared" si="214"/>
        <v>114018226</v>
      </c>
      <c r="AW366" s="261" t="e">
        <f t="shared" si="215"/>
        <v>#REF!</v>
      </c>
      <c r="AX366" s="261" t="e">
        <f>AV366+#REF!+AH366+AA366+T366</f>
        <v>#REF!</v>
      </c>
      <c r="AY366" s="261" t="e">
        <f t="shared" si="216"/>
        <v>#REF!</v>
      </c>
      <c r="AZ366" s="261" t="e">
        <f t="shared" si="217"/>
        <v>#REF!</v>
      </c>
      <c r="BA366" s="261" t="e">
        <f t="shared" si="218"/>
        <v>#REF!</v>
      </c>
      <c r="BB366" s="261" t="e">
        <f t="shared" si="219"/>
        <v>#REF!</v>
      </c>
      <c r="BC366" s="261" t="e">
        <f t="shared" si="220"/>
        <v>#REF!</v>
      </c>
      <c r="BD366" s="261" t="e">
        <f t="shared" si="221"/>
        <v>#REF!</v>
      </c>
      <c r="BE366" s="261" t="e">
        <f>BC366+AV366+#REF!+AH366+AA366</f>
        <v>#REF!</v>
      </c>
      <c r="BF366" s="261" t="e">
        <f t="shared" si="222"/>
        <v>#REF!</v>
      </c>
      <c r="BG366" s="261" t="e">
        <f t="shared" si="223"/>
        <v>#REF!</v>
      </c>
    </row>
    <row r="367" spans="1:59" ht="15.75">
      <c r="A367" s="333">
        <v>30</v>
      </c>
      <c r="B367" s="333" t="s">
        <v>1607</v>
      </c>
      <c r="C367" s="256">
        <v>26</v>
      </c>
      <c r="D367" s="322" t="s">
        <v>69</v>
      </c>
      <c r="E367" s="256" t="s">
        <v>9</v>
      </c>
      <c r="F367" s="425">
        <f t="array" ref="F367">MAX((IF(MNU_CODIGO_ALIMENTO_ENTREGA=CONCATENATE($C367,"_","P_"),MNU_GRAMAJE_REQUERIDO_TIPOA,"")))</f>
        <v>30</v>
      </c>
      <c r="G367" s="257">
        <f t="shared" si="224"/>
        <v>29244</v>
      </c>
      <c r="H367" s="257">
        <f t="shared" si="225"/>
        <v>0</v>
      </c>
      <c r="I367" s="257">
        <f t="shared" si="226"/>
        <v>29244</v>
      </c>
      <c r="J367" s="258">
        <f t="shared" si="227"/>
        <v>5000724</v>
      </c>
      <c r="K367" s="258">
        <f t="shared" si="228"/>
        <v>0</v>
      </c>
      <c r="L367" s="258">
        <f t="shared" si="229"/>
        <v>5000724</v>
      </c>
      <c r="M367" s="426">
        <f t="array" ref="M367">MAX((IF(MNU_CODIGO_ALIMENTO_ENTREGA=CONCATENATE($C367,"_","P_"),MNU_GRAMAJE_REQUERIDO_TIPOB,"")))</f>
        <v>30</v>
      </c>
      <c r="N367" s="343">
        <f t="shared" si="230"/>
        <v>35598</v>
      </c>
      <c r="O367" s="343">
        <f t="shared" si="231"/>
        <v>0</v>
      </c>
      <c r="P367" s="343">
        <f t="shared" si="232"/>
        <v>35598</v>
      </c>
      <c r="Q367" s="344">
        <f t="shared" si="233"/>
        <v>6087258</v>
      </c>
      <c r="R367" s="344">
        <f t="shared" si="234"/>
        <v>0</v>
      </c>
      <c r="S367" s="344">
        <f t="shared" si="235"/>
        <v>6087258</v>
      </c>
      <c r="T367" s="348">
        <f t="array" ref="T367">MAX((IF(MNU_CODIGO_ALIMENTO_ENTREGA=CONCATENATE($C367,"_","P_"),MNU_GRAMAJE_REQUERIDO_TIPOC,"")))</f>
        <v>30</v>
      </c>
      <c r="U367" s="257">
        <f t="shared" si="236"/>
        <v>37860</v>
      </c>
      <c r="V367" s="257">
        <f t="shared" si="237"/>
        <v>0</v>
      </c>
      <c r="W367" s="257">
        <f t="shared" si="238"/>
        <v>37860</v>
      </c>
      <c r="X367" s="258">
        <f t="shared" si="239"/>
        <v>6474060</v>
      </c>
      <c r="Y367" s="258">
        <f t="shared" si="240"/>
        <v>0</v>
      </c>
      <c r="Z367" s="258">
        <f t="shared" si="241"/>
        <v>6474060</v>
      </c>
      <c r="AA367" s="256">
        <f t="array" ref="AA367">MAX((IF(MNU_CODIGO_ALIMENTO_ENTREGA=CONCATENATE($C367,"_","P_"),MNU_GRAMAJE_REQUERIDO_TIPOM,"")))</f>
        <v>30</v>
      </c>
      <c r="AB367" s="259">
        <f t="shared" si="242"/>
        <v>1698</v>
      </c>
      <c r="AC367" s="259">
        <v>0</v>
      </c>
      <c r="AD367" s="259">
        <f t="shared" si="243"/>
        <v>1698</v>
      </c>
      <c r="AE367" s="260">
        <f t="shared" si="244"/>
        <v>290358</v>
      </c>
      <c r="AF367" s="260">
        <v>0</v>
      </c>
      <c r="AG367" s="260">
        <f t="shared" si="245"/>
        <v>290358</v>
      </c>
      <c r="AH367" s="348">
        <f t="array" ref="AH367">MAX((IF(MNU_CODIGO_ALIMENTO_ENTREGA=CONCATENATE($C367,"_","P_"),MNU_GRAMAJE_REQUERIDO_TIPOH,"")))</f>
        <v>30</v>
      </c>
      <c r="AI367" s="257">
        <f t="shared" si="246"/>
        <v>1662</v>
      </c>
      <c r="AJ367" s="257">
        <v>0</v>
      </c>
      <c r="AK367" s="257">
        <f t="shared" si="247"/>
        <v>1662</v>
      </c>
      <c r="AL367" s="258">
        <f t="shared" si="248"/>
        <v>284202</v>
      </c>
      <c r="AM367" s="258">
        <v>0</v>
      </c>
      <c r="AN367" s="258">
        <f t="shared" si="249"/>
        <v>284202</v>
      </c>
      <c r="AO367" s="451">
        <f t="shared" si="250"/>
        <v>106062</v>
      </c>
      <c r="AP367" s="450">
        <f t="shared" si="251"/>
        <v>18136602</v>
      </c>
      <c r="AQ367" s="261" t="e">
        <f>#REF!+AH367+AA367+T367+M367</f>
        <v>#REF!</v>
      </c>
      <c r="AR367" s="261">
        <f t="shared" ref="AR367:AR403" si="252">AP367+AI367+AB367+U367+N367</f>
        <v>18213420</v>
      </c>
      <c r="AS367" s="261" t="e">
        <f t="shared" ref="AS367:AS403" si="253">AQ367+AJ367+AC367+V367+O367</f>
        <v>#REF!</v>
      </c>
      <c r="AT367" s="261">
        <f t="shared" ref="AT367:AT403" si="254">AR367+AK367+AD367+W367+P367</f>
        <v>18290238</v>
      </c>
      <c r="AU367" s="261" t="e">
        <f t="shared" ref="AU367:AU403" si="255">AS367+AL367+AE367+X367+Q367</f>
        <v>#REF!</v>
      </c>
      <c r="AV367" s="261">
        <f t="shared" ref="AV367:AV403" si="256">AT367+AM367+AF367+Y367+R367</f>
        <v>18290238</v>
      </c>
      <c r="AW367" s="261" t="e">
        <f t="shared" ref="AW367:AW403" si="257">AU367+AN367+AG367+Z367+S367</f>
        <v>#REF!</v>
      </c>
      <c r="AX367" s="261" t="e">
        <f>AV367+#REF!+AH367+AA367+T367</f>
        <v>#REF!</v>
      </c>
      <c r="AY367" s="261" t="e">
        <f t="shared" ref="AY367:AY403" si="258">AW367+AP367+AI367+AB367+U367</f>
        <v>#REF!</v>
      </c>
      <c r="AZ367" s="261" t="e">
        <f t="shared" ref="AZ367:AZ403" si="259">AX367+AQ367+AJ367+AC367+V367</f>
        <v>#REF!</v>
      </c>
      <c r="BA367" s="261" t="e">
        <f t="shared" ref="BA367:BA403" si="260">AY367+AR367+AK367+AD367+W367</f>
        <v>#REF!</v>
      </c>
      <c r="BB367" s="261" t="e">
        <f t="shared" ref="BB367:BB403" si="261">AZ367+AS367+AL367+AE367+X367</f>
        <v>#REF!</v>
      </c>
      <c r="BC367" s="261" t="e">
        <f t="shared" ref="BC367:BC403" si="262">BA367+AT367+AM367+AF367+Y367</f>
        <v>#REF!</v>
      </c>
      <c r="BD367" s="261" t="e">
        <f t="shared" ref="BD367:BD403" si="263">BB367+AU367+AN367+AG367+Z367</f>
        <v>#REF!</v>
      </c>
      <c r="BE367" s="261" t="e">
        <f>BC367+AV367+#REF!+AH367+AA367</f>
        <v>#REF!</v>
      </c>
      <c r="BF367" s="261" t="e">
        <f t="shared" ref="BF367:BF403" si="264">BD367+AW367+AP367+AI367+AB367</f>
        <v>#REF!</v>
      </c>
      <c r="BG367" s="261" t="e">
        <f t="shared" ref="BG367:BG403" si="265">BE367+AX367+AQ367+AJ367+AC367</f>
        <v>#REF!</v>
      </c>
    </row>
    <row r="368" spans="1:59" ht="27">
      <c r="A368" s="333">
        <v>30</v>
      </c>
      <c r="B368" s="333" t="s">
        <v>1607</v>
      </c>
      <c r="C368" s="256">
        <v>28</v>
      </c>
      <c r="D368" s="322" t="s">
        <v>67</v>
      </c>
      <c r="E368" s="256" t="s">
        <v>9</v>
      </c>
      <c r="F368" s="425">
        <f t="array" ref="F368">MAX((IF(MNU_CODIGO_ALIMENTO_ENTREGA=CONCATENATE($C368,"_","P_"),MNU_GRAMAJE_REQUERIDO_TIPOA,"")))</f>
        <v>30</v>
      </c>
      <c r="G368" s="257">
        <f t="shared" si="224"/>
        <v>29244</v>
      </c>
      <c r="H368" s="257">
        <f t="shared" si="225"/>
        <v>5776</v>
      </c>
      <c r="I368" s="257">
        <f t="shared" si="226"/>
        <v>35020</v>
      </c>
      <c r="J368" s="258">
        <f t="shared" si="227"/>
        <v>6609144</v>
      </c>
      <c r="K368" s="258">
        <f t="shared" si="228"/>
        <v>1305376</v>
      </c>
      <c r="L368" s="258">
        <f t="shared" si="229"/>
        <v>7914520</v>
      </c>
      <c r="M368" s="426">
        <f t="array" ref="M368">MAX((IF(MNU_CODIGO_ALIMENTO_ENTREGA=CONCATENATE($C368,"_","P_"),MNU_GRAMAJE_REQUERIDO_TIPOB,"")))</f>
        <v>40</v>
      </c>
      <c r="N368" s="343">
        <f t="shared" si="230"/>
        <v>35598</v>
      </c>
      <c r="O368" s="343">
        <f t="shared" si="231"/>
        <v>2736</v>
      </c>
      <c r="P368" s="343">
        <f t="shared" si="232"/>
        <v>38334</v>
      </c>
      <c r="Q368" s="344">
        <f t="shared" si="233"/>
        <v>10714998</v>
      </c>
      <c r="R368" s="344">
        <f t="shared" si="234"/>
        <v>823536</v>
      </c>
      <c r="S368" s="344">
        <f t="shared" si="235"/>
        <v>11538534</v>
      </c>
      <c r="T368" s="348">
        <f t="array" ref="T368">MAX((IF(MNU_CODIGO_ALIMENTO_ENTREGA=CONCATENATE($C368,"_","P_"),MNU_GRAMAJE_REQUERIDO_TIPOC,"")))</f>
        <v>60</v>
      </c>
      <c r="U368" s="257">
        <f t="shared" si="236"/>
        <v>37860</v>
      </c>
      <c r="V368" s="257">
        <f t="shared" si="237"/>
        <v>21318</v>
      </c>
      <c r="W368" s="257">
        <f t="shared" si="238"/>
        <v>59178</v>
      </c>
      <c r="X368" s="258">
        <f t="shared" si="239"/>
        <v>17074860</v>
      </c>
      <c r="Y368" s="258">
        <f t="shared" si="240"/>
        <v>9614418</v>
      </c>
      <c r="Z368" s="258">
        <f t="shared" si="241"/>
        <v>26689278</v>
      </c>
      <c r="AA368" s="256">
        <f t="array" ref="AA368">MAX((IF(MNU_CODIGO_ALIMENTO_ENTREGA=CONCATENATE($C368,"_","P_"),MNU_GRAMAJE_REQUERIDO_TIPOM,"")))</f>
        <v>40</v>
      </c>
      <c r="AB368" s="259">
        <f t="shared" si="242"/>
        <v>1698</v>
      </c>
      <c r="AC368" s="259">
        <v>0</v>
      </c>
      <c r="AD368" s="259">
        <f t="shared" si="243"/>
        <v>1698</v>
      </c>
      <c r="AE368" s="260">
        <f t="shared" si="244"/>
        <v>511098</v>
      </c>
      <c r="AF368" s="260">
        <v>0</v>
      </c>
      <c r="AG368" s="260">
        <f t="shared" si="245"/>
        <v>511098</v>
      </c>
      <c r="AH368" s="348">
        <f t="array" ref="AH368">MAX((IF(MNU_CODIGO_ALIMENTO_ENTREGA=CONCATENATE($C368,"_","P_"),MNU_GRAMAJE_REQUERIDO_TIPOH,"")))</f>
        <v>60</v>
      </c>
      <c r="AI368" s="257">
        <f t="shared" si="246"/>
        <v>1662</v>
      </c>
      <c r="AJ368" s="257">
        <v>0</v>
      </c>
      <c r="AK368" s="257">
        <f t="shared" si="247"/>
        <v>1662</v>
      </c>
      <c r="AL368" s="258">
        <f t="shared" si="248"/>
        <v>749562</v>
      </c>
      <c r="AM368" s="258">
        <v>0</v>
      </c>
      <c r="AN368" s="258">
        <f t="shared" si="249"/>
        <v>749562</v>
      </c>
      <c r="AO368" s="451">
        <f t="shared" si="250"/>
        <v>135892</v>
      </c>
      <c r="AP368" s="450">
        <f t="shared" si="251"/>
        <v>47402992</v>
      </c>
      <c r="AQ368" s="261" t="e">
        <f>#REF!+AH368+AA368+T368+M368</f>
        <v>#REF!</v>
      </c>
      <c r="AR368" s="261">
        <f t="shared" si="252"/>
        <v>47479810</v>
      </c>
      <c r="AS368" s="261" t="e">
        <f t="shared" si="253"/>
        <v>#REF!</v>
      </c>
      <c r="AT368" s="261">
        <f t="shared" si="254"/>
        <v>47580682</v>
      </c>
      <c r="AU368" s="261" t="e">
        <f t="shared" si="255"/>
        <v>#REF!</v>
      </c>
      <c r="AV368" s="261">
        <f t="shared" si="256"/>
        <v>58018636</v>
      </c>
      <c r="AW368" s="261" t="e">
        <f t="shared" si="257"/>
        <v>#REF!</v>
      </c>
      <c r="AX368" s="261" t="e">
        <f>AV368+#REF!+AH368+AA368+T368</f>
        <v>#REF!</v>
      </c>
      <c r="AY368" s="261" t="e">
        <f t="shared" si="258"/>
        <v>#REF!</v>
      </c>
      <c r="AZ368" s="261" t="e">
        <f t="shared" si="259"/>
        <v>#REF!</v>
      </c>
      <c r="BA368" s="261" t="e">
        <f t="shared" si="260"/>
        <v>#REF!</v>
      </c>
      <c r="BB368" s="261" t="e">
        <f t="shared" si="261"/>
        <v>#REF!</v>
      </c>
      <c r="BC368" s="261" t="e">
        <f t="shared" si="262"/>
        <v>#REF!</v>
      </c>
      <c r="BD368" s="261" t="e">
        <f t="shared" si="263"/>
        <v>#REF!</v>
      </c>
      <c r="BE368" s="261" t="e">
        <f>BC368+AV368+#REF!+AH368+AA368</f>
        <v>#REF!</v>
      </c>
      <c r="BF368" s="261" t="e">
        <f t="shared" si="264"/>
        <v>#REF!</v>
      </c>
      <c r="BG368" s="261" t="e">
        <f t="shared" si="265"/>
        <v>#REF!</v>
      </c>
    </row>
    <row r="369" spans="1:59" ht="15.75">
      <c r="A369" s="333">
        <v>30</v>
      </c>
      <c r="B369" s="333" t="s">
        <v>1607</v>
      </c>
      <c r="C369" s="256">
        <v>30</v>
      </c>
      <c r="D369" s="322" t="s">
        <v>63</v>
      </c>
      <c r="E369" s="256" t="s">
        <v>9</v>
      </c>
      <c r="F369" s="425">
        <f t="array" ref="F369">MAX((IF(MNU_CODIGO_ALIMENTO_ENTREGA=CONCATENATE($C369,"_","P_"),MNU_GRAMAJE_REQUERIDO_TIPOA,"")))</f>
        <v>30</v>
      </c>
      <c r="G369" s="257">
        <f t="shared" si="224"/>
        <v>77984</v>
      </c>
      <c r="H369" s="257">
        <f t="shared" si="225"/>
        <v>0</v>
      </c>
      <c r="I369" s="257">
        <f t="shared" si="226"/>
        <v>77984</v>
      </c>
      <c r="J369" s="258">
        <f t="shared" si="227"/>
        <v>25890688</v>
      </c>
      <c r="K369" s="258">
        <f t="shared" si="228"/>
        <v>0</v>
      </c>
      <c r="L369" s="258">
        <f t="shared" si="229"/>
        <v>25890688</v>
      </c>
      <c r="M369" s="426">
        <f t="array" ref="M369">MAX((IF(MNU_CODIGO_ALIMENTO_ENTREGA=CONCATENATE($C369,"_","P_"),MNU_GRAMAJE_REQUERIDO_TIPOB,"")))</f>
        <v>30</v>
      </c>
      <c r="N369" s="343">
        <f t="shared" si="230"/>
        <v>94928</v>
      </c>
      <c r="O369" s="343">
        <f t="shared" si="231"/>
        <v>0</v>
      </c>
      <c r="P369" s="343">
        <f t="shared" si="232"/>
        <v>94928</v>
      </c>
      <c r="Q369" s="344">
        <f t="shared" si="233"/>
        <v>31516096</v>
      </c>
      <c r="R369" s="344">
        <f t="shared" si="234"/>
        <v>0</v>
      </c>
      <c r="S369" s="344">
        <f t="shared" si="235"/>
        <v>31516096</v>
      </c>
      <c r="T369" s="348">
        <f t="array" ref="T369">MAX((IF(MNU_CODIGO_ALIMENTO_ENTREGA=CONCATENATE($C369,"_","P_"),MNU_GRAMAJE_REQUERIDO_TIPOC,"")))</f>
        <v>30</v>
      </c>
      <c r="U369" s="257">
        <f t="shared" si="236"/>
        <v>100960</v>
      </c>
      <c r="V369" s="257">
        <f t="shared" si="237"/>
        <v>0</v>
      </c>
      <c r="W369" s="257">
        <f t="shared" si="238"/>
        <v>100960</v>
      </c>
      <c r="X369" s="258">
        <f t="shared" si="239"/>
        <v>33518720</v>
      </c>
      <c r="Y369" s="258">
        <f t="shared" si="240"/>
        <v>0</v>
      </c>
      <c r="Z369" s="258">
        <f t="shared" si="241"/>
        <v>33518720</v>
      </c>
      <c r="AA369" s="256">
        <f t="array" ref="AA369">MAX((IF(MNU_CODIGO_ALIMENTO_ENTREGA=CONCATENATE($C369,"_","P_"),MNU_GRAMAJE_REQUERIDO_TIPOM,"")))</f>
        <v>30</v>
      </c>
      <c r="AB369" s="259">
        <f t="shared" si="242"/>
        <v>4528</v>
      </c>
      <c r="AC369" s="259">
        <v>0</v>
      </c>
      <c r="AD369" s="259">
        <f t="shared" si="243"/>
        <v>4528</v>
      </c>
      <c r="AE369" s="260">
        <f t="shared" si="244"/>
        <v>1503296</v>
      </c>
      <c r="AF369" s="260">
        <v>0</v>
      </c>
      <c r="AG369" s="260">
        <f t="shared" si="245"/>
        <v>1503296</v>
      </c>
      <c r="AH369" s="348">
        <f t="array" ref="AH369">MAX((IF(MNU_CODIGO_ALIMENTO_ENTREGA=CONCATENATE($C369,"_","P_"),MNU_GRAMAJE_REQUERIDO_TIPOH,"")))</f>
        <v>30</v>
      </c>
      <c r="AI369" s="257">
        <f t="shared" si="246"/>
        <v>4432</v>
      </c>
      <c r="AJ369" s="257">
        <v>0</v>
      </c>
      <c r="AK369" s="257">
        <f t="shared" si="247"/>
        <v>4432</v>
      </c>
      <c r="AL369" s="258">
        <f t="shared" si="248"/>
        <v>1471424</v>
      </c>
      <c r="AM369" s="258">
        <v>0</v>
      </c>
      <c r="AN369" s="258">
        <f t="shared" si="249"/>
        <v>1471424</v>
      </c>
      <c r="AO369" s="451">
        <f t="shared" si="250"/>
        <v>282832</v>
      </c>
      <c r="AP369" s="450">
        <f t="shared" si="251"/>
        <v>93900224</v>
      </c>
      <c r="AQ369" s="261" t="e">
        <f>#REF!+AH369+AA369+T369+M369</f>
        <v>#REF!</v>
      </c>
      <c r="AR369" s="261">
        <f t="shared" si="252"/>
        <v>94105072</v>
      </c>
      <c r="AS369" s="261" t="e">
        <f t="shared" si="253"/>
        <v>#REF!</v>
      </c>
      <c r="AT369" s="261">
        <f t="shared" si="254"/>
        <v>94309920</v>
      </c>
      <c r="AU369" s="261" t="e">
        <f t="shared" si="255"/>
        <v>#REF!</v>
      </c>
      <c r="AV369" s="261">
        <f t="shared" si="256"/>
        <v>94309920</v>
      </c>
      <c r="AW369" s="261" t="e">
        <f t="shared" si="257"/>
        <v>#REF!</v>
      </c>
      <c r="AX369" s="261" t="e">
        <f>AV369+#REF!+AH369+AA369+T369</f>
        <v>#REF!</v>
      </c>
      <c r="AY369" s="261" t="e">
        <f t="shared" si="258"/>
        <v>#REF!</v>
      </c>
      <c r="AZ369" s="261" t="e">
        <f t="shared" si="259"/>
        <v>#REF!</v>
      </c>
      <c r="BA369" s="261" t="e">
        <f t="shared" si="260"/>
        <v>#REF!</v>
      </c>
      <c r="BB369" s="261" t="e">
        <f t="shared" si="261"/>
        <v>#REF!</v>
      </c>
      <c r="BC369" s="261" t="e">
        <f t="shared" si="262"/>
        <v>#REF!</v>
      </c>
      <c r="BD369" s="261" t="e">
        <f t="shared" si="263"/>
        <v>#REF!</v>
      </c>
      <c r="BE369" s="261" t="e">
        <f>BC369+AV369+#REF!+AH369+AA369</f>
        <v>#REF!</v>
      </c>
      <c r="BF369" s="261" t="e">
        <f t="shared" si="264"/>
        <v>#REF!</v>
      </c>
      <c r="BG369" s="261" t="e">
        <f t="shared" si="265"/>
        <v>#REF!</v>
      </c>
    </row>
    <row r="370" spans="1:59" ht="15.75">
      <c r="A370" s="333">
        <v>30</v>
      </c>
      <c r="B370" s="333" t="s">
        <v>1607</v>
      </c>
      <c r="C370" s="256">
        <v>45</v>
      </c>
      <c r="D370" s="322" t="s">
        <v>10</v>
      </c>
      <c r="E370" s="256" t="s">
        <v>9</v>
      </c>
      <c r="F370" s="425">
        <f t="array" ref="F370">MAX((IF(MNU_CODIGO_ALIMENTO_ENTREGA=CONCATENATE($C370,"_","P_"),MNU_GRAMAJE_REQUERIDO_TIPOA,"")))</f>
        <v>20</v>
      </c>
      <c r="G370" s="257">
        <f t="shared" ref="G370:G403" si="266">SUMIF(COSTPE_G_ALIMENTO_GRUPO,CONCATENATE($C370,"_",$A370),COSTPE_G_VOLUMEN_TOTAL_TIPOA)</f>
        <v>77984</v>
      </c>
      <c r="H370" s="257">
        <f t="shared" ref="H370:H403" si="267">SUMIF(COSTSE_G_ALIMENTO_GRUPO,CONCATENATE($C370,"_",$A370),COSTSE_G_VOLUMEN_TOTAL_TIPOA)</f>
        <v>6080</v>
      </c>
      <c r="I370" s="257">
        <f t="shared" ref="I370:I403" si="268">G370+H370</f>
        <v>84064</v>
      </c>
      <c r="J370" s="258">
        <f t="shared" ref="J370:J403" si="269">SUMIF(COSTPE_G_ALIMENTO_GRUPO,CONCATENATE($C370,"_",$A370),COSTPE_G_VALOR_TOTAL_TIPOA)</f>
        <v>15518816</v>
      </c>
      <c r="K370" s="258">
        <f t="shared" ref="K370:K403" si="270">SUMIF(COSTSE_G_ALIMENTO_GRUPO,CONCATENATE($C370,"_",$A370),COSTSE_G_VALOR_TOTAL_TIPOA)</f>
        <v>1209920</v>
      </c>
      <c r="L370" s="258">
        <f t="shared" ref="L370:L403" si="271">J370+K370</f>
        <v>16728736</v>
      </c>
      <c r="M370" s="426">
        <f t="array" ref="M370">MAX((IF(MNU_CODIGO_ALIMENTO_ENTREGA=CONCATENATE($C370,"_","P_"),MNU_GRAMAJE_REQUERIDO_TIPOB,"")))</f>
        <v>30</v>
      </c>
      <c r="N370" s="343">
        <f t="shared" ref="N370:N403" si="272">SUMIF(COSTPE_G_ALIMENTO_GRUPO,CONCATENATE($C370,"_",$A370),COSTPE_G_VOLUMEN_TOTAL_TIPOB)</f>
        <v>94928</v>
      </c>
      <c r="O370" s="343">
        <f t="shared" ref="O370:O403" si="273">SUMIF(COSTSE_G_ALIMENTO_GRUPO,CONCATENATE($C370,"_",$A370),COSTSE_G_VOLUMEN_TOTAL_TIPOB)</f>
        <v>2880</v>
      </c>
      <c r="P370" s="343">
        <f t="shared" ref="P370:P403" si="274">N370+O370</f>
        <v>97808</v>
      </c>
      <c r="Q370" s="344">
        <f t="shared" ref="Q370:Q403" si="275">SUMIF(COSTPE_G_ALIMENTO_GRUPO,CONCATENATE($C370,"_",$A370),COSTPE_G_VALOR_TOTAL_TIPOB)</f>
        <v>28288544</v>
      </c>
      <c r="R370" s="344">
        <f t="shared" ref="R370:R403" si="276">SUMIF(COSTSE_G_ALIMENTO_GRUPO,CONCATENATE($C370,"_",$A370),COSTSE_G_VALOR_TOTAL_TIPOB)</f>
        <v>858240</v>
      </c>
      <c r="S370" s="344">
        <f t="shared" ref="S370:S403" si="277">Q370+R370</f>
        <v>29146784</v>
      </c>
      <c r="T370" s="348">
        <f t="array" ref="T370">MAX((IF(MNU_CODIGO_ALIMENTO_ENTREGA=CONCATENATE($C370,"_","P_"),MNU_GRAMAJE_REQUERIDO_TIPOC,"")))</f>
        <v>60</v>
      </c>
      <c r="U370" s="257">
        <f t="shared" ref="U370:U403" si="278">SUMIF(COSTPE_G_ALIMENTO_GRUPO,CONCATENATE($C370,"_",$A370),COSTPE_G_VOLUMEN_TOTAL_TIPOC)</f>
        <v>100960</v>
      </c>
      <c r="V370" s="257">
        <f t="shared" ref="V370:V403" si="279">SUMIF(COSTSE_G_ALIMENTO_GRUPO,CONCATENATE($C370,"_",$A370),COSTSE_G_VOLUMEN_TOTAL_TIPOC)</f>
        <v>22440</v>
      </c>
      <c r="W370" s="257">
        <f t="shared" ref="W370:W403" si="280">U370+V370</f>
        <v>123400</v>
      </c>
      <c r="X370" s="258">
        <f t="shared" ref="X370:X403" si="281">SUMIF(COSTPE_G_ALIMENTO_GRUPO,CONCATENATE($C370,"_",$A370),COSTPE_G_VALOR_TOTAL_TIPOC)</f>
        <v>60273120</v>
      </c>
      <c r="Y370" s="258">
        <f t="shared" ref="Y370:Y403" si="282">SUMIF(COSTSE_G_ALIMENTO_GRUPO,CONCATENATE($C370,"_",$A370),COSTSE_G_VALOR_TOTAL_TIPOC)</f>
        <v>13396680</v>
      </c>
      <c r="Z370" s="258">
        <f t="shared" ref="Z370:Z403" si="283">X370+Y370</f>
        <v>73669800</v>
      </c>
      <c r="AA370" s="256">
        <f t="array" ref="AA370">MAX((IF(MNU_CODIGO_ALIMENTO_ENTREGA=CONCATENATE($C370,"_","P_"),MNU_GRAMAJE_REQUERIDO_TIPOM,"")))</f>
        <v>30</v>
      </c>
      <c r="AB370" s="259">
        <f t="shared" ref="AB370:AB403" si="284">SUMIF(COSTPE_G_ALIMENTO_GRUPO,CONCATENATE($C370,"_",$A370),COSTPE_G_VOLUMEN_TOTAL_TIPOM)</f>
        <v>4528</v>
      </c>
      <c r="AC370" s="259">
        <v>0</v>
      </c>
      <c r="AD370" s="259">
        <f t="shared" ref="AD370:AD403" si="285">AB370+AC370</f>
        <v>4528</v>
      </c>
      <c r="AE370" s="260">
        <f t="shared" ref="AE370:AE403" si="286">SUMIF(COSTPE_G_ALIMENTO_GRUPO,CONCATENATE($C370,"_",$A370),COSTPE_G_VALOR_TOTAL_TIPOM)</f>
        <v>1349344</v>
      </c>
      <c r="AF370" s="260">
        <v>0</v>
      </c>
      <c r="AG370" s="260">
        <f t="shared" ref="AG370:AG403" si="287">AE370+AF370</f>
        <v>1349344</v>
      </c>
      <c r="AH370" s="348">
        <f t="array" ref="AH370">MAX((IF(MNU_CODIGO_ALIMENTO_ENTREGA=CONCATENATE($C370,"_","P_"),MNU_GRAMAJE_REQUERIDO_TIPOH,"")))</f>
        <v>60</v>
      </c>
      <c r="AI370" s="257">
        <f t="shared" ref="AI370:AI403" si="288">SUMIF(COSTPE_G_ALIMENTO_GRUPO,CONCATENATE($C370,"_",$A370),COSTPE_G_VOLUMEN_TOTAL_TIPOH)</f>
        <v>4432</v>
      </c>
      <c r="AJ370" s="257">
        <v>0</v>
      </c>
      <c r="AK370" s="257">
        <f t="shared" ref="AK370:AK403" si="289">AI370+AJ370</f>
        <v>4432</v>
      </c>
      <c r="AL370" s="258">
        <f t="shared" ref="AL370:AL403" si="290">SUMIF(COSTPE_G_ALIMENTO_GRUPO,CONCATENATE($C370,"_",$A370),COSTPE_G_VALOR_TOTAL_TIPOH)</f>
        <v>2645904</v>
      </c>
      <c r="AM370" s="258">
        <v>0</v>
      </c>
      <c r="AN370" s="258">
        <f t="shared" ref="AN370:AN403" si="291">AL370+AM370</f>
        <v>2645904</v>
      </c>
      <c r="AO370" s="451">
        <f t="shared" ref="AO370:AO403" si="292">AK370+AD370+W370+P370+I370</f>
        <v>314232</v>
      </c>
      <c r="AP370" s="450">
        <f t="shared" ref="AP370:AP403" si="293">AN370+AG370+Z370+S370+L370</f>
        <v>123540568</v>
      </c>
      <c r="AQ370" s="261" t="e">
        <f>#REF!+AH370+AA370+T370+M370</f>
        <v>#REF!</v>
      </c>
      <c r="AR370" s="261">
        <f t="shared" si="252"/>
        <v>123745416</v>
      </c>
      <c r="AS370" s="261" t="e">
        <f t="shared" si="253"/>
        <v>#REF!</v>
      </c>
      <c r="AT370" s="261">
        <f t="shared" si="254"/>
        <v>123975584</v>
      </c>
      <c r="AU370" s="261" t="e">
        <f t="shared" si="255"/>
        <v>#REF!</v>
      </c>
      <c r="AV370" s="261">
        <f t="shared" si="256"/>
        <v>138230504</v>
      </c>
      <c r="AW370" s="261" t="e">
        <f t="shared" si="257"/>
        <v>#REF!</v>
      </c>
      <c r="AX370" s="261" t="e">
        <f>AV370+#REF!+AH370+AA370+T370</f>
        <v>#REF!</v>
      </c>
      <c r="AY370" s="261" t="e">
        <f t="shared" si="258"/>
        <v>#REF!</v>
      </c>
      <c r="AZ370" s="261" t="e">
        <f t="shared" si="259"/>
        <v>#REF!</v>
      </c>
      <c r="BA370" s="261" t="e">
        <f t="shared" si="260"/>
        <v>#REF!</v>
      </c>
      <c r="BB370" s="261" t="e">
        <f t="shared" si="261"/>
        <v>#REF!</v>
      </c>
      <c r="BC370" s="261" t="e">
        <f t="shared" si="262"/>
        <v>#REF!</v>
      </c>
      <c r="BD370" s="261" t="e">
        <f t="shared" si="263"/>
        <v>#REF!</v>
      </c>
      <c r="BE370" s="261" t="e">
        <f>BC370+AV370+#REF!+AH370+AA370</f>
        <v>#REF!</v>
      </c>
      <c r="BF370" s="261" t="e">
        <f t="shared" si="264"/>
        <v>#REF!</v>
      </c>
      <c r="BG370" s="261" t="e">
        <f t="shared" si="265"/>
        <v>#REF!</v>
      </c>
    </row>
    <row r="371" spans="1:59" ht="15.75">
      <c r="A371" s="333">
        <v>30</v>
      </c>
      <c r="B371" s="333" t="s">
        <v>1607</v>
      </c>
      <c r="C371" s="256">
        <v>50</v>
      </c>
      <c r="D371" s="322" t="s">
        <v>65</v>
      </c>
      <c r="E371" s="256" t="s">
        <v>9</v>
      </c>
      <c r="F371" s="425">
        <f t="array" ref="F371">MAX((IF(MNU_CODIGO_ALIMENTO_ENTREGA=CONCATENATE($C371,"_","P_"),MNU_GRAMAJE_REQUERIDO_TIPOA,"")))</f>
        <v>30</v>
      </c>
      <c r="G371" s="257">
        <f t="shared" si="266"/>
        <v>82858</v>
      </c>
      <c r="H371" s="257">
        <f t="shared" si="267"/>
        <v>0</v>
      </c>
      <c r="I371" s="257">
        <f t="shared" si="268"/>
        <v>82858</v>
      </c>
      <c r="J371" s="258">
        <f t="shared" si="269"/>
        <v>26597418</v>
      </c>
      <c r="K371" s="258">
        <f t="shared" si="270"/>
        <v>0</v>
      </c>
      <c r="L371" s="258">
        <f t="shared" si="271"/>
        <v>26597418</v>
      </c>
      <c r="M371" s="426">
        <f t="array" ref="M371">MAX((IF(MNU_CODIGO_ALIMENTO_ENTREGA=CONCATENATE($C371,"_","P_"),MNU_GRAMAJE_REQUERIDO_TIPOB,"")))</f>
        <v>40</v>
      </c>
      <c r="N371" s="343">
        <f t="shared" si="272"/>
        <v>100861</v>
      </c>
      <c r="O371" s="343">
        <f t="shared" si="273"/>
        <v>0</v>
      </c>
      <c r="P371" s="343">
        <f t="shared" si="274"/>
        <v>100861</v>
      </c>
      <c r="Q371" s="344">
        <f t="shared" si="275"/>
        <v>43168508</v>
      </c>
      <c r="R371" s="344">
        <f t="shared" si="276"/>
        <v>0</v>
      </c>
      <c r="S371" s="344">
        <f t="shared" si="277"/>
        <v>43168508</v>
      </c>
      <c r="T371" s="348">
        <f t="array" ref="T371">MAX((IF(MNU_CODIGO_ALIMENTO_ENTREGA=CONCATENATE($C371,"_","P_"),MNU_GRAMAJE_REQUERIDO_TIPOC,"")))</f>
        <v>80</v>
      </c>
      <c r="U371" s="257">
        <f t="shared" si="278"/>
        <v>107270</v>
      </c>
      <c r="V371" s="257">
        <f t="shared" si="279"/>
        <v>0</v>
      </c>
      <c r="W371" s="257">
        <f t="shared" si="280"/>
        <v>107270</v>
      </c>
      <c r="X371" s="258">
        <f t="shared" si="281"/>
        <v>91715850</v>
      </c>
      <c r="Y371" s="258">
        <f t="shared" si="282"/>
        <v>0</v>
      </c>
      <c r="Z371" s="258">
        <f t="shared" si="283"/>
        <v>91715850</v>
      </c>
      <c r="AA371" s="256">
        <f t="array" ref="AA371">MAX((IF(MNU_CODIGO_ALIMENTO_ENTREGA=CONCATENATE($C371,"_","P_"),MNU_GRAMAJE_REQUERIDO_TIPOM,"")))</f>
        <v>40</v>
      </c>
      <c r="AB371" s="259">
        <f t="shared" si="284"/>
        <v>4811</v>
      </c>
      <c r="AC371" s="259">
        <v>0</v>
      </c>
      <c r="AD371" s="259">
        <f t="shared" si="285"/>
        <v>4811</v>
      </c>
      <c r="AE371" s="260">
        <f t="shared" si="286"/>
        <v>2059108</v>
      </c>
      <c r="AF371" s="260">
        <v>0</v>
      </c>
      <c r="AG371" s="260">
        <f t="shared" si="287"/>
        <v>2059108</v>
      </c>
      <c r="AH371" s="348">
        <f t="array" ref="AH371">MAX((IF(MNU_CODIGO_ALIMENTO_ENTREGA=CONCATENATE($C371,"_","P_"),MNU_GRAMAJE_REQUERIDO_TIPOH,"")))</f>
        <v>80</v>
      </c>
      <c r="AI371" s="257">
        <f t="shared" si="288"/>
        <v>4709</v>
      </c>
      <c r="AJ371" s="257">
        <v>0</v>
      </c>
      <c r="AK371" s="257">
        <f t="shared" si="289"/>
        <v>4709</v>
      </c>
      <c r="AL371" s="258">
        <f t="shared" si="290"/>
        <v>4026195</v>
      </c>
      <c r="AM371" s="258">
        <v>0</v>
      </c>
      <c r="AN371" s="258">
        <f t="shared" si="291"/>
        <v>4026195</v>
      </c>
      <c r="AO371" s="451">
        <f t="shared" si="292"/>
        <v>300509</v>
      </c>
      <c r="AP371" s="450">
        <f t="shared" si="293"/>
        <v>167567079</v>
      </c>
      <c r="AQ371" s="261" t="e">
        <f>#REF!+AH371+AA371+T371+M371</f>
        <v>#REF!</v>
      </c>
      <c r="AR371" s="261">
        <f t="shared" si="252"/>
        <v>167784730</v>
      </c>
      <c r="AS371" s="261" t="e">
        <f t="shared" si="253"/>
        <v>#REF!</v>
      </c>
      <c r="AT371" s="261">
        <f t="shared" si="254"/>
        <v>168002381</v>
      </c>
      <c r="AU371" s="261" t="e">
        <f t="shared" si="255"/>
        <v>#REF!</v>
      </c>
      <c r="AV371" s="261">
        <f t="shared" si="256"/>
        <v>168002381</v>
      </c>
      <c r="AW371" s="261" t="e">
        <f t="shared" si="257"/>
        <v>#REF!</v>
      </c>
      <c r="AX371" s="261" t="e">
        <f>AV371+#REF!+AH371+AA371+T371</f>
        <v>#REF!</v>
      </c>
      <c r="AY371" s="261" t="e">
        <f t="shared" si="258"/>
        <v>#REF!</v>
      </c>
      <c r="AZ371" s="261" t="e">
        <f t="shared" si="259"/>
        <v>#REF!</v>
      </c>
      <c r="BA371" s="261" t="e">
        <f t="shared" si="260"/>
        <v>#REF!</v>
      </c>
      <c r="BB371" s="261" t="e">
        <f t="shared" si="261"/>
        <v>#REF!</v>
      </c>
      <c r="BC371" s="261" t="e">
        <f t="shared" si="262"/>
        <v>#REF!</v>
      </c>
      <c r="BD371" s="261" t="e">
        <f t="shared" si="263"/>
        <v>#REF!</v>
      </c>
      <c r="BE371" s="261" t="e">
        <f>BC371+AV371+#REF!+AH371+AA371</f>
        <v>#REF!</v>
      </c>
      <c r="BF371" s="261" t="e">
        <f t="shared" si="264"/>
        <v>#REF!</v>
      </c>
      <c r="BG371" s="261" t="e">
        <f t="shared" si="265"/>
        <v>#REF!</v>
      </c>
    </row>
    <row r="372" spans="1:59" ht="15.75">
      <c r="A372" s="333">
        <v>30</v>
      </c>
      <c r="B372" s="333" t="s">
        <v>1607</v>
      </c>
      <c r="C372" s="256">
        <v>61</v>
      </c>
      <c r="D372" s="322" t="s">
        <v>13</v>
      </c>
      <c r="E372" s="256" t="s">
        <v>9</v>
      </c>
      <c r="F372" s="425">
        <f t="array" ref="F372">MAX((IF(MNU_CODIGO_ALIMENTO_ENTREGA=CONCATENATE($C372,"_","P_"),MNU_GRAMAJE_REQUERIDO_TIPOA,"")))</f>
        <v>20</v>
      </c>
      <c r="G372" s="257">
        <f t="shared" si="266"/>
        <v>77984</v>
      </c>
      <c r="H372" s="257">
        <f t="shared" si="267"/>
        <v>6080</v>
      </c>
      <c r="I372" s="257">
        <f t="shared" si="268"/>
        <v>84064</v>
      </c>
      <c r="J372" s="258">
        <f t="shared" si="269"/>
        <v>18170272</v>
      </c>
      <c r="K372" s="258">
        <f t="shared" si="270"/>
        <v>1416640</v>
      </c>
      <c r="L372" s="258">
        <f t="shared" si="271"/>
        <v>19586912</v>
      </c>
      <c r="M372" s="426">
        <f t="array" ref="M372">MAX((IF(MNU_CODIGO_ALIMENTO_ENTREGA=CONCATENATE($C372,"_","P_"),MNU_GRAMAJE_REQUERIDO_TIPOB,"")))</f>
        <v>30</v>
      </c>
      <c r="N372" s="343">
        <f t="shared" si="272"/>
        <v>94928</v>
      </c>
      <c r="O372" s="343">
        <f t="shared" si="273"/>
        <v>2880</v>
      </c>
      <c r="P372" s="343">
        <f t="shared" si="274"/>
        <v>97808</v>
      </c>
      <c r="Q372" s="344">
        <f t="shared" si="275"/>
        <v>33319728</v>
      </c>
      <c r="R372" s="344">
        <f t="shared" si="276"/>
        <v>1010880</v>
      </c>
      <c r="S372" s="344">
        <f t="shared" si="277"/>
        <v>34330608</v>
      </c>
      <c r="T372" s="348">
        <f t="array" ref="T372">MAX((IF(MNU_CODIGO_ALIMENTO_ENTREGA=CONCATENATE($C372,"_","P_"),MNU_GRAMAJE_REQUERIDO_TIPOC,"")))</f>
        <v>70</v>
      </c>
      <c r="U372" s="257">
        <f t="shared" si="278"/>
        <v>100960</v>
      </c>
      <c r="V372" s="257">
        <f t="shared" si="279"/>
        <v>22440</v>
      </c>
      <c r="W372" s="257">
        <f t="shared" si="280"/>
        <v>123400</v>
      </c>
      <c r="X372" s="258">
        <f t="shared" si="281"/>
        <v>82585280</v>
      </c>
      <c r="Y372" s="258">
        <f t="shared" si="282"/>
        <v>18355920</v>
      </c>
      <c r="Z372" s="258">
        <f t="shared" si="283"/>
        <v>100941200</v>
      </c>
      <c r="AA372" s="256">
        <f t="array" ref="AA372">MAX((IF(MNU_CODIGO_ALIMENTO_ENTREGA=CONCATENATE($C372,"_","P_"),MNU_GRAMAJE_REQUERIDO_TIPOM,"")))</f>
        <v>30</v>
      </c>
      <c r="AB372" s="259">
        <f t="shared" si="284"/>
        <v>4528</v>
      </c>
      <c r="AC372" s="259">
        <v>0</v>
      </c>
      <c r="AD372" s="259">
        <f t="shared" si="285"/>
        <v>4528</v>
      </c>
      <c r="AE372" s="260">
        <f t="shared" si="286"/>
        <v>1589328</v>
      </c>
      <c r="AF372" s="260">
        <v>0</v>
      </c>
      <c r="AG372" s="260">
        <f t="shared" si="287"/>
        <v>1589328</v>
      </c>
      <c r="AH372" s="348">
        <f t="array" ref="AH372">MAX((IF(MNU_CODIGO_ALIMENTO_ENTREGA=CONCATENATE($C372,"_","P_"),MNU_GRAMAJE_REQUERIDO_TIPOH,"")))</f>
        <v>70</v>
      </c>
      <c r="AI372" s="257">
        <f t="shared" si="288"/>
        <v>4432</v>
      </c>
      <c r="AJ372" s="257">
        <v>0</v>
      </c>
      <c r="AK372" s="257">
        <f t="shared" si="289"/>
        <v>4432</v>
      </c>
      <c r="AL372" s="258">
        <f t="shared" si="290"/>
        <v>3625376</v>
      </c>
      <c r="AM372" s="258">
        <v>0</v>
      </c>
      <c r="AN372" s="258">
        <f t="shared" si="291"/>
        <v>3625376</v>
      </c>
      <c r="AO372" s="451">
        <f t="shared" si="292"/>
        <v>314232</v>
      </c>
      <c r="AP372" s="450">
        <f t="shared" si="293"/>
        <v>160073424</v>
      </c>
      <c r="AQ372" s="261" t="e">
        <f>#REF!+AH372+AA372+T372+M372</f>
        <v>#REF!</v>
      </c>
      <c r="AR372" s="261">
        <f t="shared" si="252"/>
        <v>160278272</v>
      </c>
      <c r="AS372" s="261" t="e">
        <f t="shared" si="253"/>
        <v>#REF!</v>
      </c>
      <c r="AT372" s="261">
        <f t="shared" si="254"/>
        <v>160508440</v>
      </c>
      <c r="AU372" s="261" t="e">
        <f t="shared" si="255"/>
        <v>#REF!</v>
      </c>
      <c r="AV372" s="261">
        <f t="shared" si="256"/>
        <v>179875240</v>
      </c>
      <c r="AW372" s="261" t="e">
        <f t="shared" si="257"/>
        <v>#REF!</v>
      </c>
      <c r="AX372" s="261" t="e">
        <f>AV372+#REF!+AH372+AA372+T372</f>
        <v>#REF!</v>
      </c>
      <c r="AY372" s="261" t="e">
        <f t="shared" si="258"/>
        <v>#REF!</v>
      </c>
      <c r="AZ372" s="261" t="e">
        <f t="shared" si="259"/>
        <v>#REF!</v>
      </c>
      <c r="BA372" s="261" t="e">
        <f t="shared" si="260"/>
        <v>#REF!</v>
      </c>
      <c r="BB372" s="261" t="e">
        <f t="shared" si="261"/>
        <v>#REF!</v>
      </c>
      <c r="BC372" s="261" t="e">
        <f t="shared" si="262"/>
        <v>#REF!</v>
      </c>
      <c r="BD372" s="261" t="e">
        <f t="shared" si="263"/>
        <v>#REF!</v>
      </c>
      <c r="BE372" s="261" t="e">
        <f>BC372+AV372+#REF!+AH372+AA372</f>
        <v>#REF!</v>
      </c>
      <c r="BF372" s="261" t="e">
        <f t="shared" si="264"/>
        <v>#REF!</v>
      </c>
      <c r="BG372" s="261" t="e">
        <f t="shared" si="265"/>
        <v>#REF!</v>
      </c>
    </row>
    <row r="373" spans="1:59" ht="15.75">
      <c r="A373" s="333">
        <v>30</v>
      </c>
      <c r="B373" s="333" t="s">
        <v>1607</v>
      </c>
      <c r="C373" s="256">
        <v>62</v>
      </c>
      <c r="D373" s="322" t="s">
        <v>68</v>
      </c>
      <c r="E373" s="256" t="s">
        <v>9</v>
      </c>
      <c r="F373" s="425">
        <f t="array" ref="F373">MAX((IF(MNU_CODIGO_ALIMENTO_ENTREGA=CONCATENATE($C373,"_","P_"),MNU_GRAMAJE_REQUERIDO_TIPOA,"")))</f>
        <v>50</v>
      </c>
      <c r="G373" s="257">
        <f t="shared" si="266"/>
        <v>24370</v>
      </c>
      <c r="H373" s="257">
        <f t="shared" si="267"/>
        <v>0</v>
      </c>
      <c r="I373" s="257">
        <f t="shared" si="268"/>
        <v>24370</v>
      </c>
      <c r="J373" s="258">
        <f t="shared" si="269"/>
        <v>15231250</v>
      </c>
      <c r="K373" s="258">
        <f t="shared" si="270"/>
        <v>0</v>
      </c>
      <c r="L373" s="258">
        <f t="shared" si="271"/>
        <v>15231250</v>
      </c>
      <c r="M373" s="426">
        <f t="array" ref="M373">MAX((IF(MNU_CODIGO_ALIMENTO_ENTREGA=CONCATENATE($C373,"_","P_"),MNU_GRAMAJE_REQUERIDO_TIPOB,"")))</f>
        <v>50</v>
      </c>
      <c r="N373" s="343">
        <f t="shared" si="272"/>
        <v>29665</v>
      </c>
      <c r="O373" s="343">
        <f t="shared" si="273"/>
        <v>0</v>
      </c>
      <c r="P373" s="343">
        <f t="shared" si="274"/>
        <v>29665</v>
      </c>
      <c r="Q373" s="344">
        <f t="shared" si="275"/>
        <v>18540625</v>
      </c>
      <c r="R373" s="344">
        <f t="shared" si="276"/>
        <v>0</v>
      </c>
      <c r="S373" s="344">
        <f t="shared" si="277"/>
        <v>18540625</v>
      </c>
      <c r="T373" s="348">
        <f t="array" ref="T373">MAX((IF(MNU_CODIGO_ALIMENTO_ENTREGA=CONCATENATE($C373,"_","P_"),MNU_GRAMAJE_REQUERIDO_TIPOC,"")))</f>
        <v>50</v>
      </c>
      <c r="U373" s="257">
        <f t="shared" si="278"/>
        <v>31550</v>
      </c>
      <c r="V373" s="257">
        <f t="shared" si="279"/>
        <v>0</v>
      </c>
      <c r="W373" s="257">
        <f t="shared" si="280"/>
        <v>31550</v>
      </c>
      <c r="X373" s="258">
        <f t="shared" si="281"/>
        <v>19718750</v>
      </c>
      <c r="Y373" s="258">
        <f t="shared" si="282"/>
        <v>0</v>
      </c>
      <c r="Z373" s="258">
        <f t="shared" si="283"/>
        <v>19718750</v>
      </c>
      <c r="AA373" s="256">
        <f t="array" ref="AA373">MAX((IF(MNU_CODIGO_ALIMENTO_ENTREGA=CONCATENATE($C373,"_","P_"),MNU_GRAMAJE_REQUERIDO_TIPOM,"")))</f>
        <v>50</v>
      </c>
      <c r="AB373" s="259">
        <f t="shared" si="284"/>
        <v>1415</v>
      </c>
      <c r="AC373" s="259">
        <v>0</v>
      </c>
      <c r="AD373" s="259">
        <f t="shared" si="285"/>
        <v>1415</v>
      </c>
      <c r="AE373" s="260">
        <f t="shared" si="286"/>
        <v>884375</v>
      </c>
      <c r="AF373" s="260">
        <v>0</v>
      </c>
      <c r="AG373" s="260">
        <f t="shared" si="287"/>
        <v>884375</v>
      </c>
      <c r="AH373" s="348">
        <f t="array" ref="AH373">MAX((IF(MNU_CODIGO_ALIMENTO_ENTREGA=CONCATENATE($C373,"_","P_"),MNU_GRAMAJE_REQUERIDO_TIPOH,"")))</f>
        <v>50</v>
      </c>
      <c r="AI373" s="257">
        <f t="shared" si="288"/>
        <v>1385</v>
      </c>
      <c r="AJ373" s="257">
        <v>0</v>
      </c>
      <c r="AK373" s="257">
        <f t="shared" si="289"/>
        <v>1385</v>
      </c>
      <c r="AL373" s="258">
        <f t="shared" si="290"/>
        <v>865625</v>
      </c>
      <c r="AM373" s="258">
        <v>0</v>
      </c>
      <c r="AN373" s="258">
        <f t="shared" si="291"/>
        <v>865625</v>
      </c>
      <c r="AO373" s="451">
        <f t="shared" si="292"/>
        <v>88385</v>
      </c>
      <c r="AP373" s="450">
        <f t="shared" si="293"/>
        <v>55240625</v>
      </c>
      <c r="AQ373" s="261" t="e">
        <f>#REF!+AH373+AA373+T373+M373</f>
        <v>#REF!</v>
      </c>
      <c r="AR373" s="261">
        <f t="shared" si="252"/>
        <v>55304640</v>
      </c>
      <c r="AS373" s="261" t="e">
        <f t="shared" si="253"/>
        <v>#REF!</v>
      </c>
      <c r="AT373" s="261">
        <f t="shared" si="254"/>
        <v>55368655</v>
      </c>
      <c r="AU373" s="261" t="e">
        <f t="shared" si="255"/>
        <v>#REF!</v>
      </c>
      <c r="AV373" s="261">
        <f t="shared" si="256"/>
        <v>55368655</v>
      </c>
      <c r="AW373" s="261" t="e">
        <f t="shared" si="257"/>
        <v>#REF!</v>
      </c>
      <c r="AX373" s="261" t="e">
        <f>AV373+#REF!+AH373+AA373+T373</f>
        <v>#REF!</v>
      </c>
      <c r="AY373" s="261" t="e">
        <f t="shared" si="258"/>
        <v>#REF!</v>
      </c>
      <c r="AZ373" s="261" t="e">
        <f t="shared" si="259"/>
        <v>#REF!</v>
      </c>
      <c r="BA373" s="261" t="e">
        <f t="shared" si="260"/>
        <v>#REF!</v>
      </c>
      <c r="BB373" s="261" t="e">
        <f t="shared" si="261"/>
        <v>#REF!</v>
      </c>
      <c r="BC373" s="261" t="e">
        <f t="shared" si="262"/>
        <v>#REF!</v>
      </c>
      <c r="BD373" s="261" t="e">
        <f t="shared" si="263"/>
        <v>#REF!</v>
      </c>
      <c r="BE373" s="261" t="e">
        <f>BC373+AV373+#REF!+AH373+AA373</f>
        <v>#REF!</v>
      </c>
      <c r="BF373" s="261" t="e">
        <f t="shared" si="264"/>
        <v>#REF!</v>
      </c>
      <c r="BG373" s="261" t="e">
        <f t="shared" si="265"/>
        <v>#REF!</v>
      </c>
    </row>
    <row r="374" spans="1:59" ht="15.75">
      <c r="A374" s="333">
        <v>1</v>
      </c>
      <c r="B374" s="333" t="s">
        <v>1607</v>
      </c>
      <c r="C374" s="256">
        <v>21</v>
      </c>
      <c r="D374" s="322" t="s">
        <v>70</v>
      </c>
      <c r="E374" s="256" t="s">
        <v>9</v>
      </c>
      <c r="F374" s="425">
        <f t="array" ref="F374">MAX((IF(MNU_CODIGO_ALIMENTO_ENTREGA=CONCATENATE($C374,"_","s_"),MNU_GRAMAJE_REQUERIDO_TIPOA,"")))</f>
        <v>30</v>
      </c>
      <c r="G374" s="257">
        <f t="shared" si="266"/>
        <v>0</v>
      </c>
      <c r="H374" s="257">
        <f t="shared" si="267"/>
        <v>0</v>
      </c>
      <c r="I374" s="257">
        <f t="shared" si="268"/>
        <v>0</v>
      </c>
      <c r="J374" s="258">
        <f t="shared" si="269"/>
        <v>0</v>
      </c>
      <c r="K374" s="258">
        <f t="shared" si="270"/>
        <v>0</v>
      </c>
      <c r="L374" s="258">
        <f t="shared" si="271"/>
        <v>0</v>
      </c>
      <c r="M374" s="426">
        <f t="array" ref="M374">MAX((IF(MNU_CODIGO_ALIMENTO_ENTREGA=CONCATENATE($C374,"_","s_"),MNU_GRAMAJE_REQUERIDO_TIPOB,"")))</f>
        <v>30</v>
      </c>
      <c r="N374" s="343">
        <f t="shared" si="272"/>
        <v>0</v>
      </c>
      <c r="O374" s="343">
        <f t="shared" si="273"/>
        <v>0</v>
      </c>
      <c r="P374" s="343">
        <f t="shared" si="274"/>
        <v>0</v>
      </c>
      <c r="Q374" s="344">
        <f t="shared" si="275"/>
        <v>0</v>
      </c>
      <c r="R374" s="344">
        <f t="shared" si="276"/>
        <v>0</v>
      </c>
      <c r="S374" s="344">
        <f t="shared" si="277"/>
        <v>0</v>
      </c>
      <c r="T374" s="348">
        <f t="array" ref="T374">MAX((IF(MNU_CODIGO_ALIMENTO_ENTREGA=CONCATENATE($C374,"_","s_"),MNU_GRAMAJE_REQUERIDO_TIPOC,"")))</f>
        <v>50</v>
      </c>
      <c r="U374" s="257">
        <f t="shared" si="278"/>
        <v>0</v>
      </c>
      <c r="V374" s="257">
        <f t="shared" si="279"/>
        <v>21076</v>
      </c>
      <c r="W374" s="257">
        <f t="shared" si="280"/>
        <v>21076</v>
      </c>
      <c r="X374" s="258">
        <f t="shared" si="281"/>
        <v>0</v>
      </c>
      <c r="Y374" s="258">
        <f t="shared" si="282"/>
        <v>16902952</v>
      </c>
      <c r="Z374" s="258">
        <f t="shared" si="283"/>
        <v>16902952</v>
      </c>
      <c r="AA374" s="256">
        <f t="array" ref="AA374">MAX((IF(MNU_CODIGO_ALIMENTO_ENTREGA=CONCATENATE($C374,"_","P_"),MNU_GRAMAJE_REQUERIDO_TIPOM,"")))</f>
        <v>0</v>
      </c>
      <c r="AB374" s="259">
        <f t="shared" si="284"/>
        <v>0</v>
      </c>
      <c r="AC374" s="259">
        <v>0</v>
      </c>
      <c r="AD374" s="259">
        <f t="shared" si="285"/>
        <v>0</v>
      </c>
      <c r="AE374" s="260">
        <f t="shared" si="286"/>
        <v>0</v>
      </c>
      <c r="AF374" s="260">
        <v>0</v>
      </c>
      <c r="AG374" s="260">
        <f t="shared" si="287"/>
        <v>0</v>
      </c>
      <c r="AH374" s="348">
        <f t="array" ref="AH374">MAX((IF(MNU_CODIGO_ALIMENTO_ENTREGA=CONCATENATE($C374,"_","P_"),MNU_GRAMAJE_REQUERIDO_TIPOH,"")))</f>
        <v>0</v>
      </c>
      <c r="AI374" s="257">
        <f t="shared" si="288"/>
        <v>0</v>
      </c>
      <c r="AJ374" s="257">
        <v>0</v>
      </c>
      <c r="AK374" s="257">
        <f t="shared" si="289"/>
        <v>0</v>
      </c>
      <c r="AL374" s="258">
        <f t="shared" si="290"/>
        <v>0</v>
      </c>
      <c r="AM374" s="258">
        <v>0</v>
      </c>
      <c r="AN374" s="258">
        <f t="shared" si="291"/>
        <v>0</v>
      </c>
      <c r="AO374" s="451">
        <f t="shared" si="292"/>
        <v>21076</v>
      </c>
      <c r="AP374" s="450">
        <f t="shared" si="293"/>
        <v>16902952</v>
      </c>
      <c r="AQ374" s="261" t="e">
        <f>#REF!+AH374+AA374+T374+M374</f>
        <v>#REF!</v>
      </c>
      <c r="AR374" s="261">
        <f t="shared" si="252"/>
        <v>16902952</v>
      </c>
      <c r="AS374" s="261" t="e">
        <f t="shared" si="253"/>
        <v>#REF!</v>
      </c>
      <c r="AT374" s="261">
        <f t="shared" si="254"/>
        <v>16924028</v>
      </c>
      <c r="AU374" s="261" t="e">
        <f t="shared" si="255"/>
        <v>#REF!</v>
      </c>
      <c r="AV374" s="261">
        <f t="shared" si="256"/>
        <v>33826980</v>
      </c>
      <c r="AW374" s="261" t="e">
        <f t="shared" si="257"/>
        <v>#REF!</v>
      </c>
      <c r="AX374" s="261" t="e">
        <f>AV374+#REF!+AH374+AA374+T374</f>
        <v>#REF!</v>
      </c>
      <c r="AY374" s="261" t="e">
        <f t="shared" si="258"/>
        <v>#REF!</v>
      </c>
      <c r="AZ374" s="261" t="e">
        <f t="shared" si="259"/>
        <v>#REF!</v>
      </c>
      <c r="BA374" s="261" t="e">
        <f t="shared" si="260"/>
        <v>#REF!</v>
      </c>
      <c r="BB374" s="261" t="e">
        <f t="shared" si="261"/>
        <v>#REF!</v>
      </c>
      <c r="BC374" s="261" t="e">
        <f t="shared" si="262"/>
        <v>#REF!</v>
      </c>
      <c r="BD374" s="261" t="e">
        <f t="shared" si="263"/>
        <v>#REF!</v>
      </c>
      <c r="BE374" s="261" t="e">
        <f>BC374+AV374+#REF!+AH374+AA374</f>
        <v>#REF!</v>
      </c>
      <c r="BF374" s="261" t="e">
        <f t="shared" si="264"/>
        <v>#REF!</v>
      </c>
      <c r="BG374" s="261" t="e">
        <f t="shared" si="265"/>
        <v>#REF!</v>
      </c>
    </row>
    <row r="375" spans="1:59" ht="15.75">
      <c r="A375" s="333">
        <v>2</v>
      </c>
      <c r="B375" s="333" t="s">
        <v>1607</v>
      </c>
      <c r="C375" s="256">
        <v>21</v>
      </c>
      <c r="D375" s="322" t="s">
        <v>70</v>
      </c>
      <c r="E375" s="256" t="s">
        <v>9</v>
      </c>
      <c r="F375" s="425">
        <f t="array" ref="F375">MAX((IF(MNU_CODIGO_ALIMENTO_ENTREGA=CONCATENATE($C375,"_","s_"),MNU_GRAMAJE_REQUERIDO_TIPOA,"")))</f>
        <v>30</v>
      </c>
      <c r="G375" s="257">
        <f t="shared" si="266"/>
        <v>0</v>
      </c>
      <c r="H375" s="257">
        <f t="shared" si="267"/>
        <v>16214</v>
      </c>
      <c r="I375" s="257">
        <f t="shared" si="268"/>
        <v>16214</v>
      </c>
      <c r="J375" s="258">
        <f t="shared" si="269"/>
        <v>0</v>
      </c>
      <c r="K375" s="258">
        <f t="shared" si="270"/>
        <v>7798934</v>
      </c>
      <c r="L375" s="258">
        <f t="shared" si="271"/>
        <v>7798934</v>
      </c>
      <c r="M375" s="426">
        <f t="array" ref="M375">MAX((IF(MNU_CODIGO_ALIMENTO_ENTREGA=CONCATENATE($C375,"_","s_"),MNU_GRAMAJE_REQUERIDO_TIPOB,"")))</f>
        <v>30</v>
      </c>
      <c r="N375" s="343">
        <f t="shared" si="272"/>
        <v>0</v>
      </c>
      <c r="O375" s="343">
        <f t="shared" si="273"/>
        <v>15158</v>
      </c>
      <c r="P375" s="343">
        <f t="shared" si="274"/>
        <v>15158</v>
      </c>
      <c r="Q375" s="344">
        <f t="shared" si="275"/>
        <v>0</v>
      </c>
      <c r="R375" s="344">
        <f t="shared" si="276"/>
        <v>7290998</v>
      </c>
      <c r="S375" s="344">
        <f t="shared" si="277"/>
        <v>7290998</v>
      </c>
      <c r="T375" s="348">
        <f t="array" ref="T375">MAX((IF(MNU_CODIGO_ALIMENTO_ENTREGA=CONCATENATE($C375,"_","s_"),MNU_GRAMAJE_REQUERIDO_TIPOC,"")))</f>
        <v>50</v>
      </c>
      <c r="U375" s="257">
        <f t="shared" si="278"/>
        <v>0</v>
      </c>
      <c r="V375" s="257">
        <f t="shared" si="279"/>
        <v>37092</v>
      </c>
      <c r="W375" s="257">
        <f t="shared" si="280"/>
        <v>37092</v>
      </c>
      <c r="X375" s="258">
        <f t="shared" si="281"/>
        <v>0</v>
      </c>
      <c r="Y375" s="258">
        <f t="shared" si="282"/>
        <v>29747784</v>
      </c>
      <c r="Z375" s="258">
        <f t="shared" si="283"/>
        <v>29747784</v>
      </c>
      <c r="AA375" s="256">
        <f t="array" ref="AA375">MAX((IF(MNU_CODIGO_ALIMENTO_ENTREGA=CONCATENATE($C375,"_","P_"),MNU_GRAMAJE_REQUERIDO_TIPOM,"")))</f>
        <v>0</v>
      </c>
      <c r="AB375" s="259">
        <f t="shared" si="284"/>
        <v>0</v>
      </c>
      <c r="AC375" s="259">
        <v>0</v>
      </c>
      <c r="AD375" s="259">
        <f t="shared" si="285"/>
        <v>0</v>
      </c>
      <c r="AE375" s="260">
        <f t="shared" si="286"/>
        <v>0</v>
      </c>
      <c r="AF375" s="260">
        <v>0</v>
      </c>
      <c r="AG375" s="260">
        <f t="shared" si="287"/>
        <v>0</v>
      </c>
      <c r="AH375" s="348">
        <f t="array" ref="AH375">MAX((IF(MNU_CODIGO_ALIMENTO_ENTREGA=CONCATENATE($C375,"_","P_"),MNU_GRAMAJE_REQUERIDO_TIPOH,"")))</f>
        <v>0</v>
      </c>
      <c r="AI375" s="257">
        <f t="shared" si="288"/>
        <v>0</v>
      </c>
      <c r="AJ375" s="257">
        <v>0</v>
      </c>
      <c r="AK375" s="257">
        <f t="shared" si="289"/>
        <v>0</v>
      </c>
      <c r="AL375" s="258">
        <f t="shared" si="290"/>
        <v>0</v>
      </c>
      <c r="AM375" s="258">
        <v>0</v>
      </c>
      <c r="AN375" s="258">
        <f t="shared" si="291"/>
        <v>0</v>
      </c>
      <c r="AO375" s="451">
        <f t="shared" si="292"/>
        <v>68464</v>
      </c>
      <c r="AP375" s="450">
        <f t="shared" si="293"/>
        <v>44837716</v>
      </c>
      <c r="AQ375" s="261" t="e">
        <f>#REF!+AH375+AA375+T375+M375</f>
        <v>#REF!</v>
      </c>
      <c r="AR375" s="261">
        <f t="shared" si="252"/>
        <v>44837716</v>
      </c>
      <c r="AS375" s="261" t="e">
        <f t="shared" si="253"/>
        <v>#REF!</v>
      </c>
      <c r="AT375" s="261">
        <f t="shared" si="254"/>
        <v>44889966</v>
      </c>
      <c r="AU375" s="261" t="e">
        <f t="shared" si="255"/>
        <v>#REF!</v>
      </c>
      <c r="AV375" s="261">
        <f t="shared" si="256"/>
        <v>81928748</v>
      </c>
      <c r="AW375" s="261" t="e">
        <f t="shared" si="257"/>
        <v>#REF!</v>
      </c>
      <c r="AX375" s="261" t="e">
        <f>AV375+#REF!+AH375+AA375+T375</f>
        <v>#REF!</v>
      </c>
      <c r="AY375" s="261" t="e">
        <f t="shared" si="258"/>
        <v>#REF!</v>
      </c>
      <c r="AZ375" s="261" t="e">
        <f t="shared" si="259"/>
        <v>#REF!</v>
      </c>
      <c r="BA375" s="261" t="e">
        <f t="shared" si="260"/>
        <v>#REF!</v>
      </c>
      <c r="BB375" s="261" t="e">
        <f t="shared" si="261"/>
        <v>#REF!</v>
      </c>
      <c r="BC375" s="261" t="e">
        <f t="shared" si="262"/>
        <v>#REF!</v>
      </c>
      <c r="BD375" s="261" t="e">
        <f t="shared" si="263"/>
        <v>#REF!</v>
      </c>
      <c r="BE375" s="261" t="e">
        <f>BC375+AV375+#REF!+AH375+AA375</f>
        <v>#REF!</v>
      </c>
      <c r="BF375" s="261" t="e">
        <f t="shared" si="264"/>
        <v>#REF!</v>
      </c>
      <c r="BG375" s="261" t="e">
        <f t="shared" si="265"/>
        <v>#REF!</v>
      </c>
    </row>
    <row r="376" spans="1:59" ht="15.75">
      <c r="A376" s="333">
        <v>3</v>
      </c>
      <c r="B376" s="333" t="s">
        <v>1607</v>
      </c>
      <c r="C376" s="256">
        <v>21</v>
      </c>
      <c r="D376" s="322" t="s">
        <v>70</v>
      </c>
      <c r="E376" s="256" t="s">
        <v>9</v>
      </c>
      <c r="F376" s="425">
        <f t="array" ref="F376">MAX((IF(MNU_CODIGO_ALIMENTO_ENTREGA=CONCATENATE($C376,"_","s_"),MNU_GRAMAJE_REQUERIDO_TIPOA,"")))</f>
        <v>30</v>
      </c>
      <c r="G376" s="257">
        <f t="shared" si="266"/>
        <v>0</v>
      </c>
      <c r="H376" s="257">
        <f t="shared" si="267"/>
        <v>9504</v>
      </c>
      <c r="I376" s="257">
        <f t="shared" si="268"/>
        <v>9504</v>
      </c>
      <c r="J376" s="258">
        <f t="shared" si="269"/>
        <v>0</v>
      </c>
      <c r="K376" s="258">
        <f t="shared" si="270"/>
        <v>4571424</v>
      </c>
      <c r="L376" s="258">
        <f t="shared" si="271"/>
        <v>4571424</v>
      </c>
      <c r="M376" s="426">
        <f t="array" ref="M376">MAX((IF(MNU_CODIGO_ALIMENTO_ENTREGA=CONCATENATE($C376,"_","s_"),MNU_GRAMAJE_REQUERIDO_TIPOB,"")))</f>
        <v>30</v>
      </c>
      <c r="N376" s="343">
        <f t="shared" si="272"/>
        <v>0</v>
      </c>
      <c r="O376" s="343">
        <f t="shared" si="273"/>
        <v>8932</v>
      </c>
      <c r="P376" s="343">
        <f t="shared" si="274"/>
        <v>8932</v>
      </c>
      <c r="Q376" s="344">
        <f t="shared" si="275"/>
        <v>0</v>
      </c>
      <c r="R376" s="344">
        <f t="shared" si="276"/>
        <v>4296292</v>
      </c>
      <c r="S376" s="344">
        <f t="shared" si="277"/>
        <v>4296292</v>
      </c>
      <c r="T376" s="348">
        <f t="array" ref="T376">MAX((IF(MNU_CODIGO_ALIMENTO_ENTREGA=CONCATENATE($C376,"_","s_"),MNU_GRAMAJE_REQUERIDO_TIPOC,"")))</f>
        <v>50</v>
      </c>
      <c r="U376" s="257">
        <f t="shared" si="278"/>
        <v>0</v>
      </c>
      <c r="V376" s="257">
        <f t="shared" si="279"/>
        <v>22286</v>
      </c>
      <c r="W376" s="257">
        <f t="shared" si="280"/>
        <v>22286</v>
      </c>
      <c r="X376" s="258">
        <f t="shared" si="281"/>
        <v>0</v>
      </c>
      <c r="Y376" s="258">
        <f t="shared" si="282"/>
        <v>17873372</v>
      </c>
      <c r="Z376" s="258">
        <f t="shared" si="283"/>
        <v>17873372</v>
      </c>
      <c r="AA376" s="256">
        <f t="array" ref="AA376">MAX((IF(MNU_CODIGO_ALIMENTO_ENTREGA=CONCATENATE($C376,"_","P_"),MNU_GRAMAJE_REQUERIDO_TIPOM,"")))</f>
        <v>0</v>
      </c>
      <c r="AB376" s="259">
        <f t="shared" si="284"/>
        <v>0</v>
      </c>
      <c r="AC376" s="259">
        <v>0</v>
      </c>
      <c r="AD376" s="259">
        <f t="shared" si="285"/>
        <v>0</v>
      </c>
      <c r="AE376" s="260">
        <f t="shared" si="286"/>
        <v>0</v>
      </c>
      <c r="AF376" s="260">
        <v>0</v>
      </c>
      <c r="AG376" s="260">
        <f t="shared" si="287"/>
        <v>0</v>
      </c>
      <c r="AH376" s="348">
        <f t="array" ref="AH376">MAX((IF(MNU_CODIGO_ALIMENTO_ENTREGA=CONCATENATE($C376,"_","P_"),MNU_GRAMAJE_REQUERIDO_TIPOH,"")))</f>
        <v>0</v>
      </c>
      <c r="AI376" s="257">
        <f t="shared" si="288"/>
        <v>0</v>
      </c>
      <c r="AJ376" s="257">
        <v>0</v>
      </c>
      <c r="AK376" s="257">
        <f t="shared" si="289"/>
        <v>0</v>
      </c>
      <c r="AL376" s="258">
        <f t="shared" si="290"/>
        <v>0</v>
      </c>
      <c r="AM376" s="258">
        <v>0</v>
      </c>
      <c r="AN376" s="258">
        <f t="shared" si="291"/>
        <v>0</v>
      </c>
      <c r="AO376" s="451">
        <f t="shared" si="292"/>
        <v>40722</v>
      </c>
      <c r="AP376" s="450">
        <f t="shared" si="293"/>
        <v>26741088</v>
      </c>
      <c r="AQ376" s="261" t="e">
        <f>#REF!+AH376+AA376+T376+M376</f>
        <v>#REF!</v>
      </c>
      <c r="AR376" s="261">
        <f t="shared" si="252"/>
        <v>26741088</v>
      </c>
      <c r="AS376" s="261" t="e">
        <f t="shared" si="253"/>
        <v>#REF!</v>
      </c>
      <c r="AT376" s="261">
        <f t="shared" si="254"/>
        <v>26772306</v>
      </c>
      <c r="AU376" s="261" t="e">
        <f t="shared" si="255"/>
        <v>#REF!</v>
      </c>
      <c r="AV376" s="261">
        <f t="shared" si="256"/>
        <v>48941970</v>
      </c>
      <c r="AW376" s="261" t="e">
        <f t="shared" si="257"/>
        <v>#REF!</v>
      </c>
      <c r="AX376" s="261" t="e">
        <f>AV376+#REF!+AH376+AA376+T376</f>
        <v>#REF!</v>
      </c>
      <c r="AY376" s="261" t="e">
        <f t="shared" si="258"/>
        <v>#REF!</v>
      </c>
      <c r="AZ376" s="261" t="e">
        <f t="shared" si="259"/>
        <v>#REF!</v>
      </c>
      <c r="BA376" s="261" t="e">
        <f t="shared" si="260"/>
        <v>#REF!</v>
      </c>
      <c r="BB376" s="261" t="e">
        <f t="shared" si="261"/>
        <v>#REF!</v>
      </c>
      <c r="BC376" s="261" t="e">
        <f t="shared" si="262"/>
        <v>#REF!</v>
      </c>
      <c r="BD376" s="261" t="e">
        <f t="shared" si="263"/>
        <v>#REF!</v>
      </c>
      <c r="BE376" s="261" t="e">
        <f>BC376+AV376+#REF!+AH376+AA376</f>
        <v>#REF!</v>
      </c>
      <c r="BF376" s="261" t="e">
        <f t="shared" si="264"/>
        <v>#REF!</v>
      </c>
      <c r="BG376" s="261" t="e">
        <f t="shared" si="265"/>
        <v>#REF!</v>
      </c>
    </row>
    <row r="377" spans="1:59" ht="15.75">
      <c r="A377" s="333">
        <v>4</v>
      </c>
      <c r="B377" s="333" t="s">
        <v>1607</v>
      </c>
      <c r="C377" s="256">
        <v>21</v>
      </c>
      <c r="D377" s="322" t="s">
        <v>70</v>
      </c>
      <c r="E377" s="256" t="s">
        <v>9</v>
      </c>
      <c r="F377" s="425">
        <f t="array" ref="F377">MAX((IF(MNU_CODIGO_ALIMENTO_ENTREGA=CONCATENATE($C377,"_","s_"),MNU_GRAMAJE_REQUERIDO_TIPOA,"")))</f>
        <v>30</v>
      </c>
      <c r="G377" s="257">
        <f t="shared" si="266"/>
        <v>0</v>
      </c>
      <c r="H377" s="257">
        <f t="shared" si="267"/>
        <v>9944</v>
      </c>
      <c r="I377" s="257">
        <f t="shared" si="268"/>
        <v>9944</v>
      </c>
      <c r="J377" s="258">
        <f t="shared" si="269"/>
        <v>0</v>
      </c>
      <c r="K377" s="258">
        <f t="shared" si="270"/>
        <v>4783064</v>
      </c>
      <c r="L377" s="258">
        <f t="shared" si="271"/>
        <v>4783064</v>
      </c>
      <c r="M377" s="426">
        <f t="array" ref="M377">MAX((IF(MNU_CODIGO_ALIMENTO_ENTREGA=CONCATENATE($C377,"_","s_"),MNU_GRAMAJE_REQUERIDO_TIPOB,"")))</f>
        <v>30</v>
      </c>
      <c r="N377" s="343">
        <f t="shared" si="272"/>
        <v>0</v>
      </c>
      <c r="O377" s="343">
        <f t="shared" si="273"/>
        <v>9812</v>
      </c>
      <c r="P377" s="343">
        <f t="shared" si="274"/>
        <v>9812</v>
      </c>
      <c r="Q377" s="344">
        <f t="shared" si="275"/>
        <v>0</v>
      </c>
      <c r="R377" s="344">
        <f t="shared" si="276"/>
        <v>4719572</v>
      </c>
      <c r="S377" s="344">
        <f t="shared" si="277"/>
        <v>4719572</v>
      </c>
      <c r="T377" s="348">
        <f t="array" ref="T377">MAX((IF(MNU_CODIGO_ALIMENTO_ENTREGA=CONCATENATE($C377,"_","s_"),MNU_GRAMAJE_REQUERIDO_TIPOC,"")))</f>
        <v>50</v>
      </c>
      <c r="U377" s="257">
        <f t="shared" si="278"/>
        <v>0</v>
      </c>
      <c r="V377" s="257">
        <f t="shared" si="279"/>
        <v>33550</v>
      </c>
      <c r="W377" s="257">
        <f t="shared" si="280"/>
        <v>33550</v>
      </c>
      <c r="X377" s="258">
        <f t="shared" si="281"/>
        <v>0</v>
      </c>
      <c r="Y377" s="258">
        <f t="shared" si="282"/>
        <v>26907100</v>
      </c>
      <c r="Z377" s="258">
        <f t="shared" si="283"/>
        <v>26907100</v>
      </c>
      <c r="AA377" s="256">
        <f t="array" ref="AA377">MAX((IF(MNU_CODIGO_ALIMENTO_ENTREGA=CONCATENATE($C377,"_","P_"),MNU_GRAMAJE_REQUERIDO_TIPOM,"")))</f>
        <v>0</v>
      </c>
      <c r="AB377" s="259">
        <f t="shared" si="284"/>
        <v>0</v>
      </c>
      <c r="AC377" s="259">
        <v>0</v>
      </c>
      <c r="AD377" s="259">
        <f t="shared" si="285"/>
        <v>0</v>
      </c>
      <c r="AE377" s="260">
        <f t="shared" si="286"/>
        <v>0</v>
      </c>
      <c r="AF377" s="260">
        <v>0</v>
      </c>
      <c r="AG377" s="260">
        <f t="shared" si="287"/>
        <v>0</v>
      </c>
      <c r="AH377" s="348">
        <f t="array" ref="AH377">MAX((IF(MNU_CODIGO_ALIMENTO_ENTREGA=CONCATENATE($C377,"_","P_"),MNU_GRAMAJE_REQUERIDO_TIPOH,"")))</f>
        <v>0</v>
      </c>
      <c r="AI377" s="257">
        <f t="shared" si="288"/>
        <v>0</v>
      </c>
      <c r="AJ377" s="257">
        <v>0</v>
      </c>
      <c r="AK377" s="257">
        <f t="shared" si="289"/>
        <v>0</v>
      </c>
      <c r="AL377" s="258">
        <f t="shared" si="290"/>
        <v>0</v>
      </c>
      <c r="AM377" s="258">
        <v>0</v>
      </c>
      <c r="AN377" s="258">
        <f t="shared" si="291"/>
        <v>0</v>
      </c>
      <c r="AO377" s="451">
        <f t="shared" si="292"/>
        <v>53306</v>
      </c>
      <c r="AP377" s="450">
        <f t="shared" si="293"/>
        <v>36409736</v>
      </c>
      <c r="AQ377" s="261" t="e">
        <f>#REF!+AH377+AA377+T377+M377</f>
        <v>#REF!</v>
      </c>
      <c r="AR377" s="261">
        <f t="shared" si="252"/>
        <v>36409736</v>
      </c>
      <c r="AS377" s="261" t="e">
        <f t="shared" si="253"/>
        <v>#REF!</v>
      </c>
      <c r="AT377" s="261">
        <f t="shared" si="254"/>
        <v>36453098</v>
      </c>
      <c r="AU377" s="261" t="e">
        <f t="shared" si="255"/>
        <v>#REF!</v>
      </c>
      <c r="AV377" s="261">
        <f t="shared" si="256"/>
        <v>68079770</v>
      </c>
      <c r="AW377" s="261" t="e">
        <f t="shared" si="257"/>
        <v>#REF!</v>
      </c>
      <c r="AX377" s="261" t="e">
        <f>AV377+#REF!+AH377+AA377+T377</f>
        <v>#REF!</v>
      </c>
      <c r="AY377" s="261" t="e">
        <f t="shared" si="258"/>
        <v>#REF!</v>
      </c>
      <c r="AZ377" s="261" t="e">
        <f t="shared" si="259"/>
        <v>#REF!</v>
      </c>
      <c r="BA377" s="261" t="e">
        <f t="shared" si="260"/>
        <v>#REF!</v>
      </c>
      <c r="BB377" s="261" t="e">
        <f t="shared" si="261"/>
        <v>#REF!</v>
      </c>
      <c r="BC377" s="261" t="e">
        <f t="shared" si="262"/>
        <v>#REF!</v>
      </c>
      <c r="BD377" s="261" t="e">
        <f t="shared" si="263"/>
        <v>#REF!</v>
      </c>
      <c r="BE377" s="261" t="e">
        <f>BC377+AV377+#REF!+AH377+AA377</f>
        <v>#REF!</v>
      </c>
      <c r="BF377" s="261" t="e">
        <f t="shared" si="264"/>
        <v>#REF!</v>
      </c>
      <c r="BG377" s="261" t="e">
        <f t="shared" si="265"/>
        <v>#REF!</v>
      </c>
    </row>
    <row r="378" spans="1:59" ht="15.75">
      <c r="A378" s="333">
        <v>5</v>
      </c>
      <c r="B378" s="333" t="s">
        <v>1607</v>
      </c>
      <c r="C378" s="256">
        <v>21</v>
      </c>
      <c r="D378" s="322" t="s">
        <v>70</v>
      </c>
      <c r="E378" s="256" t="s">
        <v>9</v>
      </c>
      <c r="F378" s="425">
        <f t="array" ref="F378">MAX((IF(MNU_CODIGO_ALIMENTO_ENTREGA=CONCATENATE($C378,"_","s_"),MNU_GRAMAJE_REQUERIDO_TIPOA,"")))</f>
        <v>30</v>
      </c>
      <c r="G378" s="257">
        <f t="shared" si="266"/>
        <v>0</v>
      </c>
      <c r="H378" s="257">
        <f t="shared" si="267"/>
        <v>15620</v>
      </c>
      <c r="I378" s="257">
        <f t="shared" si="268"/>
        <v>15620</v>
      </c>
      <c r="J378" s="258">
        <f t="shared" si="269"/>
        <v>0</v>
      </c>
      <c r="K378" s="258">
        <f t="shared" si="270"/>
        <v>7513220</v>
      </c>
      <c r="L378" s="258">
        <f t="shared" si="271"/>
        <v>7513220</v>
      </c>
      <c r="M378" s="426">
        <f t="array" ref="M378">MAX((IF(MNU_CODIGO_ALIMENTO_ENTREGA=CONCATENATE($C378,"_","s_"),MNU_GRAMAJE_REQUERIDO_TIPOB,"")))</f>
        <v>30</v>
      </c>
      <c r="N378" s="343">
        <f t="shared" si="272"/>
        <v>0</v>
      </c>
      <c r="O378" s="343">
        <f t="shared" si="273"/>
        <v>28512</v>
      </c>
      <c r="P378" s="343">
        <f t="shared" si="274"/>
        <v>28512</v>
      </c>
      <c r="Q378" s="344">
        <f t="shared" si="275"/>
        <v>0</v>
      </c>
      <c r="R378" s="344">
        <f t="shared" si="276"/>
        <v>13714272</v>
      </c>
      <c r="S378" s="344">
        <f t="shared" si="277"/>
        <v>13714272</v>
      </c>
      <c r="T378" s="348">
        <f t="array" ref="T378">MAX((IF(MNU_CODIGO_ALIMENTO_ENTREGA=CONCATENATE($C378,"_","s_"),MNU_GRAMAJE_REQUERIDO_TIPOC,"")))</f>
        <v>50</v>
      </c>
      <c r="U378" s="257">
        <f t="shared" si="278"/>
        <v>0</v>
      </c>
      <c r="V378" s="257">
        <f t="shared" si="279"/>
        <v>37554</v>
      </c>
      <c r="W378" s="257">
        <f t="shared" si="280"/>
        <v>37554</v>
      </c>
      <c r="X378" s="258">
        <f t="shared" si="281"/>
        <v>0</v>
      </c>
      <c r="Y378" s="258">
        <f t="shared" si="282"/>
        <v>30118308</v>
      </c>
      <c r="Z378" s="258">
        <f t="shared" si="283"/>
        <v>30118308</v>
      </c>
      <c r="AA378" s="256">
        <f t="array" ref="AA378">MAX((IF(MNU_CODIGO_ALIMENTO_ENTREGA=CONCATENATE($C378,"_","P_"),MNU_GRAMAJE_REQUERIDO_TIPOM,"")))</f>
        <v>0</v>
      </c>
      <c r="AB378" s="259">
        <f t="shared" si="284"/>
        <v>0</v>
      </c>
      <c r="AC378" s="259">
        <v>0</v>
      </c>
      <c r="AD378" s="259">
        <f t="shared" si="285"/>
        <v>0</v>
      </c>
      <c r="AE378" s="260">
        <f t="shared" si="286"/>
        <v>0</v>
      </c>
      <c r="AF378" s="260">
        <v>0</v>
      </c>
      <c r="AG378" s="260">
        <f t="shared" si="287"/>
        <v>0</v>
      </c>
      <c r="AH378" s="348">
        <f t="array" ref="AH378">MAX((IF(MNU_CODIGO_ALIMENTO_ENTREGA=CONCATENATE($C378,"_","P_"),MNU_GRAMAJE_REQUERIDO_TIPOH,"")))</f>
        <v>0</v>
      </c>
      <c r="AI378" s="257">
        <f t="shared" si="288"/>
        <v>0</v>
      </c>
      <c r="AJ378" s="257">
        <v>0</v>
      </c>
      <c r="AK378" s="257">
        <f t="shared" si="289"/>
        <v>0</v>
      </c>
      <c r="AL378" s="258">
        <f t="shared" si="290"/>
        <v>0</v>
      </c>
      <c r="AM378" s="258">
        <v>0</v>
      </c>
      <c r="AN378" s="258">
        <f t="shared" si="291"/>
        <v>0</v>
      </c>
      <c r="AO378" s="451">
        <f t="shared" si="292"/>
        <v>81686</v>
      </c>
      <c r="AP378" s="450">
        <f t="shared" si="293"/>
        <v>51345800</v>
      </c>
      <c r="AQ378" s="261" t="e">
        <f>#REF!+AH378+AA378+T378+M378</f>
        <v>#REF!</v>
      </c>
      <c r="AR378" s="261">
        <f t="shared" si="252"/>
        <v>51345800</v>
      </c>
      <c r="AS378" s="261" t="e">
        <f t="shared" si="253"/>
        <v>#REF!</v>
      </c>
      <c r="AT378" s="261">
        <f t="shared" si="254"/>
        <v>51411866</v>
      </c>
      <c r="AU378" s="261" t="e">
        <f t="shared" si="255"/>
        <v>#REF!</v>
      </c>
      <c r="AV378" s="261">
        <f t="shared" si="256"/>
        <v>95244446</v>
      </c>
      <c r="AW378" s="261" t="e">
        <f t="shared" si="257"/>
        <v>#REF!</v>
      </c>
      <c r="AX378" s="261" t="e">
        <f>AV378+#REF!+AH378+AA378+T378</f>
        <v>#REF!</v>
      </c>
      <c r="AY378" s="261" t="e">
        <f t="shared" si="258"/>
        <v>#REF!</v>
      </c>
      <c r="AZ378" s="261" t="e">
        <f t="shared" si="259"/>
        <v>#REF!</v>
      </c>
      <c r="BA378" s="261" t="e">
        <f t="shared" si="260"/>
        <v>#REF!</v>
      </c>
      <c r="BB378" s="261" t="e">
        <f t="shared" si="261"/>
        <v>#REF!</v>
      </c>
      <c r="BC378" s="261" t="e">
        <f t="shared" si="262"/>
        <v>#REF!</v>
      </c>
      <c r="BD378" s="261" t="e">
        <f t="shared" si="263"/>
        <v>#REF!</v>
      </c>
      <c r="BE378" s="261" t="e">
        <f>BC378+AV378+#REF!+AH378+AA378</f>
        <v>#REF!</v>
      </c>
      <c r="BF378" s="261" t="e">
        <f t="shared" si="264"/>
        <v>#REF!</v>
      </c>
      <c r="BG378" s="261" t="e">
        <f t="shared" si="265"/>
        <v>#REF!</v>
      </c>
    </row>
    <row r="379" spans="1:59" ht="15.75">
      <c r="A379" s="333">
        <v>6</v>
      </c>
      <c r="B379" s="333" t="s">
        <v>1607</v>
      </c>
      <c r="C379" s="256">
        <v>21</v>
      </c>
      <c r="D379" s="322" t="s">
        <v>70</v>
      </c>
      <c r="E379" s="256" t="s">
        <v>9</v>
      </c>
      <c r="F379" s="425">
        <f t="array" ref="F379">MAX((IF(MNU_CODIGO_ALIMENTO_ENTREGA=CONCATENATE($C379,"_","s_"),MNU_GRAMAJE_REQUERIDO_TIPOA,"")))</f>
        <v>30</v>
      </c>
      <c r="G379" s="257">
        <f t="shared" si="266"/>
        <v>0</v>
      </c>
      <c r="H379" s="257">
        <f t="shared" si="267"/>
        <v>23496</v>
      </c>
      <c r="I379" s="257">
        <f t="shared" si="268"/>
        <v>23496</v>
      </c>
      <c r="J379" s="258">
        <f t="shared" si="269"/>
        <v>0</v>
      </c>
      <c r="K379" s="258">
        <f t="shared" si="270"/>
        <v>11301576</v>
      </c>
      <c r="L379" s="258">
        <f t="shared" si="271"/>
        <v>11301576</v>
      </c>
      <c r="M379" s="426">
        <f t="array" ref="M379">MAX((IF(MNU_CODIGO_ALIMENTO_ENTREGA=CONCATENATE($C379,"_","s_"),MNU_GRAMAJE_REQUERIDO_TIPOB,"")))</f>
        <v>30</v>
      </c>
      <c r="N379" s="343">
        <f t="shared" si="272"/>
        <v>0</v>
      </c>
      <c r="O379" s="343">
        <f t="shared" si="273"/>
        <v>35486</v>
      </c>
      <c r="P379" s="343">
        <f t="shared" si="274"/>
        <v>35486</v>
      </c>
      <c r="Q379" s="344">
        <f t="shared" si="275"/>
        <v>0</v>
      </c>
      <c r="R379" s="344">
        <f t="shared" si="276"/>
        <v>17068766</v>
      </c>
      <c r="S379" s="344">
        <f t="shared" si="277"/>
        <v>17068766</v>
      </c>
      <c r="T379" s="348">
        <f t="array" ref="T379">MAX((IF(MNU_CODIGO_ALIMENTO_ENTREGA=CONCATENATE($C379,"_","s_"),MNU_GRAMAJE_REQUERIDO_TIPOC,"")))</f>
        <v>50</v>
      </c>
      <c r="U379" s="257">
        <f t="shared" si="278"/>
        <v>0</v>
      </c>
      <c r="V379" s="257">
        <f t="shared" si="279"/>
        <v>44330</v>
      </c>
      <c r="W379" s="257">
        <f t="shared" si="280"/>
        <v>44330</v>
      </c>
      <c r="X379" s="258">
        <f t="shared" si="281"/>
        <v>0</v>
      </c>
      <c r="Y379" s="258">
        <f t="shared" si="282"/>
        <v>35552660</v>
      </c>
      <c r="Z379" s="258">
        <f t="shared" si="283"/>
        <v>35552660</v>
      </c>
      <c r="AA379" s="256">
        <f t="array" ref="AA379">MAX((IF(MNU_CODIGO_ALIMENTO_ENTREGA=CONCATENATE($C379,"_","P_"),MNU_GRAMAJE_REQUERIDO_TIPOM,"")))</f>
        <v>0</v>
      </c>
      <c r="AB379" s="259">
        <f t="shared" si="284"/>
        <v>0</v>
      </c>
      <c r="AC379" s="259">
        <v>0</v>
      </c>
      <c r="AD379" s="259">
        <f t="shared" si="285"/>
        <v>0</v>
      </c>
      <c r="AE379" s="260">
        <f t="shared" si="286"/>
        <v>0</v>
      </c>
      <c r="AF379" s="260">
        <v>0</v>
      </c>
      <c r="AG379" s="260">
        <f t="shared" si="287"/>
        <v>0</v>
      </c>
      <c r="AH379" s="348">
        <f t="array" ref="AH379">MAX((IF(MNU_CODIGO_ALIMENTO_ENTREGA=CONCATENATE($C379,"_","P_"),MNU_GRAMAJE_REQUERIDO_TIPOH,"")))</f>
        <v>0</v>
      </c>
      <c r="AI379" s="257">
        <f t="shared" si="288"/>
        <v>0</v>
      </c>
      <c r="AJ379" s="257">
        <v>0</v>
      </c>
      <c r="AK379" s="257">
        <f t="shared" si="289"/>
        <v>0</v>
      </c>
      <c r="AL379" s="258">
        <f t="shared" si="290"/>
        <v>0</v>
      </c>
      <c r="AM379" s="258">
        <v>0</v>
      </c>
      <c r="AN379" s="258">
        <f t="shared" si="291"/>
        <v>0</v>
      </c>
      <c r="AO379" s="451">
        <f t="shared" si="292"/>
        <v>103312</v>
      </c>
      <c r="AP379" s="450">
        <f t="shared" si="293"/>
        <v>63923002</v>
      </c>
      <c r="AQ379" s="261" t="e">
        <f>#REF!+AH379+AA379+T379+M379</f>
        <v>#REF!</v>
      </c>
      <c r="AR379" s="261">
        <f t="shared" si="252"/>
        <v>63923002</v>
      </c>
      <c r="AS379" s="261" t="e">
        <f t="shared" si="253"/>
        <v>#REF!</v>
      </c>
      <c r="AT379" s="261">
        <f t="shared" si="254"/>
        <v>64002818</v>
      </c>
      <c r="AU379" s="261" t="e">
        <f t="shared" si="255"/>
        <v>#REF!</v>
      </c>
      <c r="AV379" s="261">
        <f t="shared" si="256"/>
        <v>116624244</v>
      </c>
      <c r="AW379" s="261" t="e">
        <f t="shared" si="257"/>
        <v>#REF!</v>
      </c>
      <c r="AX379" s="261" t="e">
        <f>AV379+#REF!+AH379+AA379+T379</f>
        <v>#REF!</v>
      </c>
      <c r="AY379" s="261" t="e">
        <f t="shared" si="258"/>
        <v>#REF!</v>
      </c>
      <c r="AZ379" s="261" t="e">
        <f t="shared" si="259"/>
        <v>#REF!</v>
      </c>
      <c r="BA379" s="261" t="e">
        <f t="shared" si="260"/>
        <v>#REF!</v>
      </c>
      <c r="BB379" s="261" t="e">
        <f t="shared" si="261"/>
        <v>#REF!</v>
      </c>
      <c r="BC379" s="261" t="e">
        <f t="shared" si="262"/>
        <v>#REF!</v>
      </c>
      <c r="BD379" s="261" t="e">
        <f t="shared" si="263"/>
        <v>#REF!</v>
      </c>
      <c r="BE379" s="261" t="e">
        <f>BC379+AV379+#REF!+AH379+AA379</f>
        <v>#REF!</v>
      </c>
      <c r="BF379" s="261" t="e">
        <f t="shared" si="264"/>
        <v>#REF!</v>
      </c>
      <c r="BG379" s="261" t="e">
        <f t="shared" si="265"/>
        <v>#REF!</v>
      </c>
    </row>
    <row r="380" spans="1:59" ht="15.75">
      <c r="A380" s="333">
        <v>7</v>
      </c>
      <c r="B380" s="333" t="s">
        <v>1607</v>
      </c>
      <c r="C380" s="256">
        <v>21</v>
      </c>
      <c r="D380" s="322" t="s">
        <v>70</v>
      </c>
      <c r="E380" s="256" t="s">
        <v>9</v>
      </c>
      <c r="F380" s="425">
        <f t="array" ref="F380">MAX((IF(MNU_CODIGO_ALIMENTO_ENTREGA=CONCATENATE($C380,"_","s_"),MNU_GRAMAJE_REQUERIDO_TIPOA,"")))</f>
        <v>30</v>
      </c>
      <c r="G380" s="257">
        <f t="shared" si="266"/>
        <v>0</v>
      </c>
      <c r="H380" s="257">
        <f t="shared" si="267"/>
        <v>21428</v>
      </c>
      <c r="I380" s="257">
        <f t="shared" si="268"/>
        <v>21428</v>
      </c>
      <c r="J380" s="258">
        <f t="shared" si="269"/>
        <v>0</v>
      </c>
      <c r="K380" s="258">
        <f t="shared" si="270"/>
        <v>10306868</v>
      </c>
      <c r="L380" s="258">
        <f t="shared" si="271"/>
        <v>10306868</v>
      </c>
      <c r="M380" s="426">
        <f t="array" ref="M380">MAX((IF(MNU_CODIGO_ALIMENTO_ENTREGA=CONCATENATE($C380,"_","s_"),MNU_GRAMAJE_REQUERIDO_TIPOB,"")))</f>
        <v>30</v>
      </c>
      <c r="N380" s="343">
        <f t="shared" si="272"/>
        <v>0</v>
      </c>
      <c r="O380" s="343">
        <f t="shared" si="273"/>
        <v>25300</v>
      </c>
      <c r="P380" s="343">
        <f t="shared" si="274"/>
        <v>25300</v>
      </c>
      <c r="Q380" s="344">
        <f t="shared" si="275"/>
        <v>0</v>
      </c>
      <c r="R380" s="344">
        <f t="shared" si="276"/>
        <v>12169300</v>
      </c>
      <c r="S380" s="344">
        <f t="shared" si="277"/>
        <v>12169300</v>
      </c>
      <c r="T380" s="348">
        <f t="array" ref="T380">MAX((IF(MNU_CODIGO_ALIMENTO_ENTREGA=CONCATENATE($C380,"_","s_"),MNU_GRAMAJE_REQUERIDO_TIPOC,"")))</f>
        <v>50</v>
      </c>
      <c r="U380" s="257">
        <f t="shared" si="278"/>
        <v>0</v>
      </c>
      <c r="V380" s="257">
        <f t="shared" si="279"/>
        <v>46574</v>
      </c>
      <c r="W380" s="257">
        <f t="shared" si="280"/>
        <v>46574</v>
      </c>
      <c r="X380" s="258">
        <f t="shared" si="281"/>
        <v>0</v>
      </c>
      <c r="Y380" s="258">
        <f t="shared" si="282"/>
        <v>37352348</v>
      </c>
      <c r="Z380" s="258">
        <f t="shared" si="283"/>
        <v>37352348</v>
      </c>
      <c r="AA380" s="256">
        <f t="array" ref="AA380">MAX((IF(MNU_CODIGO_ALIMENTO_ENTREGA=CONCATENATE($C380,"_","P_"),MNU_GRAMAJE_REQUERIDO_TIPOM,"")))</f>
        <v>0</v>
      </c>
      <c r="AB380" s="259">
        <f t="shared" si="284"/>
        <v>0</v>
      </c>
      <c r="AC380" s="259">
        <v>0</v>
      </c>
      <c r="AD380" s="259">
        <f t="shared" si="285"/>
        <v>0</v>
      </c>
      <c r="AE380" s="260">
        <f t="shared" si="286"/>
        <v>0</v>
      </c>
      <c r="AF380" s="260">
        <v>0</v>
      </c>
      <c r="AG380" s="260">
        <f t="shared" si="287"/>
        <v>0</v>
      </c>
      <c r="AH380" s="348">
        <f t="array" ref="AH380">MAX((IF(MNU_CODIGO_ALIMENTO_ENTREGA=CONCATENATE($C380,"_","P_"),MNU_GRAMAJE_REQUERIDO_TIPOH,"")))</f>
        <v>0</v>
      </c>
      <c r="AI380" s="257">
        <f t="shared" si="288"/>
        <v>0</v>
      </c>
      <c r="AJ380" s="257">
        <v>0</v>
      </c>
      <c r="AK380" s="257">
        <f t="shared" si="289"/>
        <v>0</v>
      </c>
      <c r="AL380" s="258">
        <f t="shared" si="290"/>
        <v>0</v>
      </c>
      <c r="AM380" s="258">
        <v>0</v>
      </c>
      <c r="AN380" s="258">
        <f t="shared" si="291"/>
        <v>0</v>
      </c>
      <c r="AO380" s="451">
        <f t="shared" si="292"/>
        <v>93302</v>
      </c>
      <c r="AP380" s="450">
        <f t="shared" si="293"/>
        <v>59828516</v>
      </c>
      <c r="AQ380" s="261" t="e">
        <f>#REF!+AH380+AA380+T380+M380</f>
        <v>#REF!</v>
      </c>
      <c r="AR380" s="261">
        <f t="shared" si="252"/>
        <v>59828516</v>
      </c>
      <c r="AS380" s="261" t="e">
        <f t="shared" si="253"/>
        <v>#REF!</v>
      </c>
      <c r="AT380" s="261">
        <f t="shared" si="254"/>
        <v>59900390</v>
      </c>
      <c r="AU380" s="261" t="e">
        <f t="shared" si="255"/>
        <v>#REF!</v>
      </c>
      <c r="AV380" s="261">
        <f t="shared" si="256"/>
        <v>109422038</v>
      </c>
      <c r="AW380" s="261" t="e">
        <f t="shared" si="257"/>
        <v>#REF!</v>
      </c>
      <c r="AX380" s="261" t="e">
        <f>AV380+#REF!+AH380+AA380+T380</f>
        <v>#REF!</v>
      </c>
      <c r="AY380" s="261" t="e">
        <f t="shared" si="258"/>
        <v>#REF!</v>
      </c>
      <c r="AZ380" s="261" t="e">
        <f t="shared" si="259"/>
        <v>#REF!</v>
      </c>
      <c r="BA380" s="261" t="e">
        <f t="shared" si="260"/>
        <v>#REF!</v>
      </c>
      <c r="BB380" s="261" t="e">
        <f t="shared" si="261"/>
        <v>#REF!</v>
      </c>
      <c r="BC380" s="261" t="e">
        <f t="shared" si="262"/>
        <v>#REF!</v>
      </c>
      <c r="BD380" s="261" t="e">
        <f t="shared" si="263"/>
        <v>#REF!</v>
      </c>
      <c r="BE380" s="261" t="e">
        <f>BC380+AV380+#REF!+AH380+AA380</f>
        <v>#REF!</v>
      </c>
      <c r="BF380" s="261" t="e">
        <f t="shared" si="264"/>
        <v>#REF!</v>
      </c>
      <c r="BG380" s="261" t="e">
        <f t="shared" si="265"/>
        <v>#REF!</v>
      </c>
    </row>
    <row r="381" spans="1:59" ht="15.75">
      <c r="A381" s="333">
        <v>8</v>
      </c>
      <c r="B381" s="333" t="s">
        <v>1607</v>
      </c>
      <c r="C381" s="256">
        <v>21</v>
      </c>
      <c r="D381" s="322" t="s">
        <v>70</v>
      </c>
      <c r="E381" s="256" t="s">
        <v>9</v>
      </c>
      <c r="F381" s="425">
        <f t="array" ref="F381">MAX((IF(MNU_CODIGO_ALIMENTO_ENTREGA=CONCATENATE($C381,"_","s_"),MNU_GRAMAJE_REQUERIDO_TIPOA,"")))</f>
        <v>30</v>
      </c>
      <c r="G381" s="257">
        <f t="shared" si="266"/>
        <v>0</v>
      </c>
      <c r="H381" s="257">
        <f t="shared" si="267"/>
        <v>34848</v>
      </c>
      <c r="I381" s="257">
        <f t="shared" si="268"/>
        <v>34848</v>
      </c>
      <c r="J381" s="258">
        <f t="shared" si="269"/>
        <v>0</v>
      </c>
      <c r="K381" s="258">
        <f t="shared" si="270"/>
        <v>16761888</v>
      </c>
      <c r="L381" s="258">
        <f t="shared" si="271"/>
        <v>16761888</v>
      </c>
      <c r="M381" s="426">
        <f t="array" ref="M381">MAX((IF(MNU_CODIGO_ALIMENTO_ENTREGA=CONCATENATE($C381,"_","s_"),MNU_GRAMAJE_REQUERIDO_TIPOB,"")))</f>
        <v>30</v>
      </c>
      <c r="N381" s="343">
        <f t="shared" si="272"/>
        <v>0</v>
      </c>
      <c r="O381" s="343">
        <f t="shared" si="273"/>
        <v>68904</v>
      </c>
      <c r="P381" s="343">
        <f t="shared" si="274"/>
        <v>68904</v>
      </c>
      <c r="Q381" s="344">
        <f t="shared" si="275"/>
        <v>0</v>
      </c>
      <c r="R381" s="344">
        <f t="shared" si="276"/>
        <v>33142824</v>
      </c>
      <c r="S381" s="344">
        <f t="shared" si="277"/>
        <v>33142824</v>
      </c>
      <c r="T381" s="348">
        <f t="array" ref="T381">MAX((IF(MNU_CODIGO_ALIMENTO_ENTREGA=CONCATENATE($C381,"_","s_"),MNU_GRAMAJE_REQUERIDO_TIPOC,"")))</f>
        <v>50</v>
      </c>
      <c r="U381" s="257">
        <f t="shared" si="278"/>
        <v>0</v>
      </c>
      <c r="V381" s="257">
        <f t="shared" si="279"/>
        <v>69960</v>
      </c>
      <c r="W381" s="257">
        <f t="shared" si="280"/>
        <v>69960</v>
      </c>
      <c r="X381" s="258">
        <f t="shared" si="281"/>
        <v>0</v>
      </c>
      <c r="Y381" s="258">
        <f t="shared" si="282"/>
        <v>56107920</v>
      </c>
      <c r="Z381" s="258">
        <f t="shared" si="283"/>
        <v>56107920</v>
      </c>
      <c r="AA381" s="256">
        <f t="array" ref="AA381">MAX((IF(MNU_CODIGO_ALIMENTO_ENTREGA=CONCATENATE($C381,"_","P_"),MNU_GRAMAJE_REQUERIDO_TIPOM,"")))</f>
        <v>0</v>
      </c>
      <c r="AB381" s="259">
        <f t="shared" si="284"/>
        <v>0</v>
      </c>
      <c r="AC381" s="259">
        <v>0</v>
      </c>
      <c r="AD381" s="259">
        <f t="shared" si="285"/>
        <v>0</v>
      </c>
      <c r="AE381" s="260">
        <f t="shared" si="286"/>
        <v>0</v>
      </c>
      <c r="AF381" s="260">
        <v>0</v>
      </c>
      <c r="AG381" s="260">
        <f t="shared" si="287"/>
        <v>0</v>
      </c>
      <c r="AH381" s="348">
        <f t="array" ref="AH381">MAX((IF(MNU_CODIGO_ALIMENTO_ENTREGA=CONCATENATE($C381,"_","P_"),MNU_GRAMAJE_REQUERIDO_TIPOH,"")))</f>
        <v>0</v>
      </c>
      <c r="AI381" s="257">
        <f t="shared" si="288"/>
        <v>0</v>
      </c>
      <c r="AJ381" s="257">
        <v>0</v>
      </c>
      <c r="AK381" s="257">
        <f t="shared" si="289"/>
        <v>0</v>
      </c>
      <c r="AL381" s="258">
        <f t="shared" si="290"/>
        <v>0</v>
      </c>
      <c r="AM381" s="258">
        <v>0</v>
      </c>
      <c r="AN381" s="258">
        <f t="shared" si="291"/>
        <v>0</v>
      </c>
      <c r="AO381" s="451">
        <f t="shared" si="292"/>
        <v>173712</v>
      </c>
      <c r="AP381" s="450">
        <f t="shared" si="293"/>
        <v>106012632</v>
      </c>
      <c r="AQ381" s="261" t="e">
        <f>#REF!+AH381+AA381+T381+M381</f>
        <v>#REF!</v>
      </c>
      <c r="AR381" s="261">
        <f t="shared" si="252"/>
        <v>106012632</v>
      </c>
      <c r="AS381" s="261" t="e">
        <f t="shared" si="253"/>
        <v>#REF!</v>
      </c>
      <c r="AT381" s="261">
        <f t="shared" si="254"/>
        <v>106151496</v>
      </c>
      <c r="AU381" s="261" t="e">
        <f t="shared" si="255"/>
        <v>#REF!</v>
      </c>
      <c r="AV381" s="261">
        <f t="shared" si="256"/>
        <v>195402240</v>
      </c>
      <c r="AW381" s="261" t="e">
        <f t="shared" si="257"/>
        <v>#REF!</v>
      </c>
      <c r="AX381" s="261" t="e">
        <f>AV381+#REF!+AH381+AA381+T381</f>
        <v>#REF!</v>
      </c>
      <c r="AY381" s="261" t="e">
        <f t="shared" si="258"/>
        <v>#REF!</v>
      </c>
      <c r="AZ381" s="261" t="e">
        <f t="shared" si="259"/>
        <v>#REF!</v>
      </c>
      <c r="BA381" s="261" t="e">
        <f t="shared" si="260"/>
        <v>#REF!</v>
      </c>
      <c r="BB381" s="261" t="e">
        <f t="shared" si="261"/>
        <v>#REF!</v>
      </c>
      <c r="BC381" s="261" t="e">
        <f t="shared" si="262"/>
        <v>#REF!</v>
      </c>
      <c r="BD381" s="261" t="e">
        <f t="shared" si="263"/>
        <v>#REF!</v>
      </c>
      <c r="BE381" s="261" t="e">
        <f>BC381+AV381+#REF!+AH381+AA381</f>
        <v>#REF!</v>
      </c>
      <c r="BF381" s="261" t="e">
        <f t="shared" si="264"/>
        <v>#REF!</v>
      </c>
      <c r="BG381" s="261" t="e">
        <f t="shared" si="265"/>
        <v>#REF!</v>
      </c>
    </row>
    <row r="382" spans="1:59" ht="15.75">
      <c r="A382" s="333">
        <v>9</v>
      </c>
      <c r="B382" s="333" t="s">
        <v>1607</v>
      </c>
      <c r="C382" s="256">
        <v>21</v>
      </c>
      <c r="D382" s="322" t="s">
        <v>70</v>
      </c>
      <c r="E382" s="256" t="s">
        <v>9</v>
      </c>
      <c r="F382" s="425">
        <f t="array" ref="F382">MAX((IF(MNU_CODIGO_ALIMENTO_ENTREGA=CONCATENATE($C382,"_","s_"),MNU_GRAMAJE_REQUERIDO_TIPOA,"")))</f>
        <v>30</v>
      </c>
      <c r="G382" s="257">
        <f t="shared" si="266"/>
        <v>0</v>
      </c>
      <c r="H382" s="257">
        <f t="shared" si="267"/>
        <v>17226</v>
      </c>
      <c r="I382" s="257">
        <f t="shared" si="268"/>
        <v>17226</v>
      </c>
      <c r="J382" s="258">
        <f t="shared" si="269"/>
        <v>0</v>
      </c>
      <c r="K382" s="258">
        <f t="shared" si="270"/>
        <v>8285706</v>
      </c>
      <c r="L382" s="258">
        <f t="shared" si="271"/>
        <v>8285706</v>
      </c>
      <c r="M382" s="426">
        <f t="array" ref="M382">MAX((IF(MNU_CODIGO_ALIMENTO_ENTREGA=CONCATENATE($C382,"_","s_"),MNU_GRAMAJE_REQUERIDO_TIPOB,"")))</f>
        <v>30</v>
      </c>
      <c r="N382" s="343">
        <f t="shared" si="272"/>
        <v>0</v>
      </c>
      <c r="O382" s="343">
        <f t="shared" si="273"/>
        <v>37070</v>
      </c>
      <c r="P382" s="343">
        <f t="shared" si="274"/>
        <v>37070</v>
      </c>
      <c r="Q382" s="344">
        <f t="shared" si="275"/>
        <v>0</v>
      </c>
      <c r="R382" s="344">
        <f t="shared" si="276"/>
        <v>17830670</v>
      </c>
      <c r="S382" s="344">
        <f t="shared" si="277"/>
        <v>17830670</v>
      </c>
      <c r="T382" s="348">
        <f t="array" ref="T382">MAX((IF(MNU_CODIGO_ALIMENTO_ENTREGA=CONCATENATE($C382,"_","s_"),MNU_GRAMAJE_REQUERIDO_TIPOC,"")))</f>
        <v>50</v>
      </c>
      <c r="U382" s="257">
        <f t="shared" si="278"/>
        <v>0</v>
      </c>
      <c r="V382" s="257">
        <f t="shared" si="279"/>
        <v>65252</v>
      </c>
      <c r="W382" s="257">
        <f t="shared" si="280"/>
        <v>65252</v>
      </c>
      <c r="X382" s="258">
        <f t="shared" si="281"/>
        <v>0</v>
      </c>
      <c r="Y382" s="258">
        <f t="shared" si="282"/>
        <v>52332104</v>
      </c>
      <c r="Z382" s="258">
        <f t="shared" si="283"/>
        <v>52332104</v>
      </c>
      <c r="AA382" s="256">
        <f t="array" ref="AA382">MAX((IF(MNU_CODIGO_ALIMENTO_ENTREGA=CONCATENATE($C382,"_","P_"),MNU_GRAMAJE_REQUERIDO_TIPOM,"")))</f>
        <v>0</v>
      </c>
      <c r="AB382" s="259">
        <f t="shared" si="284"/>
        <v>0</v>
      </c>
      <c r="AC382" s="259">
        <v>0</v>
      </c>
      <c r="AD382" s="259">
        <f t="shared" si="285"/>
        <v>0</v>
      </c>
      <c r="AE382" s="260">
        <f t="shared" si="286"/>
        <v>0</v>
      </c>
      <c r="AF382" s="260">
        <v>0</v>
      </c>
      <c r="AG382" s="260">
        <f t="shared" si="287"/>
        <v>0</v>
      </c>
      <c r="AH382" s="348">
        <f t="array" ref="AH382">MAX((IF(MNU_CODIGO_ALIMENTO_ENTREGA=CONCATENATE($C382,"_","P_"),MNU_GRAMAJE_REQUERIDO_TIPOH,"")))</f>
        <v>0</v>
      </c>
      <c r="AI382" s="257">
        <f t="shared" si="288"/>
        <v>0</v>
      </c>
      <c r="AJ382" s="257">
        <v>0</v>
      </c>
      <c r="AK382" s="257">
        <f t="shared" si="289"/>
        <v>0</v>
      </c>
      <c r="AL382" s="258">
        <f t="shared" si="290"/>
        <v>0</v>
      </c>
      <c r="AM382" s="258">
        <v>0</v>
      </c>
      <c r="AN382" s="258">
        <f t="shared" si="291"/>
        <v>0</v>
      </c>
      <c r="AO382" s="451">
        <f t="shared" si="292"/>
        <v>119548</v>
      </c>
      <c r="AP382" s="450">
        <f t="shared" si="293"/>
        <v>78448480</v>
      </c>
      <c r="AQ382" s="261" t="e">
        <f>#REF!+AH382+AA382+T382+M382</f>
        <v>#REF!</v>
      </c>
      <c r="AR382" s="261">
        <f t="shared" si="252"/>
        <v>78448480</v>
      </c>
      <c r="AS382" s="261" t="e">
        <f t="shared" si="253"/>
        <v>#REF!</v>
      </c>
      <c r="AT382" s="261">
        <f t="shared" si="254"/>
        <v>78550802</v>
      </c>
      <c r="AU382" s="261" t="e">
        <f t="shared" si="255"/>
        <v>#REF!</v>
      </c>
      <c r="AV382" s="261">
        <f t="shared" si="256"/>
        <v>148713576</v>
      </c>
      <c r="AW382" s="261" t="e">
        <f t="shared" si="257"/>
        <v>#REF!</v>
      </c>
      <c r="AX382" s="261" t="e">
        <f>AV382+#REF!+AH382+AA382+T382</f>
        <v>#REF!</v>
      </c>
      <c r="AY382" s="261" t="e">
        <f t="shared" si="258"/>
        <v>#REF!</v>
      </c>
      <c r="AZ382" s="261" t="e">
        <f t="shared" si="259"/>
        <v>#REF!</v>
      </c>
      <c r="BA382" s="261" t="e">
        <f t="shared" si="260"/>
        <v>#REF!</v>
      </c>
      <c r="BB382" s="261" t="e">
        <f t="shared" si="261"/>
        <v>#REF!</v>
      </c>
      <c r="BC382" s="261" t="e">
        <f t="shared" si="262"/>
        <v>#REF!</v>
      </c>
      <c r="BD382" s="261" t="e">
        <f t="shared" si="263"/>
        <v>#REF!</v>
      </c>
      <c r="BE382" s="261" t="e">
        <f>BC382+AV382+#REF!+AH382+AA382</f>
        <v>#REF!</v>
      </c>
      <c r="BF382" s="261" t="e">
        <f t="shared" si="264"/>
        <v>#REF!</v>
      </c>
      <c r="BG382" s="261" t="e">
        <f t="shared" si="265"/>
        <v>#REF!</v>
      </c>
    </row>
    <row r="383" spans="1:59" ht="15.75">
      <c r="A383" s="333">
        <v>10</v>
      </c>
      <c r="B383" s="333" t="s">
        <v>1607</v>
      </c>
      <c r="C383" s="256">
        <v>21</v>
      </c>
      <c r="D383" s="322" t="s">
        <v>70</v>
      </c>
      <c r="E383" s="256" t="s">
        <v>9</v>
      </c>
      <c r="F383" s="425">
        <f t="array" ref="F383">MAX((IF(MNU_CODIGO_ALIMENTO_ENTREGA=CONCATENATE($C383,"_","s_"),MNU_GRAMAJE_REQUERIDO_TIPOA,"")))</f>
        <v>30</v>
      </c>
      <c r="G383" s="257">
        <f t="shared" si="266"/>
        <v>0</v>
      </c>
      <c r="H383" s="257">
        <f t="shared" si="267"/>
        <v>14982</v>
      </c>
      <c r="I383" s="257">
        <f t="shared" si="268"/>
        <v>14982</v>
      </c>
      <c r="J383" s="258">
        <f t="shared" si="269"/>
        <v>0</v>
      </c>
      <c r="K383" s="258">
        <f t="shared" si="270"/>
        <v>7206342</v>
      </c>
      <c r="L383" s="258">
        <f t="shared" si="271"/>
        <v>7206342</v>
      </c>
      <c r="M383" s="426">
        <f t="array" ref="M383">MAX((IF(MNU_CODIGO_ALIMENTO_ENTREGA=CONCATENATE($C383,"_","s_"),MNU_GRAMAJE_REQUERIDO_TIPOB,"")))</f>
        <v>30</v>
      </c>
      <c r="N383" s="343">
        <f t="shared" si="272"/>
        <v>0</v>
      </c>
      <c r="O383" s="343">
        <f t="shared" si="273"/>
        <v>17622</v>
      </c>
      <c r="P383" s="343">
        <f t="shared" si="274"/>
        <v>17622</v>
      </c>
      <c r="Q383" s="344">
        <f t="shared" si="275"/>
        <v>0</v>
      </c>
      <c r="R383" s="344">
        <f t="shared" si="276"/>
        <v>8476182</v>
      </c>
      <c r="S383" s="344">
        <f t="shared" si="277"/>
        <v>8476182</v>
      </c>
      <c r="T383" s="348">
        <f t="array" ref="T383">MAX((IF(MNU_CODIGO_ALIMENTO_ENTREGA=CONCATENATE($C383,"_","s_"),MNU_GRAMAJE_REQUERIDO_TIPOC,"")))</f>
        <v>50</v>
      </c>
      <c r="U383" s="257">
        <f t="shared" si="278"/>
        <v>0</v>
      </c>
      <c r="V383" s="257">
        <f t="shared" si="279"/>
        <v>19294</v>
      </c>
      <c r="W383" s="257">
        <f t="shared" si="280"/>
        <v>19294</v>
      </c>
      <c r="X383" s="258">
        <f t="shared" si="281"/>
        <v>0</v>
      </c>
      <c r="Y383" s="258">
        <f t="shared" si="282"/>
        <v>15473788</v>
      </c>
      <c r="Z383" s="258">
        <f t="shared" si="283"/>
        <v>15473788</v>
      </c>
      <c r="AA383" s="256">
        <f t="array" ref="AA383">MAX((IF(MNU_CODIGO_ALIMENTO_ENTREGA=CONCATENATE($C383,"_","P_"),MNU_GRAMAJE_REQUERIDO_TIPOM,"")))</f>
        <v>0</v>
      </c>
      <c r="AB383" s="259">
        <f t="shared" si="284"/>
        <v>0</v>
      </c>
      <c r="AC383" s="259">
        <v>0</v>
      </c>
      <c r="AD383" s="259">
        <f t="shared" si="285"/>
        <v>0</v>
      </c>
      <c r="AE383" s="260">
        <f t="shared" si="286"/>
        <v>0</v>
      </c>
      <c r="AF383" s="260">
        <v>0</v>
      </c>
      <c r="AG383" s="260">
        <f t="shared" si="287"/>
        <v>0</v>
      </c>
      <c r="AH383" s="348">
        <f t="array" ref="AH383">MAX((IF(MNU_CODIGO_ALIMENTO_ENTREGA=CONCATENATE($C383,"_","P_"),MNU_GRAMAJE_REQUERIDO_TIPOH,"")))</f>
        <v>0</v>
      </c>
      <c r="AI383" s="257">
        <f t="shared" si="288"/>
        <v>0</v>
      </c>
      <c r="AJ383" s="257">
        <v>0</v>
      </c>
      <c r="AK383" s="257">
        <f t="shared" si="289"/>
        <v>0</v>
      </c>
      <c r="AL383" s="258">
        <f t="shared" si="290"/>
        <v>0</v>
      </c>
      <c r="AM383" s="258">
        <v>0</v>
      </c>
      <c r="AN383" s="258">
        <f t="shared" si="291"/>
        <v>0</v>
      </c>
      <c r="AO383" s="451">
        <f t="shared" si="292"/>
        <v>51898</v>
      </c>
      <c r="AP383" s="450">
        <f t="shared" si="293"/>
        <v>31156312</v>
      </c>
      <c r="AQ383" s="261" t="e">
        <f>#REF!+AH383+AA383+T383+M383</f>
        <v>#REF!</v>
      </c>
      <c r="AR383" s="261">
        <f t="shared" si="252"/>
        <v>31156312</v>
      </c>
      <c r="AS383" s="261" t="e">
        <f t="shared" si="253"/>
        <v>#REF!</v>
      </c>
      <c r="AT383" s="261">
        <f t="shared" si="254"/>
        <v>31193228</v>
      </c>
      <c r="AU383" s="261" t="e">
        <f t="shared" si="255"/>
        <v>#REF!</v>
      </c>
      <c r="AV383" s="261">
        <f t="shared" si="256"/>
        <v>55143198</v>
      </c>
      <c r="AW383" s="261" t="e">
        <f t="shared" si="257"/>
        <v>#REF!</v>
      </c>
      <c r="AX383" s="261" t="e">
        <f>AV383+#REF!+AH383+AA383+T383</f>
        <v>#REF!</v>
      </c>
      <c r="AY383" s="261" t="e">
        <f t="shared" si="258"/>
        <v>#REF!</v>
      </c>
      <c r="AZ383" s="261" t="e">
        <f t="shared" si="259"/>
        <v>#REF!</v>
      </c>
      <c r="BA383" s="261" t="e">
        <f t="shared" si="260"/>
        <v>#REF!</v>
      </c>
      <c r="BB383" s="261" t="e">
        <f t="shared" si="261"/>
        <v>#REF!</v>
      </c>
      <c r="BC383" s="261" t="e">
        <f t="shared" si="262"/>
        <v>#REF!</v>
      </c>
      <c r="BD383" s="261" t="e">
        <f t="shared" si="263"/>
        <v>#REF!</v>
      </c>
      <c r="BE383" s="261" t="e">
        <f>BC383+AV383+#REF!+AH383+AA383</f>
        <v>#REF!</v>
      </c>
      <c r="BF383" s="261" t="e">
        <f t="shared" si="264"/>
        <v>#REF!</v>
      </c>
      <c r="BG383" s="261" t="e">
        <f t="shared" si="265"/>
        <v>#REF!</v>
      </c>
    </row>
    <row r="384" spans="1:59" ht="15.75">
      <c r="A384" s="333">
        <v>11</v>
      </c>
      <c r="B384" s="333" t="s">
        <v>1607</v>
      </c>
      <c r="C384" s="256">
        <v>21</v>
      </c>
      <c r="D384" s="322" t="s">
        <v>70</v>
      </c>
      <c r="E384" s="256" t="s">
        <v>9</v>
      </c>
      <c r="F384" s="425">
        <f t="array" ref="F384">MAX((IF(MNU_CODIGO_ALIMENTO_ENTREGA=CONCATENATE($C384,"_","s_"),MNU_GRAMAJE_REQUERIDO_TIPOA,"")))</f>
        <v>30</v>
      </c>
      <c r="G384" s="257">
        <f t="shared" si="266"/>
        <v>0</v>
      </c>
      <c r="H384" s="257">
        <f t="shared" si="267"/>
        <v>6710</v>
      </c>
      <c r="I384" s="257">
        <f t="shared" si="268"/>
        <v>6710</v>
      </c>
      <c r="J384" s="258">
        <f t="shared" si="269"/>
        <v>0</v>
      </c>
      <c r="K384" s="258">
        <f t="shared" si="270"/>
        <v>3227510</v>
      </c>
      <c r="L384" s="258">
        <f t="shared" si="271"/>
        <v>3227510</v>
      </c>
      <c r="M384" s="426">
        <f t="array" ref="M384">MAX((IF(MNU_CODIGO_ALIMENTO_ENTREGA=CONCATENATE($C384,"_","s_"),MNU_GRAMAJE_REQUERIDO_TIPOB,"")))</f>
        <v>30</v>
      </c>
      <c r="N384" s="343">
        <f t="shared" si="272"/>
        <v>0</v>
      </c>
      <c r="O384" s="343">
        <f t="shared" si="273"/>
        <v>1650</v>
      </c>
      <c r="P384" s="343">
        <f t="shared" si="274"/>
        <v>1650</v>
      </c>
      <c r="Q384" s="344">
        <f t="shared" si="275"/>
        <v>0</v>
      </c>
      <c r="R384" s="344">
        <f t="shared" si="276"/>
        <v>793650</v>
      </c>
      <c r="S384" s="344">
        <f t="shared" si="277"/>
        <v>793650</v>
      </c>
      <c r="T384" s="348">
        <f t="array" ref="T384">MAX((IF(MNU_CODIGO_ALIMENTO_ENTREGA=CONCATENATE($C384,"_","s_"),MNU_GRAMAJE_REQUERIDO_TIPOC,"")))</f>
        <v>50</v>
      </c>
      <c r="U384" s="257">
        <f t="shared" si="278"/>
        <v>0</v>
      </c>
      <c r="V384" s="257">
        <f t="shared" si="279"/>
        <v>35926</v>
      </c>
      <c r="W384" s="257">
        <f t="shared" si="280"/>
        <v>35926</v>
      </c>
      <c r="X384" s="258">
        <f t="shared" si="281"/>
        <v>0</v>
      </c>
      <c r="Y384" s="258">
        <f t="shared" si="282"/>
        <v>28812652</v>
      </c>
      <c r="Z384" s="258">
        <f t="shared" si="283"/>
        <v>28812652</v>
      </c>
      <c r="AA384" s="256">
        <f t="array" ref="AA384">MAX((IF(MNU_CODIGO_ALIMENTO_ENTREGA=CONCATENATE($C384,"_","P_"),MNU_GRAMAJE_REQUERIDO_TIPOM,"")))</f>
        <v>0</v>
      </c>
      <c r="AB384" s="259">
        <f t="shared" si="284"/>
        <v>0</v>
      </c>
      <c r="AC384" s="259">
        <v>0</v>
      </c>
      <c r="AD384" s="259">
        <f t="shared" si="285"/>
        <v>0</v>
      </c>
      <c r="AE384" s="260">
        <f t="shared" si="286"/>
        <v>0</v>
      </c>
      <c r="AF384" s="260">
        <v>0</v>
      </c>
      <c r="AG384" s="260">
        <f t="shared" si="287"/>
        <v>0</v>
      </c>
      <c r="AH384" s="348">
        <f t="array" ref="AH384">MAX((IF(MNU_CODIGO_ALIMENTO_ENTREGA=CONCATENATE($C384,"_","P_"),MNU_GRAMAJE_REQUERIDO_TIPOH,"")))</f>
        <v>0</v>
      </c>
      <c r="AI384" s="257">
        <f t="shared" si="288"/>
        <v>0</v>
      </c>
      <c r="AJ384" s="257">
        <v>0</v>
      </c>
      <c r="AK384" s="257">
        <f t="shared" si="289"/>
        <v>0</v>
      </c>
      <c r="AL384" s="258">
        <f t="shared" si="290"/>
        <v>0</v>
      </c>
      <c r="AM384" s="258">
        <v>0</v>
      </c>
      <c r="AN384" s="258">
        <f t="shared" si="291"/>
        <v>0</v>
      </c>
      <c r="AO384" s="451">
        <f t="shared" si="292"/>
        <v>44286</v>
      </c>
      <c r="AP384" s="450">
        <f t="shared" si="293"/>
        <v>32833812</v>
      </c>
      <c r="AQ384" s="261" t="e">
        <f>#REF!+AH384+AA384+T384+M384</f>
        <v>#REF!</v>
      </c>
      <c r="AR384" s="261">
        <f t="shared" si="252"/>
        <v>32833812</v>
      </c>
      <c r="AS384" s="261" t="e">
        <f t="shared" si="253"/>
        <v>#REF!</v>
      </c>
      <c r="AT384" s="261">
        <f t="shared" si="254"/>
        <v>32871388</v>
      </c>
      <c r="AU384" s="261" t="e">
        <f t="shared" si="255"/>
        <v>#REF!</v>
      </c>
      <c r="AV384" s="261">
        <f t="shared" si="256"/>
        <v>62477690</v>
      </c>
      <c r="AW384" s="261" t="e">
        <f t="shared" si="257"/>
        <v>#REF!</v>
      </c>
      <c r="AX384" s="261" t="e">
        <f>AV384+#REF!+AH384+AA384+T384</f>
        <v>#REF!</v>
      </c>
      <c r="AY384" s="261" t="e">
        <f t="shared" si="258"/>
        <v>#REF!</v>
      </c>
      <c r="AZ384" s="261" t="e">
        <f t="shared" si="259"/>
        <v>#REF!</v>
      </c>
      <c r="BA384" s="261" t="e">
        <f t="shared" si="260"/>
        <v>#REF!</v>
      </c>
      <c r="BB384" s="261" t="e">
        <f t="shared" si="261"/>
        <v>#REF!</v>
      </c>
      <c r="BC384" s="261" t="e">
        <f t="shared" si="262"/>
        <v>#REF!</v>
      </c>
      <c r="BD384" s="261" t="e">
        <f t="shared" si="263"/>
        <v>#REF!</v>
      </c>
      <c r="BE384" s="261" t="e">
        <f>BC384+AV384+#REF!+AH384+AA384</f>
        <v>#REF!</v>
      </c>
      <c r="BF384" s="261" t="e">
        <f t="shared" si="264"/>
        <v>#REF!</v>
      </c>
      <c r="BG384" s="261" t="e">
        <f t="shared" si="265"/>
        <v>#REF!</v>
      </c>
    </row>
    <row r="385" spans="1:59" ht="15.75">
      <c r="A385" s="333">
        <v>12</v>
      </c>
      <c r="B385" s="333" t="s">
        <v>1607</v>
      </c>
      <c r="C385" s="256">
        <v>21</v>
      </c>
      <c r="D385" s="322" t="s">
        <v>70</v>
      </c>
      <c r="E385" s="256" t="s">
        <v>9</v>
      </c>
      <c r="F385" s="425">
        <f t="array" ref="F385">MAX((IF(MNU_CODIGO_ALIMENTO_ENTREGA=CONCATENATE($C385,"_","s_"),MNU_GRAMAJE_REQUERIDO_TIPOA,"")))</f>
        <v>30</v>
      </c>
      <c r="G385" s="257">
        <f t="shared" si="266"/>
        <v>0</v>
      </c>
      <c r="H385" s="257">
        <f t="shared" si="267"/>
        <v>10120</v>
      </c>
      <c r="I385" s="257">
        <f t="shared" si="268"/>
        <v>10120</v>
      </c>
      <c r="J385" s="258">
        <f t="shared" si="269"/>
        <v>0</v>
      </c>
      <c r="K385" s="258">
        <f t="shared" si="270"/>
        <v>4867720</v>
      </c>
      <c r="L385" s="258">
        <f t="shared" si="271"/>
        <v>4867720</v>
      </c>
      <c r="M385" s="426">
        <f t="array" ref="M385">MAX((IF(MNU_CODIGO_ALIMENTO_ENTREGA=CONCATENATE($C385,"_","s_"),MNU_GRAMAJE_REQUERIDO_TIPOB,"")))</f>
        <v>30</v>
      </c>
      <c r="N385" s="343">
        <f t="shared" si="272"/>
        <v>0</v>
      </c>
      <c r="O385" s="343">
        <f t="shared" si="273"/>
        <v>0</v>
      </c>
      <c r="P385" s="343">
        <f t="shared" si="274"/>
        <v>0</v>
      </c>
      <c r="Q385" s="344">
        <f t="shared" si="275"/>
        <v>0</v>
      </c>
      <c r="R385" s="344">
        <f t="shared" si="276"/>
        <v>0</v>
      </c>
      <c r="S385" s="344">
        <f t="shared" si="277"/>
        <v>0</v>
      </c>
      <c r="T385" s="348">
        <f t="array" ref="T385">MAX((IF(MNU_CODIGO_ALIMENTO_ENTREGA=CONCATENATE($C385,"_","s_"),MNU_GRAMAJE_REQUERIDO_TIPOC,"")))</f>
        <v>50</v>
      </c>
      <c r="U385" s="257">
        <f t="shared" si="278"/>
        <v>0</v>
      </c>
      <c r="V385" s="257">
        <f t="shared" si="279"/>
        <v>7414</v>
      </c>
      <c r="W385" s="257">
        <f t="shared" si="280"/>
        <v>7414</v>
      </c>
      <c r="X385" s="258">
        <f t="shared" si="281"/>
        <v>0</v>
      </c>
      <c r="Y385" s="258">
        <f t="shared" si="282"/>
        <v>5946028</v>
      </c>
      <c r="Z385" s="258">
        <f t="shared" si="283"/>
        <v>5946028</v>
      </c>
      <c r="AA385" s="256">
        <f t="array" ref="AA385">MAX((IF(MNU_CODIGO_ALIMENTO_ENTREGA=CONCATENATE($C385,"_","P_"),MNU_GRAMAJE_REQUERIDO_TIPOM,"")))</f>
        <v>0</v>
      </c>
      <c r="AB385" s="259">
        <f t="shared" si="284"/>
        <v>0</v>
      </c>
      <c r="AC385" s="259">
        <v>0</v>
      </c>
      <c r="AD385" s="259">
        <f t="shared" si="285"/>
        <v>0</v>
      </c>
      <c r="AE385" s="260">
        <f t="shared" si="286"/>
        <v>0</v>
      </c>
      <c r="AF385" s="260">
        <v>0</v>
      </c>
      <c r="AG385" s="260">
        <f t="shared" si="287"/>
        <v>0</v>
      </c>
      <c r="AH385" s="348">
        <f t="array" ref="AH385">MAX((IF(MNU_CODIGO_ALIMENTO_ENTREGA=CONCATENATE($C385,"_","P_"),MNU_GRAMAJE_REQUERIDO_TIPOH,"")))</f>
        <v>0</v>
      </c>
      <c r="AI385" s="257">
        <f t="shared" si="288"/>
        <v>0</v>
      </c>
      <c r="AJ385" s="257">
        <v>0</v>
      </c>
      <c r="AK385" s="257">
        <f t="shared" si="289"/>
        <v>0</v>
      </c>
      <c r="AL385" s="258">
        <f t="shared" si="290"/>
        <v>0</v>
      </c>
      <c r="AM385" s="258">
        <v>0</v>
      </c>
      <c r="AN385" s="258">
        <f t="shared" si="291"/>
        <v>0</v>
      </c>
      <c r="AO385" s="451">
        <f t="shared" si="292"/>
        <v>17534</v>
      </c>
      <c r="AP385" s="450">
        <f t="shared" si="293"/>
        <v>10813748</v>
      </c>
      <c r="AQ385" s="261" t="e">
        <f>#REF!+AH385+AA385+T385+M385</f>
        <v>#REF!</v>
      </c>
      <c r="AR385" s="261">
        <f t="shared" si="252"/>
        <v>10813748</v>
      </c>
      <c r="AS385" s="261" t="e">
        <f t="shared" si="253"/>
        <v>#REF!</v>
      </c>
      <c r="AT385" s="261">
        <f t="shared" si="254"/>
        <v>10821162</v>
      </c>
      <c r="AU385" s="261" t="e">
        <f t="shared" si="255"/>
        <v>#REF!</v>
      </c>
      <c r="AV385" s="261">
        <f t="shared" si="256"/>
        <v>16767190</v>
      </c>
      <c r="AW385" s="261" t="e">
        <f t="shared" si="257"/>
        <v>#REF!</v>
      </c>
      <c r="AX385" s="261" t="e">
        <f>AV385+#REF!+AH385+AA385+T385</f>
        <v>#REF!</v>
      </c>
      <c r="AY385" s="261" t="e">
        <f t="shared" si="258"/>
        <v>#REF!</v>
      </c>
      <c r="AZ385" s="261" t="e">
        <f t="shared" si="259"/>
        <v>#REF!</v>
      </c>
      <c r="BA385" s="261" t="e">
        <f t="shared" si="260"/>
        <v>#REF!</v>
      </c>
      <c r="BB385" s="261" t="e">
        <f t="shared" si="261"/>
        <v>#REF!</v>
      </c>
      <c r="BC385" s="261" t="e">
        <f t="shared" si="262"/>
        <v>#REF!</v>
      </c>
      <c r="BD385" s="261" t="e">
        <f t="shared" si="263"/>
        <v>#REF!</v>
      </c>
      <c r="BE385" s="261" t="e">
        <f>BC385+AV385+#REF!+AH385+AA385</f>
        <v>#REF!</v>
      </c>
      <c r="BF385" s="261" t="e">
        <f t="shared" si="264"/>
        <v>#REF!</v>
      </c>
      <c r="BG385" s="261" t="e">
        <f t="shared" si="265"/>
        <v>#REF!</v>
      </c>
    </row>
    <row r="386" spans="1:59" ht="15.75">
      <c r="A386" s="333">
        <v>13</v>
      </c>
      <c r="B386" s="333" t="s">
        <v>1607</v>
      </c>
      <c r="C386" s="256">
        <v>21</v>
      </c>
      <c r="D386" s="322" t="s">
        <v>70</v>
      </c>
      <c r="E386" s="256" t="s">
        <v>9</v>
      </c>
      <c r="F386" s="425">
        <f t="array" ref="F386">MAX((IF(MNU_CODIGO_ALIMENTO_ENTREGA=CONCATENATE($C386,"_","s_"),MNU_GRAMAJE_REQUERIDO_TIPOA,"")))</f>
        <v>30</v>
      </c>
      <c r="G386" s="257">
        <f t="shared" si="266"/>
        <v>0</v>
      </c>
      <c r="H386" s="257">
        <f t="shared" si="267"/>
        <v>7172</v>
      </c>
      <c r="I386" s="257">
        <f t="shared" si="268"/>
        <v>7172</v>
      </c>
      <c r="J386" s="258">
        <f t="shared" si="269"/>
        <v>0</v>
      </c>
      <c r="K386" s="258">
        <f t="shared" si="270"/>
        <v>3449732</v>
      </c>
      <c r="L386" s="258">
        <f t="shared" si="271"/>
        <v>3449732</v>
      </c>
      <c r="M386" s="426">
        <f t="array" ref="M386">MAX((IF(MNU_CODIGO_ALIMENTO_ENTREGA=CONCATENATE($C386,"_","s_"),MNU_GRAMAJE_REQUERIDO_TIPOB,"")))</f>
        <v>30</v>
      </c>
      <c r="N386" s="343">
        <f t="shared" si="272"/>
        <v>0</v>
      </c>
      <c r="O386" s="343">
        <f t="shared" si="273"/>
        <v>21340</v>
      </c>
      <c r="P386" s="343">
        <f t="shared" si="274"/>
        <v>21340</v>
      </c>
      <c r="Q386" s="344">
        <f t="shared" si="275"/>
        <v>0</v>
      </c>
      <c r="R386" s="344">
        <f t="shared" si="276"/>
        <v>10264540</v>
      </c>
      <c r="S386" s="344">
        <f t="shared" si="277"/>
        <v>10264540</v>
      </c>
      <c r="T386" s="348">
        <f t="array" ref="T386">MAX((IF(MNU_CODIGO_ALIMENTO_ENTREGA=CONCATENATE($C386,"_","s_"),MNU_GRAMAJE_REQUERIDO_TIPOC,"")))</f>
        <v>50</v>
      </c>
      <c r="U386" s="257">
        <f t="shared" si="278"/>
        <v>0</v>
      </c>
      <c r="V386" s="257">
        <f t="shared" si="279"/>
        <v>35046</v>
      </c>
      <c r="W386" s="257">
        <f t="shared" si="280"/>
        <v>35046</v>
      </c>
      <c r="X386" s="258">
        <f t="shared" si="281"/>
        <v>0</v>
      </c>
      <c r="Y386" s="258">
        <f t="shared" si="282"/>
        <v>28106892</v>
      </c>
      <c r="Z386" s="258">
        <f t="shared" si="283"/>
        <v>28106892</v>
      </c>
      <c r="AA386" s="256">
        <f t="array" ref="AA386">MAX((IF(MNU_CODIGO_ALIMENTO_ENTREGA=CONCATENATE($C386,"_","P_"),MNU_GRAMAJE_REQUERIDO_TIPOM,"")))</f>
        <v>0</v>
      </c>
      <c r="AB386" s="259">
        <f t="shared" si="284"/>
        <v>0</v>
      </c>
      <c r="AC386" s="259">
        <v>0</v>
      </c>
      <c r="AD386" s="259">
        <f t="shared" si="285"/>
        <v>0</v>
      </c>
      <c r="AE386" s="260">
        <f t="shared" si="286"/>
        <v>0</v>
      </c>
      <c r="AF386" s="260">
        <v>0</v>
      </c>
      <c r="AG386" s="260">
        <f t="shared" si="287"/>
        <v>0</v>
      </c>
      <c r="AH386" s="348">
        <f t="array" ref="AH386">MAX((IF(MNU_CODIGO_ALIMENTO_ENTREGA=CONCATENATE($C386,"_","P_"),MNU_GRAMAJE_REQUERIDO_TIPOH,"")))</f>
        <v>0</v>
      </c>
      <c r="AI386" s="257">
        <f t="shared" si="288"/>
        <v>0</v>
      </c>
      <c r="AJ386" s="257">
        <v>0</v>
      </c>
      <c r="AK386" s="257">
        <f t="shared" si="289"/>
        <v>0</v>
      </c>
      <c r="AL386" s="258">
        <f t="shared" si="290"/>
        <v>0</v>
      </c>
      <c r="AM386" s="258">
        <v>0</v>
      </c>
      <c r="AN386" s="258">
        <f t="shared" si="291"/>
        <v>0</v>
      </c>
      <c r="AO386" s="451">
        <f t="shared" si="292"/>
        <v>63558</v>
      </c>
      <c r="AP386" s="450">
        <f t="shared" si="293"/>
        <v>41821164</v>
      </c>
      <c r="AQ386" s="261" t="e">
        <f>#REF!+AH386+AA386+T386+M386</f>
        <v>#REF!</v>
      </c>
      <c r="AR386" s="261">
        <f t="shared" si="252"/>
        <v>41821164</v>
      </c>
      <c r="AS386" s="261" t="e">
        <f t="shared" si="253"/>
        <v>#REF!</v>
      </c>
      <c r="AT386" s="261">
        <f t="shared" si="254"/>
        <v>41877550</v>
      </c>
      <c r="AU386" s="261" t="e">
        <f t="shared" si="255"/>
        <v>#REF!</v>
      </c>
      <c r="AV386" s="261">
        <f t="shared" si="256"/>
        <v>80248982</v>
      </c>
      <c r="AW386" s="261" t="e">
        <f t="shared" si="257"/>
        <v>#REF!</v>
      </c>
      <c r="AX386" s="261" t="e">
        <f>AV386+#REF!+AH386+AA386+T386</f>
        <v>#REF!</v>
      </c>
      <c r="AY386" s="261" t="e">
        <f t="shared" si="258"/>
        <v>#REF!</v>
      </c>
      <c r="AZ386" s="261" t="e">
        <f t="shared" si="259"/>
        <v>#REF!</v>
      </c>
      <c r="BA386" s="261" t="e">
        <f t="shared" si="260"/>
        <v>#REF!</v>
      </c>
      <c r="BB386" s="261" t="e">
        <f t="shared" si="261"/>
        <v>#REF!</v>
      </c>
      <c r="BC386" s="261" t="e">
        <f t="shared" si="262"/>
        <v>#REF!</v>
      </c>
      <c r="BD386" s="261" t="e">
        <f t="shared" si="263"/>
        <v>#REF!</v>
      </c>
      <c r="BE386" s="261" t="e">
        <f>BC386+AV386+#REF!+AH386+AA386</f>
        <v>#REF!</v>
      </c>
      <c r="BF386" s="261" t="e">
        <f t="shared" si="264"/>
        <v>#REF!</v>
      </c>
      <c r="BG386" s="261" t="e">
        <f t="shared" si="265"/>
        <v>#REF!</v>
      </c>
    </row>
    <row r="387" spans="1:59" ht="15.75">
      <c r="A387" s="333">
        <v>14</v>
      </c>
      <c r="B387" s="333" t="s">
        <v>1607</v>
      </c>
      <c r="C387" s="256">
        <v>21</v>
      </c>
      <c r="D387" s="322" t="s">
        <v>70</v>
      </c>
      <c r="E387" s="256" t="s">
        <v>9</v>
      </c>
      <c r="F387" s="425">
        <f t="array" ref="F387">MAX((IF(MNU_CODIGO_ALIMENTO_ENTREGA=CONCATENATE($C387,"_","s_"),MNU_GRAMAJE_REQUERIDO_TIPOA,"")))</f>
        <v>30</v>
      </c>
      <c r="G387" s="257">
        <f t="shared" si="266"/>
        <v>0</v>
      </c>
      <c r="H387" s="257">
        <f t="shared" si="267"/>
        <v>21648</v>
      </c>
      <c r="I387" s="257">
        <f t="shared" si="268"/>
        <v>21648</v>
      </c>
      <c r="J387" s="258">
        <f t="shared" si="269"/>
        <v>0</v>
      </c>
      <c r="K387" s="258">
        <f t="shared" si="270"/>
        <v>10412688</v>
      </c>
      <c r="L387" s="258">
        <f t="shared" si="271"/>
        <v>10412688</v>
      </c>
      <c r="M387" s="426">
        <f t="array" ref="M387">MAX((IF(MNU_CODIGO_ALIMENTO_ENTREGA=CONCATENATE($C387,"_","s_"),MNU_GRAMAJE_REQUERIDO_TIPOB,"")))</f>
        <v>30</v>
      </c>
      <c r="N387" s="343">
        <f t="shared" si="272"/>
        <v>0</v>
      </c>
      <c r="O387" s="343">
        <f t="shared" si="273"/>
        <v>30250</v>
      </c>
      <c r="P387" s="343">
        <f t="shared" si="274"/>
        <v>30250</v>
      </c>
      <c r="Q387" s="344">
        <f t="shared" si="275"/>
        <v>0</v>
      </c>
      <c r="R387" s="344">
        <f t="shared" si="276"/>
        <v>14550250</v>
      </c>
      <c r="S387" s="344">
        <f t="shared" si="277"/>
        <v>14550250</v>
      </c>
      <c r="T387" s="348">
        <f t="array" ref="T387">MAX((IF(MNU_CODIGO_ALIMENTO_ENTREGA=CONCATENATE($C387,"_","s_"),MNU_GRAMAJE_REQUERIDO_TIPOC,"")))</f>
        <v>50</v>
      </c>
      <c r="U387" s="257">
        <f t="shared" si="278"/>
        <v>0</v>
      </c>
      <c r="V387" s="257">
        <f t="shared" si="279"/>
        <v>37642</v>
      </c>
      <c r="W387" s="257">
        <f t="shared" si="280"/>
        <v>37642</v>
      </c>
      <c r="X387" s="258">
        <f t="shared" si="281"/>
        <v>0</v>
      </c>
      <c r="Y387" s="258">
        <f t="shared" si="282"/>
        <v>30188884</v>
      </c>
      <c r="Z387" s="258">
        <f t="shared" si="283"/>
        <v>30188884</v>
      </c>
      <c r="AA387" s="256">
        <f t="array" ref="AA387">MAX((IF(MNU_CODIGO_ALIMENTO_ENTREGA=CONCATENATE($C387,"_","P_"),MNU_GRAMAJE_REQUERIDO_TIPOM,"")))</f>
        <v>0</v>
      </c>
      <c r="AB387" s="259">
        <f t="shared" si="284"/>
        <v>0</v>
      </c>
      <c r="AC387" s="259">
        <v>0</v>
      </c>
      <c r="AD387" s="259">
        <f t="shared" si="285"/>
        <v>0</v>
      </c>
      <c r="AE387" s="260">
        <f t="shared" si="286"/>
        <v>0</v>
      </c>
      <c r="AF387" s="260">
        <v>0</v>
      </c>
      <c r="AG387" s="260">
        <f t="shared" si="287"/>
        <v>0</v>
      </c>
      <c r="AH387" s="348">
        <f t="array" ref="AH387">MAX((IF(MNU_CODIGO_ALIMENTO_ENTREGA=CONCATENATE($C387,"_","P_"),MNU_GRAMAJE_REQUERIDO_TIPOH,"")))</f>
        <v>0</v>
      </c>
      <c r="AI387" s="257">
        <f t="shared" si="288"/>
        <v>0</v>
      </c>
      <c r="AJ387" s="257">
        <v>0</v>
      </c>
      <c r="AK387" s="257">
        <f t="shared" si="289"/>
        <v>0</v>
      </c>
      <c r="AL387" s="258">
        <f t="shared" si="290"/>
        <v>0</v>
      </c>
      <c r="AM387" s="258">
        <v>0</v>
      </c>
      <c r="AN387" s="258">
        <f t="shared" si="291"/>
        <v>0</v>
      </c>
      <c r="AO387" s="451">
        <f t="shared" si="292"/>
        <v>89540</v>
      </c>
      <c r="AP387" s="450">
        <f t="shared" si="293"/>
        <v>55151822</v>
      </c>
      <c r="AQ387" s="261" t="e">
        <f>#REF!+AH387+AA387+T387+M387</f>
        <v>#REF!</v>
      </c>
      <c r="AR387" s="261">
        <f t="shared" si="252"/>
        <v>55151822</v>
      </c>
      <c r="AS387" s="261" t="e">
        <f t="shared" si="253"/>
        <v>#REF!</v>
      </c>
      <c r="AT387" s="261">
        <f t="shared" si="254"/>
        <v>55219714</v>
      </c>
      <c r="AU387" s="261" t="e">
        <f t="shared" si="255"/>
        <v>#REF!</v>
      </c>
      <c r="AV387" s="261">
        <f t="shared" si="256"/>
        <v>99958848</v>
      </c>
      <c r="AW387" s="261" t="e">
        <f t="shared" si="257"/>
        <v>#REF!</v>
      </c>
      <c r="AX387" s="261" t="e">
        <f>AV387+#REF!+AH387+AA387+T387</f>
        <v>#REF!</v>
      </c>
      <c r="AY387" s="261" t="e">
        <f t="shared" si="258"/>
        <v>#REF!</v>
      </c>
      <c r="AZ387" s="261" t="e">
        <f t="shared" si="259"/>
        <v>#REF!</v>
      </c>
      <c r="BA387" s="261" t="e">
        <f t="shared" si="260"/>
        <v>#REF!</v>
      </c>
      <c r="BB387" s="261" t="e">
        <f t="shared" si="261"/>
        <v>#REF!</v>
      </c>
      <c r="BC387" s="261" t="e">
        <f t="shared" si="262"/>
        <v>#REF!</v>
      </c>
      <c r="BD387" s="261" t="e">
        <f t="shared" si="263"/>
        <v>#REF!</v>
      </c>
      <c r="BE387" s="261" t="e">
        <f>BC387+AV387+#REF!+AH387+AA387</f>
        <v>#REF!</v>
      </c>
      <c r="BF387" s="261" t="e">
        <f t="shared" si="264"/>
        <v>#REF!</v>
      </c>
      <c r="BG387" s="261" t="e">
        <f t="shared" si="265"/>
        <v>#REF!</v>
      </c>
    </row>
    <row r="388" spans="1:59" ht="15.75">
      <c r="A388" s="333">
        <v>15</v>
      </c>
      <c r="B388" s="333" t="s">
        <v>1607</v>
      </c>
      <c r="C388" s="256">
        <v>21</v>
      </c>
      <c r="D388" s="322" t="s">
        <v>70</v>
      </c>
      <c r="E388" s="256" t="s">
        <v>9</v>
      </c>
      <c r="F388" s="425">
        <f t="array" ref="F388">MAX((IF(MNU_CODIGO_ALIMENTO_ENTREGA=CONCATENATE($C388,"_","s_"),MNU_GRAMAJE_REQUERIDO_TIPOA,"")))</f>
        <v>30</v>
      </c>
      <c r="G388" s="257">
        <f t="shared" si="266"/>
        <v>0</v>
      </c>
      <c r="H388" s="257">
        <f t="shared" si="267"/>
        <v>12232</v>
      </c>
      <c r="I388" s="257">
        <f t="shared" si="268"/>
        <v>12232</v>
      </c>
      <c r="J388" s="258">
        <f t="shared" si="269"/>
        <v>0</v>
      </c>
      <c r="K388" s="258">
        <f t="shared" si="270"/>
        <v>5883592</v>
      </c>
      <c r="L388" s="258">
        <f t="shared" si="271"/>
        <v>5883592</v>
      </c>
      <c r="M388" s="426">
        <f t="array" ref="M388">MAX((IF(MNU_CODIGO_ALIMENTO_ENTREGA=CONCATENATE($C388,"_","s_"),MNU_GRAMAJE_REQUERIDO_TIPOB,"")))</f>
        <v>30</v>
      </c>
      <c r="N388" s="343">
        <f t="shared" si="272"/>
        <v>0</v>
      </c>
      <c r="O388" s="343">
        <f t="shared" si="273"/>
        <v>2266</v>
      </c>
      <c r="P388" s="343">
        <f t="shared" si="274"/>
        <v>2266</v>
      </c>
      <c r="Q388" s="344">
        <f t="shared" si="275"/>
        <v>0</v>
      </c>
      <c r="R388" s="344">
        <f t="shared" si="276"/>
        <v>1089946</v>
      </c>
      <c r="S388" s="344">
        <f t="shared" si="277"/>
        <v>1089946</v>
      </c>
      <c r="T388" s="348">
        <f t="array" ref="T388">MAX((IF(MNU_CODIGO_ALIMENTO_ENTREGA=CONCATENATE($C388,"_","s_"),MNU_GRAMAJE_REQUERIDO_TIPOC,"")))</f>
        <v>50</v>
      </c>
      <c r="U388" s="257">
        <f t="shared" si="278"/>
        <v>0</v>
      </c>
      <c r="V388" s="257">
        <f t="shared" si="279"/>
        <v>26708</v>
      </c>
      <c r="W388" s="257">
        <f t="shared" si="280"/>
        <v>26708</v>
      </c>
      <c r="X388" s="258">
        <f t="shared" si="281"/>
        <v>0</v>
      </c>
      <c r="Y388" s="258">
        <f t="shared" si="282"/>
        <v>21419816</v>
      </c>
      <c r="Z388" s="258">
        <f t="shared" si="283"/>
        <v>21419816</v>
      </c>
      <c r="AA388" s="256">
        <f t="array" ref="AA388">MAX((IF(MNU_CODIGO_ALIMENTO_ENTREGA=CONCATENATE($C388,"_","P_"),MNU_GRAMAJE_REQUERIDO_TIPOM,"")))</f>
        <v>0</v>
      </c>
      <c r="AB388" s="259">
        <f t="shared" si="284"/>
        <v>0</v>
      </c>
      <c r="AC388" s="259">
        <v>0</v>
      </c>
      <c r="AD388" s="259">
        <f t="shared" si="285"/>
        <v>0</v>
      </c>
      <c r="AE388" s="260">
        <f t="shared" si="286"/>
        <v>0</v>
      </c>
      <c r="AF388" s="260">
        <v>0</v>
      </c>
      <c r="AG388" s="260">
        <f t="shared" si="287"/>
        <v>0</v>
      </c>
      <c r="AH388" s="348">
        <f t="array" ref="AH388">MAX((IF(MNU_CODIGO_ALIMENTO_ENTREGA=CONCATENATE($C388,"_","P_"),MNU_GRAMAJE_REQUERIDO_TIPOH,"")))</f>
        <v>0</v>
      </c>
      <c r="AI388" s="257">
        <f t="shared" si="288"/>
        <v>0</v>
      </c>
      <c r="AJ388" s="257">
        <v>0</v>
      </c>
      <c r="AK388" s="257">
        <f t="shared" si="289"/>
        <v>0</v>
      </c>
      <c r="AL388" s="258">
        <f t="shared" si="290"/>
        <v>0</v>
      </c>
      <c r="AM388" s="258">
        <v>0</v>
      </c>
      <c r="AN388" s="258">
        <f t="shared" si="291"/>
        <v>0</v>
      </c>
      <c r="AO388" s="451">
        <f t="shared" si="292"/>
        <v>41206</v>
      </c>
      <c r="AP388" s="450">
        <f t="shared" si="293"/>
        <v>28393354</v>
      </c>
      <c r="AQ388" s="261" t="e">
        <f>#REF!+AH388+AA388+T388+M388</f>
        <v>#REF!</v>
      </c>
      <c r="AR388" s="261">
        <f t="shared" si="252"/>
        <v>28393354</v>
      </c>
      <c r="AS388" s="261" t="e">
        <f t="shared" si="253"/>
        <v>#REF!</v>
      </c>
      <c r="AT388" s="261">
        <f t="shared" si="254"/>
        <v>28422328</v>
      </c>
      <c r="AU388" s="261" t="e">
        <f t="shared" si="255"/>
        <v>#REF!</v>
      </c>
      <c r="AV388" s="261">
        <f t="shared" si="256"/>
        <v>50932090</v>
      </c>
      <c r="AW388" s="261" t="e">
        <f t="shared" si="257"/>
        <v>#REF!</v>
      </c>
      <c r="AX388" s="261" t="e">
        <f>AV388+#REF!+AH388+AA388+T388</f>
        <v>#REF!</v>
      </c>
      <c r="AY388" s="261" t="e">
        <f t="shared" si="258"/>
        <v>#REF!</v>
      </c>
      <c r="AZ388" s="261" t="e">
        <f t="shared" si="259"/>
        <v>#REF!</v>
      </c>
      <c r="BA388" s="261" t="e">
        <f t="shared" si="260"/>
        <v>#REF!</v>
      </c>
      <c r="BB388" s="261" t="e">
        <f t="shared" si="261"/>
        <v>#REF!</v>
      </c>
      <c r="BC388" s="261" t="e">
        <f t="shared" si="262"/>
        <v>#REF!</v>
      </c>
      <c r="BD388" s="261" t="e">
        <f t="shared" si="263"/>
        <v>#REF!</v>
      </c>
      <c r="BE388" s="261" t="e">
        <f>BC388+AV388+#REF!+AH388+AA388</f>
        <v>#REF!</v>
      </c>
      <c r="BF388" s="261" t="e">
        <f t="shared" si="264"/>
        <v>#REF!</v>
      </c>
      <c r="BG388" s="261" t="e">
        <f t="shared" si="265"/>
        <v>#REF!</v>
      </c>
    </row>
    <row r="389" spans="1:59" ht="15.75">
      <c r="A389" s="333">
        <v>16</v>
      </c>
      <c r="B389" s="333" t="s">
        <v>1607</v>
      </c>
      <c r="C389" s="256">
        <v>21</v>
      </c>
      <c r="D389" s="321" t="s">
        <v>70</v>
      </c>
      <c r="E389" s="256" t="s">
        <v>9</v>
      </c>
      <c r="F389" s="425">
        <f t="array" ref="F389">MAX((IF(MNU_CODIGO_ALIMENTO_ENTREGA=CONCATENATE($C389,"_","s_"),MNU_GRAMAJE_REQUERIDO_TIPOA,"")))</f>
        <v>30</v>
      </c>
      <c r="G389" s="257">
        <f t="shared" si="266"/>
        <v>0</v>
      </c>
      <c r="H389" s="257">
        <f t="shared" si="267"/>
        <v>20394</v>
      </c>
      <c r="I389" s="257">
        <f t="shared" si="268"/>
        <v>20394</v>
      </c>
      <c r="J389" s="258">
        <f t="shared" si="269"/>
        <v>0</v>
      </c>
      <c r="K389" s="258">
        <f t="shared" si="270"/>
        <v>9809514</v>
      </c>
      <c r="L389" s="258">
        <f t="shared" si="271"/>
        <v>9809514</v>
      </c>
      <c r="M389" s="426">
        <f t="array" ref="M389">MAX((IF(MNU_CODIGO_ALIMENTO_ENTREGA=CONCATENATE($C389,"_","s_"),MNU_GRAMAJE_REQUERIDO_TIPOB,"")))</f>
        <v>30</v>
      </c>
      <c r="N389" s="343">
        <f t="shared" si="272"/>
        <v>0</v>
      </c>
      <c r="O389" s="343">
        <f t="shared" si="273"/>
        <v>36058</v>
      </c>
      <c r="P389" s="343">
        <f t="shared" si="274"/>
        <v>36058</v>
      </c>
      <c r="Q389" s="344">
        <f t="shared" si="275"/>
        <v>0</v>
      </c>
      <c r="R389" s="344">
        <f t="shared" si="276"/>
        <v>17343898</v>
      </c>
      <c r="S389" s="344">
        <f t="shared" si="277"/>
        <v>17343898</v>
      </c>
      <c r="T389" s="348">
        <f t="array" ref="T389">MAX((IF(MNU_CODIGO_ALIMENTO_ENTREGA=CONCATENATE($C389,"_","s_"),MNU_GRAMAJE_REQUERIDO_TIPOC,"")))</f>
        <v>50</v>
      </c>
      <c r="U389" s="257">
        <f t="shared" si="278"/>
        <v>0</v>
      </c>
      <c r="V389" s="257">
        <f t="shared" si="279"/>
        <v>46596</v>
      </c>
      <c r="W389" s="257">
        <f t="shared" si="280"/>
        <v>46596</v>
      </c>
      <c r="X389" s="258">
        <f t="shared" si="281"/>
        <v>0</v>
      </c>
      <c r="Y389" s="258">
        <f t="shared" si="282"/>
        <v>37369992</v>
      </c>
      <c r="Z389" s="258">
        <f t="shared" si="283"/>
        <v>37369992</v>
      </c>
      <c r="AA389" s="256">
        <f t="array" ref="AA389">MAX((IF(MNU_CODIGO_ALIMENTO_ENTREGA=CONCATENATE($C389,"_","P_"),MNU_GRAMAJE_REQUERIDO_TIPOM,"")))</f>
        <v>0</v>
      </c>
      <c r="AB389" s="259">
        <f t="shared" si="284"/>
        <v>0</v>
      </c>
      <c r="AC389" s="259">
        <v>0</v>
      </c>
      <c r="AD389" s="259">
        <f t="shared" si="285"/>
        <v>0</v>
      </c>
      <c r="AE389" s="260">
        <f t="shared" si="286"/>
        <v>0</v>
      </c>
      <c r="AF389" s="260">
        <v>0</v>
      </c>
      <c r="AG389" s="260">
        <f t="shared" si="287"/>
        <v>0</v>
      </c>
      <c r="AH389" s="348">
        <f t="array" ref="AH389">MAX((IF(MNU_CODIGO_ALIMENTO_ENTREGA=CONCATENATE($C389,"_","P_"),MNU_GRAMAJE_REQUERIDO_TIPOH,"")))</f>
        <v>0</v>
      </c>
      <c r="AI389" s="257">
        <f t="shared" si="288"/>
        <v>0</v>
      </c>
      <c r="AJ389" s="257">
        <v>0</v>
      </c>
      <c r="AK389" s="257">
        <f t="shared" si="289"/>
        <v>0</v>
      </c>
      <c r="AL389" s="258">
        <f t="shared" si="290"/>
        <v>0</v>
      </c>
      <c r="AM389" s="258">
        <v>0</v>
      </c>
      <c r="AN389" s="258">
        <f t="shared" si="291"/>
        <v>0</v>
      </c>
      <c r="AO389" s="451">
        <f t="shared" si="292"/>
        <v>103048</v>
      </c>
      <c r="AP389" s="450">
        <f t="shared" si="293"/>
        <v>64523404</v>
      </c>
      <c r="AQ389" s="261" t="e">
        <f>#REF!+AH389+AA389+T389+M389</f>
        <v>#REF!</v>
      </c>
      <c r="AR389" s="261">
        <f t="shared" si="252"/>
        <v>64523404</v>
      </c>
      <c r="AS389" s="261" t="e">
        <f t="shared" si="253"/>
        <v>#REF!</v>
      </c>
      <c r="AT389" s="261">
        <f t="shared" si="254"/>
        <v>64606058</v>
      </c>
      <c r="AU389" s="261" t="e">
        <f t="shared" si="255"/>
        <v>#REF!</v>
      </c>
      <c r="AV389" s="261">
        <f t="shared" si="256"/>
        <v>119319948</v>
      </c>
      <c r="AW389" s="261" t="e">
        <f t="shared" si="257"/>
        <v>#REF!</v>
      </c>
      <c r="AX389" s="261" t="e">
        <f>AV389+#REF!+AH389+AA389+T389</f>
        <v>#REF!</v>
      </c>
      <c r="AY389" s="261" t="e">
        <f t="shared" si="258"/>
        <v>#REF!</v>
      </c>
      <c r="AZ389" s="261" t="e">
        <f t="shared" si="259"/>
        <v>#REF!</v>
      </c>
      <c r="BA389" s="261" t="e">
        <f t="shared" si="260"/>
        <v>#REF!</v>
      </c>
      <c r="BB389" s="261" t="e">
        <f t="shared" si="261"/>
        <v>#REF!</v>
      </c>
      <c r="BC389" s="261" t="e">
        <f t="shared" si="262"/>
        <v>#REF!</v>
      </c>
      <c r="BD389" s="261" t="e">
        <f t="shared" si="263"/>
        <v>#REF!</v>
      </c>
      <c r="BE389" s="261" t="e">
        <f>BC389+AV389+#REF!+AH389+AA389</f>
        <v>#REF!</v>
      </c>
      <c r="BF389" s="261" t="e">
        <f t="shared" si="264"/>
        <v>#REF!</v>
      </c>
      <c r="BG389" s="261" t="e">
        <f t="shared" si="265"/>
        <v>#REF!</v>
      </c>
    </row>
    <row r="390" spans="1:59" ht="15.75">
      <c r="A390" s="333">
        <v>17</v>
      </c>
      <c r="B390" s="333" t="s">
        <v>1607</v>
      </c>
      <c r="C390" s="256">
        <v>21</v>
      </c>
      <c r="D390" s="322" t="s">
        <v>70</v>
      </c>
      <c r="E390" s="256" t="s">
        <v>9</v>
      </c>
      <c r="F390" s="425">
        <f t="array" ref="F390">MAX((IF(MNU_CODIGO_ALIMENTO_ENTREGA=CONCATENATE($C390,"_","s_"),MNU_GRAMAJE_REQUERIDO_TIPOA,"")))</f>
        <v>30</v>
      </c>
      <c r="G390" s="257">
        <f t="shared" si="266"/>
        <v>0</v>
      </c>
      <c r="H390" s="257">
        <f t="shared" si="267"/>
        <v>26378</v>
      </c>
      <c r="I390" s="257">
        <f t="shared" si="268"/>
        <v>26378</v>
      </c>
      <c r="J390" s="258">
        <f t="shared" si="269"/>
        <v>0</v>
      </c>
      <c r="K390" s="258">
        <f t="shared" si="270"/>
        <v>12687818</v>
      </c>
      <c r="L390" s="258">
        <f t="shared" si="271"/>
        <v>12687818</v>
      </c>
      <c r="M390" s="426">
        <f t="array" ref="M390">MAX((IF(MNU_CODIGO_ALIMENTO_ENTREGA=CONCATENATE($C390,"_","s_"),MNU_GRAMAJE_REQUERIDO_TIPOB,"")))</f>
        <v>30</v>
      </c>
      <c r="N390" s="343">
        <f t="shared" si="272"/>
        <v>0</v>
      </c>
      <c r="O390" s="343">
        <f t="shared" si="273"/>
        <v>37048</v>
      </c>
      <c r="P390" s="343">
        <f t="shared" si="274"/>
        <v>37048</v>
      </c>
      <c r="Q390" s="344">
        <f t="shared" si="275"/>
        <v>0</v>
      </c>
      <c r="R390" s="344">
        <f t="shared" si="276"/>
        <v>17820088</v>
      </c>
      <c r="S390" s="344">
        <f t="shared" si="277"/>
        <v>17820088</v>
      </c>
      <c r="T390" s="348">
        <f t="array" ref="T390">MAX((IF(MNU_CODIGO_ALIMENTO_ENTREGA=CONCATENATE($C390,"_","s_"),MNU_GRAMAJE_REQUERIDO_TIPOC,"")))</f>
        <v>50</v>
      </c>
      <c r="U390" s="257">
        <f t="shared" si="278"/>
        <v>0</v>
      </c>
      <c r="V390" s="257">
        <f t="shared" si="279"/>
        <v>36322</v>
      </c>
      <c r="W390" s="257">
        <f t="shared" si="280"/>
        <v>36322</v>
      </c>
      <c r="X390" s="258">
        <f t="shared" si="281"/>
        <v>0</v>
      </c>
      <c r="Y390" s="258">
        <f t="shared" si="282"/>
        <v>29130244</v>
      </c>
      <c r="Z390" s="258">
        <f t="shared" si="283"/>
        <v>29130244</v>
      </c>
      <c r="AA390" s="256">
        <f t="array" ref="AA390">MAX((IF(MNU_CODIGO_ALIMENTO_ENTREGA=CONCATENATE($C390,"_","P_"),MNU_GRAMAJE_REQUERIDO_TIPOM,"")))</f>
        <v>0</v>
      </c>
      <c r="AB390" s="259">
        <f t="shared" si="284"/>
        <v>0</v>
      </c>
      <c r="AC390" s="259">
        <v>0</v>
      </c>
      <c r="AD390" s="259">
        <f t="shared" si="285"/>
        <v>0</v>
      </c>
      <c r="AE390" s="260">
        <f t="shared" si="286"/>
        <v>0</v>
      </c>
      <c r="AF390" s="260">
        <v>0</v>
      </c>
      <c r="AG390" s="260">
        <f t="shared" si="287"/>
        <v>0</v>
      </c>
      <c r="AH390" s="348">
        <f t="array" ref="AH390">MAX((IF(MNU_CODIGO_ALIMENTO_ENTREGA=CONCATENATE($C390,"_","P_"),MNU_GRAMAJE_REQUERIDO_TIPOH,"")))</f>
        <v>0</v>
      </c>
      <c r="AI390" s="257">
        <f t="shared" si="288"/>
        <v>0</v>
      </c>
      <c r="AJ390" s="257">
        <v>0</v>
      </c>
      <c r="AK390" s="257">
        <f t="shared" si="289"/>
        <v>0</v>
      </c>
      <c r="AL390" s="258">
        <f t="shared" si="290"/>
        <v>0</v>
      </c>
      <c r="AM390" s="258">
        <v>0</v>
      </c>
      <c r="AN390" s="258">
        <f t="shared" si="291"/>
        <v>0</v>
      </c>
      <c r="AO390" s="451">
        <f t="shared" si="292"/>
        <v>99748</v>
      </c>
      <c r="AP390" s="450">
        <f t="shared" si="293"/>
        <v>59638150</v>
      </c>
      <c r="AQ390" s="261" t="e">
        <f>#REF!+AH390+AA390+T390+M390</f>
        <v>#REF!</v>
      </c>
      <c r="AR390" s="261">
        <f t="shared" si="252"/>
        <v>59638150</v>
      </c>
      <c r="AS390" s="261" t="e">
        <f t="shared" si="253"/>
        <v>#REF!</v>
      </c>
      <c r="AT390" s="261">
        <f t="shared" si="254"/>
        <v>59711520</v>
      </c>
      <c r="AU390" s="261" t="e">
        <f t="shared" si="255"/>
        <v>#REF!</v>
      </c>
      <c r="AV390" s="261">
        <f t="shared" si="256"/>
        <v>106661852</v>
      </c>
      <c r="AW390" s="261" t="e">
        <f t="shared" si="257"/>
        <v>#REF!</v>
      </c>
      <c r="AX390" s="261" t="e">
        <f>AV390+#REF!+AH390+AA390+T390</f>
        <v>#REF!</v>
      </c>
      <c r="AY390" s="261" t="e">
        <f t="shared" si="258"/>
        <v>#REF!</v>
      </c>
      <c r="AZ390" s="261" t="e">
        <f t="shared" si="259"/>
        <v>#REF!</v>
      </c>
      <c r="BA390" s="261" t="e">
        <f t="shared" si="260"/>
        <v>#REF!</v>
      </c>
      <c r="BB390" s="261" t="e">
        <f t="shared" si="261"/>
        <v>#REF!</v>
      </c>
      <c r="BC390" s="261" t="e">
        <f t="shared" si="262"/>
        <v>#REF!</v>
      </c>
      <c r="BD390" s="261" t="e">
        <f t="shared" si="263"/>
        <v>#REF!</v>
      </c>
      <c r="BE390" s="261" t="e">
        <f>BC390+AV390+#REF!+AH390+AA390</f>
        <v>#REF!</v>
      </c>
      <c r="BF390" s="261" t="e">
        <f t="shared" si="264"/>
        <v>#REF!</v>
      </c>
      <c r="BG390" s="261" t="e">
        <f t="shared" si="265"/>
        <v>#REF!</v>
      </c>
    </row>
    <row r="391" spans="1:59" ht="15.75">
      <c r="A391" s="333">
        <v>18</v>
      </c>
      <c r="B391" s="333" t="s">
        <v>1607</v>
      </c>
      <c r="C391" s="256">
        <v>21</v>
      </c>
      <c r="D391" s="322" t="s">
        <v>70</v>
      </c>
      <c r="E391" s="256" t="s">
        <v>9</v>
      </c>
      <c r="F391" s="425">
        <f t="array" ref="F391">MAX((IF(MNU_CODIGO_ALIMENTO_ENTREGA=CONCATENATE($C391,"_","s_"),MNU_GRAMAJE_REQUERIDO_TIPOA,"")))</f>
        <v>30</v>
      </c>
      <c r="G391" s="257">
        <f t="shared" si="266"/>
        <v>0</v>
      </c>
      <c r="H391" s="257">
        <f t="shared" si="267"/>
        <v>19800</v>
      </c>
      <c r="I391" s="257">
        <f t="shared" si="268"/>
        <v>19800</v>
      </c>
      <c r="J391" s="258">
        <f t="shared" si="269"/>
        <v>0</v>
      </c>
      <c r="K391" s="258">
        <f t="shared" si="270"/>
        <v>9523800</v>
      </c>
      <c r="L391" s="258">
        <f t="shared" si="271"/>
        <v>9523800</v>
      </c>
      <c r="M391" s="426">
        <f t="array" ref="M391">MAX((IF(MNU_CODIGO_ALIMENTO_ENTREGA=CONCATENATE($C391,"_","s_"),MNU_GRAMAJE_REQUERIDO_TIPOB,"")))</f>
        <v>30</v>
      </c>
      <c r="N391" s="343">
        <f t="shared" si="272"/>
        <v>0</v>
      </c>
      <c r="O391" s="343">
        <f t="shared" si="273"/>
        <v>23672</v>
      </c>
      <c r="P391" s="343">
        <f t="shared" si="274"/>
        <v>23672</v>
      </c>
      <c r="Q391" s="344">
        <f t="shared" si="275"/>
        <v>0</v>
      </c>
      <c r="R391" s="344">
        <f t="shared" si="276"/>
        <v>11386232</v>
      </c>
      <c r="S391" s="344">
        <f t="shared" si="277"/>
        <v>11386232</v>
      </c>
      <c r="T391" s="348">
        <f t="array" ref="T391">MAX((IF(MNU_CODIGO_ALIMENTO_ENTREGA=CONCATENATE($C391,"_","s_"),MNU_GRAMAJE_REQUERIDO_TIPOC,"")))</f>
        <v>50</v>
      </c>
      <c r="U391" s="257">
        <f t="shared" si="278"/>
        <v>0</v>
      </c>
      <c r="V391" s="257">
        <f t="shared" si="279"/>
        <v>19976</v>
      </c>
      <c r="W391" s="257">
        <f t="shared" si="280"/>
        <v>19976</v>
      </c>
      <c r="X391" s="258">
        <f t="shared" si="281"/>
        <v>0</v>
      </c>
      <c r="Y391" s="258">
        <f t="shared" si="282"/>
        <v>16020752</v>
      </c>
      <c r="Z391" s="258">
        <f t="shared" si="283"/>
        <v>16020752</v>
      </c>
      <c r="AA391" s="256">
        <f t="array" ref="AA391">MAX((IF(MNU_CODIGO_ALIMENTO_ENTREGA=CONCATENATE($C391,"_","P_"),MNU_GRAMAJE_REQUERIDO_TIPOM,"")))</f>
        <v>0</v>
      </c>
      <c r="AB391" s="259">
        <f t="shared" si="284"/>
        <v>0</v>
      </c>
      <c r="AC391" s="259">
        <v>0</v>
      </c>
      <c r="AD391" s="259">
        <f t="shared" si="285"/>
        <v>0</v>
      </c>
      <c r="AE391" s="260">
        <f t="shared" si="286"/>
        <v>0</v>
      </c>
      <c r="AF391" s="260">
        <v>0</v>
      </c>
      <c r="AG391" s="260">
        <f t="shared" si="287"/>
        <v>0</v>
      </c>
      <c r="AH391" s="348">
        <f t="array" ref="AH391">MAX((IF(MNU_CODIGO_ALIMENTO_ENTREGA=CONCATENATE($C391,"_","P_"),MNU_GRAMAJE_REQUERIDO_TIPOH,"")))</f>
        <v>0</v>
      </c>
      <c r="AI391" s="257">
        <f t="shared" si="288"/>
        <v>0</v>
      </c>
      <c r="AJ391" s="257">
        <v>0</v>
      </c>
      <c r="AK391" s="257">
        <f t="shared" si="289"/>
        <v>0</v>
      </c>
      <c r="AL391" s="258">
        <f t="shared" si="290"/>
        <v>0</v>
      </c>
      <c r="AM391" s="258">
        <v>0</v>
      </c>
      <c r="AN391" s="258">
        <f t="shared" si="291"/>
        <v>0</v>
      </c>
      <c r="AO391" s="451">
        <f t="shared" si="292"/>
        <v>63448</v>
      </c>
      <c r="AP391" s="450">
        <f t="shared" si="293"/>
        <v>36930784</v>
      </c>
      <c r="AQ391" s="261" t="e">
        <f>#REF!+AH391+AA391+T391+M391</f>
        <v>#REF!</v>
      </c>
      <c r="AR391" s="261">
        <f t="shared" si="252"/>
        <v>36930784</v>
      </c>
      <c r="AS391" s="261" t="e">
        <f t="shared" si="253"/>
        <v>#REF!</v>
      </c>
      <c r="AT391" s="261">
        <f t="shared" si="254"/>
        <v>36974432</v>
      </c>
      <c r="AU391" s="261" t="e">
        <f t="shared" si="255"/>
        <v>#REF!</v>
      </c>
      <c r="AV391" s="261">
        <f t="shared" si="256"/>
        <v>64381416</v>
      </c>
      <c r="AW391" s="261" t="e">
        <f t="shared" si="257"/>
        <v>#REF!</v>
      </c>
      <c r="AX391" s="261" t="e">
        <f>AV391+#REF!+AH391+AA391+T391</f>
        <v>#REF!</v>
      </c>
      <c r="AY391" s="261" t="e">
        <f t="shared" si="258"/>
        <v>#REF!</v>
      </c>
      <c r="AZ391" s="261" t="e">
        <f t="shared" si="259"/>
        <v>#REF!</v>
      </c>
      <c r="BA391" s="261" t="e">
        <f t="shared" si="260"/>
        <v>#REF!</v>
      </c>
      <c r="BB391" s="261" t="e">
        <f t="shared" si="261"/>
        <v>#REF!</v>
      </c>
      <c r="BC391" s="261" t="e">
        <f t="shared" si="262"/>
        <v>#REF!</v>
      </c>
      <c r="BD391" s="261" t="e">
        <f t="shared" si="263"/>
        <v>#REF!</v>
      </c>
      <c r="BE391" s="261" t="e">
        <f>BC391+AV391+#REF!+AH391+AA391</f>
        <v>#REF!</v>
      </c>
      <c r="BF391" s="261" t="e">
        <f t="shared" si="264"/>
        <v>#REF!</v>
      </c>
      <c r="BG391" s="261" t="e">
        <f t="shared" si="265"/>
        <v>#REF!</v>
      </c>
    </row>
    <row r="392" spans="1:59" ht="15.75">
      <c r="A392" s="333">
        <v>19</v>
      </c>
      <c r="B392" s="333" t="s">
        <v>1607</v>
      </c>
      <c r="C392" s="256">
        <v>21</v>
      </c>
      <c r="D392" s="322" t="s">
        <v>70</v>
      </c>
      <c r="E392" s="256" t="s">
        <v>9</v>
      </c>
      <c r="F392" s="425">
        <f t="array" ref="F392">MAX((IF(MNU_CODIGO_ALIMENTO_ENTREGA=CONCATENATE($C392,"_","s_"),MNU_GRAMAJE_REQUERIDO_TIPOA,"")))</f>
        <v>30</v>
      </c>
      <c r="G392" s="257">
        <f t="shared" si="266"/>
        <v>0</v>
      </c>
      <c r="H392" s="257">
        <f t="shared" si="267"/>
        <v>8712</v>
      </c>
      <c r="I392" s="257">
        <f t="shared" si="268"/>
        <v>8712</v>
      </c>
      <c r="J392" s="258">
        <f t="shared" si="269"/>
        <v>0</v>
      </c>
      <c r="K392" s="258">
        <f t="shared" si="270"/>
        <v>4190472</v>
      </c>
      <c r="L392" s="258">
        <f t="shared" si="271"/>
        <v>4190472</v>
      </c>
      <c r="M392" s="426">
        <f t="array" ref="M392">MAX((IF(MNU_CODIGO_ALIMENTO_ENTREGA=CONCATENATE($C392,"_","s_"),MNU_GRAMAJE_REQUERIDO_TIPOB,"")))</f>
        <v>30</v>
      </c>
      <c r="N392" s="343">
        <f t="shared" si="272"/>
        <v>0</v>
      </c>
      <c r="O392" s="343">
        <f t="shared" si="273"/>
        <v>19602</v>
      </c>
      <c r="P392" s="343">
        <f t="shared" si="274"/>
        <v>19602</v>
      </c>
      <c r="Q392" s="344">
        <f t="shared" si="275"/>
        <v>0</v>
      </c>
      <c r="R392" s="344">
        <f t="shared" si="276"/>
        <v>9428562</v>
      </c>
      <c r="S392" s="344">
        <f t="shared" si="277"/>
        <v>9428562</v>
      </c>
      <c r="T392" s="348">
        <f t="array" ref="T392">MAX((IF(MNU_CODIGO_ALIMENTO_ENTREGA=CONCATENATE($C392,"_","s_"),MNU_GRAMAJE_REQUERIDO_TIPOC,"")))</f>
        <v>50</v>
      </c>
      <c r="U392" s="257">
        <f t="shared" si="278"/>
        <v>0</v>
      </c>
      <c r="V392" s="257">
        <f t="shared" si="279"/>
        <v>23210</v>
      </c>
      <c r="W392" s="257">
        <f t="shared" si="280"/>
        <v>23210</v>
      </c>
      <c r="X392" s="258">
        <f t="shared" si="281"/>
        <v>0</v>
      </c>
      <c r="Y392" s="258">
        <f t="shared" si="282"/>
        <v>18614420</v>
      </c>
      <c r="Z392" s="258">
        <f t="shared" si="283"/>
        <v>18614420</v>
      </c>
      <c r="AA392" s="256">
        <f t="array" ref="AA392">MAX((IF(MNU_CODIGO_ALIMENTO_ENTREGA=CONCATENATE($C392,"_","P_"),MNU_GRAMAJE_REQUERIDO_TIPOM,"")))</f>
        <v>0</v>
      </c>
      <c r="AB392" s="259">
        <f t="shared" si="284"/>
        <v>0</v>
      </c>
      <c r="AC392" s="259">
        <v>0</v>
      </c>
      <c r="AD392" s="259">
        <f t="shared" si="285"/>
        <v>0</v>
      </c>
      <c r="AE392" s="260">
        <f t="shared" si="286"/>
        <v>0</v>
      </c>
      <c r="AF392" s="260">
        <v>0</v>
      </c>
      <c r="AG392" s="260">
        <f t="shared" si="287"/>
        <v>0</v>
      </c>
      <c r="AH392" s="348">
        <f t="array" ref="AH392">MAX((IF(MNU_CODIGO_ALIMENTO_ENTREGA=CONCATENATE($C392,"_","P_"),MNU_GRAMAJE_REQUERIDO_TIPOH,"")))</f>
        <v>0</v>
      </c>
      <c r="AI392" s="257">
        <f t="shared" si="288"/>
        <v>0</v>
      </c>
      <c r="AJ392" s="257">
        <v>0</v>
      </c>
      <c r="AK392" s="257">
        <f t="shared" si="289"/>
        <v>0</v>
      </c>
      <c r="AL392" s="258">
        <f t="shared" si="290"/>
        <v>0</v>
      </c>
      <c r="AM392" s="258">
        <v>0</v>
      </c>
      <c r="AN392" s="258">
        <f t="shared" si="291"/>
        <v>0</v>
      </c>
      <c r="AO392" s="451">
        <f t="shared" si="292"/>
        <v>51524</v>
      </c>
      <c r="AP392" s="450">
        <f t="shared" si="293"/>
        <v>32233454</v>
      </c>
      <c r="AQ392" s="261" t="e">
        <f>#REF!+AH392+AA392+T392+M392</f>
        <v>#REF!</v>
      </c>
      <c r="AR392" s="261">
        <f t="shared" si="252"/>
        <v>32233454</v>
      </c>
      <c r="AS392" s="261" t="e">
        <f t="shared" si="253"/>
        <v>#REF!</v>
      </c>
      <c r="AT392" s="261">
        <f t="shared" si="254"/>
        <v>32276266</v>
      </c>
      <c r="AU392" s="261" t="e">
        <f t="shared" si="255"/>
        <v>#REF!</v>
      </c>
      <c r="AV392" s="261">
        <f t="shared" si="256"/>
        <v>60319248</v>
      </c>
      <c r="AW392" s="261" t="e">
        <f t="shared" si="257"/>
        <v>#REF!</v>
      </c>
      <c r="AX392" s="261" t="e">
        <f>AV392+#REF!+AH392+AA392+T392</f>
        <v>#REF!</v>
      </c>
      <c r="AY392" s="261" t="e">
        <f t="shared" si="258"/>
        <v>#REF!</v>
      </c>
      <c r="AZ392" s="261" t="e">
        <f t="shared" si="259"/>
        <v>#REF!</v>
      </c>
      <c r="BA392" s="261" t="e">
        <f t="shared" si="260"/>
        <v>#REF!</v>
      </c>
      <c r="BB392" s="261" t="e">
        <f t="shared" si="261"/>
        <v>#REF!</v>
      </c>
      <c r="BC392" s="261" t="e">
        <f t="shared" si="262"/>
        <v>#REF!</v>
      </c>
      <c r="BD392" s="261" t="e">
        <f t="shared" si="263"/>
        <v>#REF!</v>
      </c>
      <c r="BE392" s="261" t="e">
        <f>BC392+AV392+#REF!+AH392+AA392</f>
        <v>#REF!</v>
      </c>
      <c r="BF392" s="261" t="e">
        <f t="shared" si="264"/>
        <v>#REF!</v>
      </c>
      <c r="BG392" s="261" t="e">
        <f t="shared" si="265"/>
        <v>#REF!</v>
      </c>
    </row>
    <row r="393" spans="1:59" ht="15.75">
      <c r="A393" s="333">
        <v>20</v>
      </c>
      <c r="B393" s="333" t="s">
        <v>1607</v>
      </c>
      <c r="C393" s="256">
        <v>21</v>
      </c>
      <c r="D393" s="322" t="s">
        <v>70</v>
      </c>
      <c r="E393" s="256" t="s">
        <v>9</v>
      </c>
      <c r="F393" s="425">
        <f t="array" ref="F393">MAX((IF(MNU_CODIGO_ALIMENTO_ENTREGA=CONCATENATE($C393,"_","s_"),MNU_GRAMAJE_REQUERIDO_TIPOA,"")))</f>
        <v>30</v>
      </c>
      <c r="G393" s="257">
        <f t="shared" si="266"/>
        <v>0</v>
      </c>
      <c r="H393" s="257">
        <f t="shared" si="267"/>
        <v>28688</v>
      </c>
      <c r="I393" s="257">
        <f t="shared" si="268"/>
        <v>28688</v>
      </c>
      <c r="J393" s="258">
        <f t="shared" si="269"/>
        <v>0</v>
      </c>
      <c r="K393" s="258">
        <f t="shared" si="270"/>
        <v>13798928</v>
      </c>
      <c r="L393" s="258">
        <f t="shared" si="271"/>
        <v>13798928</v>
      </c>
      <c r="M393" s="426">
        <f t="array" ref="M393">MAX((IF(MNU_CODIGO_ALIMENTO_ENTREGA=CONCATENATE($C393,"_","s_"),MNU_GRAMAJE_REQUERIDO_TIPOB,"")))</f>
        <v>30</v>
      </c>
      <c r="N393" s="343">
        <f t="shared" si="272"/>
        <v>0</v>
      </c>
      <c r="O393" s="343">
        <f t="shared" si="273"/>
        <v>12650</v>
      </c>
      <c r="P393" s="343">
        <f t="shared" si="274"/>
        <v>12650</v>
      </c>
      <c r="Q393" s="344">
        <f t="shared" si="275"/>
        <v>0</v>
      </c>
      <c r="R393" s="344">
        <f t="shared" si="276"/>
        <v>6084650</v>
      </c>
      <c r="S393" s="344">
        <f t="shared" si="277"/>
        <v>6084650</v>
      </c>
      <c r="T393" s="348">
        <f t="array" ref="T393">MAX((IF(MNU_CODIGO_ALIMENTO_ENTREGA=CONCATENATE($C393,"_","s_"),MNU_GRAMAJE_REQUERIDO_TIPOC,"")))</f>
        <v>50</v>
      </c>
      <c r="U393" s="257">
        <f t="shared" si="278"/>
        <v>0</v>
      </c>
      <c r="V393" s="257">
        <f t="shared" si="279"/>
        <v>19096</v>
      </c>
      <c r="W393" s="257">
        <f t="shared" si="280"/>
        <v>19096</v>
      </c>
      <c r="X393" s="258">
        <f t="shared" si="281"/>
        <v>0</v>
      </c>
      <c r="Y393" s="258">
        <f t="shared" si="282"/>
        <v>15314992</v>
      </c>
      <c r="Z393" s="258">
        <f t="shared" si="283"/>
        <v>15314992</v>
      </c>
      <c r="AA393" s="256">
        <f t="array" ref="AA393">MAX((IF(MNU_CODIGO_ALIMENTO_ENTREGA=CONCATENATE($C393,"_","P_"),MNU_GRAMAJE_REQUERIDO_TIPOM,"")))</f>
        <v>0</v>
      </c>
      <c r="AB393" s="259">
        <f t="shared" si="284"/>
        <v>0</v>
      </c>
      <c r="AC393" s="259">
        <v>0</v>
      </c>
      <c r="AD393" s="259">
        <f t="shared" si="285"/>
        <v>0</v>
      </c>
      <c r="AE393" s="260">
        <f t="shared" si="286"/>
        <v>0</v>
      </c>
      <c r="AF393" s="260">
        <v>0</v>
      </c>
      <c r="AG393" s="260">
        <f t="shared" si="287"/>
        <v>0</v>
      </c>
      <c r="AH393" s="348">
        <f t="array" ref="AH393">MAX((IF(MNU_CODIGO_ALIMENTO_ENTREGA=CONCATENATE($C393,"_","P_"),MNU_GRAMAJE_REQUERIDO_TIPOH,"")))</f>
        <v>0</v>
      </c>
      <c r="AI393" s="257">
        <f t="shared" si="288"/>
        <v>0</v>
      </c>
      <c r="AJ393" s="257">
        <v>0</v>
      </c>
      <c r="AK393" s="257">
        <f t="shared" si="289"/>
        <v>0</v>
      </c>
      <c r="AL393" s="258">
        <f t="shared" si="290"/>
        <v>0</v>
      </c>
      <c r="AM393" s="258">
        <v>0</v>
      </c>
      <c r="AN393" s="258">
        <f t="shared" si="291"/>
        <v>0</v>
      </c>
      <c r="AO393" s="451">
        <f t="shared" si="292"/>
        <v>60434</v>
      </c>
      <c r="AP393" s="450">
        <f t="shared" si="293"/>
        <v>35198570</v>
      </c>
      <c r="AQ393" s="261" t="e">
        <f>#REF!+AH393+AA393+T393+M393</f>
        <v>#REF!</v>
      </c>
      <c r="AR393" s="261">
        <f t="shared" si="252"/>
        <v>35198570</v>
      </c>
      <c r="AS393" s="261" t="e">
        <f t="shared" si="253"/>
        <v>#REF!</v>
      </c>
      <c r="AT393" s="261">
        <f t="shared" si="254"/>
        <v>35230316</v>
      </c>
      <c r="AU393" s="261" t="e">
        <f t="shared" si="255"/>
        <v>#REF!</v>
      </c>
      <c r="AV393" s="261">
        <f t="shared" si="256"/>
        <v>56629958</v>
      </c>
      <c r="AW393" s="261" t="e">
        <f t="shared" si="257"/>
        <v>#REF!</v>
      </c>
      <c r="AX393" s="261" t="e">
        <f>AV393+#REF!+AH393+AA393+T393</f>
        <v>#REF!</v>
      </c>
      <c r="AY393" s="261" t="e">
        <f t="shared" si="258"/>
        <v>#REF!</v>
      </c>
      <c r="AZ393" s="261" t="e">
        <f t="shared" si="259"/>
        <v>#REF!</v>
      </c>
      <c r="BA393" s="261" t="e">
        <f t="shared" si="260"/>
        <v>#REF!</v>
      </c>
      <c r="BB393" s="261" t="e">
        <f t="shared" si="261"/>
        <v>#REF!</v>
      </c>
      <c r="BC393" s="261" t="e">
        <f t="shared" si="262"/>
        <v>#REF!</v>
      </c>
      <c r="BD393" s="261" t="e">
        <f t="shared" si="263"/>
        <v>#REF!</v>
      </c>
      <c r="BE393" s="261" t="e">
        <f>BC393+AV393+#REF!+AH393+AA393</f>
        <v>#REF!</v>
      </c>
      <c r="BF393" s="261" t="e">
        <f t="shared" si="264"/>
        <v>#REF!</v>
      </c>
      <c r="BG393" s="261" t="e">
        <f t="shared" si="265"/>
        <v>#REF!</v>
      </c>
    </row>
    <row r="394" spans="1:59" ht="15.75">
      <c r="A394" s="333">
        <v>21</v>
      </c>
      <c r="B394" s="333" t="s">
        <v>1607</v>
      </c>
      <c r="C394" s="256">
        <v>21</v>
      </c>
      <c r="D394" s="322" t="s">
        <v>70</v>
      </c>
      <c r="E394" s="256" t="s">
        <v>9</v>
      </c>
      <c r="F394" s="425">
        <f t="array" ref="F394">MAX((IF(MNU_CODIGO_ALIMENTO_ENTREGA=CONCATENATE($C394,"_","s_"),MNU_GRAMAJE_REQUERIDO_TIPOA,"")))</f>
        <v>30</v>
      </c>
      <c r="G394" s="257">
        <f t="shared" si="266"/>
        <v>0</v>
      </c>
      <c r="H394" s="257">
        <f t="shared" si="267"/>
        <v>26246</v>
      </c>
      <c r="I394" s="257">
        <f t="shared" si="268"/>
        <v>26246</v>
      </c>
      <c r="J394" s="258">
        <f t="shared" si="269"/>
        <v>0</v>
      </c>
      <c r="K394" s="258">
        <f t="shared" si="270"/>
        <v>12624326</v>
      </c>
      <c r="L394" s="258">
        <f t="shared" si="271"/>
        <v>12624326</v>
      </c>
      <c r="M394" s="426">
        <f t="array" ref="M394">MAX((IF(MNU_CODIGO_ALIMENTO_ENTREGA=CONCATENATE($C394,"_","s_"),MNU_GRAMAJE_REQUERIDO_TIPOB,"")))</f>
        <v>30</v>
      </c>
      <c r="N394" s="343">
        <f t="shared" si="272"/>
        <v>0</v>
      </c>
      <c r="O394" s="343">
        <f t="shared" si="273"/>
        <v>15488</v>
      </c>
      <c r="P394" s="343">
        <f t="shared" si="274"/>
        <v>15488</v>
      </c>
      <c r="Q394" s="344">
        <f t="shared" si="275"/>
        <v>0</v>
      </c>
      <c r="R394" s="344">
        <f t="shared" si="276"/>
        <v>7449728</v>
      </c>
      <c r="S394" s="344">
        <f t="shared" si="277"/>
        <v>7449728</v>
      </c>
      <c r="T394" s="348">
        <f t="array" ref="T394">MAX((IF(MNU_CODIGO_ALIMENTO_ENTREGA=CONCATENATE($C394,"_","s_"),MNU_GRAMAJE_REQUERIDO_TIPOC,"")))</f>
        <v>50</v>
      </c>
      <c r="U394" s="257">
        <f t="shared" si="278"/>
        <v>0</v>
      </c>
      <c r="V394" s="257">
        <f t="shared" si="279"/>
        <v>24222</v>
      </c>
      <c r="W394" s="257">
        <f t="shared" si="280"/>
        <v>24222</v>
      </c>
      <c r="X394" s="258">
        <f t="shared" si="281"/>
        <v>0</v>
      </c>
      <c r="Y394" s="258">
        <f t="shared" si="282"/>
        <v>19426044</v>
      </c>
      <c r="Z394" s="258">
        <f t="shared" si="283"/>
        <v>19426044</v>
      </c>
      <c r="AA394" s="256">
        <f t="array" ref="AA394">MAX((IF(MNU_CODIGO_ALIMENTO_ENTREGA=CONCATENATE($C394,"_","P_"),MNU_GRAMAJE_REQUERIDO_TIPOM,"")))</f>
        <v>0</v>
      </c>
      <c r="AB394" s="259">
        <f t="shared" si="284"/>
        <v>0</v>
      </c>
      <c r="AC394" s="259">
        <v>0</v>
      </c>
      <c r="AD394" s="259">
        <f t="shared" si="285"/>
        <v>0</v>
      </c>
      <c r="AE394" s="260">
        <f t="shared" si="286"/>
        <v>0</v>
      </c>
      <c r="AF394" s="260">
        <v>0</v>
      </c>
      <c r="AG394" s="260">
        <f t="shared" si="287"/>
        <v>0</v>
      </c>
      <c r="AH394" s="348">
        <f t="array" ref="AH394">MAX((IF(MNU_CODIGO_ALIMENTO_ENTREGA=CONCATENATE($C394,"_","P_"),MNU_GRAMAJE_REQUERIDO_TIPOH,"")))</f>
        <v>0</v>
      </c>
      <c r="AI394" s="257">
        <f t="shared" si="288"/>
        <v>0</v>
      </c>
      <c r="AJ394" s="257">
        <v>0</v>
      </c>
      <c r="AK394" s="257">
        <f t="shared" si="289"/>
        <v>0</v>
      </c>
      <c r="AL394" s="258">
        <f t="shared" si="290"/>
        <v>0</v>
      </c>
      <c r="AM394" s="258">
        <v>0</v>
      </c>
      <c r="AN394" s="258">
        <f t="shared" si="291"/>
        <v>0</v>
      </c>
      <c r="AO394" s="451">
        <f t="shared" si="292"/>
        <v>65956</v>
      </c>
      <c r="AP394" s="450">
        <f t="shared" si="293"/>
        <v>39500098</v>
      </c>
      <c r="AQ394" s="261" t="e">
        <f>#REF!+AH394+AA394+T394+M394</f>
        <v>#REF!</v>
      </c>
      <c r="AR394" s="261">
        <f t="shared" si="252"/>
        <v>39500098</v>
      </c>
      <c r="AS394" s="261" t="e">
        <f t="shared" si="253"/>
        <v>#REF!</v>
      </c>
      <c r="AT394" s="261">
        <f t="shared" si="254"/>
        <v>39539808</v>
      </c>
      <c r="AU394" s="261" t="e">
        <f t="shared" si="255"/>
        <v>#REF!</v>
      </c>
      <c r="AV394" s="261">
        <f t="shared" si="256"/>
        <v>66415580</v>
      </c>
      <c r="AW394" s="261" t="e">
        <f t="shared" si="257"/>
        <v>#REF!</v>
      </c>
      <c r="AX394" s="261" t="e">
        <f>AV394+#REF!+AH394+AA394+T394</f>
        <v>#REF!</v>
      </c>
      <c r="AY394" s="261" t="e">
        <f t="shared" si="258"/>
        <v>#REF!</v>
      </c>
      <c r="AZ394" s="261" t="e">
        <f t="shared" si="259"/>
        <v>#REF!</v>
      </c>
      <c r="BA394" s="261" t="e">
        <f t="shared" si="260"/>
        <v>#REF!</v>
      </c>
      <c r="BB394" s="261" t="e">
        <f t="shared" si="261"/>
        <v>#REF!</v>
      </c>
      <c r="BC394" s="261" t="e">
        <f t="shared" si="262"/>
        <v>#REF!</v>
      </c>
      <c r="BD394" s="261" t="e">
        <f t="shared" si="263"/>
        <v>#REF!</v>
      </c>
      <c r="BE394" s="261" t="e">
        <f>BC394+AV394+#REF!+AH394+AA394</f>
        <v>#REF!</v>
      </c>
      <c r="BF394" s="261" t="e">
        <f t="shared" si="264"/>
        <v>#REF!</v>
      </c>
      <c r="BG394" s="261" t="e">
        <f t="shared" si="265"/>
        <v>#REF!</v>
      </c>
    </row>
    <row r="395" spans="1:59" ht="15.75">
      <c r="A395" s="333">
        <v>22</v>
      </c>
      <c r="B395" s="333" t="s">
        <v>1607</v>
      </c>
      <c r="C395" s="256">
        <v>21</v>
      </c>
      <c r="D395" s="322" t="s">
        <v>70</v>
      </c>
      <c r="E395" s="256" t="s">
        <v>9</v>
      </c>
      <c r="F395" s="425">
        <f t="array" ref="F395">MAX((IF(MNU_CODIGO_ALIMENTO_ENTREGA=CONCATENATE($C395,"_","s_"),MNU_GRAMAJE_REQUERIDO_TIPOA,"")))</f>
        <v>30</v>
      </c>
      <c r="G395" s="257">
        <f t="shared" si="266"/>
        <v>0</v>
      </c>
      <c r="H395" s="257">
        <f t="shared" si="267"/>
        <v>24464</v>
      </c>
      <c r="I395" s="257">
        <f t="shared" si="268"/>
        <v>24464</v>
      </c>
      <c r="J395" s="258">
        <f t="shared" si="269"/>
        <v>0</v>
      </c>
      <c r="K395" s="258">
        <f t="shared" si="270"/>
        <v>11767184</v>
      </c>
      <c r="L395" s="258">
        <f t="shared" si="271"/>
        <v>11767184</v>
      </c>
      <c r="M395" s="426">
        <f t="array" ref="M395">MAX((IF(MNU_CODIGO_ALIMENTO_ENTREGA=CONCATENATE($C395,"_","s_"),MNU_GRAMAJE_REQUERIDO_TIPOB,"")))</f>
        <v>30</v>
      </c>
      <c r="N395" s="343">
        <f t="shared" si="272"/>
        <v>0</v>
      </c>
      <c r="O395" s="343">
        <f t="shared" si="273"/>
        <v>26510</v>
      </c>
      <c r="P395" s="343">
        <f t="shared" si="274"/>
        <v>26510</v>
      </c>
      <c r="Q395" s="344">
        <f t="shared" si="275"/>
        <v>0</v>
      </c>
      <c r="R395" s="344">
        <f t="shared" si="276"/>
        <v>12751310</v>
      </c>
      <c r="S395" s="344">
        <f t="shared" si="277"/>
        <v>12751310</v>
      </c>
      <c r="T395" s="348">
        <f t="array" ref="T395">MAX((IF(MNU_CODIGO_ALIMENTO_ENTREGA=CONCATENATE($C395,"_","s_"),MNU_GRAMAJE_REQUERIDO_TIPOC,"")))</f>
        <v>50</v>
      </c>
      <c r="U395" s="257">
        <f t="shared" si="278"/>
        <v>0</v>
      </c>
      <c r="V395" s="257">
        <f t="shared" si="279"/>
        <v>37928</v>
      </c>
      <c r="W395" s="257">
        <f t="shared" si="280"/>
        <v>37928</v>
      </c>
      <c r="X395" s="258">
        <f t="shared" si="281"/>
        <v>0</v>
      </c>
      <c r="Y395" s="258">
        <f t="shared" si="282"/>
        <v>30418256</v>
      </c>
      <c r="Z395" s="258">
        <f t="shared" si="283"/>
        <v>30418256</v>
      </c>
      <c r="AA395" s="256">
        <f t="array" ref="AA395">MAX((IF(MNU_CODIGO_ALIMENTO_ENTREGA=CONCATENATE($C395,"_","P_"),MNU_GRAMAJE_REQUERIDO_TIPOM,"")))</f>
        <v>0</v>
      </c>
      <c r="AB395" s="259">
        <f t="shared" si="284"/>
        <v>0</v>
      </c>
      <c r="AC395" s="259">
        <v>0</v>
      </c>
      <c r="AD395" s="259">
        <f t="shared" si="285"/>
        <v>0</v>
      </c>
      <c r="AE395" s="260">
        <f t="shared" si="286"/>
        <v>0</v>
      </c>
      <c r="AF395" s="260">
        <v>0</v>
      </c>
      <c r="AG395" s="260">
        <f t="shared" si="287"/>
        <v>0</v>
      </c>
      <c r="AH395" s="348">
        <f t="array" ref="AH395">MAX((IF(MNU_CODIGO_ALIMENTO_ENTREGA=CONCATENATE($C395,"_","P_"),MNU_GRAMAJE_REQUERIDO_TIPOH,"")))</f>
        <v>0</v>
      </c>
      <c r="AI395" s="257">
        <f t="shared" si="288"/>
        <v>0</v>
      </c>
      <c r="AJ395" s="257">
        <v>0</v>
      </c>
      <c r="AK395" s="257">
        <f t="shared" si="289"/>
        <v>0</v>
      </c>
      <c r="AL395" s="258">
        <f t="shared" si="290"/>
        <v>0</v>
      </c>
      <c r="AM395" s="258">
        <v>0</v>
      </c>
      <c r="AN395" s="258">
        <f t="shared" si="291"/>
        <v>0</v>
      </c>
      <c r="AO395" s="451">
        <f t="shared" si="292"/>
        <v>88902</v>
      </c>
      <c r="AP395" s="450">
        <f t="shared" si="293"/>
        <v>54936750</v>
      </c>
      <c r="AQ395" s="261" t="e">
        <f>#REF!+AH395+AA395+T395+M395</f>
        <v>#REF!</v>
      </c>
      <c r="AR395" s="261">
        <f t="shared" si="252"/>
        <v>54936750</v>
      </c>
      <c r="AS395" s="261" t="e">
        <f t="shared" si="253"/>
        <v>#REF!</v>
      </c>
      <c r="AT395" s="261">
        <f t="shared" si="254"/>
        <v>55001188</v>
      </c>
      <c r="AU395" s="261" t="e">
        <f t="shared" si="255"/>
        <v>#REF!</v>
      </c>
      <c r="AV395" s="261">
        <f t="shared" si="256"/>
        <v>98170754</v>
      </c>
      <c r="AW395" s="261" t="e">
        <f t="shared" si="257"/>
        <v>#REF!</v>
      </c>
      <c r="AX395" s="261" t="e">
        <f>AV395+#REF!+AH395+AA395+T395</f>
        <v>#REF!</v>
      </c>
      <c r="AY395" s="261" t="e">
        <f t="shared" si="258"/>
        <v>#REF!</v>
      </c>
      <c r="AZ395" s="261" t="e">
        <f t="shared" si="259"/>
        <v>#REF!</v>
      </c>
      <c r="BA395" s="261" t="e">
        <f t="shared" si="260"/>
        <v>#REF!</v>
      </c>
      <c r="BB395" s="261" t="e">
        <f t="shared" si="261"/>
        <v>#REF!</v>
      </c>
      <c r="BC395" s="261" t="e">
        <f t="shared" si="262"/>
        <v>#REF!</v>
      </c>
      <c r="BD395" s="261" t="e">
        <f t="shared" si="263"/>
        <v>#REF!</v>
      </c>
      <c r="BE395" s="261" t="e">
        <f>BC395+AV395+#REF!+AH395+AA395</f>
        <v>#REF!</v>
      </c>
      <c r="BF395" s="261" t="e">
        <f t="shared" si="264"/>
        <v>#REF!</v>
      </c>
      <c r="BG395" s="261" t="e">
        <f t="shared" si="265"/>
        <v>#REF!</v>
      </c>
    </row>
    <row r="396" spans="1:59" ht="15.75">
      <c r="A396" s="333">
        <v>23</v>
      </c>
      <c r="B396" s="333" t="s">
        <v>1607</v>
      </c>
      <c r="C396" s="256">
        <v>21</v>
      </c>
      <c r="D396" s="322" t="s">
        <v>70</v>
      </c>
      <c r="E396" s="256" t="s">
        <v>9</v>
      </c>
      <c r="F396" s="425">
        <f t="array" ref="F396">MAX((IF(MNU_CODIGO_ALIMENTO_ENTREGA=CONCATENATE($C396,"_","s_"),MNU_GRAMAJE_REQUERIDO_TIPOA,"")))</f>
        <v>30</v>
      </c>
      <c r="G396" s="257">
        <f t="shared" si="266"/>
        <v>0</v>
      </c>
      <c r="H396" s="257">
        <f t="shared" si="267"/>
        <v>19646</v>
      </c>
      <c r="I396" s="257">
        <f t="shared" si="268"/>
        <v>19646</v>
      </c>
      <c r="J396" s="258">
        <f t="shared" si="269"/>
        <v>0</v>
      </c>
      <c r="K396" s="258">
        <f t="shared" si="270"/>
        <v>9449726</v>
      </c>
      <c r="L396" s="258">
        <f t="shared" si="271"/>
        <v>9449726</v>
      </c>
      <c r="M396" s="426">
        <f t="array" ref="M396">MAX((IF(MNU_CODIGO_ALIMENTO_ENTREGA=CONCATENATE($C396,"_","s_"),MNU_GRAMAJE_REQUERIDO_TIPOB,"")))</f>
        <v>30</v>
      </c>
      <c r="N396" s="343">
        <f t="shared" si="272"/>
        <v>0</v>
      </c>
      <c r="O396" s="343">
        <f t="shared" si="273"/>
        <v>19206</v>
      </c>
      <c r="P396" s="343">
        <f t="shared" si="274"/>
        <v>19206</v>
      </c>
      <c r="Q396" s="344">
        <f t="shared" si="275"/>
        <v>0</v>
      </c>
      <c r="R396" s="344">
        <f t="shared" si="276"/>
        <v>9238086</v>
      </c>
      <c r="S396" s="344">
        <f t="shared" si="277"/>
        <v>9238086</v>
      </c>
      <c r="T396" s="348">
        <f t="array" ref="T396">MAX((IF(MNU_CODIGO_ALIMENTO_ENTREGA=CONCATENATE($C396,"_","s_"),MNU_GRAMAJE_REQUERIDO_TIPOC,"")))</f>
        <v>50</v>
      </c>
      <c r="U396" s="257">
        <f t="shared" si="278"/>
        <v>0</v>
      </c>
      <c r="V396" s="257">
        <f t="shared" si="279"/>
        <v>24288</v>
      </c>
      <c r="W396" s="257">
        <f t="shared" si="280"/>
        <v>24288</v>
      </c>
      <c r="X396" s="258">
        <f t="shared" si="281"/>
        <v>0</v>
      </c>
      <c r="Y396" s="258">
        <f t="shared" si="282"/>
        <v>19478976</v>
      </c>
      <c r="Z396" s="258">
        <f t="shared" si="283"/>
        <v>19478976</v>
      </c>
      <c r="AA396" s="256">
        <f t="array" ref="AA396">MAX((IF(MNU_CODIGO_ALIMENTO_ENTREGA=CONCATENATE($C396,"_","P_"),MNU_GRAMAJE_REQUERIDO_TIPOM,"")))</f>
        <v>0</v>
      </c>
      <c r="AB396" s="259">
        <f t="shared" si="284"/>
        <v>0</v>
      </c>
      <c r="AC396" s="259">
        <v>0</v>
      </c>
      <c r="AD396" s="259">
        <f t="shared" si="285"/>
        <v>0</v>
      </c>
      <c r="AE396" s="260">
        <f t="shared" si="286"/>
        <v>0</v>
      </c>
      <c r="AF396" s="260">
        <v>0</v>
      </c>
      <c r="AG396" s="260">
        <f t="shared" si="287"/>
        <v>0</v>
      </c>
      <c r="AH396" s="348">
        <f t="array" ref="AH396">MAX((IF(MNU_CODIGO_ALIMENTO_ENTREGA=CONCATENATE($C396,"_","P_"),MNU_GRAMAJE_REQUERIDO_TIPOH,"")))</f>
        <v>0</v>
      </c>
      <c r="AI396" s="257">
        <f t="shared" si="288"/>
        <v>0</v>
      </c>
      <c r="AJ396" s="257">
        <v>0</v>
      </c>
      <c r="AK396" s="257">
        <f t="shared" si="289"/>
        <v>0</v>
      </c>
      <c r="AL396" s="258">
        <f t="shared" si="290"/>
        <v>0</v>
      </c>
      <c r="AM396" s="258">
        <v>0</v>
      </c>
      <c r="AN396" s="258">
        <f t="shared" si="291"/>
        <v>0</v>
      </c>
      <c r="AO396" s="451">
        <f t="shared" si="292"/>
        <v>63140</v>
      </c>
      <c r="AP396" s="450">
        <f t="shared" si="293"/>
        <v>38166788</v>
      </c>
      <c r="AQ396" s="261" t="e">
        <f>#REF!+AH396+AA396+T396+M396</f>
        <v>#REF!</v>
      </c>
      <c r="AR396" s="261">
        <f t="shared" si="252"/>
        <v>38166788</v>
      </c>
      <c r="AS396" s="261" t="e">
        <f t="shared" si="253"/>
        <v>#REF!</v>
      </c>
      <c r="AT396" s="261">
        <f t="shared" si="254"/>
        <v>38210282</v>
      </c>
      <c r="AU396" s="261" t="e">
        <f t="shared" si="255"/>
        <v>#REF!</v>
      </c>
      <c r="AV396" s="261">
        <f t="shared" si="256"/>
        <v>66927344</v>
      </c>
      <c r="AW396" s="261" t="e">
        <f t="shared" si="257"/>
        <v>#REF!</v>
      </c>
      <c r="AX396" s="261" t="e">
        <f>AV396+#REF!+AH396+AA396+T396</f>
        <v>#REF!</v>
      </c>
      <c r="AY396" s="261" t="e">
        <f t="shared" si="258"/>
        <v>#REF!</v>
      </c>
      <c r="AZ396" s="261" t="e">
        <f t="shared" si="259"/>
        <v>#REF!</v>
      </c>
      <c r="BA396" s="261" t="e">
        <f t="shared" si="260"/>
        <v>#REF!</v>
      </c>
      <c r="BB396" s="261" t="e">
        <f t="shared" si="261"/>
        <v>#REF!</v>
      </c>
      <c r="BC396" s="261" t="e">
        <f t="shared" si="262"/>
        <v>#REF!</v>
      </c>
      <c r="BD396" s="261" t="e">
        <f t="shared" si="263"/>
        <v>#REF!</v>
      </c>
      <c r="BE396" s="261" t="e">
        <f>BC396+AV396+#REF!+AH396+AA396</f>
        <v>#REF!</v>
      </c>
      <c r="BF396" s="261" t="e">
        <f t="shared" si="264"/>
        <v>#REF!</v>
      </c>
      <c r="BG396" s="261" t="e">
        <f t="shared" si="265"/>
        <v>#REF!</v>
      </c>
    </row>
    <row r="397" spans="1:59" ht="15.75">
      <c r="A397" s="333">
        <v>24</v>
      </c>
      <c r="B397" s="333" t="s">
        <v>1607</v>
      </c>
      <c r="C397" s="256">
        <v>21</v>
      </c>
      <c r="D397" s="458" t="s">
        <v>70</v>
      </c>
      <c r="E397" s="256" t="s">
        <v>9</v>
      </c>
      <c r="F397" s="425">
        <f t="array" ref="F397">MAX((IF(MNU_CODIGO_ALIMENTO_ENTREGA=CONCATENATE($C397,"_","s_"),MNU_GRAMAJE_REQUERIDO_TIPOA,"")))</f>
        <v>30</v>
      </c>
      <c r="G397" s="257">
        <f t="shared" si="266"/>
        <v>0</v>
      </c>
      <c r="H397" s="257">
        <f t="shared" si="267"/>
        <v>5808</v>
      </c>
      <c r="I397" s="257">
        <f t="shared" si="268"/>
        <v>5808</v>
      </c>
      <c r="J397" s="258">
        <f t="shared" si="269"/>
        <v>0</v>
      </c>
      <c r="K397" s="258">
        <f t="shared" si="270"/>
        <v>2793648</v>
      </c>
      <c r="L397" s="258">
        <f t="shared" si="271"/>
        <v>2793648</v>
      </c>
      <c r="M397" s="426">
        <f t="array" ref="M397">MAX((IF(MNU_CODIGO_ALIMENTO_ENTREGA=CONCATENATE($C397,"_","s_"),MNU_GRAMAJE_REQUERIDO_TIPOB,"")))</f>
        <v>30</v>
      </c>
      <c r="N397" s="343">
        <f t="shared" si="272"/>
        <v>0</v>
      </c>
      <c r="O397" s="343">
        <f t="shared" si="273"/>
        <v>16830</v>
      </c>
      <c r="P397" s="343">
        <f t="shared" si="274"/>
        <v>16830</v>
      </c>
      <c r="Q397" s="344">
        <f t="shared" si="275"/>
        <v>0</v>
      </c>
      <c r="R397" s="344">
        <f t="shared" si="276"/>
        <v>8095230</v>
      </c>
      <c r="S397" s="344">
        <f t="shared" si="277"/>
        <v>8095230</v>
      </c>
      <c r="T397" s="348">
        <f t="array" ref="T397">MAX((IF(MNU_CODIGO_ALIMENTO_ENTREGA=CONCATENATE($C397,"_","s_"),MNU_GRAMAJE_REQUERIDO_TIPOC,"")))</f>
        <v>50</v>
      </c>
      <c r="U397" s="257">
        <f t="shared" si="278"/>
        <v>0</v>
      </c>
      <c r="V397" s="257">
        <f t="shared" si="279"/>
        <v>27588</v>
      </c>
      <c r="W397" s="257">
        <f t="shared" si="280"/>
        <v>27588</v>
      </c>
      <c r="X397" s="258">
        <f t="shared" si="281"/>
        <v>0</v>
      </c>
      <c r="Y397" s="258">
        <f t="shared" si="282"/>
        <v>22125576</v>
      </c>
      <c r="Z397" s="258">
        <f t="shared" si="283"/>
        <v>22125576</v>
      </c>
      <c r="AA397" s="256">
        <f t="array" ref="AA397">MAX((IF(MNU_CODIGO_ALIMENTO_ENTREGA=CONCATENATE($C397,"_","P_"),MNU_GRAMAJE_REQUERIDO_TIPOM,"")))</f>
        <v>0</v>
      </c>
      <c r="AB397" s="259">
        <f t="shared" si="284"/>
        <v>0</v>
      </c>
      <c r="AC397" s="259">
        <v>0</v>
      </c>
      <c r="AD397" s="259">
        <f t="shared" si="285"/>
        <v>0</v>
      </c>
      <c r="AE397" s="260">
        <f t="shared" si="286"/>
        <v>0</v>
      </c>
      <c r="AF397" s="260">
        <v>0</v>
      </c>
      <c r="AG397" s="260">
        <f t="shared" si="287"/>
        <v>0</v>
      </c>
      <c r="AH397" s="348">
        <f t="array" ref="AH397">MAX((IF(MNU_CODIGO_ALIMENTO_ENTREGA=CONCATENATE($C397,"_","P_"),MNU_GRAMAJE_REQUERIDO_TIPOH,"")))</f>
        <v>0</v>
      </c>
      <c r="AI397" s="257">
        <f t="shared" si="288"/>
        <v>0</v>
      </c>
      <c r="AJ397" s="257">
        <v>0</v>
      </c>
      <c r="AK397" s="257">
        <f t="shared" si="289"/>
        <v>0</v>
      </c>
      <c r="AL397" s="258">
        <f t="shared" si="290"/>
        <v>0</v>
      </c>
      <c r="AM397" s="258">
        <v>0</v>
      </c>
      <c r="AN397" s="258">
        <f t="shared" si="291"/>
        <v>0</v>
      </c>
      <c r="AO397" s="451">
        <f t="shared" si="292"/>
        <v>50226</v>
      </c>
      <c r="AP397" s="450">
        <f t="shared" si="293"/>
        <v>33014454</v>
      </c>
      <c r="AQ397" s="261" t="e">
        <f>#REF!+AH397+AA397+T397+M397</f>
        <v>#REF!</v>
      </c>
      <c r="AR397" s="261">
        <f t="shared" si="252"/>
        <v>33014454</v>
      </c>
      <c r="AS397" s="261" t="e">
        <f t="shared" si="253"/>
        <v>#REF!</v>
      </c>
      <c r="AT397" s="261">
        <f t="shared" si="254"/>
        <v>33058872</v>
      </c>
      <c r="AU397" s="261" t="e">
        <f t="shared" si="255"/>
        <v>#REF!</v>
      </c>
      <c r="AV397" s="261">
        <f t="shared" si="256"/>
        <v>63279678</v>
      </c>
      <c r="AW397" s="261" t="e">
        <f t="shared" si="257"/>
        <v>#REF!</v>
      </c>
      <c r="AX397" s="261" t="e">
        <f>AV397+#REF!+AH397+AA397+T397</f>
        <v>#REF!</v>
      </c>
      <c r="AY397" s="261" t="e">
        <f t="shared" si="258"/>
        <v>#REF!</v>
      </c>
      <c r="AZ397" s="261" t="e">
        <f t="shared" si="259"/>
        <v>#REF!</v>
      </c>
      <c r="BA397" s="261" t="e">
        <f t="shared" si="260"/>
        <v>#REF!</v>
      </c>
      <c r="BB397" s="261" t="e">
        <f t="shared" si="261"/>
        <v>#REF!</v>
      </c>
      <c r="BC397" s="261" t="e">
        <f t="shared" si="262"/>
        <v>#REF!</v>
      </c>
      <c r="BD397" s="261" t="e">
        <f t="shared" si="263"/>
        <v>#REF!</v>
      </c>
      <c r="BE397" s="261" t="e">
        <f>BC397+AV397+#REF!+AH397+AA397</f>
        <v>#REF!</v>
      </c>
      <c r="BF397" s="261" t="e">
        <f t="shared" si="264"/>
        <v>#REF!</v>
      </c>
      <c r="BG397" s="261" t="e">
        <f t="shared" si="265"/>
        <v>#REF!</v>
      </c>
    </row>
    <row r="398" spans="1:59" ht="15.75">
      <c r="A398" s="333">
        <v>25</v>
      </c>
      <c r="B398" s="333" t="s">
        <v>1607</v>
      </c>
      <c r="C398" s="256">
        <v>21</v>
      </c>
      <c r="D398" s="322" t="s">
        <v>70</v>
      </c>
      <c r="E398" s="256" t="s">
        <v>9</v>
      </c>
      <c r="F398" s="425">
        <f t="array" ref="F398">MAX((IF(MNU_CODIGO_ALIMENTO_ENTREGA=CONCATENATE($C398,"_","s_"),MNU_GRAMAJE_REQUERIDO_TIPOA,"")))</f>
        <v>30</v>
      </c>
      <c r="G398" s="257">
        <f t="shared" si="266"/>
        <v>0</v>
      </c>
      <c r="H398" s="257">
        <f t="shared" si="267"/>
        <v>47740</v>
      </c>
      <c r="I398" s="257">
        <f t="shared" si="268"/>
        <v>47740</v>
      </c>
      <c r="J398" s="258">
        <f t="shared" si="269"/>
        <v>0</v>
      </c>
      <c r="K398" s="258">
        <f t="shared" si="270"/>
        <v>22962940</v>
      </c>
      <c r="L398" s="258">
        <f t="shared" si="271"/>
        <v>22962940</v>
      </c>
      <c r="M398" s="426">
        <f t="array" ref="M398">MAX((IF(MNU_CODIGO_ALIMENTO_ENTREGA=CONCATENATE($C398,"_","s_"),MNU_GRAMAJE_REQUERIDO_TIPOB,"")))</f>
        <v>30</v>
      </c>
      <c r="N398" s="343">
        <f t="shared" si="272"/>
        <v>0</v>
      </c>
      <c r="O398" s="343">
        <f t="shared" si="273"/>
        <v>55088</v>
      </c>
      <c r="P398" s="343">
        <f t="shared" si="274"/>
        <v>55088</v>
      </c>
      <c r="Q398" s="344">
        <f t="shared" si="275"/>
        <v>0</v>
      </c>
      <c r="R398" s="344">
        <f t="shared" si="276"/>
        <v>26497328</v>
      </c>
      <c r="S398" s="344">
        <f t="shared" si="277"/>
        <v>26497328</v>
      </c>
      <c r="T398" s="348">
        <f t="array" ref="T398">MAX((IF(MNU_CODIGO_ALIMENTO_ENTREGA=CONCATENATE($C398,"_","s_"),MNU_GRAMAJE_REQUERIDO_TIPOC,"")))</f>
        <v>50</v>
      </c>
      <c r="U398" s="257">
        <f t="shared" si="278"/>
        <v>0</v>
      </c>
      <c r="V398" s="257">
        <f t="shared" si="279"/>
        <v>68046</v>
      </c>
      <c r="W398" s="257">
        <f t="shared" si="280"/>
        <v>68046</v>
      </c>
      <c r="X398" s="258">
        <f t="shared" si="281"/>
        <v>0</v>
      </c>
      <c r="Y398" s="258">
        <f t="shared" si="282"/>
        <v>54572892</v>
      </c>
      <c r="Z398" s="258">
        <f t="shared" si="283"/>
        <v>54572892</v>
      </c>
      <c r="AA398" s="256">
        <f t="array" ref="AA398">MAX((IF(MNU_CODIGO_ALIMENTO_ENTREGA=CONCATENATE($C398,"_","P_"),MNU_GRAMAJE_REQUERIDO_TIPOM,"")))</f>
        <v>0</v>
      </c>
      <c r="AB398" s="259">
        <f t="shared" si="284"/>
        <v>0</v>
      </c>
      <c r="AC398" s="259">
        <v>0</v>
      </c>
      <c r="AD398" s="259">
        <f t="shared" si="285"/>
        <v>0</v>
      </c>
      <c r="AE398" s="260">
        <f t="shared" si="286"/>
        <v>0</v>
      </c>
      <c r="AF398" s="260">
        <v>0</v>
      </c>
      <c r="AG398" s="260">
        <f t="shared" si="287"/>
        <v>0</v>
      </c>
      <c r="AH398" s="348">
        <f t="array" ref="AH398">MAX((IF(MNU_CODIGO_ALIMENTO_ENTREGA=CONCATENATE($C398,"_","P_"),MNU_GRAMAJE_REQUERIDO_TIPOH,"")))</f>
        <v>0</v>
      </c>
      <c r="AI398" s="257">
        <f t="shared" si="288"/>
        <v>0</v>
      </c>
      <c r="AJ398" s="257">
        <v>0</v>
      </c>
      <c r="AK398" s="257">
        <f t="shared" si="289"/>
        <v>0</v>
      </c>
      <c r="AL398" s="258">
        <f t="shared" si="290"/>
        <v>0</v>
      </c>
      <c r="AM398" s="258">
        <v>0</v>
      </c>
      <c r="AN398" s="258">
        <f t="shared" si="291"/>
        <v>0</v>
      </c>
      <c r="AO398" s="451">
        <f t="shared" si="292"/>
        <v>170874</v>
      </c>
      <c r="AP398" s="450">
        <f t="shared" si="293"/>
        <v>104033160</v>
      </c>
      <c r="AQ398" s="261" t="e">
        <f>#REF!+AH398+AA398+T398+M398</f>
        <v>#REF!</v>
      </c>
      <c r="AR398" s="261">
        <f t="shared" si="252"/>
        <v>104033160</v>
      </c>
      <c r="AS398" s="261" t="e">
        <f t="shared" si="253"/>
        <v>#REF!</v>
      </c>
      <c r="AT398" s="261">
        <f t="shared" si="254"/>
        <v>104156294</v>
      </c>
      <c r="AU398" s="261" t="e">
        <f t="shared" si="255"/>
        <v>#REF!</v>
      </c>
      <c r="AV398" s="261">
        <f t="shared" si="256"/>
        <v>185226514</v>
      </c>
      <c r="AW398" s="261" t="e">
        <f t="shared" si="257"/>
        <v>#REF!</v>
      </c>
      <c r="AX398" s="261" t="e">
        <f>AV398+#REF!+AH398+AA398+T398</f>
        <v>#REF!</v>
      </c>
      <c r="AY398" s="261" t="e">
        <f t="shared" si="258"/>
        <v>#REF!</v>
      </c>
      <c r="AZ398" s="261" t="e">
        <f t="shared" si="259"/>
        <v>#REF!</v>
      </c>
      <c r="BA398" s="261" t="e">
        <f t="shared" si="260"/>
        <v>#REF!</v>
      </c>
      <c r="BB398" s="261" t="e">
        <f t="shared" si="261"/>
        <v>#REF!</v>
      </c>
      <c r="BC398" s="261" t="e">
        <f t="shared" si="262"/>
        <v>#REF!</v>
      </c>
      <c r="BD398" s="261" t="e">
        <f t="shared" si="263"/>
        <v>#REF!</v>
      </c>
      <c r="BE398" s="261" t="e">
        <f>BC398+AV398+#REF!+AH398+AA398</f>
        <v>#REF!</v>
      </c>
      <c r="BF398" s="261" t="e">
        <f t="shared" si="264"/>
        <v>#REF!</v>
      </c>
      <c r="BG398" s="261" t="e">
        <f t="shared" si="265"/>
        <v>#REF!</v>
      </c>
    </row>
    <row r="399" spans="1:59" ht="15.75">
      <c r="A399" s="333">
        <v>26</v>
      </c>
      <c r="B399" s="333" t="s">
        <v>1607</v>
      </c>
      <c r="C399" s="256">
        <v>21</v>
      </c>
      <c r="D399" s="322" t="s">
        <v>70</v>
      </c>
      <c r="E399" s="256" t="s">
        <v>9</v>
      </c>
      <c r="F399" s="425">
        <f t="array" ref="F399">MAX((IF(MNU_CODIGO_ALIMENTO_ENTREGA=CONCATENATE($C399,"_","s_"),MNU_GRAMAJE_REQUERIDO_TIPOA,"")))</f>
        <v>30</v>
      </c>
      <c r="G399" s="257">
        <f t="shared" si="266"/>
        <v>0</v>
      </c>
      <c r="H399" s="257">
        <f t="shared" si="267"/>
        <v>34694</v>
      </c>
      <c r="I399" s="257">
        <f t="shared" si="268"/>
        <v>34694</v>
      </c>
      <c r="J399" s="258">
        <f t="shared" si="269"/>
        <v>0</v>
      </c>
      <c r="K399" s="258">
        <f t="shared" si="270"/>
        <v>16687814</v>
      </c>
      <c r="L399" s="258">
        <f t="shared" si="271"/>
        <v>16687814</v>
      </c>
      <c r="M399" s="426">
        <f t="array" ref="M399">MAX((IF(MNU_CODIGO_ALIMENTO_ENTREGA=CONCATENATE($C399,"_","s_"),MNU_GRAMAJE_REQUERIDO_TIPOB,"")))</f>
        <v>30</v>
      </c>
      <c r="N399" s="343">
        <f t="shared" si="272"/>
        <v>0</v>
      </c>
      <c r="O399" s="343">
        <f t="shared" si="273"/>
        <v>61028</v>
      </c>
      <c r="P399" s="343">
        <f t="shared" si="274"/>
        <v>61028</v>
      </c>
      <c r="Q399" s="344">
        <f t="shared" si="275"/>
        <v>0</v>
      </c>
      <c r="R399" s="344">
        <f t="shared" si="276"/>
        <v>29354468</v>
      </c>
      <c r="S399" s="344">
        <f t="shared" si="277"/>
        <v>29354468</v>
      </c>
      <c r="T399" s="348">
        <f t="array" ref="T399">MAX((IF(MNU_CODIGO_ALIMENTO_ENTREGA=CONCATENATE($C399,"_","s_"),MNU_GRAMAJE_REQUERIDO_TIPOC,"")))</f>
        <v>50</v>
      </c>
      <c r="U399" s="257">
        <f t="shared" si="278"/>
        <v>0</v>
      </c>
      <c r="V399" s="257">
        <f t="shared" si="279"/>
        <v>79200</v>
      </c>
      <c r="W399" s="257">
        <f t="shared" si="280"/>
        <v>79200</v>
      </c>
      <c r="X399" s="258">
        <f t="shared" si="281"/>
        <v>0</v>
      </c>
      <c r="Y399" s="258">
        <f t="shared" si="282"/>
        <v>63518400</v>
      </c>
      <c r="Z399" s="258">
        <f t="shared" si="283"/>
        <v>63518400</v>
      </c>
      <c r="AA399" s="256">
        <f t="array" ref="AA399">MAX((IF(MNU_CODIGO_ALIMENTO_ENTREGA=CONCATENATE($C399,"_","P_"),MNU_GRAMAJE_REQUERIDO_TIPOM,"")))</f>
        <v>0</v>
      </c>
      <c r="AB399" s="259">
        <f t="shared" si="284"/>
        <v>0</v>
      </c>
      <c r="AC399" s="259">
        <v>0</v>
      </c>
      <c r="AD399" s="259">
        <f t="shared" si="285"/>
        <v>0</v>
      </c>
      <c r="AE399" s="260">
        <f t="shared" si="286"/>
        <v>0</v>
      </c>
      <c r="AF399" s="260">
        <v>0</v>
      </c>
      <c r="AG399" s="260">
        <f t="shared" si="287"/>
        <v>0</v>
      </c>
      <c r="AH399" s="348">
        <f t="array" ref="AH399">MAX((IF(MNU_CODIGO_ALIMENTO_ENTREGA=CONCATENATE($C399,"_","P_"),MNU_GRAMAJE_REQUERIDO_TIPOH,"")))</f>
        <v>0</v>
      </c>
      <c r="AI399" s="257">
        <f t="shared" si="288"/>
        <v>0</v>
      </c>
      <c r="AJ399" s="257">
        <v>0</v>
      </c>
      <c r="AK399" s="257">
        <f t="shared" si="289"/>
        <v>0</v>
      </c>
      <c r="AL399" s="258">
        <f t="shared" si="290"/>
        <v>0</v>
      </c>
      <c r="AM399" s="258">
        <v>0</v>
      </c>
      <c r="AN399" s="258">
        <f t="shared" si="291"/>
        <v>0</v>
      </c>
      <c r="AO399" s="451">
        <f t="shared" si="292"/>
        <v>174922</v>
      </c>
      <c r="AP399" s="450">
        <f t="shared" si="293"/>
        <v>109560682</v>
      </c>
      <c r="AQ399" s="261" t="e">
        <f>#REF!+AH399+AA399+T399+M399</f>
        <v>#REF!</v>
      </c>
      <c r="AR399" s="261">
        <f t="shared" si="252"/>
        <v>109560682</v>
      </c>
      <c r="AS399" s="261" t="e">
        <f t="shared" si="253"/>
        <v>#REF!</v>
      </c>
      <c r="AT399" s="261">
        <f t="shared" si="254"/>
        <v>109700910</v>
      </c>
      <c r="AU399" s="261" t="e">
        <f t="shared" si="255"/>
        <v>#REF!</v>
      </c>
      <c r="AV399" s="261">
        <f t="shared" si="256"/>
        <v>202573778</v>
      </c>
      <c r="AW399" s="261" t="e">
        <f t="shared" si="257"/>
        <v>#REF!</v>
      </c>
      <c r="AX399" s="261" t="e">
        <f>AV399+#REF!+AH399+AA399+T399</f>
        <v>#REF!</v>
      </c>
      <c r="AY399" s="261" t="e">
        <f t="shared" si="258"/>
        <v>#REF!</v>
      </c>
      <c r="AZ399" s="261" t="e">
        <f t="shared" si="259"/>
        <v>#REF!</v>
      </c>
      <c r="BA399" s="261" t="e">
        <f t="shared" si="260"/>
        <v>#REF!</v>
      </c>
      <c r="BB399" s="261" t="e">
        <f t="shared" si="261"/>
        <v>#REF!</v>
      </c>
      <c r="BC399" s="261" t="e">
        <f t="shared" si="262"/>
        <v>#REF!</v>
      </c>
      <c r="BD399" s="261" t="e">
        <f t="shared" si="263"/>
        <v>#REF!</v>
      </c>
      <c r="BE399" s="261" t="e">
        <f>BC399+AV399+#REF!+AH399+AA399</f>
        <v>#REF!</v>
      </c>
      <c r="BF399" s="261" t="e">
        <f t="shared" si="264"/>
        <v>#REF!</v>
      </c>
      <c r="BG399" s="261" t="e">
        <f t="shared" si="265"/>
        <v>#REF!</v>
      </c>
    </row>
    <row r="400" spans="1:59" ht="15.75">
      <c r="A400" s="333">
        <v>27</v>
      </c>
      <c r="B400" s="333" t="s">
        <v>1607</v>
      </c>
      <c r="C400" s="256">
        <v>21</v>
      </c>
      <c r="D400" s="322" t="s">
        <v>70</v>
      </c>
      <c r="E400" s="256" t="s">
        <v>9</v>
      </c>
      <c r="F400" s="425">
        <f t="array" ref="F400">MAX((IF(MNU_CODIGO_ALIMENTO_ENTREGA=CONCATENATE($C400,"_","s_"),MNU_GRAMAJE_REQUERIDO_TIPOA,"")))</f>
        <v>30</v>
      </c>
      <c r="G400" s="257">
        <f t="shared" si="266"/>
        <v>0</v>
      </c>
      <c r="H400" s="257">
        <f t="shared" si="267"/>
        <v>56914</v>
      </c>
      <c r="I400" s="257">
        <f t="shared" si="268"/>
        <v>56914</v>
      </c>
      <c r="J400" s="258">
        <f t="shared" si="269"/>
        <v>0</v>
      </c>
      <c r="K400" s="258">
        <f t="shared" si="270"/>
        <v>27375634</v>
      </c>
      <c r="L400" s="258">
        <f t="shared" si="271"/>
        <v>27375634</v>
      </c>
      <c r="M400" s="426">
        <f t="array" ref="M400">MAX((IF(MNU_CODIGO_ALIMENTO_ENTREGA=CONCATENATE($C400,"_","s_"),MNU_GRAMAJE_REQUERIDO_TIPOB,"")))</f>
        <v>30</v>
      </c>
      <c r="N400" s="343">
        <f t="shared" si="272"/>
        <v>0</v>
      </c>
      <c r="O400" s="343">
        <f t="shared" si="273"/>
        <v>34848</v>
      </c>
      <c r="P400" s="343">
        <f t="shared" si="274"/>
        <v>34848</v>
      </c>
      <c r="Q400" s="344">
        <f t="shared" si="275"/>
        <v>0</v>
      </c>
      <c r="R400" s="344">
        <f t="shared" si="276"/>
        <v>16761888</v>
      </c>
      <c r="S400" s="344">
        <f t="shared" si="277"/>
        <v>16761888</v>
      </c>
      <c r="T400" s="348">
        <f t="array" ref="T400">MAX((IF(MNU_CODIGO_ALIMENTO_ENTREGA=CONCATENATE($C400,"_","s_"),MNU_GRAMAJE_REQUERIDO_TIPOC,"")))</f>
        <v>50</v>
      </c>
      <c r="U400" s="257">
        <f t="shared" si="278"/>
        <v>0</v>
      </c>
      <c r="V400" s="257">
        <f t="shared" si="279"/>
        <v>24904</v>
      </c>
      <c r="W400" s="257">
        <f t="shared" si="280"/>
        <v>24904</v>
      </c>
      <c r="X400" s="258">
        <f t="shared" si="281"/>
        <v>0</v>
      </c>
      <c r="Y400" s="258">
        <f t="shared" si="282"/>
        <v>19973008</v>
      </c>
      <c r="Z400" s="258">
        <f t="shared" si="283"/>
        <v>19973008</v>
      </c>
      <c r="AA400" s="256">
        <f t="array" ref="AA400">MAX((IF(MNU_CODIGO_ALIMENTO_ENTREGA=CONCATENATE($C400,"_","P_"),MNU_GRAMAJE_REQUERIDO_TIPOM,"")))</f>
        <v>0</v>
      </c>
      <c r="AB400" s="259">
        <f t="shared" si="284"/>
        <v>0</v>
      </c>
      <c r="AC400" s="259">
        <v>0</v>
      </c>
      <c r="AD400" s="259">
        <f t="shared" si="285"/>
        <v>0</v>
      </c>
      <c r="AE400" s="260">
        <f t="shared" si="286"/>
        <v>0</v>
      </c>
      <c r="AF400" s="260">
        <v>0</v>
      </c>
      <c r="AG400" s="260">
        <f t="shared" si="287"/>
        <v>0</v>
      </c>
      <c r="AH400" s="348">
        <f t="array" ref="AH400">MAX((IF(MNU_CODIGO_ALIMENTO_ENTREGA=CONCATENATE($C400,"_","P_"),MNU_GRAMAJE_REQUERIDO_TIPOH,"")))</f>
        <v>0</v>
      </c>
      <c r="AI400" s="257">
        <f t="shared" si="288"/>
        <v>0</v>
      </c>
      <c r="AJ400" s="257">
        <v>0</v>
      </c>
      <c r="AK400" s="257">
        <f t="shared" si="289"/>
        <v>0</v>
      </c>
      <c r="AL400" s="258">
        <f t="shared" si="290"/>
        <v>0</v>
      </c>
      <c r="AM400" s="258">
        <v>0</v>
      </c>
      <c r="AN400" s="258">
        <f t="shared" si="291"/>
        <v>0</v>
      </c>
      <c r="AO400" s="451">
        <f t="shared" si="292"/>
        <v>116666</v>
      </c>
      <c r="AP400" s="450">
        <f t="shared" si="293"/>
        <v>64110530</v>
      </c>
      <c r="AQ400" s="261" t="e">
        <f>#REF!+AH400+AA400+T400+M400</f>
        <v>#REF!</v>
      </c>
      <c r="AR400" s="261">
        <f t="shared" si="252"/>
        <v>64110530</v>
      </c>
      <c r="AS400" s="261" t="e">
        <f t="shared" si="253"/>
        <v>#REF!</v>
      </c>
      <c r="AT400" s="261">
        <f t="shared" si="254"/>
        <v>64170282</v>
      </c>
      <c r="AU400" s="261" t="e">
        <f t="shared" si="255"/>
        <v>#REF!</v>
      </c>
      <c r="AV400" s="261">
        <f t="shared" si="256"/>
        <v>100905178</v>
      </c>
      <c r="AW400" s="261" t="e">
        <f t="shared" si="257"/>
        <v>#REF!</v>
      </c>
      <c r="AX400" s="261" t="e">
        <f>AV400+#REF!+AH400+AA400+T400</f>
        <v>#REF!</v>
      </c>
      <c r="AY400" s="261" t="e">
        <f t="shared" si="258"/>
        <v>#REF!</v>
      </c>
      <c r="AZ400" s="261" t="e">
        <f t="shared" si="259"/>
        <v>#REF!</v>
      </c>
      <c r="BA400" s="261" t="e">
        <f t="shared" si="260"/>
        <v>#REF!</v>
      </c>
      <c r="BB400" s="261" t="e">
        <f t="shared" si="261"/>
        <v>#REF!</v>
      </c>
      <c r="BC400" s="261" t="e">
        <f t="shared" si="262"/>
        <v>#REF!</v>
      </c>
      <c r="BD400" s="261" t="e">
        <f t="shared" si="263"/>
        <v>#REF!</v>
      </c>
      <c r="BE400" s="261" t="e">
        <f>BC400+AV400+#REF!+AH400+AA400</f>
        <v>#REF!</v>
      </c>
      <c r="BF400" s="261" t="e">
        <f t="shared" si="264"/>
        <v>#REF!</v>
      </c>
      <c r="BG400" s="261" t="e">
        <f t="shared" si="265"/>
        <v>#REF!</v>
      </c>
    </row>
    <row r="401" spans="1:59" ht="15.75">
      <c r="A401" s="333">
        <v>28</v>
      </c>
      <c r="B401" s="333" t="s">
        <v>1607</v>
      </c>
      <c r="C401" s="256">
        <v>21</v>
      </c>
      <c r="D401" s="322" t="s">
        <v>70</v>
      </c>
      <c r="E401" s="256" t="s">
        <v>9</v>
      </c>
      <c r="F401" s="425">
        <f t="array" ref="F401">MAX((IF(MNU_CODIGO_ALIMENTO_ENTREGA=CONCATENATE($C401,"_","s_"),MNU_GRAMAJE_REQUERIDO_TIPOA,"")))</f>
        <v>30</v>
      </c>
      <c r="G401" s="257">
        <f t="shared" si="266"/>
        <v>0</v>
      </c>
      <c r="H401" s="257">
        <f t="shared" si="267"/>
        <v>41756</v>
      </c>
      <c r="I401" s="257">
        <f t="shared" si="268"/>
        <v>41756</v>
      </c>
      <c r="J401" s="258">
        <f t="shared" si="269"/>
        <v>0</v>
      </c>
      <c r="K401" s="258">
        <f t="shared" si="270"/>
        <v>20084636</v>
      </c>
      <c r="L401" s="258">
        <f t="shared" si="271"/>
        <v>20084636</v>
      </c>
      <c r="M401" s="426">
        <f t="array" ref="M401">MAX((IF(MNU_CODIGO_ALIMENTO_ENTREGA=CONCATENATE($C401,"_","s_"),MNU_GRAMAJE_REQUERIDO_TIPOB,"")))</f>
        <v>30</v>
      </c>
      <c r="N401" s="343">
        <f t="shared" si="272"/>
        <v>0</v>
      </c>
      <c r="O401" s="343">
        <f t="shared" si="273"/>
        <v>8844</v>
      </c>
      <c r="P401" s="343">
        <f t="shared" si="274"/>
        <v>8844</v>
      </c>
      <c r="Q401" s="344">
        <f t="shared" si="275"/>
        <v>0</v>
      </c>
      <c r="R401" s="344">
        <f t="shared" si="276"/>
        <v>4253964</v>
      </c>
      <c r="S401" s="344">
        <f t="shared" si="277"/>
        <v>4253964</v>
      </c>
      <c r="T401" s="348">
        <f t="array" ref="T401">MAX((IF(MNU_CODIGO_ALIMENTO_ENTREGA=CONCATENATE($C401,"_","s_"),MNU_GRAMAJE_REQUERIDO_TIPOC,"")))</f>
        <v>50</v>
      </c>
      <c r="U401" s="257">
        <f t="shared" si="278"/>
        <v>0</v>
      </c>
      <c r="V401" s="257">
        <f t="shared" si="279"/>
        <v>17556</v>
      </c>
      <c r="W401" s="257">
        <f t="shared" si="280"/>
        <v>17556</v>
      </c>
      <c r="X401" s="258">
        <f t="shared" si="281"/>
        <v>0</v>
      </c>
      <c r="Y401" s="258">
        <f t="shared" si="282"/>
        <v>14079912</v>
      </c>
      <c r="Z401" s="258">
        <f t="shared" si="283"/>
        <v>14079912</v>
      </c>
      <c r="AA401" s="256">
        <f t="array" ref="AA401">MAX((IF(MNU_CODIGO_ALIMENTO_ENTREGA=CONCATENATE($C401,"_","P_"),MNU_GRAMAJE_REQUERIDO_TIPOM,"")))</f>
        <v>0</v>
      </c>
      <c r="AB401" s="259">
        <f t="shared" si="284"/>
        <v>0</v>
      </c>
      <c r="AC401" s="259">
        <v>0</v>
      </c>
      <c r="AD401" s="259">
        <f t="shared" si="285"/>
        <v>0</v>
      </c>
      <c r="AE401" s="260">
        <f t="shared" si="286"/>
        <v>0</v>
      </c>
      <c r="AF401" s="260">
        <v>0</v>
      </c>
      <c r="AG401" s="260">
        <f t="shared" si="287"/>
        <v>0</v>
      </c>
      <c r="AH401" s="348">
        <f t="array" ref="AH401">MAX((IF(MNU_CODIGO_ALIMENTO_ENTREGA=CONCATENATE($C401,"_","P_"),MNU_GRAMAJE_REQUERIDO_TIPOH,"")))</f>
        <v>0</v>
      </c>
      <c r="AI401" s="257">
        <f t="shared" si="288"/>
        <v>0</v>
      </c>
      <c r="AJ401" s="257">
        <v>0</v>
      </c>
      <c r="AK401" s="257">
        <f t="shared" si="289"/>
        <v>0</v>
      </c>
      <c r="AL401" s="258">
        <f t="shared" si="290"/>
        <v>0</v>
      </c>
      <c r="AM401" s="258">
        <v>0</v>
      </c>
      <c r="AN401" s="258">
        <f t="shared" si="291"/>
        <v>0</v>
      </c>
      <c r="AO401" s="451">
        <f t="shared" si="292"/>
        <v>68156</v>
      </c>
      <c r="AP401" s="450">
        <f t="shared" si="293"/>
        <v>38418512</v>
      </c>
      <c r="AQ401" s="261" t="e">
        <f>#REF!+AH401+AA401+T401+M401</f>
        <v>#REF!</v>
      </c>
      <c r="AR401" s="261">
        <f t="shared" si="252"/>
        <v>38418512</v>
      </c>
      <c r="AS401" s="261" t="e">
        <f t="shared" si="253"/>
        <v>#REF!</v>
      </c>
      <c r="AT401" s="261">
        <f t="shared" si="254"/>
        <v>38444912</v>
      </c>
      <c r="AU401" s="261" t="e">
        <f t="shared" si="255"/>
        <v>#REF!</v>
      </c>
      <c r="AV401" s="261">
        <f t="shared" si="256"/>
        <v>56778788</v>
      </c>
      <c r="AW401" s="261" t="e">
        <f t="shared" si="257"/>
        <v>#REF!</v>
      </c>
      <c r="AX401" s="261" t="e">
        <f>AV401+#REF!+AH401+AA401+T401</f>
        <v>#REF!</v>
      </c>
      <c r="AY401" s="261" t="e">
        <f t="shared" si="258"/>
        <v>#REF!</v>
      </c>
      <c r="AZ401" s="261" t="e">
        <f t="shared" si="259"/>
        <v>#REF!</v>
      </c>
      <c r="BA401" s="261" t="e">
        <f t="shared" si="260"/>
        <v>#REF!</v>
      </c>
      <c r="BB401" s="261" t="e">
        <f t="shared" si="261"/>
        <v>#REF!</v>
      </c>
      <c r="BC401" s="261" t="e">
        <f t="shared" si="262"/>
        <v>#REF!</v>
      </c>
      <c r="BD401" s="261" t="e">
        <f t="shared" si="263"/>
        <v>#REF!</v>
      </c>
      <c r="BE401" s="261" t="e">
        <f>BC401+AV401+#REF!+AH401+AA401</f>
        <v>#REF!</v>
      </c>
      <c r="BF401" s="261" t="e">
        <f t="shared" si="264"/>
        <v>#REF!</v>
      </c>
      <c r="BG401" s="261" t="e">
        <f t="shared" si="265"/>
        <v>#REF!</v>
      </c>
    </row>
    <row r="402" spans="1:59" ht="15.75">
      <c r="A402" s="333">
        <v>29</v>
      </c>
      <c r="B402" s="333" t="s">
        <v>1607</v>
      </c>
      <c r="C402" s="256">
        <v>21</v>
      </c>
      <c r="D402" s="322" t="s">
        <v>70</v>
      </c>
      <c r="E402" s="256" t="s">
        <v>9</v>
      </c>
      <c r="F402" s="425">
        <f t="array" ref="F402">MAX((IF(MNU_CODIGO_ALIMENTO_ENTREGA=CONCATENATE($C402,"_","s_"),MNU_GRAMAJE_REQUERIDO_TIPOA,"")))</f>
        <v>30</v>
      </c>
      <c r="G402" s="257">
        <f t="shared" si="266"/>
        <v>0</v>
      </c>
      <c r="H402" s="257">
        <f t="shared" si="267"/>
        <v>28094</v>
      </c>
      <c r="I402" s="257">
        <f t="shared" si="268"/>
        <v>28094</v>
      </c>
      <c r="J402" s="258">
        <f t="shared" si="269"/>
        <v>0</v>
      </c>
      <c r="K402" s="258">
        <f t="shared" si="270"/>
        <v>13513214</v>
      </c>
      <c r="L402" s="258">
        <f t="shared" si="271"/>
        <v>13513214</v>
      </c>
      <c r="M402" s="426">
        <f t="array" ref="M402">MAX((IF(MNU_CODIGO_ALIMENTO_ENTREGA=CONCATENATE($C402,"_","s_"),MNU_GRAMAJE_REQUERIDO_TIPOB,"")))</f>
        <v>30</v>
      </c>
      <c r="N402" s="343">
        <f t="shared" si="272"/>
        <v>0</v>
      </c>
      <c r="O402" s="343">
        <f t="shared" si="273"/>
        <v>15752</v>
      </c>
      <c r="P402" s="343">
        <f t="shared" si="274"/>
        <v>15752</v>
      </c>
      <c r="Q402" s="344">
        <f t="shared" si="275"/>
        <v>0</v>
      </c>
      <c r="R402" s="344">
        <f t="shared" si="276"/>
        <v>7576712</v>
      </c>
      <c r="S402" s="344">
        <f t="shared" si="277"/>
        <v>7576712</v>
      </c>
      <c r="T402" s="348">
        <f t="array" ref="T402">MAX((IF(MNU_CODIGO_ALIMENTO_ENTREGA=CONCATENATE($C402,"_","s_"),MNU_GRAMAJE_REQUERIDO_TIPOC,"")))</f>
        <v>50</v>
      </c>
      <c r="U402" s="257">
        <f t="shared" si="278"/>
        <v>0</v>
      </c>
      <c r="V402" s="257">
        <f t="shared" si="279"/>
        <v>8998</v>
      </c>
      <c r="W402" s="257">
        <f t="shared" si="280"/>
        <v>8998</v>
      </c>
      <c r="X402" s="258">
        <f t="shared" si="281"/>
        <v>0</v>
      </c>
      <c r="Y402" s="258">
        <f t="shared" si="282"/>
        <v>7216396</v>
      </c>
      <c r="Z402" s="258">
        <f t="shared" si="283"/>
        <v>7216396</v>
      </c>
      <c r="AA402" s="256">
        <f t="array" ref="AA402">MAX((IF(MNU_CODIGO_ALIMENTO_ENTREGA=CONCATENATE($C402,"_","P_"),MNU_GRAMAJE_REQUERIDO_TIPOM,"")))</f>
        <v>0</v>
      </c>
      <c r="AB402" s="259">
        <f t="shared" si="284"/>
        <v>0</v>
      </c>
      <c r="AC402" s="259">
        <v>0</v>
      </c>
      <c r="AD402" s="259">
        <f t="shared" si="285"/>
        <v>0</v>
      </c>
      <c r="AE402" s="260">
        <f t="shared" si="286"/>
        <v>0</v>
      </c>
      <c r="AF402" s="260">
        <v>0</v>
      </c>
      <c r="AG402" s="260">
        <f t="shared" si="287"/>
        <v>0</v>
      </c>
      <c r="AH402" s="348">
        <f t="array" ref="AH402">MAX((IF(MNU_CODIGO_ALIMENTO_ENTREGA=CONCATENATE($C402,"_","P_"),MNU_GRAMAJE_REQUERIDO_TIPOH,"")))</f>
        <v>0</v>
      </c>
      <c r="AI402" s="257">
        <f t="shared" si="288"/>
        <v>0</v>
      </c>
      <c r="AJ402" s="257">
        <v>0</v>
      </c>
      <c r="AK402" s="257">
        <f t="shared" si="289"/>
        <v>0</v>
      </c>
      <c r="AL402" s="258">
        <f t="shared" si="290"/>
        <v>0</v>
      </c>
      <c r="AM402" s="258">
        <v>0</v>
      </c>
      <c r="AN402" s="258">
        <f t="shared" si="291"/>
        <v>0</v>
      </c>
      <c r="AO402" s="451">
        <f t="shared" si="292"/>
        <v>52844</v>
      </c>
      <c r="AP402" s="450">
        <f t="shared" si="293"/>
        <v>28306322</v>
      </c>
      <c r="AQ402" s="261" t="e">
        <f>#REF!+AH402+AA402+T402+M402</f>
        <v>#REF!</v>
      </c>
      <c r="AR402" s="261">
        <f t="shared" si="252"/>
        <v>28306322</v>
      </c>
      <c r="AS402" s="261" t="e">
        <f t="shared" si="253"/>
        <v>#REF!</v>
      </c>
      <c r="AT402" s="261">
        <f t="shared" si="254"/>
        <v>28331072</v>
      </c>
      <c r="AU402" s="261" t="e">
        <f t="shared" si="255"/>
        <v>#REF!</v>
      </c>
      <c r="AV402" s="261">
        <f t="shared" si="256"/>
        <v>43124180</v>
      </c>
      <c r="AW402" s="261" t="e">
        <f t="shared" si="257"/>
        <v>#REF!</v>
      </c>
      <c r="AX402" s="261" t="e">
        <f>AV402+#REF!+AH402+AA402+T402</f>
        <v>#REF!</v>
      </c>
      <c r="AY402" s="261" t="e">
        <f t="shared" si="258"/>
        <v>#REF!</v>
      </c>
      <c r="AZ402" s="261" t="e">
        <f t="shared" si="259"/>
        <v>#REF!</v>
      </c>
      <c r="BA402" s="261" t="e">
        <f t="shared" si="260"/>
        <v>#REF!</v>
      </c>
      <c r="BB402" s="261" t="e">
        <f t="shared" si="261"/>
        <v>#REF!</v>
      </c>
      <c r="BC402" s="261" t="e">
        <f t="shared" si="262"/>
        <v>#REF!</v>
      </c>
      <c r="BD402" s="261" t="e">
        <f t="shared" si="263"/>
        <v>#REF!</v>
      </c>
      <c r="BE402" s="261" t="e">
        <f>BC402+AV402+#REF!+AH402+AA402</f>
        <v>#REF!</v>
      </c>
      <c r="BF402" s="261" t="e">
        <f t="shared" si="264"/>
        <v>#REF!</v>
      </c>
      <c r="BG402" s="261" t="e">
        <f t="shared" si="265"/>
        <v>#REF!</v>
      </c>
    </row>
    <row r="403" spans="1:59" ht="15.75">
      <c r="A403" s="333">
        <v>30</v>
      </c>
      <c r="B403" s="333" t="s">
        <v>1607</v>
      </c>
      <c r="C403" s="256">
        <v>21</v>
      </c>
      <c r="D403" s="322" t="s">
        <v>70</v>
      </c>
      <c r="E403" s="256" t="s">
        <v>9</v>
      </c>
      <c r="F403" s="425">
        <f t="array" ref="F403">MAX((IF(MNU_CODIGO_ALIMENTO_ENTREGA=CONCATENATE($C403,"_","s_"),MNU_GRAMAJE_REQUERIDO_TIPOA,"")))</f>
        <v>30</v>
      </c>
      <c r="G403" s="257">
        <f t="shared" si="266"/>
        <v>0</v>
      </c>
      <c r="H403" s="257">
        <f t="shared" si="267"/>
        <v>6688</v>
      </c>
      <c r="I403" s="257">
        <f t="shared" si="268"/>
        <v>6688</v>
      </c>
      <c r="J403" s="258">
        <f t="shared" si="269"/>
        <v>0</v>
      </c>
      <c r="K403" s="258">
        <f t="shared" si="270"/>
        <v>3216928</v>
      </c>
      <c r="L403" s="258">
        <f t="shared" si="271"/>
        <v>3216928</v>
      </c>
      <c r="M403" s="426">
        <f t="array" ref="M403">MAX((IF(MNU_CODIGO_ALIMENTO_ENTREGA=CONCATENATE($C403,"_","s_"),MNU_GRAMAJE_REQUERIDO_TIPOB,"")))</f>
        <v>30</v>
      </c>
      <c r="N403" s="343">
        <f t="shared" si="272"/>
        <v>0</v>
      </c>
      <c r="O403" s="343">
        <f t="shared" si="273"/>
        <v>3168</v>
      </c>
      <c r="P403" s="343">
        <f t="shared" si="274"/>
        <v>3168</v>
      </c>
      <c r="Q403" s="344">
        <f t="shared" si="275"/>
        <v>0</v>
      </c>
      <c r="R403" s="344">
        <f t="shared" si="276"/>
        <v>1523808</v>
      </c>
      <c r="S403" s="344">
        <f t="shared" si="277"/>
        <v>1523808</v>
      </c>
      <c r="T403" s="348">
        <f t="array" ref="T403">MAX((IF(MNU_CODIGO_ALIMENTO_ENTREGA=CONCATENATE($C403,"_","s_"),MNU_GRAMAJE_REQUERIDO_TIPOC,"")))</f>
        <v>50</v>
      </c>
      <c r="U403" s="257">
        <f t="shared" si="278"/>
        <v>0</v>
      </c>
      <c r="V403" s="257">
        <f t="shared" si="279"/>
        <v>24684</v>
      </c>
      <c r="W403" s="257">
        <f t="shared" si="280"/>
        <v>24684</v>
      </c>
      <c r="X403" s="258">
        <f t="shared" si="281"/>
        <v>0</v>
      </c>
      <c r="Y403" s="258">
        <f t="shared" si="282"/>
        <v>19796568</v>
      </c>
      <c r="Z403" s="258">
        <f t="shared" si="283"/>
        <v>19796568</v>
      </c>
      <c r="AA403" s="256">
        <f t="array" ref="AA403">MAX((IF(MNU_CODIGO_ALIMENTO_ENTREGA=CONCATENATE($C403,"_","P_"),MNU_GRAMAJE_REQUERIDO_TIPOM,"")))</f>
        <v>0</v>
      </c>
      <c r="AB403" s="259">
        <f t="shared" si="284"/>
        <v>0</v>
      </c>
      <c r="AC403" s="259">
        <v>0</v>
      </c>
      <c r="AD403" s="259">
        <f t="shared" si="285"/>
        <v>0</v>
      </c>
      <c r="AE403" s="260">
        <f t="shared" si="286"/>
        <v>0</v>
      </c>
      <c r="AF403" s="260">
        <v>0</v>
      </c>
      <c r="AG403" s="260">
        <f t="shared" si="287"/>
        <v>0</v>
      </c>
      <c r="AH403" s="348">
        <f t="array" ref="AH403">MAX((IF(MNU_CODIGO_ALIMENTO_ENTREGA=CONCATENATE($C403,"_","P_"),MNU_GRAMAJE_REQUERIDO_TIPOH,"")))</f>
        <v>0</v>
      </c>
      <c r="AI403" s="257">
        <f t="shared" si="288"/>
        <v>0</v>
      </c>
      <c r="AJ403" s="257">
        <v>0</v>
      </c>
      <c r="AK403" s="257">
        <f t="shared" si="289"/>
        <v>0</v>
      </c>
      <c r="AL403" s="258">
        <f t="shared" si="290"/>
        <v>0</v>
      </c>
      <c r="AM403" s="258">
        <v>0</v>
      </c>
      <c r="AN403" s="258">
        <f t="shared" si="291"/>
        <v>0</v>
      </c>
      <c r="AO403" s="451">
        <f t="shared" si="292"/>
        <v>34540</v>
      </c>
      <c r="AP403" s="450">
        <f t="shared" si="293"/>
        <v>24537304</v>
      </c>
      <c r="AQ403" s="261" t="e">
        <f>#REF!+AH403+AA403+T403+M403</f>
        <v>#REF!</v>
      </c>
      <c r="AR403" s="261">
        <f t="shared" si="252"/>
        <v>24537304</v>
      </c>
      <c r="AS403" s="261" t="e">
        <f t="shared" si="253"/>
        <v>#REF!</v>
      </c>
      <c r="AT403" s="261">
        <f t="shared" si="254"/>
        <v>24565156</v>
      </c>
      <c r="AU403" s="261" t="e">
        <f t="shared" si="255"/>
        <v>#REF!</v>
      </c>
      <c r="AV403" s="261">
        <f t="shared" si="256"/>
        <v>45885532</v>
      </c>
      <c r="AW403" s="261" t="e">
        <f t="shared" si="257"/>
        <v>#REF!</v>
      </c>
      <c r="AX403" s="261" t="e">
        <f>AV403+#REF!+AH403+AA403+T403</f>
        <v>#REF!</v>
      </c>
      <c r="AY403" s="261" t="e">
        <f t="shared" si="258"/>
        <v>#REF!</v>
      </c>
      <c r="AZ403" s="261" t="e">
        <f t="shared" si="259"/>
        <v>#REF!</v>
      </c>
      <c r="BA403" s="261" t="e">
        <f t="shared" si="260"/>
        <v>#REF!</v>
      </c>
      <c r="BB403" s="261" t="e">
        <f t="shared" si="261"/>
        <v>#REF!</v>
      </c>
      <c r="BC403" s="261" t="e">
        <f t="shared" si="262"/>
        <v>#REF!</v>
      </c>
      <c r="BD403" s="261" t="e">
        <f t="shared" si="263"/>
        <v>#REF!</v>
      </c>
      <c r="BE403" s="261" t="e">
        <f>BC403+AV403+#REF!+AH403+AA403</f>
        <v>#REF!</v>
      </c>
      <c r="BF403" s="261" t="e">
        <f t="shared" si="264"/>
        <v>#REF!</v>
      </c>
      <c r="BG403" s="261" t="e">
        <f t="shared" si="265"/>
        <v>#REF!</v>
      </c>
    </row>
    <row r="404" spans="1:59" ht="15.75" hidden="1"/>
    <row r="405" spans="1:59" s="350" customFormat="1" ht="13.5" hidden="1"/>
    <row r="406" spans="1:59" s="350" customFormat="1" ht="13.5" hidden="1"/>
    <row r="407" spans="1:59" s="350" customFormat="1" ht="13.5" hidden="1"/>
    <row r="408" spans="1:59" s="350" customFormat="1" ht="13.5" hidden="1"/>
    <row r="409" spans="1:59" s="350" customFormat="1" ht="13.5" hidden="1"/>
    <row r="410" spans="1:59" s="350" customFormat="1" ht="13.5" hidden="1"/>
    <row r="411" spans="1:59" s="350" customFormat="1" ht="13.5" hidden="1"/>
    <row r="412" spans="1:59" s="350" customFormat="1" ht="13.5" hidden="1"/>
    <row r="413" spans="1:59" s="350" customFormat="1" ht="15.75" hidden="1" customHeight="1">
      <c r="AQ413" s="349"/>
      <c r="AR413" s="349"/>
      <c r="AS413" s="349"/>
      <c r="AT413" s="349"/>
      <c r="AU413" s="349"/>
      <c r="AV413" s="349"/>
      <c r="AW413" s="349"/>
      <c r="AX413" s="349"/>
      <c r="AY413" s="349"/>
      <c r="AZ413" s="349"/>
      <c r="BA413" s="349"/>
      <c r="BB413" s="349"/>
      <c r="BC413" s="349"/>
    </row>
    <row r="414" spans="1:59" s="350" customFormat="1" ht="15.75" hidden="1" customHeight="1">
      <c r="AQ414" s="349"/>
      <c r="AR414" s="349"/>
      <c r="AS414" s="349"/>
      <c r="AT414" s="349"/>
      <c r="AU414" s="349"/>
      <c r="AV414" s="349"/>
      <c r="AW414" s="349"/>
      <c r="AX414" s="349"/>
      <c r="AY414" s="349"/>
      <c r="AZ414" s="349"/>
      <c r="BA414" s="349"/>
      <c r="BB414" s="349"/>
      <c r="BC414" s="349"/>
    </row>
    <row r="415" spans="1:59" s="350" customFormat="1" ht="15.75" hidden="1" customHeight="1">
      <c r="AQ415" s="349"/>
      <c r="AR415" s="349"/>
      <c r="AS415" s="349"/>
      <c r="AT415" s="349"/>
      <c r="AU415" s="349"/>
      <c r="AV415" s="349"/>
      <c r="AW415" s="349"/>
      <c r="AX415" s="349"/>
      <c r="AY415" s="349"/>
      <c r="AZ415" s="349"/>
      <c r="BA415" s="349"/>
      <c r="BB415" s="349"/>
      <c r="BC415" s="349"/>
    </row>
    <row r="416" spans="1:59" s="350" customFormat="1" ht="15.75" hidden="1" customHeight="1">
      <c r="AQ416" s="349"/>
      <c r="AR416" s="349"/>
      <c r="AS416" s="349"/>
      <c r="AT416" s="349"/>
      <c r="AU416" s="349"/>
      <c r="AV416" s="349"/>
      <c r="AW416" s="349"/>
      <c r="AX416" s="349"/>
      <c r="AY416" s="349"/>
      <c r="AZ416" s="349"/>
      <c r="BA416" s="349"/>
      <c r="BB416" s="349"/>
      <c r="BC416" s="349"/>
    </row>
    <row r="417" spans="43:55" s="350" customFormat="1" ht="15.75" hidden="1" customHeight="1">
      <c r="AQ417" s="349"/>
      <c r="AR417" s="349"/>
      <c r="AS417" s="349"/>
      <c r="AT417" s="349"/>
      <c r="AU417" s="349"/>
      <c r="AV417" s="349"/>
      <c r="AW417" s="349"/>
      <c r="AX417" s="349"/>
      <c r="AY417" s="349"/>
      <c r="AZ417" s="349"/>
      <c r="BA417" s="349"/>
      <c r="BB417" s="349"/>
      <c r="BC417" s="349"/>
    </row>
    <row r="418" spans="43:55" s="350" customFormat="1" ht="15.75" hidden="1" customHeight="1">
      <c r="AQ418" s="349"/>
      <c r="AR418" s="349"/>
      <c r="AS418" s="349"/>
      <c r="AT418" s="349"/>
      <c r="AU418" s="349"/>
      <c r="AV418" s="349"/>
      <c r="AW418" s="349"/>
      <c r="AX418" s="349"/>
      <c r="AY418" s="349"/>
      <c r="AZ418" s="349"/>
      <c r="BA418" s="349"/>
      <c r="BB418" s="349"/>
      <c r="BC418" s="349"/>
    </row>
    <row r="419" spans="43:55" s="350" customFormat="1" ht="15.75" hidden="1" customHeight="1">
      <c r="AQ419" s="349"/>
      <c r="AR419" s="349"/>
      <c r="AS419" s="349"/>
      <c r="AT419" s="349"/>
      <c r="AU419" s="349"/>
      <c r="AV419" s="349"/>
      <c r="AW419" s="349"/>
      <c r="AX419" s="349"/>
      <c r="AY419" s="349"/>
      <c r="AZ419" s="349"/>
      <c r="BA419" s="349"/>
      <c r="BB419" s="349"/>
      <c r="BC419" s="349"/>
    </row>
    <row r="420" spans="43:55" s="350" customFormat="1" ht="15.75" hidden="1" customHeight="1">
      <c r="AQ420" s="349"/>
      <c r="AR420" s="349"/>
      <c r="AS420" s="349"/>
      <c r="AT420" s="349"/>
      <c r="AU420" s="349"/>
      <c r="AV420" s="349"/>
      <c r="AW420" s="349"/>
      <c r="AX420" s="349"/>
      <c r="AY420" s="349"/>
      <c r="AZ420" s="349"/>
      <c r="BA420" s="349"/>
      <c r="BB420" s="349"/>
      <c r="BC420" s="349"/>
    </row>
    <row r="421" spans="43:55" s="350" customFormat="1" ht="15.75" hidden="1" customHeight="1">
      <c r="AQ421" s="349"/>
      <c r="AR421" s="349"/>
      <c r="AS421" s="349"/>
      <c r="AT421" s="349"/>
      <c r="AU421" s="349"/>
      <c r="AV421" s="349"/>
      <c r="AW421" s="349"/>
      <c r="AX421" s="349"/>
      <c r="AY421" s="349"/>
      <c r="AZ421" s="349"/>
      <c r="BA421" s="349"/>
      <c r="BB421" s="349"/>
      <c r="BC421" s="349"/>
    </row>
    <row r="422" spans="43:55" s="350" customFormat="1" ht="15.75" hidden="1" customHeight="1">
      <c r="AQ422" s="349"/>
      <c r="AR422" s="349"/>
      <c r="AS422" s="349"/>
      <c r="AT422" s="349"/>
      <c r="AU422" s="349"/>
      <c r="AV422" s="349"/>
      <c r="AW422" s="349"/>
      <c r="AX422" s="349"/>
      <c r="AY422" s="349"/>
      <c r="AZ422" s="349"/>
      <c r="BA422" s="349"/>
      <c r="BB422" s="349"/>
      <c r="BC422" s="349"/>
    </row>
    <row r="423" spans="43:55" s="350" customFormat="1" ht="15.75" hidden="1" customHeight="1">
      <c r="AQ423" s="349"/>
      <c r="AR423" s="349"/>
      <c r="AS423" s="349"/>
      <c r="AT423" s="349"/>
      <c r="AU423" s="349"/>
      <c r="AV423" s="349"/>
      <c r="AW423" s="349"/>
      <c r="AX423" s="349"/>
      <c r="AY423" s="349"/>
      <c r="AZ423" s="349"/>
      <c r="BA423" s="349"/>
      <c r="BB423" s="349"/>
      <c r="BC423" s="349"/>
    </row>
    <row r="424" spans="43:55" s="350" customFormat="1" ht="15.75" hidden="1" customHeight="1">
      <c r="AQ424" s="349"/>
      <c r="AR424" s="349"/>
      <c r="AS424" s="349"/>
      <c r="AT424" s="349"/>
      <c r="AU424" s="349"/>
      <c r="AV424" s="349"/>
      <c r="AW424" s="349"/>
      <c r="AX424" s="349"/>
      <c r="AY424" s="349"/>
      <c r="AZ424" s="349"/>
      <c r="BA424" s="349"/>
      <c r="BB424" s="349"/>
      <c r="BC424" s="349"/>
    </row>
    <row r="425" spans="43:55" s="350" customFormat="1" ht="15.75" hidden="1" customHeight="1">
      <c r="AQ425" s="349"/>
      <c r="AR425" s="349"/>
      <c r="AS425" s="349"/>
      <c r="AT425" s="349"/>
      <c r="AU425" s="349"/>
      <c r="AV425" s="349"/>
      <c r="AW425" s="349"/>
      <c r="AX425" s="349"/>
      <c r="AY425" s="349"/>
      <c r="AZ425" s="349"/>
      <c r="BA425" s="349"/>
      <c r="BB425" s="349"/>
      <c r="BC425" s="349"/>
    </row>
    <row r="426" spans="43:55" s="350" customFormat="1" ht="15.75" hidden="1" customHeight="1">
      <c r="AQ426" s="349"/>
      <c r="AR426" s="349"/>
      <c r="AS426" s="349"/>
      <c r="AT426" s="349"/>
      <c r="AU426" s="349"/>
      <c r="AV426" s="349"/>
      <c r="AW426" s="349"/>
      <c r="AX426" s="349"/>
      <c r="AY426" s="349"/>
      <c r="AZ426" s="349"/>
      <c r="BA426" s="349"/>
      <c r="BB426" s="349"/>
      <c r="BC426" s="349"/>
    </row>
    <row r="427" spans="43:55" s="350" customFormat="1" ht="15.75" hidden="1" customHeight="1">
      <c r="AQ427" s="349"/>
      <c r="AR427" s="349"/>
      <c r="AS427" s="349"/>
      <c r="AT427" s="349"/>
      <c r="AU427" s="349"/>
      <c r="AV427" s="349"/>
      <c r="AW427" s="349"/>
      <c r="AX427" s="349"/>
      <c r="AY427" s="349"/>
      <c r="AZ427" s="349"/>
      <c r="BA427" s="349"/>
      <c r="BB427" s="349"/>
      <c r="BC427" s="349"/>
    </row>
    <row r="428" spans="43:55" s="350" customFormat="1" ht="15.75" hidden="1" customHeight="1">
      <c r="AQ428" s="349"/>
      <c r="AR428" s="349"/>
      <c r="AS428" s="349"/>
      <c r="AT428" s="349"/>
      <c r="AU428" s="349"/>
      <c r="AV428" s="349"/>
      <c r="AW428" s="349"/>
      <c r="AX428" s="349"/>
      <c r="AY428" s="349"/>
      <c r="AZ428" s="349"/>
      <c r="BA428" s="349"/>
      <c r="BB428" s="349"/>
      <c r="BC428" s="349"/>
    </row>
    <row r="429" spans="43:55" s="350" customFormat="1" ht="15.75" hidden="1" customHeight="1">
      <c r="AQ429" s="349"/>
      <c r="AR429" s="349"/>
      <c r="AS429" s="349"/>
      <c r="AT429" s="349"/>
      <c r="AU429" s="349"/>
      <c r="AV429" s="349"/>
      <c r="AW429" s="349"/>
      <c r="AX429" s="349"/>
      <c r="AY429" s="349"/>
      <c r="AZ429" s="349"/>
      <c r="BA429" s="349"/>
      <c r="BB429" s="349"/>
      <c r="BC429" s="349"/>
    </row>
    <row r="430" spans="43:55" s="350" customFormat="1" ht="15.75" hidden="1" customHeight="1">
      <c r="AQ430" s="349"/>
      <c r="AR430" s="349"/>
      <c r="AS430" s="349"/>
      <c r="AT430" s="349"/>
      <c r="AU430" s="349"/>
      <c r="AV430" s="349"/>
      <c r="AW430" s="349"/>
      <c r="AX430" s="349"/>
      <c r="AY430" s="349"/>
      <c r="AZ430" s="349"/>
      <c r="BA430" s="349"/>
      <c r="BB430" s="349"/>
      <c r="BC430" s="349"/>
    </row>
    <row r="431" spans="43:55" s="350" customFormat="1" ht="15.75" hidden="1" customHeight="1">
      <c r="AQ431" s="349"/>
      <c r="AR431" s="349"/>
      <c r="AS431" s="349"/>
      <c r="AT431" s="349"/>
      <c r="AU431" s="349"/>
      <c r="AV431" s="349"/>
      <c r="AW431" s="349"/>
      <c r="AX431" s="349"/>
      <c r="AY431" s="349"/>
      <c r="AZ431" s="349"/>
      <c r="BA431" s="349"/>
      <c r="BB431" s="349"/>
      <c r="BC431" s="349"/>
    </row>
    <row r="432" spans="43:55" s="350" customFormat="1" ht="15.75" hidden="1" customHeight="1">
      <c r="AQ432" s="349"/>
      <c r="AR432" s="349"/>
      <c r="AS432" s="349"/>
      <c r="AT432" s="349"/>
      <c r="AU432" s="349"/>
      <c r="AV432" s="349"/>
      <c r="AW432" s="349"/>
      <c r="AX432" s="349"/>
      <c r="AY432" s="349"/>
      <c r="AZ432" s="349"/>
      <c r="BA432" s="349"/>
      <c r="BB432" s="349"/>
      <c r="BC432" s="349"/>
    </row>
  </sheetData>
  <sortState ref="A14:BG2235">
    <sortCondition ref="B14:B2235"/>
  </sortState>
  <mergeCells count="11">
    <mergeCell ref="F11:L11"/>
    <mergeCell ref="M11:S11"/>
    <mergeCell ref="T11:Z11"/>
    <mergeCell ref="AA11:AG11"/>
    <mergeCell ref="AH11:AN11"/>
    <mergeCell ref="A8:AP8"/>
    <mergeCell ref="C2:D2"/>
    <mergeCell ref="A3:AP3"/>
    <mergeCell ref="A4:AP4"/>
    <mergeCell ref="A5:AP5"/>
    <mergeCell ref="A7:AP7"/>
  </mergeCells>
  <hyperlinks>
    <hyperlink ref="C2:D2" location="'INDICE_ MODELO'!A1" display="Ir a Indice"/>
  </hyperlinks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5"/>
  <dimension ref="A1:CI73"/>
  <sheetViews>
    <sheetView zoomScaleNormal="100" workbookViewId="0"/>
  </sheetViews>
  <sheetFormatPr baseColWidth="10" defaultColWidth="11" defaultRowHeight="13.5"/>
  <cols>
    <col min="1" max="1" width="10.28515625" style="1" customWidth="1"/>
    <col min="2" max="2" width="11" style="1"/>
    <col min="3" max="3" width="6.42578125" style="1" bestFit="1" customWidth="1"/>
    <col min="4" max="4" width="8.42578125" style="211" customWidth="1"/>
    <col min="5" max="5" width="12.140625" style="1" customWidth="1"/>
    <col min="6" max="6" width="20.42578125" style="83" customWidth="1"/>
    <col min="7" max="7" width="5.7109375" style="1" customWidth="1"/>
    <col min="8" max="8" width="34.28515625" style="1" customWidth="1"/>
    <col min="9" max="9" width="43.5703125" style="1" customWidth="1"/>
    <col min="10" max="10" width="7.7109375" style="1" bestFit="1" customWidth="1"/>
    <col min="11" max="11" width="58.140625" style="1" customWidth="1"/>
    <col min="12" max="12" width="8" style="1" customWidth="1"/>
    <col min="13" max="17" width="7.5703125" style="1" customWidth="1"/>
    <col min="18" max="18" width="33.42578125" style="1" customWidth="1"/>
    <col min="19" max="19" width="11" style="1"/>
    <col min="20" max="24" width="11" style="350"/>
    <col min="25" max="31" width="11" style="1"/>
    <col min="32" max="34" width="11" style="350"/>
    <col min="35" max="44" width="11" style="1"/>
    <col min="45" max="45" width="11" style="83"/>
    <col min="46" max="50" width="12.5703125" style="1" customWidth="1"/>
    <col min="51" max="55" width="12.5703125" style="235" customWidth="1"/>
    <col min="56" max="60" width="12.140625" style="1" customWidth="1"/>
    <col min="61" max="61" width="11.42578125" style="235" customWidth="1"/>
    <col min="62" max="65" width="12.140625" style="235" customWidth="1"/>
    <col min="66" max="66" width="15.28515625" style="1" customWidth="1"/>
    <col min="67" max="68" width="14.5703125" style="1" customWidth="1"/>
    <col min="69" max="70" width="13.42578125" style="1" customWidth="1"/>
    <col min="71" max="71" width="14" style="1" customWidth="1"/>
    <col min="72" max="74" width="15.5703125" style="235" customWidth="1"/>
    <col min="75" max="76" width="13.42578125" style="235" customWidth="1"/>
    <col min="77" max="77" width="16.28515625" style="235" customWidth="1"/>
    <col min="78" max="82" width="9" style="235" customWidth="1"/>
    <col min="83" max="87" width="13.85546875" style="235" customWidth="1"/>
    <col min="88" max="16384" width="11" style="1"/>
  </cols>
  <sheetData>
    <row r="1" spans="1:87" ht="15.75">
      <c r="A1" s="163"/>
      <c r="B1" s="164"/>
      <c r="C1" s="164"/>
      <c r="D1" s="164"/>
      <c r="E1" s="164"/>
      <c r="F1" s="164"/>
      <c r="G1" s="164"/>
      <c r="H1" s="164"/>
      <c r="I1" s="164"/>
      <c r="J1" s="164"/>
      <c r="K1" s="405"/>
      <c r="L1" s="405"/>
      <c r="M1" s="405"/>
      <c r="N1" s="405"/>
      <c r="O1" s="405"/>
      <c r="P1" s="405"/>
      <c r="Q1" s="405"/>
      <c r="R1" s="405"/>
      <c r="S1" s="405"/>
      <c r="T1" s="405"/>
      <c r="U1" s="405"/>
      <c r="V1" s="405"/>
      <c r="W1" s="405"/>
      <c r="X1" s="405"/>
      <c r="Y1" s="405"/>
      <c r="Z1" s="405"/>
      <c r="AA1" s="405"/>
      <c r="AB1" s="405"/>
      <c r="AC1" s="405"/>
      <c r="AD1" s="405"/>
      <c r="AE1" s="405"/>
      <c r="AF1" s="405"/>
      <c r="AG1" s="405"/>
      <c r="AH1" s="405"/>
      <c r="AI1" s="405"/>
      <c r="AJ1" s="405"/>
      <c r="AK1" s="405"/>
      <c r="AL1" s="405"/>
      <c r="AM1" s="405"/>
      <c r="AN1" s="405"/>
      <c r="AO1" s="405"/>
      <c r="AP1" s="405"/>
      <c r="AQ1" s="405"/>
      <c r="AR1" s="405"/>
      <c r="AS1" s="405"/>
      <c r="AT1" s="406" t="s">
        <v>1427</v>
      </c>
      <c r="AU1" s="406" t="s">
        <v>1428</v>
      </c>
      <c r="AV1" s="406" t="s">
        <v>1429</v>
      </c>
      <c r="AW1" s="406" t="s">
        <v>1438</v>
      </c>
      <c r="AX1" s="406" t="s">
        <v>1437</v>
      </c>
      <c r="AY1" s="406" t="s">
        <v>1427</v>
      </c>
      <c r="AZ1" s="406" t="s">
        <v>1428</v>
      </c>
      <c r="BA1" s="406" t="s">
        <v>1429</v>
      </c>
      <c r="BB1" s="406" t="s">
        <v>1438</v>
      </c>
      <c r="BC1" s="406" t="s">
        <v>1437</v>
      </c>
      <c r="BD1" s="405"/>
      <c r="BE1" s="405"/>
      <c r="BF1" s="405"/>
      <c r="BG1" s="405"/>
      <c r="BH1" s="405"/>
      <c r="BI1" s="405"/>
      <c r="BJ1" s="405"/>
      <c r="BK1" s="405"/>
      <c r="BL1" s="405"/>
      <c r="BM1" s="405"/>
      <c r="BN1" s="405"/>
      <c r="BO1" s="405"/>
      <c r="BP1" s="405"/>
      <c r="BQ1" s="405"/>
      <c r="BR1" s="405"/>
      <c r="BS1" s="405"/>
      <c r="BT1" s="405"/>
      <c r="BU1" s="405"/>
      <c r="BV1" s="405"/>
      <c r="BW1" s="405"/>
      <c r="BX1" s="405"/>
      <c r="BY1" s="405"/>
      <c r="BZ1" s="405"/>
      <c r="CA1" s="405"/>
      <c r="CB1" s="405"/>
      <c r="CC1" s="405"/>
      <c r="CD1" s="405"/>
      <c r="CE1" s="405"/>
      <c r="CF1" s="405"/>
      <c r="CG1" s="405"/>
      <c r="CH1" s="405"/>
      <c r="CI1" s="405"/>
    </row>
    <row r="2" spans="1:87" ht="20.25">
      <c r="A2" s="407"/>
      <c r="B2" s="351"/>
      <c r="C2" s="474" t="s">
        <v>1971</v>
      </c>
      <c r="D2" s="474"/>
      <c r="E2" s="474"/>
      <c r="F2" s="369"/>
      <c r="G2" s="351"/>
      <c r="H2" s="351"/>
      <c r="I2" s="351"/>
      <c r="J2" s="351"/>
      <c r="K2" s="356"/>
      <c r="L2" s="356"/>
      <c r="M2" s="356"/>
      <c r="N2" s="356"/>
      <c r="O2" s="356"/>
      <c r="P2" s="356"/>
      <c r="Q2" s="356"/>
      <c r="R2" s="356"/>
      <c r="S2" s="356"/>
      <c r="T2" s="356"/>
      <c r="U2" s="356"/>
      <c r="V2" s="356"/>
      <c r="W2" s="356"/>
      <c r="X2" s="356"/>
      <c r="Y2" s="356"/>
      <c r="Z2" s="356"/>
      <c r="AA2" s="356"/>
      <c r="AB2" s="356"/>
      <c r="AC2" s="356"/>
      <c r="AD2" s="356"/>
      <c r="AE2" s="356"/>
      <c r="AF2" s="356"/>
      <c r="AG2" s="356"/>
      <c r="AH2" s="356"/>
      <c r="AI2" s="356"/>
      <c r="AJ2" s="356"/>
      <c r="AK2" s="356"/>
      <c r="AL2" s="356"/>
      <c r="AM2" s="356"/>
      <c r="AN2" s="356"/>
      <c r="AO2" s="356"/>
      <c r="AP2" s="356"/>
      <c r="AQ2" s="356"/>
      <c r="AR2" s="356"/>
      <c r="AS2" s="356"/>
      <c r="AT2" s="85" t="s">
        <v>1435</v>
      </c>
      <c r="AU2" s="85" t="s">
        <v>1435</v>
      </c>
      <c r="AV2" s="85" t="s">
        <v>1440</v>
      </c>
      <c r="AW2" s="85" t="s">
        <v>1439</v>
      </c>
      <c r="AX2" s="85" t="s">
        <v>1440</v>
      </c>
      <c r="AY2" s="85" t="s">
        <v>1435</v>
      </c>
      <c r="AZ2" s="85" t="s">
        <v>1435</v>
      </c>
      <c r="BA2" s="85" t="s">
        <v>1440</v>
      </c>
      <c r="BB2" s="85" t="s">
        <v>1439</v>
      </c>
      <c r="BC2" s="85" t="s">
        <v>1440</v>
      </c>
      <c r="BD2" s="356"/>
      <c r="BE2" s="356"/>
      <c r="BF2" s="356"/>
      <c r="BG2" s="356"/>
      <c r="BH2" s="356"/>
      <c r="BI2" s="356"/>
      <c r="BJ2" s="356"/>
      <c r="BK2" s="356"/>
      <c r="BL2" s="356"/>
      <c r="BM2" s="356"/>
      <c r="BN2" s="356"/>
      <c r="BO2" s="356"/>
      <c r="BP2" s="356"/>
      <c r="BQ2" s="356"/>
      <c r="BR2" s="356"/>
      <c r="BS2" s="356"/>
      <c r="BT2" s="356"/>
      <c r="BU2" s="356"/>
      <c r="BV2" s="356"/>
      <c r="BW2" s="356"/>
      <c r="BX2" s="356"/>
      <c r="BY2" s="356"/>
      <c r="BZ2" s="356"/>
      <c r="CA2" s="356"/>
      <c r="CB2" s="356"/>
      <c r="CC2" s="356"/>
      <c r="CD2" s="356"/>
      <c r="CE2" s="356"/>
      <c r="CF2" s="356"/>
      <c r="CG2" s="356"/>
      <c r="CH2" s="356"/>
      <c r="CI2" s="356"/>
    </row>
    <row r="3" spans="1:87" ht="18.75">
      <c r="A3" s="495" t="s">
        <v>1968</v>
      </c>
      <c r="B3" s="476"/>
      <c r="C3" s="476"/>
      <c r="D3" s="476"/>
      <c r="E3" s="476"/>
      <c r="F3" s="476"/>
      <c r="G3" s="476"/>
      <c r="H3" s="476"/>
      <c r="I3" s="476"/>
      <c r="J3" s="476"/>
      <c r="K3" s="476"/>
      <c r="L3" s="476"/>
      <c r="M3" s="476"/>
      <c r="N3" s="476"/>
      <c r="O3" s="476"/>
      <c r="P3" s="476"/>
      <c r="Q3" s="476"/>
      <c r="R3" s="356"/>
      <c r="S3" s="356"/>
      <c r="T3" s="356"/>
      <c r="U3" s="356"/>
      <c r="V3" s="356"/>
      <c r="W3" s="356"/>
      <c r="X3" s="356"/>
      <c r="Y3" s="356"/>
      <c r="Z3" s="356"/>
      <c r="AA3" s="356"/>
      <c r="AB3" s="356"/>
      <c r="AC3" s="356"/>
      <c r="AD3" s="356"/>
      <c r="AE3" s="356"/>
      <c r="AF3" s="356"/>
      <c r="AG3" s="356"/>
      <c r="AH3" s="356"/>
      <c r="AI3" s="356"/>
      <c r="AJ3" s="356"/>
      <c r="AK3" s="356"/>
      <c r="AL3" s="356"/>
      <c r="AM3" s="356"/>
      <c r="AN3" s="356"/>
      <c r="AO3" s="356"/>
      <c r="AP3" s="356"/>
      <c r="AQ3" s="356"/>
      <c r="AR3" s="356"/>
      <c r="AS3" s="356"/>
      <c r="AT3" s="85" t="s">
        <v>1438</v>
      </c>
      <c r="AU3" s="85" t="s">
        <v>1438</v>
      </c>
      <c r="AV3" s="85" t="s">
        <v>1436</v>
      </c>
      <c r="AW3" s="85" t="s">
        <v>1436</v>
      </c>
      <c r="AX3" s="85" t="s">
        <v>1436</v>
      </c>
      <c r="AY3" s="85" t="s">
        <v>1438</v>
      </c>
      <c r="AZ3" s="85" t="s">
        <v>1438</v>
      </c>
      <c r="BA3" s="85" t="s">
        <v>1436</v>
      </c>
      <c r="BB3" s="85" t="s">
        <v>1436</v>
      </c>
      <c r="BC3" s="85" t="s">
        <v>1436</v>
      </c>
      <c r="BD3" s="356"/>
      <c r="BE3" s="356"/>
      <c r="BF3" s="356"/>
      <c r="BG3" s="356"/>
      <c r="BH3" s="356"/>
      <c r="BI3" s="356"/>
      <c r="BJ3" s="356"/>
      <c r="BK3" s="356"/>
      <c r="BL3" s="356"/>
      <c r="BM3" s="356"/>
      <c r="BN3" s="356"/>
      <c r="BO3" s="356"/>
      <c r="BP3" s="356"/>
      <c r="BQ3" s="356"/>
      <c r="BR3" s="356"/>
      <c r="BS3" s="356"/>
      <c r="BT3" s="356"/>
      <c r="BU3" s="356"/>
      <c r="BV3" s="356"/>
      <c r="BW3" s="356"/>
      <c r="BX3" s="356"/>
      <c r="BY3" s="356"/>
      <c r="BZ3" s="356"/>
      <c r="CA3" s="356"/>
      <c r="CB3" s="356"/>
      <c r="CC3" s="356"/>
      <c r="CD3" s="356"/>
      <c r="CE3" s="356"/>
      <c r="CF3" s="356"/>
      <c r="CG3" s="356"/>
      <c r="CH3" s="356"/>
      <c r="CI3" s="356"/>
    </row>
    <row r="4" spans="1:87" ht="18.75">
      <c r="A4" s="495" t="s">
        <v>1969</v>
      </c>
      <c r="B4" s="476"/>
      <c r="C4" s="476"/>
      <c r="D4" s="476"/>
      <c r="E4" s="476"/>
      <c r="F4" s="476"/>
      <c r="G4" s="476"/>
      <c r="H4" s="476"/>
      <c r="I4" s="476"/>
      <c r="J4" s="476"/>
      <c r="K4" s="476"/>
      <c r="L4" s="476"/>
      <c r="M4" s="476"/>
      <c r="N4" s="476"/>
      <c r="O4" s="476"/>
      <c r="P4" s="476"/>
      <c r="Q4" s="476"/>
      <c r="R4" s="356"/>
      <c r="S4" s="356"/>
      <c r="T4" s="356"/>
      <c r="U4" s="356"/>
      <c r="V4" s="356"/>
      <c r="W4" s="356"/>
      <c r="X4" s="356"/>
      <c r="Y4" s="356"/>
      <c r="Z4" s="356"/>
      <c r="AA4" s="356"/>
      <c r="AB4" s="356"/>
      <c r="AC4" s="356"/>
      <c r="AD4" s="356"/>
      <c r="AE4" s="356"/>
      <c r="AF4" s="356"/>
      <c r="AG4" s="356"/>
      <c r="AH4" s="356"/>
      <c r="AI4" s="356"/>
      <c r="AJ4" s="356"/>
      <c r="AK4" s="356"/>
      <c r="AL4" s="356"/>
      <c r="AM4" s="356"/>
      <c r="AN4" s="356"/>
      <c r="AO4" s="356"/>
      <c r="AP4" s="356"/>
      <c r="AQ4" s="356"/>
      <c r="AR4" s="356"/>
      <c r="AS4" s="356"/>
      <c r="AT4" s="85" t="s">
        <v>1470</v>
      </c>
      <c r="AU4" s="85" t="s">
        <v>1439</v>
      </c>
      <c r="AV4" s="85" t="s">
        <v>1443</v>
      </c>
      <c r="AW4" s="85" t="s">
        <v>1443</v>
      </c>
      <c r="AX4" s="85" t="s">
        <v>1443</v>
      </c>
      <c r="AY4" s="85" t="s">
        <v>1470</v>
      </c>
      <c r="AZ4" s="85" t="s">
        <v>1439</v>
      </c>
      <c r="BA4" s="85" t="s">
        <v>1443</v>
      </c>
      <c r="BB4" s="85" t="s">
        <v>1443</v>
      </c>
      <c r="BC4" s="85" t="s">
        <v>1443</v>
      </c>
      <c r="BD4" s="356"/>
      <c r="BE4" s="356"/>
      <c r="BF4" s="356"/>
      <c r="BG4" s="356"/>
      <c r="BH4" s="356"/>
      <c r="BI4" s="356"/>
      <c r="BJ4" s="356"/>
      <c r="BK4" s="356"/>
      <c r="BL4" s="356"/>
      <c r="BM4" s="356"/>
      <c r="BN4" s="356"/>
      <c r="BO4" s="356"/>
      <c r="BP4" s="356"/>
      <c r="BQ4" s="356"/>
      <c r="BR4" s="356"/>
      <c r="BS4" s="356"/>
      <c r="BT4" s="356"/>
      <c r="BU4" s="356"/>
      <c r="BV4" s="356"/>
      <c r="BW4" s="356"/>
      <c r="BX4" s="356"/>
      <c r="BY4" s="356"/>
      <c r="BZ4" s="356"/>
      <c r="CA4" s="356"/>
      <c r="CB4" s="356"/>
      <c r="CC4" s="356"/>
      <c r="CD4" s="356"/>
      <c r="CE4" s="356"/>
      <c r="CF4" s="356"/>
      <c r="CG4" s="356"/>
      <c r="CH4" s="356"/>
      <c r="CI4" s="356"/>
    </row>
    <row r="5" spans="1:87" ht="18.75">
      <c r="A5" s="495" t="s">
        <v>1970</v>
      </c>
      <c r="B5" s="476"/>
      <c r="C5" s="476"/>
      <c r="D5" s="476"/>
      <c r="E5" s="476"/>
      <c r="F5" s="476"/>
      <c r="G5" s="476"/>
      <c r="H5" s="476"/>
      <c r="I5" s="476"/>
      <c r="J5" s="476"/>
      <c r="K5" s="476"/>
      <c r="L5" s="476"/>
      <c r="M5" s="476"/>
      <c r="N5" s="476"/>
      <c r="O5" s="476"/>
      <c r="P5" s="476"/>
      <c r="Q5" s="476"/>
      <c r="R5" s="356"/>
      <c r="S5" s="356"/>
      <c r="T5" s="356"/>
      <c r="U5" s="356"/>
      <c r="V5" s="356"/>
      <c r="W5" s="356"/>
      <c r="X5" s="356"/>
      <c r="Y5" s="356"/>
      <c r="Z5" s="356"/>
      <c r="AA5" s="356"/>
      <c r="AB5" s="356"/>
      <c r="AC5" s="356"/>
      <c r="AD5" s="356"/>
      <c r="AE5" s="356"/>
      <c r="AF5" s="356"/>
      <c r="AG5" s="356"/>
      <c r="AH5" s="356"/>
      <c r="AI5" s="356"/>
      <c r="AJ5" s="356"/>
      <c r="AK5" s="356"/>
      <c r="AL5" s="356"/>
      <c r="AM5" s="356"/>
      <c r="AN5" s="356"/>
      <c r="AO5" s="356"/>
      <c r="AP5" s="356"/>
      <c r="AQ5" s="356"/>
      <c r="AR5" s="356"/>
      <c r="AS5" s="356"/>
      <c r="AT5" s="85"/>
      <c r="AU5" s="85" t="s">
        <v>1443</v>
      </c>
      <c r="AV5" s="85" t="s">
        <v>1470</v>
      </c>
      <c r="AW5" s="85" t="s">
        <v>151</v>
      </c>
      <c r="AX5" s="85" t="s">
        <v>1441</v>
      </c>
      <c r="AY5" s="85"/>
      <c r="AZ5" s="85" t="s">
        <v>1443</v>
      </c>
      <c r="BA5" s="85" t="s">
        <v>1470</v>
      </c>
      <c r="BB5" s="85" t="s">
        <v>151</v>
      </c>
      <c r="BC5" s="85" t="s">
        <v>1441</v>
      </c>
      <c r="BD5" s="356"/>
      <c r="BE5" s="356"/>
      <c r="BF5" s="356"/>
      <c r="BG5" s="356"/>
      <c r="BH5" s="356"/>
      <c r="BI5" s="356"/>
      <c r="BJ5" s="356"/>
      <c r="BK5" s="356"/>
      <c r="BL5" s="356"/>
      <c r="BM5" s="356"/>
      <c r="BN5" s="356"/>
      <c r="BO5" s="356"/>
      <c r="BP5" s="356"/>
      <c r="BQ5" s="356"/>
      <c r="BR5" s="356"/>
      <c r="BS5" s="356"/>
      <c r="BT5" s="300"/>
      <c r="BU5" s="356"/>
      <c r="BV5" s="356"/>
      <c r="BW5" s="356"/>
      <c r="BX5" s="356"/>
      <c r="BY5" s="356"/>
      <c r="BZ5" s="356"/>
      <c r="CA5" s="356"/>
      <c r="CB5" s="356"/>
      <c r="CC5" s="356"/>
      <c r="CD5" s="356"/>
      <c r="CE5" s="356"/>
      <c r="CF5" s="356"/>
      <c r="CG5" s="356"/>
      <c r="CH5" s="356"/>
      <c r="CI5" s="356"/>
    </row>
    <row r="6" spans="1:87" ht="18.75">
      <c r="A6" s="495"/>
      <c r="B6" s="476"/>
      <c r="C6" s="476"/>
      <c r="D6" s="476"/>
      <c r="E6" s="476"/>
      <c r="F6" s="476"/>
      <c r="G6" s="476"/>
      <c r="H6" s="476"/>
      <c r="I6" s="476"/>
      <c r="J6" s="476"/>
      <c r="K6" s="476"/>
      <c r="L6" s="476"/>
      <c r="M6" s="476"/>
      <c r="N6" s="476"/>
      <c r="O6" s="476"/>
      <c r="P6" s="476"/>
      <c r="Q6" s="476"/>
      <c r="R6" s="356"/>
      <c r="S6" s="356"/>
      <c r="T6" s="356"/>
      <c r="U6" s="356"/>
      <c r="V6" s="356"/>
      <c r="W6" s="356"/>
      <c r="X6" s="356"/>
      <c r="Y6" s="356"/>
      <c r="Z6" s="356"/>
      <c r="AA6" s="356"/>
      <c r="AB6" s="356"/>
      <c r="AC6" s="356"/>
      <c r="AD6" s="356"/>
      <c r="AE6" s="356"/>
      <c r="AF6" s="356"/>
      <c r="AG6" s="356"/>
      <c r="AH6" s="356"/>
      <c r="AI6" s="356"/>
      <c r="AJ6" s="356"/>
      <c r="AK6" s="356"/>
      <c r="AL6" s="356"/>
      <c r="AM6" s="356"/>
      <c r="AN6" s="356"/>
      <c r="AO6" s="356"/>
      <c r="AP6" s="356"/>
      <c r="AQ6" s="356"/>
      <c r="AR6" s="356"/>
      <c r="AS6" s="356"/>
      <c r="AT6" s="85"/>
      <c r="AU6" s="85" t="s">
        <v>1441</v>
      </c>
      <c r="AV6" s="85"/>
      <c r="AW6" s="85" t="s">
        <v>1470</v>
      </c>
      <c r="AX6" s="85" t="s">
        <v>1470</v>
      </c>
      <c r="AY6" s="85"/>
      <c r="AZ6" s="85" t="s">
        <v>1441</v>
      </c>
      <c r="BA6" s="85"/>
      <c r="BB6" s="85" t="s">
        <v>1470</v>
      </c>
      <c r="BC6" s="85" t="s">
        <v>1470</v>
      </c>
      <c r="BD6" s="356"/>
      <c r="BE6" s="356"/>
      <c r="BF6" s="356"/>
      <c r="BG6" s="356"/>
      <c r="BH6" s="356"/>
      <c r="BI6" s="356"/>
      <c r="BJ6" s="356"/>
      <c r="BK6" s="356"/>
      <c r="BL6" s="356"/>
      <c r="BM6" s="356"/>
      <c r="BN6" s="356"/>
      <c r="BO6" s="356"/>
      <c r="BP6" s="356"/>
      <c r="BQ6" s="356"/>
      <c r="BR6" s="356"/>
      <c r="BS6" s="356"/>
      <c r="BT6" s="356"/>
      <c r="BU6" s="356"/>
      <c r="BV6" s="356"/>
      <c r="BW6" s="356"/>
      <c r="BX6" s="356"/>
      <c r="BY6" s="356"/>
      <c r="BZ6" s="356"/>
      <c r="CA6" s="356"/>
      <c r="CB6" s="356"/>
      <c r="CC6" s="356"/>
      <c r="CD6" s="356"/>
      <c r="CE6" s="356"/>
      <c r="CF6" s="356"/>
      <c r="CG6" s="356"/>
      <c r="CH6" s="356"/>
      <c r="CI6" s="356"/>
    </row>
    <row r="7" spans="1:87" ht="18.75">
      <c r="A7" s="495" t="str">
        <f>CONCATENATE("BASE DE DATOS MENÚS VIGENCIA 2017"," : ",RES_RESUMEN_PRESUPUESTO_2!A1)</f>
        <v>BASE DE DATOS MENÚS VIGENCIA 2017 : CEREAL EMPACADO</v>
      </c>
      <c r="B7" s="476"/>
      <c r="C7" s="476"/>
      <c r="D7" s="476"/>
      <c r="E7" s="476"/>
      <c r="F7" s="476"/>
      <c r="G7" s="476"/>
      <c r="H7" s="476"/>
      <c r="I7" s="476"/>
      <c r="J7" s="476"/>
      <c r="K7" s="476"/>
      <c r="L7" s="476"/>
      <c r="M7" s="476"/>
      <c r="N7" s="476"/>
      <c r="O7" s="476"/>
      <c r="P7" s="476"/>
      <c r="Q7" s="476"/>
      <c r="R7" s="356"/>
      <c r="S7" s="356"/>
      <c r="T7" s="356"/>
      <c r="U7" s="356"/>
      <c r="V7" s="356"/>
      <c r="W7" s="356"/>
      <c r="X7" s="356"/>
      <c r="Y7" s="356"/>
      <c r="Z7" s="356"/>
      <c r="AA7" s="356"/>
      <c r="AB7" s="356"/>
      <c r="AC7" s="356"/>
      <c r="AD7" s="356"/>
      <c r="AE7" s="356"/>
      <c r="AF7" s="356"/>
      <c r="AG7" s="356"/>
      <c r="AH7" s="356"/>
      <c r="AI7" s="356"/>
      <c r="AJ7" s="356"/>
      <c r="AK7" s="356"/>
      <c r="AL7" s="356"/>
      <c r="AM7" s="356"/>
      <c r="AN7" s="356"/>
      <c r="AO7" s="356"/>
      <c r="AP7" s="356"/>
      <c r="AQ7" s="356"/>
      <c r="AR7" s="356"/>
      <c r="AS7" s="356"/>
      <c r="AT7" s="81"/>
      <c r="AU7" s="85" t="s">
        <v>1470</v>
      </c>
      <c r="AV7" s="81"/>
      <c r="AW7" s="81"/>
      <c r="AX7" s="81"/>
      <c r="AY7" s="81"/>
      <c r="AZ7" s="85" t="s">
        <v>1470</v>
      </c>
      <c r="BA7" s="81"/>
      <c r="BB7" s="81"/>
      <c r="BC7" s="81"/>
      <c r="BD7" s="504">
        <v>6.9500000000000006E-2</v>
      </c>
      <c r="BE7" s="505"/>
      <c r="BF7" s="505"/>
      <c r="BG7" s="505"/>
      <c r="BH7" s="505"/>
      <c r="BI7" s="505"/>
      <c r="BJ7" s="505"/>
      <c r="BK7" s="505"/>
      <c r="BL7" s="505"/>
      <c r="BM7" s="505"/>
      <c r="BN7" s="356"/>
      <c r="BO7" s="356"/>
      <c r="BP7" s="356"/>
      <c r="BQ7" s="356"/>
      <c r="BR7" s="356"/>
      <c r="BS7" s="356"/>
      <c r="BT7" s="356"/>
      <c r="BU7" s="356"/>
      <c r="BV7" s="356"/>
      <c r="BW7" s="356"/>
      <c r="BX7" s="356"/>
      <c r="BY7" s="356"/>
      <c r="BZ7" s="356"/>
      <c r="CA7" s="356"/>
      <c r="CB7" s="356"/>
      <c r="CC7" s="356"/>
      <c r="CD7" s="356"/>
      <c r="CE7" s="356"/>
      <c r="CF7" s="356"/>
      <c r="CG7" s="356"/>
      <c r="CH7" s="356"/>
      <c r="CI7" s="356"/>
    </row>
    <row r="8" spans="1:87" ht="14.25">
      <c r="A8" s="407"/>
      <c r="B8" s="351"/>
      <c r="C8" s="351"/>
      <c r="D8" s="351"/>
      <c r="E8" s="351"/>
      <c r="F8" s="351"/>
      <c r="G8" s="351"/>
      <c r="H8" s="351"/>
      <c r="I8" s="351"/>
      <c r="J8" s="351"/>
      <c r="K8" s="356"/>
      <c r="L8" s="356"/>
      <c r="M8" s="356"/>
      <c r="N8" s="356"/>
      <c r="O8" s="356"/>
      <c r="P8" s="356"/>
      <c r="Q8" s="356"/>
      <c r="R8" s="356"/>
      <c r="S8" s="356"/>
      <c r="T8" s="356"/>
      <c r="U8" s="356"/>
      <c r="V8" s="356"/>
      <c r="W8" s="356"/>
      <c r="X8" s="356"/>
      <c r="Y8" s="356"/>
      <c r="Z8" s="356"/>
      <c r="AA8" s="356"/>
      <c r="AB8" s="356"/>
      <c r="AC8" s="356"/>
      <c r="AD8" s="356"/>
      <c r="AE8" s="356"/>
      <c r="AF8" s="356"/>
      <c r="AG8" s="356"/>
      <c r="AH8" s="356"/>
      <c r="AI8" s="356"/>
      <c r="AJ8" s="356"/>
      <c r="AK8" s="356"/>
      <c r="AL8" s="356"/>
      <c r="AM8" s="356"/>
      <c r="AN8" s="356"/>
      <c r="AO8" s="356"/>
      <c r="AP8" s="356"/>
      <c r="AQ8" s="356"/>
      <c r="AR8" s="356"/>
      <c r="AS8" s="356"/>
      <c r="AT8" s="81">
        <v>5</v>
      </c>
      <c r="AU8" s="81">
        <v>5</v>
      </c>
      <c r="AV8" s="81">
        <v>5</v>
      </c>
      <c r="AW8" s="81">
        <v>5</v>
      </c>
      <c r="AX8" s="81">
        <v>5</v>
      </c>
      <c r="AY8" s="81">
        <v>6</v>
      </c>
      <c r="AZ8" s="81">
        <v>6</v>
      </c>
      <c r="BA8" s="81">
        <v>6</v>
      </c>
      <c r="BB8" s="81">
        <v>6</v>
      </c>
      <c r="BC8" s="81">
        <v>6</v>
      </c>
      <c r="BD8" s="356"/>
      <c r="BE8" s="356"/>
      <c r="BF8" s="356"/>
      <c r="BG8" s="356"/>
      <c r="BH8" s="356"/>
      <c r="BI8" s="356"/>
      <c r="BJ8" s="356"/>
      <c r="BK8" s="356"/>
      <c r="BL8" s="356"/>
      <c r="BM8" s="356"/>
      <c r="BN8" s="356"/>
      <c r="BO8" s="356"/>
      <c r="BP8" s="356"/>
      <c r="BQ8" s="356"/>
      <c r="BR8" s="356"/>
      <c r="BS8" s="356"/>
      <c r="BT8" s="356"/>
      <c r="BU8" s="356"/>
      <c r="BV8" s="356"/>
      <c r="BW8" s="356"/>
      <c r="BX8" s="356"/>
      <c r="BY8" s="356"/>
      <c r="BZ8" s="356"/>
      <c r="CA8" s="356"/>
      <c r="CB8" s="356"/>
      <c r="CC8" s="356"/>
      <c r="CD8" s="356"/>
      <c r="CE8" s="356"/>
      <c r="CF8" s="356"/>
      <c r="CG8" s="356"/>
      <c r="CH8" s="356"/>
      <c r="CI8" s="356"/>
    </row>
    <row r="9" spans="1:87" ht="32.25" customHeight="1">
      <c r="A9" s="408"/>
      <c r="B9" s="356"/>
      <c r="C9" s="356"/>
      <c r="D9" s="356"/>
      <c r="E9" s="356"/>
      <c r="F9" s="356"/>
      <c r="G9" s="356"/>
      <c r="H9" s="356"/>
      <c r="I9" s="356"/>
      <c r="J9" s="356"/>
      <c r="K9" s="356"/>
      <c r="L9" s="356"/>
      <c r="M9" s="496" t="s">
        <v>1337</v>
      </c>
      <c r="N9" s="496"/>
      <c r="O9" s="496"/>
      <c r="P9" s="496"/>
      <c r="Q9" s="496"/>
      <c r="R9" s="356"/>
      <c r="S9" s="501" t="s">
        <v>2473</v>
      </c>
      <c r="T9" s="502"/>
      <c r="U9" s="502"/>
      <c r="V9" s="502"/>
      <c r="W9" s="502"/>
      <c r="X9" s="503"/>
      <c r="Y9" s="498" t="s">
        <v>1653</v>
      </c>
      <c r="Z9" s="499"/>
      <c r="AA9" s="499"/>
      <c r="AB9" s="499"/>
      <c r="AC9" s="499"/>
      <c r="AD9" s="500"/>
      <c r="AE9" s="501" t="s">
        <v>2472</v>
      </c>
      <c r="AF9" s="502"/>
      <c r="AG9" s="502"/>
      <c r="AH9" s="503"/>
      <c r="AI9" s="497" t="s">
        <v>1654</v>
      </c>
      <c r="AJ9" s="497"/>
      <c r="AK9" s="497"/>
      <c r="AL9" s="497"/>
      <c r="AM9" s="494" t="s">
        <v>1655</v>
      </c>
      <c r="AN9" s="494"/>
      <c r="AO9" s="494"/>
      <c r="AP9" s="494"/>
      <c r="AQ9" s="494"/>
      <c r="AR9" s="494"/>
      <c r="AS9" s="507" t="s">
        <v>1763</v>
      </c>
      <c r="AT9" s="508"/>
      <c r="AU9" s="508"/>
      <c r="AV9" s="508"/>
      <c r="AW9" s="508"/>
      <c r="AX9" s="508"/>
      <c r="AY9" s="508"/>
      <c r="AZ9" s="508"/>
      <c r="BA9" s="508"/>
      <c r="BB9" s="508"/>
      <c r="BC9" s="508"/>
      <c r="BD9" s="508"/>
      <c r="BE9" s="508"/>
      <c r="BF9" s="508"/>
      <c r="BG9" s="508"/>
      <c r="BH9" s="508"/>
      <c r="BI9" s="508"/>
      <c r="BJ9" s="508"/>
      <c r="BK9" s="508"/>
      <c r="BL9" s="508"/>
      <c r="BM9" s="508"/>
      <c r="BN9" s="508"/>
      <c r="BO9" s="508"/>
      <c r="BP9" s="508"/>
      <c r="BQ9" s="508"/>
      <c r="BR9" s="508"/>
      <c r="BS9" s="508"/>
      <c r="BT9" s="508"/>
      <c r="BU9" s="508"/>
      <c r="BV9" s="508"/>
      <c r="BW9" s="508"/>
      <c r="BX9" s="508"/>
      <c r="BY9" s="509"/>
      <c r="BZ9" s="356"/>
      <c r="CA9" s="356"/>
      <c r="CB9" s="356"/>
      <c r="CC9" s="356"/>
      <c r="CD9" s="356"/>
      <c r="CE9" s="356"/>
      <c r="CF9" s="356"/>
      <c r="CG9" s="356"/>
      <c r="CH9" s="356"/>
      <c r="CI9" s="356"/>
    </row>
    <row r="10" spans="1:87" ht="18.75" customHeight="1">
      <c r="A10" s="408"/>
      <c r="B10" s="356"/>
      <c r="C10" s="356"/>
      <c r="D10" s="356"/>
      <c r="E10" s="356"/>
      <c r="F10" s="356"/>
      <c r="G10" s="356"/>
      <c r="H10" s="356"/>
      <c r="I10" s="356"/>
      <c r="J10" s="356"/>
      <c r="K10" s="356"/>
      <c r="L10" s="356"/>
      <c r="M10" s="390"/>
      <c r="N10" s="390"/>
      <c r="O10" s="390"/>
      <c r="P10" s="390"/>
      <c r="Q10" s="390"/>
      <c r="R10" s="356"/>
      <c r="S10" s="356"/>
      <c r="T10" s="356"/>
      <c r="U10" s="356"/>
      <c r="V10" s="356"/>
      <c r="W10" s="356"/>
      <c r="X10" s="356"/>
      <c r="Y10" s="356"/>
      <c r="Z10" s="356"/>
      <c r="AA10" s="356"/>
      <c r="AB10" s="356"/>
      <c r="AC10" s="356"/>
      <c r="AD10" s="356"/>
      <c r="AE10" s="356"/>
      <c r="AF10" s="356"/>
      <c r="AG10" s="356"/>
      <c r="AH10" s="356"/>
      <c r="AI10" s="356"/>
      <c r="AJ10" s="356"/>
      <c r="AK10" s="356"/>
      <c r="AL10" s="356"/>
      <c r="AM10" s="356"/>
      <c r="AN10" s="356"/>
      <c r="AO10" s="356"/>
      <c r="AP10" s="356"/>
      <c r="AQ10" s="356"/>
      <c r="AR10" s="356"/>
      <c r="AS10" s="356"/>
      <c r="AT10" s="493" t="s">
        <v>1764</v>
      </c>
      <c r="AU10" s="493"/>
      <c r="AV10" s="493"/>
      <c r="AW10" s="493"/>
      <c r="AX10" s="493"/>
      <c r="AY10" s="506" t="s">
        <v>1765</v>
      </c>
      <c r="AZ10" s="506"/>
      <c r="BA10" s="506"/>
      <c r="BB10" s="506"/>
      <c r="BC10" s="506"/>
      <c r="BD10" s="493" t="s">
        <v>1764</v>
      </c>
      <c r="BE10" s="493"/>
      <c r="BF10" s="493"/>
      <c r="BG10" s="493"/>
      <c r="BH10" s="493"/>
      <c r="BI10" s="506" t="s">
        <v>1765</v>
      </c>
      <c r="BJ10" s="506"/>
      <c r="BK10" s="506"/>
      <c r="BL10" s="506"/>
      <c r="BM10" s="506"/>
      <c r="BN10" s="493" t="s">
        <v>1764</v>
      </c>
      <c r="BO10" s="493"/>
      <c r="BP10" s="493"/>
      <c r="BQ10" s="493"/>
      <c r="BR10" s="493"/>
      <c r="BS10" s="493"/>
      <c r="BT10" s="506" t="s">
        <v>1765</v>
      </c>
      <c r="BU10" s="506"/>
      <c r="BV10" s="506"/>
      <c r="BW10" s="506"/>
      <c r="BX10" s="506"/>
      <c r="BY10" s="506"/>
      <c r="BZ10" s="493" t="s">
        <v>1772</v>
      </c>
      <c r="CA10" s="493"/>
      <c r="CB10" s="493"/>
      <c r="CC10" s="493"/>
      <c r="CD10" s="493"/>
      <c r="CE10" s="493" t="s">
        <v>1771</v>
      </c>
      <c r="CF10" s="493"/>
      <c r="CG10" s="493"/>
      <c r="CH10" s="493"/>
      <c r="CI10" s="493"/>
    </row>
    <row r="11" spans="1:87" s="235" customFormat="1" ht="8.25" customHeight="1">
      <c r="A11" s="409"/>
      <c r="B11" s="410"/>
      <c r="C11" s="410"/>
      <c r="D11" s="410"/>
      <c r="E11" s="410"/>
      <c r="F11" s="410"/>
      <c r="G11" s="410"/>
      <c r="H11" s="410"/>
      <c r="I11" s="410"/>
      <c r="J11" s="410"/>
      <c r="K11" s="410"/>
      <c r="L11" s="410"/>
      <c r="M11" s="411"/>
      <c r="N11" s="411"/>
      <c r="O11" s="411"/>
      <c r="P11" s="411"/>
      <c r="Q11" s="411"/>
      <c r="R11" s="410"/>
      <c r="S11" s="410"/>
      <c r="T11" s="410"/>
      <c r="U11" s="410"/>
      <c r="V11" s="410"/>
      <c r="W11" s="410"/>
      <c r="X11" s="410"/>
      <c r="Y11" s="410"/>
      <c r="Z11" s="410"/>
      <c r="AA11" s="410"/>
      <c r="AB11" s="410"/>
      <c r="AC11" s="410"/>
      <c r="AD11" s="410"/>
      <c r="AE11" s="410"/>
      <c r="AF11" s="410"/>
      <c r="AG11" s="410"/>
      <c r="AH11" s="410"/>
      <c r="AI11" s="410"/>
      <c r="AJ11" s="410"/>
      <c r="AK11" s="410"/>
      <c r="AL11" s="410"/>
      <c r="AM11" s="410"/>
      <c r="AN11" s="410"/>
      <c r="AO11" s="410"/>
      <c r="AP11" s="410"/>
      <c r="AQ11" s="410"/>
      <c r="AR11" s="410"/>
      <c r="AS11" s="410"/>
      <c r="AT11" s="410"/>
      <c r="AU11" s="410"/>
      <c r="AV11" s="410"/>
      <c r="AW11" s="410"/>
      <c r="AX11" s="410"/>
      <c r="AY11" s="410"/>
      <c r="AZ11" s="410"/>
      <c r="BA11" s="410"/>
      <c r="BB11" s="410"/>
      <c r="BC11" s="410"/>
      <c r="BD11" s="410"/>
      <c r="BE11" s="410"/>
      <c r="BF11" s="410"/>
      <c r="BG11" s="410"/>
      <c r="BH11" s="410"/>
      <c r="BI11" s="410"/>
      <c r="BJ11" s="410"/>
      <c r="BK11" s="410"/>
      <c r="BL11" s="410"/>
      <c r="BM11" s="410"/>
      <c r="BN11" s="410"/>
      <c r="BO11" s="410"/>
      <c r="BP11" s="410"/>
      <c r="BQ11" s="410"/>
      <c r="BR11" s="410"/>
      <c r="BS11" s="410"/>
      <c r="BT11" s="410"/>
      <c r="BU11" s="410"/>
      <c r="BV11" s="410"/>
      <c r="BW11" s="410"/>
      <c r="BX11" s="410"/>
      <c r="BY11" s="410"/>
      <c r="BZ11" s="410"/>
      <c r="CA11" s="410"/>
      <c r="CB11" s="410"/>
      <c r="CC11" s="410"/>
      <c r="CD11" s="410"/>
      <c r="CE11" s="410"/>
      <c r="CF11" s="410"/>
      <c r="CG11" s="410"/>
      <c r="CH11" s="410"/>
      <c r="CI11" s="410"/>
    </row>
    <row r="12" spans="1:87" ht="51">
      <c r="A12" s="398" t="s">
        <v>124</v>
      </c>
      <c r="B12" s="398" t="s">
        <v>123</v>
      </c>
      <c r="C12" s="398" t="s">
        <v>1351</v>
      </c>
      <c r="D12" s="398" t="s">
        <v>1635</v>
      </c>
      <c r="E12" s="398" t="s">
        <v>0</v>
      </c>
      <c r="F12" s="399" t="s">
        <v>1975</v>
      </c>
      <c r="G12" s="398" t="s">
        <v>2009</v>
      </c>
      <c r="H12" s="398" t="s">
        <v>39</v>
      </c>
      <c r="I12" s="398" t="s">
        <v>71</v>
      </c>
      <c r="J12" s="398" t="s">
        <v>72</v>
      </c>
      <c r="K12" s="398" t="s">
        <v>60</v>
      </c>
      <c r="L12" s="398" t="s">
        <v>8</v>
      </c>
      <c r="M12" s="398" t="s">
        <v>3</v>
      </c>
      <c r="N12" s="398" t="s">
        <v>4</v>
      </c>
      <c r="O12" s="398" t="s">
        <v>5</v>
      </c>
      <c r="P12" s="398" t="s">
        <v>6</v>
      </c>
      <c r="Q12" s="398" t="s">
        <v>7</v>
      </c>
      <c r="R12" s="398" t="s">
        <v>59</v>
      </c>
      <c r="S12" s="400" t="s">
        <v>1573</v>
      </c>
      <c r="T12" s="400" t="s">
        <v>2461</v>
      </c>
      <c r="U12" s="400" t="s">
        <v>2462</v>
      </c>
      <c r="V12" s="400" t="s">
        <v>2463</v>
      </c>
      <c r="W12" s="400" t="s">
        <v>2464</v>
      </c>
      <c r="X12" s="400" t="s">
        <v>2465</v>
      </c>
      <c r="Y12" s="401" t="s">
        <v>3</v>
      </c>
      <c r="Z12" s="401" t="s">
        <v>4</v>
      </c>
      <c r="AA12" s="401" t="s">
        <v>5</v>
      </c>
      <c r="AB12" s="401" t="s">
        <v>6</v>
      </c>
      <c r="AC12" s="401" t="s">
        <v>7</v>
      </c>
      <c r="AD12" s="401" t="s">
        <v>102</v>
      </c>
      <c r="AE12" s="400" t="s">
        <v>1572</v>
      </c>
      <c r="AF12" s="400" t="s">
        <v>2469</v>
      </c>
      <c r="AG12" s="400" t="s">
        <v>2470</v>
      </c>
      <c r="AH12" s="400" t="s">
        <v>2471</v>
      </c>
      <c r="AI12" s="402" t="s">
        <v>3</v>
      </c>
      <c r="AJ12" s="402" t="s">
        <v>4</v>
      </c>
      <c r="AK12" s="402" t="s">
        <v>5</v>
      </c>
      <c r="AL12" s="402" t="s">
        <v>102</v>
      </c>
      <c r="AM12" s="398" t="s">
        <v>3</v>
      </c>
      <c r="AN12" s="398" t="s">
        <v>4</v>
      </c>
      <c r="AO12" s="398" t="s">
        <v>5</v>
      </c>
      <c r="AP12" s="398" t="s">
        <v>6</v>
      </c>
      <c r="AQ12" s="398" t="s">
        <v>7</v>
      </c>
      <c r="AR12" s="398" t="s">
        <v>103</v>
      </c>
      <c r="AS12" s="403" t="s">
        <v>1606</v>
      </c>
      <c r="AT12" s="404" t="s">
        <v>1768</v>
      </c>
      <c r="AU12" s="404" t="s">
        <v>1767</v>
      </c>
      <c r="AV12" s="404" t="s">
        <v>1766</v>
      </c>
      <c r="AW12" s="404" t="s">
        <v>1770</v>
      </c>
      <c r="AX12" s="404" t="s">
        <v>1769</v>
      </c>
      <c r="AY12" s="199" t="s">
        <v>1768</v>
      </c>
      <c r="AZ12" s="199" t="s">
        <v>1767</v>
      </c>
      <c r="BA12" s="199" t="s">
        <v>1766</v>
      </c>
      <c r="BB12" s="199" t="s">
        <v>1770</v>
      </c>
      <c r="BC12" s="199" t="s">
        <v>1769</v>
      </c>
      <c r="BD12" s="404" t="s">
        <v>1449</v>
      </c>
      <c r="BE12" s="404" t="s">
        <v>1450</v>
      </c>
      <c r="BF12" s="404" t="s">
        <v>1451</v>
      </c>
      <c r="BG12" s="404" t="s">
        <v>1452</v>
      </c>
      <c r="BH12" s="404" t="s">
        <v>1453</v>
      </c>
      <c r="BI12" s="199" t="s">
        <v>1449</v>
      </c>
      <c r="BJ12" s="199" t="s">
        <v>1450</v>
      </c>
      <c r="BK12" s="199" t="s">
        <v>1451</v>
      </c>
      <c r="BL12" s="199" t="s">
        <v>1452</v>
      </c>
      <c r="BM12" s="199" t="s">
        <v>1453</v>
      </c>
      <c r="BN12" s="403" t="s">
        <v>1449</v>
      </c>
      <c r="BO12" s="403" t="s">
        <v>1450</v>
      </c>
      <c r="BP12" s="403" t="s">
        <v>1451</v>
      </c>
      <c r="BQ12" s="403" t="s">
        <v>1452</v>
      </c>
      <c r="BR12" s="403" t="s">
        <v>1453</v>
      </c>
      <c r="BS12" s="403" t="s">
        <v>1559</v>
      </c>
      <c r="BT12" s="403" t="s">
        <v>1449</v>
      </c>
      <c r="BU12" s="403" t="s">
        <v>1450</v>
      </c>
      <c r="BV12" s="403" t="s">
        <v>1451</v>
      </c>
      <c r="BW12" s="403" t="s">
        <v>1452</v>
      </c>
      <c r="BX12" s="403" t="s">
        <v>1453</v>
      </c>
      <c r="BY12" s="403" t="s">
        <v>1559</v>
      </c>
      <c r="BZ12" s="403" t="s">
        <v>1454</v>
      </c>
      <c r="CA12" s="403" t="s">
        <v>1455</v>
      </c>
      <c r="CB12" s="403" t="s">
        <v>1456</v>
      </c>
      <c r="CC12" s="403" t="s">
        <v>1457</v>
      </c>
      <c r="CD12" s="403" t="s">
        <v>1458</v>
      </c>
      <c r="CE12" s="403" t="s">
        <v>1454</v>
      </c>
      <c r="CF12" s="403" t="s">
        <v>1455</v>
      </c>
      <c r="CG12" s="403" t="s">
        <v>1456</v>
      </c>
      <c r="CH12" s="403" t="s">
        <v>1457</v>
      </c>
      <c r="CI12" s="403" t="s">
        <v>1458</v>
      </c>
    </row>
    <row r="13" spans="1:87">
      <c r="A13" s="183" t="s">
        <v>100</v>
      </c>
      <c r="B13" s="183" t="s">
        <v>98</v>
      </c>
      <c r="C13" s="183" t="str">
        <f t="shared" ref="C13:C37" si="0">CONCATENATE(MID(E13,1,1),"_",G13)</f>
        <v>C_PE1</v>
      </c>
      <c r="D13" s="183" t="str">
        <f t="shared" ref="D13:D37" si="1">CONCATENATE(J13,"_",A13)</f>
        <v>24_P_</v>
      </c>
      <c r="E13" s="380" t="s">
        <v>1</v>
      </c>
      <c r="F13" s="380" t="s">
        <v>1607</v>
      </c>
      <c r="G13" s="183" t="s">
        <v>23</v>
      </c>
      <c r="H13" s="380" t="s">
        <v>2</v>
      </c>
      <c r="I13" s="380"/>
      <c r="J13" s="380">
        <v>24</v>
      </c>
      <c r="K13" s="380" t="s">
        <v>61</v>
      </c>
      <c r="L13" s="183" t="s">
        <v>9</v>
      </c>
      <c r="M13" s="380">
        <v>20</v>
      </c>
      <c r="N13" s="380">
        <v>30</v>
      </c>
      <c r="O13" s="380">
        <v>60</v>
      </c>
      <c r="P13" s="380">
        <v>30</v>
      </c>
      <c r="Q13" s="380">
        <v>60</v>
      </c>
      <c r="R13" s="380"/>
      <c r="S13" s="184">
        <f t="shared" ref="S13:S24" si="2">VLOOKUP(G13,FRE_FRECUENCIA_MENUS_LAV,2,FALSE)</f>
        <v>17</v>
      </c>
      <c r="T13" s="381">
        <f t="shared" ref="T13:V30" si="3">$S13</f>
        <v>17</v>
      </c>
      <c r="U13" s="381">
        <f t="shared" si="3"/>
        <v>17</v>
      </c>
      <c r="V13" s="381">
        <f t="shared" si="3"/>
        <v>17</v>
      </c>
      <c r="W13" s="381">
        <f t="shared" ref="W13:X27" si="4">$S13</f>
        <v>17</v>
      </c>
      <c r="X13" s="381">
        <f t="shared" si="4"/>
        <v>17</v>
      </c>
      <c r="Y13" s="185">
        <f t="shared" ref="Y13:Y24" si="5">IF(M13&lt;&gt;0,VLOOKUP(A13,FRE_CANTIDADES_DIARIAS_SUMINISTROS,4,FALSE),0)</f>
        <v>163328</v>
      </c>
      <c r="Z13" s="185">
        <f t="shared" ref="Z13:Z24" si="6">IF(N13&lt;&gt;0,VLOOKUP(A13,FRE_CANTIDADES_DIARIAS_SUMINISTROS,5,FALSE),0)</f>
        <v>217917</v>
      </c>
      <c r="AA13" s="185">
        <f t="shared" ref="AA13:AA24" si="7">IF(O13&lt;&gt;0,VLOOKUP(A13,FRE_CANTIDADES_DIARIAS_SUMINISTROS,6,FALSE),0)</f>
        <v>233081</v>
      </c>
      <c r="AB13" s="185">
        <f t="shared" ref="AB13:AB24" si="8">IF(P13&lt;&gt;0,VLOOKUP(A13,FRE_CANTIDADES_DIARIAS_SUMINISTROS,7,FALSE),0)</f>
        <v>7582</v>
      </c>
      <c r="AC13" s="185">
        <f t="shared" ref="AC13:AC24" si="9">IF(Q13&lt;&gt;0,VLOOKUP(A13,FRE_CANTIDADES_DIARIAS_SUMINISTROS,8,FALSE),0)</f>
        <v>7530</v>
      </c>
      <c r="AD13" s="185">
        <f t="shared" ref="AD13:AD24" si="10">SUM(Y13:AC13)</f>
        <v>629438</v>
      </c>
      <c r="AE13" s="184">
        <f t="shared" ref="AE13:AE38" si="11">IF(ISERROR(VLOOKUP(G13,FRE_FRECUENCIA_MENUS_FDS,2,FALSE)),0,VLOOKUP(G13,FRE_FRECUENCIA_MENUS_FDS,2,FALSE))</f>
        <v>0</v>
      </c>
      <c r="AF13" s="381">
        <f t="shared" ref="AF13:AH13" si="12">$AE13</f>
        <v>0</v>
      </c>
      <c r="AG13" s="381">
        <f t="shared" si="12"/>
        <v>0</v>
      </c>
      <c r="AH13" s="381">
        <f t="shared" si="12"/>
        <v>0</v>
      </c>
      <c r="AI13" s="186">
        <f t="shared" ref="AI13:AI24" si="13">IF(OR(B13="NA",M13=0),0,VLOOKUP(B13,FRE_CANTIDADES_DIARIAS_SUMINISTROS,4,FALSE))</f>
        <v>0</v>
      </c>
      <c r="AJ13" s="186">
        <f t="shared" ref="AJ13:AJ24" si="14">IF(OR(B13="NA",N13=0),0,VLOOKUP(B13,FRE_CANTIDADES_DIARIAS_SUMINISTROS,5,FALSE))</f>
        <v>0</v>
      </c>
      <c r="AK13" s="186">
        <f t="shared" ref="AK13:AK24" si="15">IF(OR(B13="NA",O13=0),0,VLOOKUP(B13,FRE_CANTIDADES_DIARIAS_SUMINISTROS,6,FALSE))</f>
        <v>0</v>
      </c>
      <c r="AL13" s="186">
        <f t="shared" ref="AL13:AL24" si="16">AI13+AJ13+AK13</f>
        <v>0</v>
      </c>
      <c r="AM13" s="174">
        <f t="shared" ref="AM13:AM24" si="17">($S13*Y13)+($AE13*AI13)</f>
        <v>2776576</v>
      </c>
      <c r="AN13" s="174">
        <f t="shared" ref="AN13:AN38" si="18">($S13*Z13)+($AE13*AJ13)</f>
        <v>3704589</v>
      </c>
      <c r="AO13" s="174">
        <f t="shared" ref="AO13:AO38" si="19">($S13*AA13)+($AE13*AK13)</f>
        <v>3962377</v>
      </c>
      <c r="AP13" s="174">
        <f t="shared" ref="AP13:AP37" si="20">($S13*AB13)</f>
        <v>128894</v>
      </c>
      <c r="AQ13" s="174">
        <f t="shared" ref="AQ13:AQ37" si="21">($S13*AC13)</f>
        <v>128010</v>
      </c>
      <c r="AR13" s="174">
        <f t="shared" ref="AR13:AR37" si="22">AM13+AN13+AO13+AP13+AQ13</f>
        <v>10700446</v>
      </c>
      <c r="AS13" s="187" t="s">
        <v>1339</v>
      </c>
      <c r="AT13" s="298">
        <f t="shared" ref="AT13:AX16" si="23">IF(ISERROR(IF(ISERROR(MATCH(CONCATENATE($J13,"_",AT$1),COT_PRE_CODIGO_ALIMENTOS,0)),IF(ISERROR(MATCH(CONCATENATE($J13,"_",AT$2),COT_PRE_CODIGO_ALIMENTOS,0)),IF(ISERROR(MATCH(CONCATENATE($J13,"_",AT$3),COT_PRE_CODIGO_ALIMENTOS,0)),IF(ISERROR(MATCH(CONCATENATE($J13,"_",AT$4),COT_PRE_CODIGO_ALIMENTOS,0)),IF(ISERROR(MATCH(CONCATENATE($J13,"_",AT$5),COT_PRE_CODIGO_ALIMENTOS,0)),IF(ISERROR(MATCH(CONCATENATE($J13,"_",AT$6),COT_PRE_CODIGO_ALIMENTOS,0)),IF(ISERROR(MATCH(CONCATENATE($J13,"_",AT$7),COT_PRE_CODIGO_ALIMENTOS,0)),IF(ISERROR(VLOOKUP($J13,COT_PRE_ALIMENTOS,AT$8,FALSE)),"DATO NO DISPONIBLE",VLOOKUP($J13,COT_PRE_ALIMENTOS,AT$8,FALSE)),VLOOKUP(CONCATENATE($J13,"_",AT$7),COT_PRE_ALIMENTOS,AT$8,FALSE)),VLOOKUP(CONCATENATE($J13,"_",AT$6),COT_PRE_ALIMENTOS,AT$8,FALSE)),VLOOKUP(CONCATENATE($J13,"_",AT$5),COT_PRE_ALIMENTOS,AT$8,FALSE)),VLOOKUP(CONCATENATE($J13,"_",AT$4),COT_PRE_ALIMENTOS,AT$8,FALSE)),VLOOKUP(CONCATENATE($J13,"_",AT$3),COT_PRE_ALIMENTOS,AT$8,FALSE)),VLOOKUP(CONCATENATE($J13,"_",AT$2),COT_PRE_ALIMENTOS,AT$8,FALSE)),VLOOKUP(CONCATENATE($J13,"_",AT$1),COT_PRE_ALIMENTOS,AT$8,FALSE))),"DATO NO DISPONIBLE",IF(ISERROR(MATCH(CONCATENATE($J13,"_",AT$1),COT_PRE_CODIGO_ALIMENTOS,0)),IF(ISERROR(MATCH(CONCATENATE($J13,"_",AT$2),COT_PRE_CODIGO_ALIMENTOS,0)),IF(ISERROR(MATCH(CONCATENATE($J13,"_",AT$3),COT_PRE_CODIGO_ALIMENTOS,0)),IF(ISERROR(MATCH(CONCATENATE($J13,"_",AT$4),COT_PRE_CODIGO_ALIMENTOS,0)),IF(ISERROR(MATCH(CONCATENATE($J13,"_",AT$5),COT_PRE_CODIGO_ALIMENTOS,0)),IF(ISERROR(MATCH(CONCATENATE($J13,"_",AT$6),COT_PRE_CODIGO_ALIMENTOS,0)),IF(ISERROR(MATCH(CONCATENATE($J13,"_",AT$7),COT_PRE_CODIGO_ALIMENTOS,0)),IF(ISERROR(VLOOKUP($J13,COT_PRE_ALIMENTOS,AT$8,FALSE)),"DATO NO DISPONIBLE",VLOOKUP($J13,COT_PRE_ALIMENTOS,AT$8,FALSE)),VLOOKUP(CONCATENATE($J13,"_",AT$7),COT_PRE_ALIMENTOS,AT$8,FALSE)),VLOOKUP(CONCATENATE($J13,"_",AT$6),COT_PRE_ALIMENTOS,AT$8,FALSE)),VLOOKUP(CONCATENATE($J13,"_",AT$5),COT_PRE_ALIMENTOS,AT$8,FALSE)),VLOOKUP(CONCATENATE($J13,"_",AT$4),COT_PRE_ALIMENTOS,AT$8,FALSE)),VLOOKUP(CONCATENATE($J13,"_",AT$3),COT_PRE_ALIMENTOS,AT$8,FALSE)),VLOOKUP(CONCATENATE($J13,"_",AT$2),COT_PRE_ALIMENTOS,AT$8,FALSE)),VLOOKUP(CONCATENATE($J13,"_",AT$1),COT_PRE_ALIMENTOS,AT$8,FALSE)))</f>
        <v>5.7</v>
      </c>
      <c r="AU13" s="298">
        <f t="shared" si="23"/>
        <v>5.95</v>
      </c>
      <c r="AV13" s="298">
        <f t="shared" si="23"/>
        <v>5.7249999999999996</v>
      </c>
      <c r="AW13" s="298">
        <f t="shared" si="23"/>
        <v>5.95</v>
      </c>
      <c r="AX13" s="298">
        <f t="shared" si="23"/>
        <v>5.7249999999999996</v>
      </c>
      <c r="AY13" s="299">
        <f t="shared" ref="AY13:BC13" si="24">IF(ISERROR(MATCH(CONCATENATE($J13,"_",AY$1),COT_PRE_CODIGO_ALIMENTOS,0)),IF(ISERROR(MATCH(CONCATENATE($J13,"_",AY$2),COT_PRE_CODIGO_ALIMENTOS,0)),IF(ISERROR(MATCH(CONCATENATE($J13,"_",AY$3),COT_PRE_CODIGO_ALIMENTOS,0)),IF(ISERROR(MATCH(CONCATENATE($J13,"_",AY$4),COT_PRE_CODIGO_ALIMENTOS,0)),IF(ISERROR(MATCH(CONCATENATE($J13,"_",AY$5),COT_PRE_CODIGO_ALIMENTOS,0)),IF(ISERROR(MATCH(CONCATENATE($J13,"_",AY$6),COT_PRE_CODIGO_ALIMENTOS,0)),IF(ISERROR(MATCH(CONCATENATE($J13,"_",AY$7),COT_PRE_CODIGO_ALIMENTOS,0)),IF(ISERROR(VLOOKUP($J13,COT_PRE_ALIMENTOS,AY$8,FALSE)),"DATO NO DISPONIBLE",VLOOKUP($J13,COT_PRE_ALIMENTOS,AY$8,FALSE)),VLOOKUP(CONCATENATE($J13,"_",AY$7),COT_PRE_ALIMENTOS,AY$8,FALSE)),VLOOKUP(CONCATENATE($J13,"_",AY$6),COT_PRE_ALIMENTOS,AY$8,FALSE)),VLOOKUP(CONCATENATE($J13,"_",AY$5),COT_PRE_ALIMENTOS,AY$8,FALSE)),VLOOKUP(CONCATENATE($J13,"_",AY$4),COT_PRE_ALIMENTOS,AY$8,FALSE)),VLOOKUP(CONCATENATE($J13,"_",AY$3),COT_PRE_ALIMENTOS,AY$8,FALSE)),VLOOKUP(CONCATENATE($J13,"_",AY$2),COT_PRE_ALIMENTOS,AY$8,FALSE)),VLOOKUP(CONCATENATE($J13,"_",AY$1),COT_PRE_ALIMENTOS,AY$8,FALSE))</f>
        <v>6.6119999999999992</v>
      </c>
      <c r="AZ13" s="299">
        <f t="shared" si="24"/>
        <v>6.9019999999999992</v>
      </c>
      <c r="BA13" s="299">
        <f t="shared" si="24"/>
        <v>6.6409999999999991</v>
      </c>
      <c r="BB13" s="299">
        <f t="shared" si="24"/>
        <v>6.9019999999999992</v>
      </c>
      <c r="BC13" s="299">
        <f t="shared" si="24"/>
        <v>6.6409999999999991</v>
      </c>
      <c r="BD13" s="188">
        <f t="shared" ref="BD13:BD22" si="25">ROUND(IF(OR(M13=0,AT13="DATO NO DISPONIBLE"),"",AT13*M13*($BD$7+1)),0)</f>
        <v>122</v>
      </c>
      <c r="BE13" s="188">
        <f t="shared" ref="BE13:BE38" si="26">ROUND(IF(OR(N13=0,AU13="DATO NO DISPONIBLE"),0,AU13*N13*($BD$7+1)),0)</f>
        <v>191</v>
      </c>
      <c r="BF13" s="188">
        <f t="shared" ref="BF13:BF38" si="27">ROUND(IF(OR(O13=0,AV13="DATO NO DISPONIBLE"),0,AV13*O13*($BD$7+1)),0)</f>
        <v>367</v>
      </c>
      <c r="BG13" s="188">
        <f t="shared" ref="BG13:BG27" si="28">ROUND(IF(OR(P13=0,AW13="DATO NO DISPONIBLE"),0,AW13*P13*($BD$7+1)),0)</f>
        <v>191</v>
      </c>
      <c r="BH13" s="188">
        <f t="shared" ref="BH13:BH27" si="29">ROUND(IF(OR(Q13=0,AX13="DATO NO DISPONIBLE"),0,AX13*Q13*($BD$7+1)),0)</f>
        <v>367</v>
      </c>
      <c r="BI13" s="188">
        <f t="shared" ref="BI13:BI22" si="30">ROUND(IF(OR(M13=0,AY13="DATO NO DISPONIBLE"),0,AY13*M13*($BD$7+1)),0)</f>
        <v>141</v>
      </c>
      <c r="BJ13" s="188">
        <f t="shared" ref="BJ13:BJ22" si="31">ROUND(IF(OR(N13=0,AZ13="DATO NO DISPONIBLE"),0,AZ13*N13*($BD$7+1)),0)</f>
        <v>221</v>
      </c>
      <c r="BK13" s="188">
        <f t="shared" ref="BK13:BK22" si="32">ROUND(IF(OR(O13=0,BA13="DATO NO DISPONIBLE"),0,BA13*O13*($BD$7+1)),0)</f>
        <v>426</v>
      </c>
      <c r="BL13" s="188">
        <f t="shared" ref="BL13:BL27" si="33">ROUND(IF(OR(P13=0,BB13="DATO NO DISPONIBLE"),0,BB13*P13*($BD$7+1)),0)</f>
        <v>221</v>
      </c>
      <c r="BM13" s="188">
        <f t="shared" ref="BM13:BM27" si="34">ROUND(IF(OR(Q13=0,BC13="DATO NO DISPONIBLE"),0,BC13*Q13*($BD$7+1)),0)</f>
        <v>426</v>
      </c>
      <c r="BN13" s="189">
        <f t="shared" ref="BN13:BN38" si="35">BD13*AM13</f>
        <v>338742272</v>
      </c>
      <c r="BO13" s="189">
        <f t="shared" ref="BO13:BO38" si="36">BE13*AN13</f>
        <v>707576499</v>
      </c>
      <c r="BP13" s="189">
        <f t="shared" ref="BP13:BP38" si="37">BF13*AO13</f>
        <v>1454192359</v>
      </c>
      <c r="BQ13" s="189">
        <f t="shared" ref="BQ13:BQ38" si="38">BG13*AP13</f>
        <v>24618754</v>
      </c>
      <c r="BR13" s="189">
        <f t="shared" ref="BR13:BR38" si="39">BH13*AQ13</f>
        <v>46979670</v>
      </c>
      <c r="BS13" s="189">
        <f t="shared" ref="BS13:BS37" si="40">SUM(BN13:BR13)</f>
        <v>2572109554</v>
      </c>
      <c r="BT13" s="189">
        <f t="shared" ref="BT13:BT37" si="41">BI13*AM13</f>
        <v>391497216</v>
      </c>
      <c r="BU13" s="189">
        <f t="shared" ref="BU13:BU37" si="42">BJ13*AN13</f>
        <v>818714169</v>
      </c>
      <c r="BV13" s="189">
        <f t="shared" ref="BV13:BV37" si="43">BK13*AO13</f>
        <v>1687972602</v>
      </c>
      <c r="BW13" s="189">
        <f t="shared" ref="BW13:BW37" si="44">BL13*AP13</f>
        <v>28485574</v>
      </c>
      <c r="BX13" s="189">
        <f t="shared" ref="BX13:BX37" si="45">BM13*AQ13</f>
        <v>54532260</v>
      </c>
      <c r="BY13" s="189">
        <f t="shared" ref="BY13:BY37" si="46">SUM(BT13:BX13)</f>
        <v>2981201821</v>
      </c>
      <c r="BZ13" s="302">
        <f>IF(COT_PRECALCULOS!$D$24="Precios Iva Incluído",BI13,BD13)</f>
        <v>122</v>
      </c>
      <c r="CA13" s="302">
        <f>IF(COT_PRECALCULOS!$D$24="Precios Iva Incluído",BJ13,BE13)</f>
        <v>191</v>
      </c>
      <c r="CB13" s="302">
        <f>IF(COT_PRECALCULOS!$D$24="Precios Iva Incluído",BK13,BF13)</f>
        <v>367</v>
      </c>
      <c r="CC13" s="302">
        <f>IF(COT_PRECALCULOS!$D$24="Precios Iva Incluído",BL13,BG13)</f>
        <v>191</v>
      </c>
      <c r="CD13" s="302">
        <f>IF(COT_PRECALCULOS!$D$24="Precios Iva Incluído",BM13,BH13)</f>
        <v>367</v>
      </c>
      <c r="CE13" s="302">
        <f>IF(COT_PRECALCULOS!$D$24="Precios Iva Incluído",BT13,BN13)</f>
        <v>338742272</v>
      </c>
      <c r="CF13" s="302">
        <f>IF(COT_PRECALCULOS!$D$24="Precios Iva Incluído",BU13,BO13)</f>
        <v>707576499</v>
      </c>
      <c r="CG13" s="302">
        <f>IF(COT_PRECALCULOS!$D$24="Precios Iva Incluído",BV13,BP13)</f>
        <v>1454192359</v>
      </c>
      <c r="CH13" s="302">
        <f>IF(COT_PRECALCULOS!$D$24="Precios Iva Incluído",BW13,BQ13)</f>
        <v>24618754</v>
      </c>
      <c r="CI13" s="302">
        <f>IF(COT_PRECALCULOS!$D$24="Precios Iva Incluído",BX13,BR13)</f>
        <v>46979670</v>
      </c>
    </row>
    <row r="14" spans="1:87">
      <c r="A14" s="183" t="s">
        <v>100</v>
      </c>
      <c r="B14" s="183" t="s">
        <v>98</v>
      </c>
      <c r="C14" s="183" t="str">
        <f t="shared" si="0"/>
        <v>C_PE2</v>
      </c>
      <c r="D14" s="183" t="str">
        <f t="shared" si="1"/>
        <v>45_P_</v>
      </c>
      <c r="E14" s="380" t="s">
        <v>1</v>
      </c>
      <c r="F14" s="380" t="s">
        <v>1607</v>
      </c>
      <c r="G14" s="183" t="s">
        <v>24</v>
      </c>
      <c r="H14" s="380" t="s">
        <v>10</v>
      </c>
      <c r="I14" s="380"/>
      <c r="J14" s="380">
        <v>45</v>
      </c>
      <c r="K14" s="380" t="s">
        <v>10</v>
      </c>
      <c r="L14" s="183" t="s">
        <v>9</v>
      </c>
      <c r="M14" s="380">
        <v>20</v>
      </c>
      <c r="N14" s="380">
        <v>30</v>
      </c>
      <c r="O14" s="209">
        <v>60</v>
      </c>
      <c r="P14" s="380">
        <v>30</v>
      </c>
      <c r="Q14" s="209">
        <v>60</v>
      </c>
      <c r="R14" s="380"/>
      <c r="S14" s="184">
        <f t="shared" si="2"/>
        <v>16</v>
      </c>
      <c r="T14" s="381">
        <f t="shared" si="3"/>
        <v>16</v>
      </c>
      <c r="U14" s="381">
        <f t="shared" si="3"/>
        <v>16</v>
      </c>
      <c r="V14" s="381">
        <f t="shared" si="3"/>
        <v>16</v>
      </c>
      <c r="W14" s="381">
        <f t="shared" si="4"/>
        <v>16</v>
      </c>
      <c r="X14" s="381">
        <f t="shared" si="4"/>
        <v>16</v>
      </c>
      <c r="Y14" s="185">
        <f t="shared" si="5"/>
        <v>163328</v>
      </c>
      <c r="Z14" s="185">
        <f t="shared" si="6"/>
        <v>217917</v>
      </c>
      <c r="AA14" s="185">
        <f t="shared" si="7"/>
        <v>233081</v>
      </c>
      <c r="AB14" s="185">
        <f t="shared" si="8"/>
        <v>7582</v>
      </c>
      <c r="AC14" s="185">
        <f t="shared" si="9"/>
        <v>7530</v>
      </c>
      <c r="AD14" s="185">
        <f t="shared" si="10"/>
        <v>629438</v>
      </c>
      <c r="AE14" s="184">
        <f t="shared" si="11"/>
        <v>0</v>
      </c>
      <c r="AF14" s="381">
        <f t="shared" ref="AF14:AH33" si="47">$AE14</f>
        <v>0</v>
      </c>
      <c r="AG14" s="381">
        <f t="shared" si="47"/>
        <v>0</v>
      </c>
      <c r="AH14" s="381">
        <f t="shared" si="47"/>
        <v>0</v>
      </c>
      <c r="AI14" s="186">
        <f t="shared" si="13"/>
        <v>0</v>
      </c>
      <c r="AJ14" s="186">
        <f t="shared" si="14"/>
        <v>0</v>
      </c>
      <c r="AK14" s="186">
        <f t="shared" si="15"/>
        <v>0</v>
      </c>
      <c r="AL14" s="186">
        <f t="shared" si="16"/>
        <v>0</v>
      </c>
      <c r="AM14" s="174">
        <f t="shared" si="17"/>
        <v>2613248</v>
      </c>
      <c r="AN14" s="174">
        <f t="shared" si="18"/>
        <v>3486672</v>
      </c>
      <c r="AO14" s="174">
        <f t="shared" si="19"/>
        <v>3729296</v>
      </c>
      <c r="AP14" s="174">
        <f t="shared" si="20"/>
        <v>121312</v>
      </c>
      <c r="AQ14" s="174">
        <f t="shared" si="21"/>
        <v>120480</v>
      </c>
      <c r="AR14" s="174">
        <f t="shared" si="22"/>
        <v>10071008</v>
      </c>
      <c r="AS14" s="187" t="s">
        <v>1340</v>
      </c>
      <c r="AT14" s="298">
        <f t="shared" si="23"/>
        <v>8.8666666666666671</v>
      </c>
      <c r="AU14" s="298">
        <f t="shared" si="23"/>
        <v>8.8666666666666671</v>
      </c>
      <c r="AV14" s="298">
        <f t="shared" si="23"/>
        <v>8.8666666666666671</v>
      </c>
      <c r="AW14" s="298">
        <f t="shared" si="23"/>
        <v>8.8666666666666671</v>
      </c>
      <c r="AX14" s="298">
        <f t="shared" si="23"/>
        <v>8.8666666666666671</v>
      </c>
      <c r="AY14" s="299">
        <f t="shared" ref="AY14:BC23" si="48">IF(ISERROR(MATCH(CONCATENATE($J14,"_",AY$1),COT_PRE_CODIGO_ALIMENTOS,0)),IF(ISERROR(MATCH(CONCATENATE($J14,"_",AY$2),COT_PRE_CODIGO_ALIMENTOS,0)),IF(ISERROR(MATCH(CONCATENATE($J14,"_",AY$3),COT_PRE_CODIGO_ALIMENTOS,0)),IF(ISERROR(MATCH(CONCATENATE($J14,"_",AY$4),COT_PRE_CODIGO_ALIMENTOS,0)),IF(ISERROR(MATCH(CONCATENATE($J14,"_",AY$5),COT_PRE_CODIGO_ALIMENTOS,0)),IF(ISERROR(MATCH(CONCATENATE($J14,"_",AY$6),COT_PRE_CODIGO_ALIMENTOS,0)),IF(ISERROR(MATCH(CONCATENATE($J14,"_",AY$7),COT_PRE_CODIGO_ALIMENTOS,0)),IF(ISERROR(VLOOKUP($J14,COT_PRE_ALIMENTOS,AY$8,FALSE)),"DATO NO DISPONIBLE",VLOOKUP($J14,COT_PRE_ALIMENTOS,AY$8,FALSE)),VLOOKUP(CONCATENATE($J14,"_",AY$7),COT_PRE_ALIMENTOS,AY$8,FALSE)),VLOOKUP(CONCATENATE($J14,"_",AY$6),COT_PRE_ALIMENTOS,AY$8,FALSE)),VLOOKUP(CONCATENATE($J14,"_",AY$5),COT_PRE_ALIMENTOS,AY$8,FALSE)),VLOOKUP(CONCATENATE($J14,"_",AY$4),COT_PRE_ALIMENTOS,AY$8,FALSE)),VLOOKUP(CONCATENATE($J14,"_",AY$3),COT_PRE_ALIMENTOS,AY$8,FALSE)),VLOOKUP(CONCATENATE($J14,"_",AY$2),COT_PRE_ALIMENTOS,AY$8,FALSE)),VLOOKUP(CONCATENATE($J14,"_",AY$1),COT_PRE_ALIMENTOS,AY$8,FALSE))</f>
        <v>10.285333333333332</v>
      </c>
      <c r="AZ14" s="299">
        <f t="shared" si="48"/>
        <v>10.285333333333332</v>
      </c>
      <c r="BA14" s="299">
        <f t="shared" si="48"/>
        <v>10.285333333333332</v>
      </c>
      <c r="BB14" s="299">
        <f t="shared" si="48"/>
        <v>10.285333333333332</v>
      </c>
      <c r="BC14" s="299">
        <f t="shared" si="48"/>
        <v>10.285333333333332</v>
      </c>
      <c r="BD14" s="188">
        <f t="shared" si="25"/>
        <v>190</v>
      </c>
      <c r="BE14" s="188">
        <f t="shared" si="26"/>
        <v>284</v>
      </c>
      <c r="BF14" s="188">
        <f t="shared" si="27"/>
        <v>569</v>
      </c>
      <c r="BG14" s="188">
        <f t="shared" si="28"/>
        <v>284</v>
      </c>
      <c r="BH14" s="188">
        <f t="shared" si="29"/>
        <v>569</v>
      </c>
      <c r="BI14" s="188">
        <f t="shared" si="30"/>
        <v>220</v>
      </c>
      <c r="BJ14" s="188">
        <f t="shared" si="31"/>
        <v>330</v>
      </c>
      <c r="BK14" s="188">
        <f t="shared" si="32"/>
        <v>660</v>
      </c>
      <c r="BL14" s="188">
        <f t="shared" si="33"/>
        <v>330</v>
      </c>
      <c r="BM14" s="188">
        <f t="shared" si="34"/>
        <v>660</v>
      </c>
      <c r="BN14" s="189">
        <f t="shared" si="35"/>
        <v>496517120</v>
      </c>
      <c r="BO14" s="189">
        <f t="shared" si="36"/>
        <v>990214848</v>
      </c>
      <c r="BP14" s="189">
        <f t="shared" si="37"/>
        <v>2121969424</v>
      </c>
      <c r="BQ14" s="189">
        <f t="shared" si="38"/>
        <v>34452608</v>
      </c>
      <c r="BR14" s="189">
        <f t="shared" si="39"/>
        <v>68553120</v>
      </c>
      <c r="BS14" s="189">
        <f t="shared" si="40"/>
        <v>3711707120</v>
      </c>
      <c r="BT14" s="189">
        <f t="shared" si="41"/>
        <v>574914560</v>
      </c>
      <c r="BU14" s="189">
        <f t="shared" si="42"/>
        <v>1150601760</v>
      </c>
      <c r="BV14" s="189">
        <f t="shared" si="43"/>
        <v>2461335360</v>
      </c>
      <c r="BW14" s="189">
        <f t="shared" si="44"/>
        <v>40032960</v>
      </c>
      <c r="BX14" s="189">
        <f t="shared" si="45"/>
        <v>79516800</v>
      </c>
      <c r="BY14" s="189">
        <f t="shared" si="46"/>
        <v>4306401440</v>
      </c>
      <c r="BZ14" s="302">
        <f>IF(COT_PRECALCULOS!$D$24="Precios Iva Incluído",BI14,BD14)</f>
        <v>190</v>
      </c>
      <c r="CA14" s="302">
        <f>IF(COT_PRECALCULOS!$D$24="Precios Iva Incluído",BJ14,BE14)</f>
        <v>284</v>
      </c>
      <c r="CB14" s="302">
        <f>IF(COT_PRECALCULOS!$D$24="Precios Iva Incluído",BK14,BF14)</f>
        <v>569</v>
      </c>
      <c r="CC14" s="302">
        <f>IF(COT_PRECALCULOS!$D$24="Precios Iva Incluído",BL14,BG14)</f>
        <v>284</v>
      </c>
      <c r="CD14" s="302">
        <f>IF(COT_PRECALCULOS!$D$24="Precios Iva Incluído",BM14,BH14)</f>
        <v>569</v>
      </c>
      <c r="CE14" s="302">
        <f>IF(COT_PRECALCULOS!$D$24="Precios Iva Incluído",BT14,BN14)</f>
        <v>496517120</v>
      </c>
      <c r="CF14" s="302">
        <f>IF(COT_PRECALCULOS!$D$24="Precios Iva Incluído",BU14,BO14)</f>
        <v>990214848</v>
      </c>
      <c r="CG14" s="302">
        <f>IF(COT_PRECALCULOS!$D$24="Precios Iva Incluído",BV14,BP14)</f>
        <v>2121969424</v>
      </c>
      <c r="CH14" s="302">
        <f>IF(COT_PRECALCULOS!$D$24="Precios Iva Incluído",BW14,BQ14)</f>
        <v>34452608</v>
      </c>
      <c r="CI14" s="302">
        <f>IF(COT_PRECALCULOS!$D$24="Precios Iva Incluído",BX14,BR14)</f>
        <v>68553120</v>
      </c>
    </row>
    <row r="15" spans="1:87">
      <c r="A15" s="183" t="s">
        <v>100</v>
      </c>
      <c r="B15" s="183" t="s">
        <v>98</v>
      </c>
      <c r="C15" s="183" t="str">
        <f t="shared" si="0"/>
        <v>C_PE5</v>
      </c>
      <c r="D15" s="183" t="str">
        <f t="shared" si="1"/>
        <v>30_P_</v>
      </c>
      <c r="E15" s="380" t="s">
        <v>1</v>
      </c>
      <c r="F15" s="380" t="s">
        <v>1607</v>
      </c>
      <c r="G15" s="183" t="s">
        <v>27</v>
      </c>
      <c r="H15" s="380" t="s">
        <v>62</v>
      </c>
      <c r="I15" s="380"/>
      <c r="J15" s="380">
        <v>30</v>
      </c>
      <c r="K15" s="380" t="s">
        <v>63</v>
      </c>
      <c r="L15" s="183" t="s">
        <v>9</v>
      </c>
      <c r="M15" s="380">
        <v>30</v>
      </c>
      <c r="N15" s="380">
        <v>30</v>
      </c>
      <c r="O15" s="380">
        <v>30</v>
      </c>
      <c r="P15" s="380">
        <v>30</v>
      </c>
      <c r="Q15" s="380">
        <v>30</v>
      </c>
      <c r="R15" s="380" t="s">
        <v>73</v>
      </c>
      <c r="S15" s="184">
        <f t="shared" si="2"/>
        <v>16</v>
      </c>
      <c r="T15" s="381">
        <f t="shared" si="3"/>
        <v>16</v>
      </c>
      <c r="U15" s="381">
        <f t="shared" si="3"/>
        <v>16</v>
      </c>
      <c r="V15" s="381">
        <f t="shared" si="3"/>
        <v>16</v>
      </c>
      <c r="W15" s="381">
        <f t="shared" si="4"/>
        <v>16</v>
      </c>
      <c r="X15" s="381">
        <f t="shared" si="4"/>
        <v>16</v>
      </c>
      <c r="Y15" s="185">
        <f t="shared" si="5"/>
        <v>163328</v>
      </c>
      <c r="Z15" s="185">
        <f t="shared" si="6"/>
        <v>217917</v>
      </c>
      <c r="AA15" s="185">
        <f t="shared" si="7"/>
        <v>233081</v>
      </c>
      <c r="AB15" s="185">
        <f t="shared" si="8"/>
        <v>7582</v>
      </c>
      <c r="AC15" s="185">
        <f t="shared" si="9"/>
        <v>7530</v>
      </c>
      <c r="AD15" s="185">
        <f t="shared" si="10"/>
        <v>629438</v>
      </c>
      <c r="AE15" s="184">
        <f t="shared" si="11"/>
        <v>0</v>
      </c>
      <c r="AF15" s="381">
        <f t="shared" si="47"/>
        <v>0</v>
      </c>
      <c r="AG15" s="381">
        <f t="shared" si="47"/>
        <v>0</v>
      </c>
      <c r="AH15" s="381">
        <f t="shared" si="47"/>
        <v>0</v>
      </c>
      <c r="AI15" s="186">
        <f t="shared" si="13"/>
        <v>0</v>
      </c>
      <c r="AJ15" s="186">
        <f t="shared" si="14"/>
        <v>0</v>
      </c>
      <c r="AK15" s="186">
        <f t="shared" si="15"/>
        <v>0</v>
      </c>
      <c r="AL15" s="186">
        <f t="shared" si="16"/>
        <v>0</v>
      </c>
      <c r="AM15" s="174">
        <f t="shared" si="17"/>
        <v>2613248</v>
      </c>
      <c r="AN15" s="174">
        <f t="shared" si="18"/>
        <v>3486672</v>
      </c>
      <c r="AO15" s="174">
        <f t="shared" si="19"/>
        <v>3729296</v>
      </c>
      <c r="AP15" s="174">
        <f t="shared" si="20"/>
        <v>121312</v>
      </c>
      <c r="AQ15" s="174">
        <f t="shared" si="21"/>
        <v>120480</v>
      </c>
      <c r="AR15" s="174">
        <f t="shared" si="22"/>
        <v>10071008</v>
      </c>
      <c r="AS15" s="187" t="s">
        <v>1341</v>
      </c>
      <c r="AT15" s="298">
        <f t="shared" si="23"/>
        <v>9.8365307753796962</v>
      </c>
      <c r="AU15" s="298">
        <f t="shared" si="23"/>
        <v>9.8365307753796962</v>
      </c>
      <c r="AV15" s="298">
        <f t="shared" si="23"/>
        <v>9.8365307753796962</v>
      </c>
      <c r="AW15" s="298">
        <f t="shared" si="23"/>
        <v>9.8365307753796962</v>
      </c>
      <c r="AX15" s="298">
        <f t="shared" si="23"/>
        <v>9.8365307753796962</v>
      </c>
      <c r="AY15" s="299">
        <f t="shared" si="48"/>
        <v>11.410375699440447</v>
      </c>
      <c r="AZ15" s="299">
        <f t="shared" si="48"/>
        <v>11.410375699440447</v>
      </c>
      <c r="BA15" s="299">
        <f t="shared" si="48"/>
        <v>11.410375699440447</v>
      </c>
      <c r="BB15" s="299">
        <f t="shared" si="48"/>
        <v>11.410375699440447</v>
      </c>
      <c r="BC15" s="299">
        <f t="shared" si="48"/>
        <v>11.410375699440447</v>
      </c>
      <c r="BD15" s="188">
        <f t="shared" si="25"/>
        <v>316</v>
      </c>
      <c r="BE15" s="188">
        <f t="shared" si="26"/>
        <v>316</v>
      </c>
      <c r="BF15" s="188">
        <f t="shared" si="27"/>
        <v>316</v>
      </c>
      <c r="BG15" s="188">
        <f t="shared" si="28"/>
        <v>316</v>
      </c>
      <c r="BH15" s="188">
        <f t="shared" si="29"/>
        <v>316</v>
      </c>
      <c r="BI15" s="188">
        <f t="shared" si="30"/>
        <v>366</v>
      </c>
      <c r="BJ15" s="188">
        <f t="shared" si="31"/>
        <v>366</v>
      </c>
      <c r="BK15" s="188">
        <f t="shared" si="32"/>
        <v>366</v>
      </c>
      <c r="BL15" s="188">
        <f t="shared" si="33"/>
        <v>366</v>
      </c>
      <c r="BM15" s="188">
        <f t="shared" si="34"/>
        <v>366</v>
      </c>
      <c r="BN15" s="189">
        <f t="shared" si="35"/>
        <v>825786368</v>
      </c>
      <c r="BO15" s="189">
        <f t="shared" si="36"/>
        <v>1101788352</v>
      </c>
      <c r="BP15" s="189">
        <f t="shared" si="37"/>
        <v>1178457536</v>
      </c>
      <c r="BQ15" s="189">
        <f t="shared" si="38"/>
        <v>38334592</v>
      </c>
      <c r="BR15" s="189">
        <f t="shared" si="39"/>
        <v>38071680</v>
      </c>
      <c r="BS15" s="189">
        <f t="shared" si="40"/>
        <v>3182438528</v>
      </c>
      <c r="BT15" s="189">
        <f t="shared" si="41"/>
        <v>956448768</v>
      </c>
      <c r="BU15" s="189">
        <f t="shared" si="42"/>
        <v>1276121952</v>
      </c>
      <c r="BV15" s="189">
        <f t="shared" si="43"/>
        <v>1364922336</v>
      </c>
      <c r="BW15" s="189">
        <f t="shared" si="44"/>
        <v>44400192</v>
      </c>
      <c r="BX15" s="189">
        <f t="shared" si="45"/>
        <v>44095680</v>
      </c>
      <c r="BY15" s="189">
        <f t="shared" si="46"/>
        <v>3685988928</v>
      </c>
      <c r="BZ15" s="302">
        <f>IF(COT_PRECALCULOS!$D$24="Precios Iva Incluído",BI15,BD15)</f>
        <v>316</v>
      </c>
      <c r="CA15" s="302">
        <f>IF(COT_PRECALCULOS!$D$24="Precios Iva Incluído",BJ15,BE15)</f>
        <v>316</v>
      </c>
      <c r="CB15" s="302">
        <f>IF(COT_PRECALCULOS!$D$24="Precios Iva Incluído",BK15,BF15)</f>
        <v>316</v>
      </c>
      <c r="CC15" s="302">
        <f>IF(COT_PRECALCULOS!$D$24="Precios Iva Incluído",BL15,BG15)</f>
        <v>316</v>
      </c>
      <c r="CD15" s="302">
        <f>IF(COT_PRECALCULOS!$D$24="Precios Iva Incluído",BM15,BH15)</f>
        <v>316</v>
      </c>
      <c r="CE15" s="302">
        <f>IF(COT_PRECALCULOS!$D$24="Precios Iva Incluído",BT15,BN15)</f>
        <v>825786368</v>
      </c>
      <c r="CF15" s="302">
        <f>IF(COT_PRECALCULOS!$D$24="Precios Iva Incluído",BU15,BO15)</f>
        <v>1101788352</v>
      </c>
      <c r="CG15" s="302">
        <f>IF(COT_PRECALCULOS!$D$24="Precios Iva Incluído",BV15,BP15)</f>
        <v>1178457536</v>
      </c>
      <c r="CH15" s="302">
        <f>IF(COT_PRECALCULOS!$D$24="Precios Iva Incluído",BW15,BQ15)</f>
        <v>38334592</v>
      </c>
      <c r="CI15" s="302">
        <f>IF(COT_PRECALCULOS!$D$24="Precios Iva Incluído",BX15,BR15)</f>
        <v>38071680</v>
      </c>
    </row>
    <row r="16" spans="1:87">
      <c r="A16" s="183" t="s">
        <v>100</v>
      </c>
      <c r="B16" s="183" t="s">
        <v>98</v>
      </c>
      <c r="C16" s="183" t="str">
        <f t="shared" si="0"/>
        <v>C_PE6</v>
      </c>
      <c r="D16" s="183" t="str">
        <f t="shared" si="1"/>
        <v>50_P_</v>
      </c>
      <c r="E16" s="380" t="s">
        <v>1</v>
      </c>
      <c r="F16" s="380" t="s">
        <v>1607</v>
      </c>
      <c r="G16" s="183" t="s">
        <v>28</v>
      </c>
      <c r="H16" s="380" t="s">
        <v>11</v>
      </c>
      <c r="I16" s="380"/>
      <c r="J16" s="380">
        <v>50</v>
      </c>
      <c r="K16" s="190" t="s">
        <v>65</v>
      </c>
      <c r="L16" s="183" t="s">
        <v>9</v>
      </c>
      <c r="M16" s="380">
        <v>30</v>
      </c>
      <c r="N16" s="380">
        <v>40</v>
      </c>
      <c r="O16" s="380">
        <v>80</v>
      </c>
      <c r="P16" s="380">
        <v>40</v>
      </c>
      <c r="Q16" s="380">
        <v>80</v>
      </c>
      <c r="R16" s="380"/>
      <c r="S16" s="184">
        <f t="shared" si="2"/>
        <v>17</v>
      </c>
      <c r="T16" s="381">
        <f t="shared" si="3"/>
        <v>17</v>
      </c>
      <c r="U16" s="381">
        <f t="shared" si="3"/>
        <v>17</v>
      </c>
      <c r="V16" s="381">
        <f t="shared" si="3"/>
        <v>17</v>
      </c>
      <c r="W16" s="381">
        <f t="shared" si="4"/>
        <v>17</v>
      </c>
      <c r="X16" s="381">
        <f t="shared" si="4"/>
        <v>17</v>
      </c>
      <c r="Y16" s="185">
        <f t="shared" si="5"/>
        <v>163328</v>
      </c>
      <c r="Z16" s="185">
        <f t="shared" si="6"/>
        <v>217917</v>
      </c>
      <c r="AA16" s="185">
        <f t="shared" si="7"/>
        <v>233081</v>
      </c>
      <c r="AB16" s="185">
        <f t="shared" si="8"/>
        <v>7582</v>
      </c>
      <c r="AC16" s="185">
        <f t="shared" si="9"/>
        <v>7530</v>
      </c>
      <c r="AD16" s="185">
        <f t="shared" si="10"/>
        <v>629438</v>
      </c>
      <c r="AE16" s="184">
        <f t="shared" si="11"/>
        <v>0</v>
      </c>
      <c r="AF16" s="381">
        <f t="shared" si="47"/>
        <v>0</v>
      </c>
      <c r="AG16" s="381">
        <f t="shared" si="47"/>
        <v>0</v>
      </c>
      <c r="AH16" s="381">
        <f t="shared" si="47"/>
        <v>0</v>
      </c>
      <c r="AI16" s="186">
        <f t="shared" si="13"/>
        <v>0</v>
      </c>
      <c r="AJ16" s="186">
        <f t="shared" si="14"/>
        <v>0</v>
      </c>
      <c r="AK16" s="186">
        <f t="shared" si="15"/>
        <v>0</v>
      </c>
      <c r="AL16" s="186">
        <f t="shared" si="16"/>
        <v>0</v>
      </c>
      <c r="AM16" s="174">
        <f t="shared" si="17"/>
        <v>2776576</v>
      </c>
      <c r="AN16" s="174">
        <f t="shared" si="18"/>
        <v>3704589</v>
      </c>
      <c r="AO16" s="174">
        <f t="shared" si="19"/>
        <v>3962377</v>
      </c>
      <c r="AP16" s="174">
        <f t="shared" si="20"/>
        <v>128894</v>
      </c>
      <c r="AQ16" s="174">
        <f t="shared" si="21"/>
        <v>128010</v>
      </c>
      <c r="AR16" s="174">
        <f t="shared" si="22"/>
        <v>10700446</v>
      </c>
      <c r="AS16" s="187" t="s">
        <v>1342</v>
      </c>
      <c r="AT16" s="298">
        <f t="shared" si="23"/>
        <v>9.53125</v>
      </c>
      <c r="AU16" s="298">
        <f t="shared" si="23"/>
        <v>9.53125</v>
      </c>
      <c r="AV16" s="298">
        <f t="shared" si="23"/>
        <v>9.53125</v>
      </c>
      <c r="AW16" s="298">
        <f t="shared" si="23"/>
        <v>9.53125</v>
      </c>
      <c r="AX16" s="298">
        <f t="shared" si="23"/>
        <v>9.53125</v>
      </c>
      <c r="AY16" s="299">
        <f t="shared" si="48"/>
        <v>11.056249999999999</v>
      </c>
      <c r="AZ16" s="299">
        <f t="shared" si="48"/>
        <v>11.056249999999999</v>
      </c>
      <c r="BA16" s="299">
        <f t="shared" si="48"/>
        <v>11.056249999999999</v>
      </c>
      <c r="BB16" s="299">
        <f t="shared" si="48"/>
        <v>11.056249999999999</v>
      </c>
      <c r="BC16" s="299">
        <f t="shared" si="48"/>
        <v>11.056249999999999</v>
      </c>
      <c r="BD16" s="188">
        <f t="shared" si="25"/>
        <v>306</v>
      </c>
      <c r="BE16" s="188">
        <f t="shared" si="26"/>
        <v>408</v>
      </c>
      <c r="BF16" s="188">
        <f t="shared" si="27"/>
        <v>815</v>
      </c>
      <c r="BG16" s="188">
        <f t="shared" si="28"/>
        <v>408</v>
      </c>
      <c r="BH16" s="188">
        <f t="shared" si="29"/>
        <v>815</v>
      </c>
      <c r="BI16" s="188">
        <f t="shared" si="30"/>
        <v>355</v>
      </c>
      <c r="BJ16" s="188">
        <f t="shared" si="31"/>
        <v>473</v>
      </c>
      <c r="BK16" s="188">
        <f t="shared" si="32"/>
        <v>946</v>
      </c>
      <c r="BL16" s="188">
        <f t="shared" si="33"/>
        <v>473</v>
      </c>
      <c r="BM16" s="188">
        <f t="shared" si="34"/>
        <v>946</v>
      </c>
      <c r="BN16" s="189">
        <f t="shared" si="35"/>
        <v>849632256</v>
      </c>
      <c r="BO16" s="189">
        <f t="shared" si="36"/>
        <v>1511472312</v>
      </c>
      <c r="BP16" s="189">
        <f t="shared" si="37"/>
        <v>3229337255</v>
      </c>
      <c r="BQ16" s="189">
        <f t="shared" si="38"/>
        <v>52588752</v>
      </c>
      <c r="BR16" s="189">
        <f t="shared" si="39"/>
        <v>104328150</v>
      </c>
      <c r="BS16" s="189">
        <f t="shared" si="40"/>
        <v>5747358725</v>
      </c>
      <c r="BT16" s="189">
        <f t="shared" si="41"/>
        <v>985684480</v>
      </c>
      <c r="BU16" s="189">
        <f t="shared" si="42"/>
        <v>1752270597</v>
      </c>
      <c r="BV16" s="189">
        <f t="shared" si="43"/>
        <v>3748408642</v>
      </c>
      <c r="BW16" s="189">
        <f t="shared" si="44"/>
        <v>60966862</v>
      </c>
      <c r="BX16" s="189">
        <f t="shared" si="45"/>
        <v>121097460</v>
      </c>
      <c r="BY16" s="189">
        <f t="shared" si="46"/>
        <v>6668428041</v>
      </c>
      <c r="BZ16" s="302">
        <f>IF(COT_PRECALCULOS!$D$24="Precios Iva Incluído",BI16,BD16)</f>
        <v>306</v>
      </c>
      <c r="CA16" s="302">
        <f>IF(COT_PRECALCULOS!$D$24="Precios Iva Incluído",BJ16,BE16)</f>
        <v>408</v>
      </c>
      <c r="CB16" s="302">
        <f>IF(COT_PRECALCULOS!$D$24="Precios Iva Incluído",BK16,BF16)</f>
        <v>815</v>
      </c>
      <c r="CC16" s="302">
        <f>IF(COT_PRECALCULOS!$D$24="Precios Iva Incluído",BL16,BG16)</f>
        <v>408</v>
      </c>
      <c r="CD16" s="302">
        <f>IF(COT_PRECALCULOS!$D$24="Precios Iva Incluído",BM16,BH16)</f>
        <v>815</v>
      </c>
      <c r="CE16" s="302">
        <f>IF(COT_PRECALCULOS!$D$24="Precios Iva Incluído",BT16,BN16)</f>
        <v>849632256</v>
      </c>
      <c r="CF16" s="302">
        <f>IF(COT_PRECALCULOS!$D$24="Precios Iva Incluído",BU16,BO16)</f>
        <v>1511472312</v>
      </c>
      <c r="CG16" s="302">
        <f>IF(COT_PRECALCULOS!$D$24="Precios Iva Incluído",BV16,BP16)</f>
        <v>3229337255</v>
      </c>
      <c r="CH16" s="302">
        <f>IF(COT_PRECALCULOS!$D$24="Precios Iva Incluído",BW16,BQ16)</f>
        <v>52588752</v>
      </c>
      <c r="CI16" s="302">
        <f>IF(COT_PRECALCULOS!$D$24="Precios Iva Incluído",BX16,BR16)</f>
        <v>104328150</v>
      </c>
    </row>
    <row r="17" spans="1:87">
      <c r="A17" s="183" t="s">
        <v>100</v>
      </c>
      <c r="B17" s="183" t="s">
        <v>98</v>
      </c>
      <c r="C17" s="183" t="str">
        <f t="shared" si="0"/>
        <v>C_PE9</v>
      </c>
      <c r="D17" s="183" t="str">
        <f t="shared" si="1"/>
        <v>3_P_</v>
      </c>
      <c r="E17" s="380" t="s">
        <v>1</v>
      </c>
      <c r="F17" s="380" t="s">
        <v>1607</v>
      </c>
      <c r="G17" s="183" t="s">
        <v>31</v>
      </c>
      <c r="H17" s="380" t="s">
        <v>12</v>
      </c>
      <c r="I17" s="380"/>
      <c r="J17" s="380">
        <v>3</v>
      </c>
      <c r="K17" s="380" t="s">
        <v>12</v>
      </c>
      <c r="L17" s="183" t="s">
        <v>9</v>
      </c>
      <c r="M17" s="380">
        <v>50</v>
      </c>
      <c r="N17" s="380">
        <v>50</v>
      </c>
      <c r="O17" s="380">
        <v>80</v>
      </c>
      <c r="P17" s="380">
        <v>50</v>
      </c>
      <c r="Q17" s="380">
        <v>80</v>
      </c>
      <c r="R17" s="380"/>
      <c r="S17" s="184">
        <f t="shared" si="2"/>
        <v>17</v>
      </c>
      <c r="T17" s="381">
        <f t="shared" si="3"/>
        <v>17</v>
      </c>
      <c r="U17" s="381">
        <f t="shared" si="3"/>
        <v>17</v>
      </c>
      <c r="V17" s="381">
        <f t="shared" si="3"/>
        <v>17</v>
      </c>
      <c r="W17" s="381">
        <f t="shared" si="4"/>
        <v>17</v>
      </c>
      <c r="X17" s="381">
        <f t="shared" si="4"/>
        <v>17</v>
      </c>
      <c r="Y17" s="185">
        <f t="shared" si="5"/>
        <v>163328</v>
      </c>
      <c r="Z17" s="185">
        <f t="shared" si="6"/>
        <v>217917</v>
      </c>
      <c r="AA17" s="185">
        <f t="shared" si="7"/>
        <v>233081</v>
      </c>
      <c r="AB17" s="185">
        <f t="shared" si="8"/>
        <v>7582</v>
      </c>
      <c r="AC17" s="185">
        <f t="shared" si="9"/>
        <v>7530</v>
      </c>
      <c r="AD17" s="185">
        <f t="shared" si="10"/>
        <v>629438</v>
      </c>
      <c r="AE17" s="184">
        <f t="shared" si="11"/>
        <v>0</v>
      </c>
      <c r="AF17" s="381">
        <f t="shared" si="47"/>
        <v>0</v>
      </c>
      <c r="AG17" s="381">
        <f t="shared" si="47"/>
        <v>0</v>
      </c>
      <c r="AH17" s="381">
        <f t="shared" si="47"/>
        <v>0</v>
      </c>
      <c r="AI17" s="186">
        <f t="shared" si="13"/>
        <v>0</v>
      </c>
      <c r="AJ17" s="186">
        <f t="shared" si="14"/>
        <v>0</v>
      </c>
      <c r="AK17" s="186">
        <f t="shared" si="15"/>
        <v>0</v>
      </c>
      <c r="AL17" s="186">
        <f t="shared" si="16"/>
        <v>0</v>
      </c>
      <c r="AM17" s="174">
        <f t="shared" si="17"/>
        <v>2776576</v>
      </c>
      <c r="AN17" s="174">
        <f t="shared" si="18"/>
        <v>3704589</v>
      </c>
      <c r="AO17" s="174">
        <f t="shared" si="19"/>
        <v>3962377</v>
      </c>
      <c r="AP17" s="174">
        <f t="shared" si="20"/>
        <v>128894</v>
      </c>
      <c r="AQ17" s="174">
        <f t="shared" si="21"/>
        <v>128010</v>
      </c>
      <c r="AR17" s="174">
        <f t="shared" si="22"/>
        <v>10700446</v>
      </c>
      <c r="AS17" s="187" t="s">
        <v>1343</v>
      </c>
      <c r="AT17" s="298">
        <f t="shared" ref="AT17:AX26" si="49">IF(ISERROR(IF(ISERROR(MATCH(CONCATENATE($J17,"_",AT$1),COT_PRE_CODIGO_ALIMENTOS,0)),IF(ISERROR(MATCH(CONCATENATE($J17,"_",AT$2),COT_PRE_CODIGO_ALIMENTOS,0)),IF(ISERROR(MATCH(CONCATENATE($J17,"_",AT$3),COT_PRE_CODIGO_ALIMENTOS,0)),IF(ISERROR(MATCH(CONCATENATE($J17,"_",AT$4),COT_PRE_CODIGO_ALIMENTOS,0)),IF(ISERROR(MATCH(CONCATENATE($J17,"_",AT$5),COT_PRE_CODIGO_ALIMENTOS,0)),IF(ISERROR(MATCH(CONCATENATE($J17,"_",AT$6),COT_PRE_CODIGO_ALIMENTOS,0)),IF(ISERROR(MATCH(CONCATENATE($J17,"_",AT$7),COT_PRE_CODIGO_ALIMENTOS,0)),IF(ISERROR(VLOOKUP($J17,COT_PRE_ALIMENTOS,AT$8,FALSE)),"DATO NO DISPONIBLE",VLOOKUP($J17,COT_PRE_ALIMENTOS,AT$8,FALSE)),VLOOKUP(CONCATENATE($J17,"_",AT$7),COT_PRE_ALIMENTOS,AT$8,FALSE)),VLOOKUP(CONCATENATE($J17,"_",AT$6),COT_PRE_ALIMENTOS,AT$8,FALSE)),VLOOKUP(CONCATENATE($J17,"_",AT$5),COT_PRE_ALIMENTOS,AT$8,FALSE)),VLOOKUP(CONCATENATE($J17,"_",AT$4),COT_PRE_ALIMENTOS,AT$8,FALSE)),VLOOKUP(CONCATENATE($J17,"_",AT$3),COT_PRE_ALIMENTOS,AT$8,FALSE)),VLOOKUP(CONCATENATE($J17,"_",AT$2),COT_PRE_ALIMENTOS,AT$8,FALSE)),VLOOKUP(CONCATENATE($J17,"_",AT$1),COT_PRE_ALIMENTOS,AT$8,FALSE))),"DATO NO DISPONIBLE",IF(ISERROR(MATCH(CONCATENATE($J17,"_",AT$1),COT_PRE_CODIGO_ALIMENTOS,0)),IF(ISERROR(MATCH(CONCATENATE($J17,"_",AT$2),COT_PRE_CODIGO_ALIMENTOS,0)),IF(ISERROR(MATCH(CONCATENATE($J17,"_",AT$3),COT_PRE_CODIGO_ALIMENTOS,0)),IF(ISERROR(MATCH(CONCATENATE($J17,"_",AT$4),COT_PRE_CODIGO_ALIMENTOS,0)),IF(ISERROR(MATCH(CONCATENATE($J17,"_",AT$5),COT_PRE_CODIGO_ALIMENTOS,0)),IF(ISERROR(MATCH(CONCATENATE($J17,"_",AT$6),COT_PRE_CODIGO_ALIMENTOS,0)),IF(ISERROR(MATCH(CONCATENATE($J17,"_",AT$7),COT_PRE_CODIGO_ALIMENTOS,0)),IF(ISERROR(VLOOKUP($J17,COT_PRE_ALIMENTOS,AT$8,FALSE)),"DATO NO DISPONIBLE",VLOOKUP($J17,COT_PRE_ALIMENTOS,AT$8,FALSE)),VLOOKUP(CONCATENATE($J17,"_",AT$7),COT_PRE_ALIMENTOS,AT$8,FALSE)),VLOOKUP(CONCATENATE($J17,"_",AT$6),COT_PRE_ALIMENTOS,AT$8,FALSE)),VLOOKUP(CONCATENATE($J17,"_",AT$5),COT_PRE_ALIMENTOS,AT$8,FALSE)),VLOOKUP(CONCATENATE($J17,"_",AT$4),COT_PRE_ALIMENTOS,AT$8,FALSE)),VLOOKUP(CONCATENATE($J17,"_",AT$3),COT_PRE_ALIMENTOS,AT$8,FALSE)),VLOOKUP(CONCATENATE($J17,"_",AT$2),COT_PRE_ALIMENTOS,AT$8,FALSE)),VLOOKUP(CONCATENATE($J17,"_",AT$1),COT_PRE_ALIMENTOS,AT$8,FALSE)))</f>
        <v>9</v>
      </c>
      <c r="AU17" s="298">
        <f t="shared" si="49"/>
        <v>9</v>
      </c>
      <c r="AV17" s="298">
        <f t="shared" si="49"/>
        <v>8.5</v>
      </c>
      <c r="AW17" s="298">
        <f t="shared" si="49"/>
        <v>9</v>
      </c>
      <c r="AX17" s="298">
        <f t="shared" si="49"/>
        <v>8.5</v>
      </c>
      <c r="AY17" s="299">
        <f t="shared" si="48"/>
        <v>10.44</v>
      </c>
      <c r="AZ17" s="299">
        <f t="shared" si="48"/>
        <v>10.44</v>
      </c>
      <c r="BA17" s="299">
        <f t="shared" si="48"/>
        <v>9.86</v>
      </c>
      <c r="BB17" s="299">
        <f t="shared" si="48"/>
        <v>10.44</v>
      </c>
      <c r="BC17" s="299">
        <f t="shared" si="48"/>
        <v>9.86</v>
      </c>
      <c r="BD17" s="188">
        <f t="shared" si="25"/>
        <v>481</v>
      </c>
      <c r="BE17" s="188">
        <f t="shared" si="26"/>
        <v>481</v>
      </c>
      <c r="BF17" s="188">
        <f t="shared" si="27"/>
        <v>727</v>
      </c>
      <c r="BG17" s="188">
        <f t="shared" si="28"/>
        <v>481</v>
      </c>
      <c r="BH17" s="188">
        <f t="shared" si="29"/>
        <v>727</v>
      </c>
      <c r="BI17" s="188">
        <f t="shared" si="30"/>
        <v>558</v>
      </c>
      <c r="BJ17" s="188">
        <f t="shared" si="31"/>
        <v>558</v>
      </c>
      <c r="BK17" s="188">
        <f t="shared" si="32"/>
        <v>844</v>
      </c>
      <c r="BL17" s="188">
        <f t="shared" si="33"/>
        <v>558</v>
      </c>
      <c r="BM17" s="188">
        <f t="shared" si="34"/>
        <v>844</v>
      </c>
      <c r="BN17" s="189">
        <f t="shared" si="35"/>
        <v>1335533056</v>
      </c>
      <c r="BO17" s="189">
        <f t="shared" si="36"/>
        <v>1781907309</v>
      </c>
      <c r="BP17" s="189">
        <f t="shared" si="37"/>
        <v>2880648079</v>
      </c>
      <c r="BQ17" s="189">
        <f t="shared" si="38"/>
        <v>61998014</v>
      </c>
      <c r="BR17" s="189">
        <f t="shared" si="39"/>
        <v>93063270</v>
      </c>
      <c r="BS17" s="189">
        <f t="shared" si="40"/>
        <v>6153149728</v>
      </c>
      <c r="BT17" s="189">
        <f t="shared" si="41"/>
        <v>1549329408</v>
      </c>
      <c r="BU17" s="189">
        <f t="shared" si="42"/>
        <v>2067160662</v>
      </c>
      <c r="BV17" s="189">
        <f t="shared" si="43"/>
        <v>3344246188</v>
      </c>
      <c r="BW17" s="189">
        <f t="shared" si="44"/>
        <v>71922852</v>
      </c>
      <c r="BX17" s="189">
        <f t="shared" si="45"/>
        <v>108040440</v>
      </c>
      <c r="BY17" s="189">
        <f t="shared" si="46"/>
        <v>7140699550</v>
      </c>
      <c r="BZ17" s="302">
        <f>IF(COT_PRECALCULOS!$D$24="Precios Iva Incluído",BI17,BD17)</f>
        <v>481</v>
      </c>
      <c r="CA17" s="302">
        <f>IF(COT_PRECALCULOS!$D$24="Precios Iva Incluído",BJ17,BE17)</f>
        <v>481</v>
      </c>
      <c r="CB17" s="302">
        <f>IF(COT_PRECALCULOS!$D$24="Precios Iva Incluído",BK17,BF17)</f>
        <v>727</v>
      </c>
      <c r="CC17" s="302">
        <f>IF(COT_PRECALCULOS!$D$24="Precios Iva Incluído",BL17,BG17)</f>
        <v>481</v>
      </c>
      <c r="CD17" s="302">
        <f>IF(COT_PRECALCULOS!$D$24="Precios Iva Incluído",BM17,BH17)</f>
        <v>727</v>
      </c>
      <c r="CE17" s="302">
        <f>IF(COT_PRECALCULOS!$D$24="Precios Iva Incluído",BT17,BN17)</f>
        <v>1335533056</v>
      </c>
      <c r="CF17" s="302">
        <f>IF(COT_PRECALCULOS!$D$24="Precios Iva Incluído",BU17,BO17)</f>
        <v>1781907309</v>
      </c>
      <c r="CG17" s="302">
        <f>IF(COT_PRECALCULOS!$D$24="Precios Iva Incluído",BV17,BP17)</f>
        <v>2880648079</v>
      </c>
      <c r="CH17" s="302">
        <f>IF(COT_PRECALCULOS!$D$24="Precios Iva Incluído",BW17,BQ17)</f>
        <v>61998014</v>
      </c>
      <c r="CI17" s="302">
        <f>IF(COT_PRECALCULOS!$D$24="Precios Iva Incluído",BX17,BR17)</f>
        <v>93063270</v>
      </c>
    </row>
    <row r="18" spans="1:87">
      <c r="A18" s="183" t="s">
        <v>100</v>
      </c>
      <c r="B18" s="183" t="s">
        <v>98</v>
      </c>
      <c r="C18" s="183" t="str">
        <f t="shared" si="0"/>
        <v>C_PE10</v>
      </c>
      <c r="D18" s="183" t="str">
        <f t="shared" si="1"/>
        <v>61_P_</v>
      </c>
      <c r="E18" s="380" t="s">
        <v>1</v>
      </c>
      <c r="F18" s="380" t="s">
        <v>1607</v>
      </c>
      <c r="G18" s="183" t="s">
        <v>32</v>
      </c>
      <c r="H18" s="380" t="s">
        <v>13</v>
      </c>
      <c r="I18" s="380"/>
      <c r="J18" s="380">
        <v>61</v>
      </c>
      <c r="K18" s="380" t="s">
        <v>13</v>
      </c>
      <c r="L18" s="183" t="s">
        <v>9</v>
      </c>
      <c r="M18" s="380">
        <v>20</v>
      </c>
      <c r="N18" s="380">
        <v>30</v>
      </c>
      <c r="O18" s="380">
        <v>70</v>
      </c>
      <c r="P18" s="380">
        <v>30</v>
      </c>
      <c r="Q18" s="380">
        <v>70</v>
      </c>
      <c r="R18" s="380"/>
      <c r="S18" s="184">
        <f t="shared" si="2"/>
        <v>16</v>
      </c>
      <c r="T18" s="381">
        <f t="shared" si="3"/>
        <v>16</v>
      </c>
      <c r="U18" s="381">
        <f t="shared" si="3"/>
        <v>16</v>
      </c>
      <c r="V18" s="381">
        <f t="shared" si="3"/>
        <v>16</v>
      </c>
      <c r="W18" s="381">
        <f t="shared" si="4"/>
        <v>16</v>
      </c>
      <c r="X18" s="381">
        <f t="shared" si="4"/>
        <v>16</v>
      </c>
      <c r="Y18" s="185">
        <f t="shared" si="5"/>
        <v>163328</v>
      </c>
      <c r="Z18" s="185">
        <f t="shared" si="6"/>
        <v>217917</v>
      </c>
      <c r="AA18" s="185">
        <f t="shared" si="7"/>
        <v>233081</v>
      </c>
      <c r="AB18" s="185">
        <f t="shared" si="8"/>
        <v>7582</v>
      </c>
      <c r="AC18" s="185">
        <f t="shared" si="9"/>
        <v>7530</v>
      </c>
      <c r="AD18" s="185">
        <f t="shared" si="10"/>
        <v>629438</v>
      </c>
      <c r="AE18" s="184">
        <f t="shared" si="11"/>
        <v>0</v>
      </c>
      <c r="AF18" s="381">
        <f t="shared" si="47"/>
        <v>0</v>
      </c>
      <c r="AG18" s="381">
        <f t="shared" si="47"/>
        <v>0</v>
      </c>
      <c r="AH18" s="381">
        <f t="shared" si="47"/>
        <v>0</v>
      </c>
      <c r="AI18" s="186">
        <f t="shared" si="13"/>
        <v>0</v>
      </c>
      <c r="AJ18" s="186">
        <f t="shared" si="14"/>
        <v>0</v>
      </c>
      <c r="AK18" s="186">
        <f t="shared" si="15"/>
        <v>0</v>
      </c>
      <c r="AL18" s="186">
        <f t="shared" si="16"/>
        <v>0</v>
      </c>
      <c r="AM18" s="174">
        <f t="shared" si="17"/>
        <v>2613248</v>
      </c>
      <c r="AN18" s="174">
        <f t="shared" si="18"/>
        <v>3486672</v>
      </c>
      <c r="AO18" s="174">
        <f t="shared" si="19"/>
        <v>3729296</v>
      </c>
      <c r="AP18" s="174">
        <f t="shared" si="20"/>
        <v>121312</v>
      </c>
      <c r="AQ18" s="174">
        <f t="shared" si="21"/>
        <v>120480</v>
      </c>
      <c r="AR18" s="174">
        <f t="shared" si="22"/>
        <v>10071008</v>
      </c>
      <c r="AS18" s="187" t="s">
        <v>1344</v>
      </c>
      <c r="AT18" s="298">
        <f t="shared" si="49"/>
        <v>10.4</v>
      </c>
      <c r="AU18" s="298">
        <f t="shared" si="49"/>
        <v>10.4</v>
      </c>
      <c r="AV18" s="298">
        <f t="shared" si="49"/>
        <v>10.4</v>
      </c>
      <c r="AW18" s="298">
        <f t="shared" si="49"/>
        <v>10.4</v>
      </c>
      <c r="AX18" s="298">
        <f t="shared" si="49"/>
        <v>10.4</v>
      </c>
      <c r="AY18" s="299">
        <f t="shared" si="48"/>
        <v>12.063999999999998</v>
      </c>
      <c r="AZ18" s="299">
        <f t="shared" si="48"/>
        <v>12.063999999999998</v>
      </c>
      <c r="BA18" s="299">
        <f t="shared" si="48"/>
        <v>12.063999999999998</v>
      </c>
      <c r="BB18" s="299">
        <f t="shared" si="48"/>
        <v>12.063999999999998</v>
      </c>
      <c r="BC18" s="299">
        <f t="shared" si="48"/>
        <v>12.063999999999998</v>
      </c>
      <c r="BD18" s="188">
        <f t="shared" si="25"/>
        <v>222</v>
      </c>
      <c r="BE18" s="188">
        <f t="shared" si="26"/>
        <v>334</v>
      </c>
      <c r="BF18" s="188">
        <f t="shared" si="27"/>
        <v>779</v>
      </c>
      <c r="BG18" s="188">
        <f t="shared" si="28"/>
        <v>334</v>
      </c>
      <c r="BH18" s="188">
        <f t="shared" si="29"/>
        <v>779</v>
      </c>
      <c r="BI18" s="188">
        <f t="shared" si="30"/>
        <v>258</v>
      </c>
      <c r="BJ18" s="188">
        <f t="shared" si="31"/>
        <v>387</v>
      </c>
      <c r="BK18" s="188">
        <f t="shared" si="32"/>
        <v>903</v>
      </c>
      <c r="BL18" s="188">
        <f t="shared" si="33"/>
        <v>387</v>
      </c>
      <c r="BM18" s="188">
        <f t="shared" si="34"/>
        <v>903</v>
      </c>
      <c r="BN18" s="189">
        <f t="shared" si="35"/>
        <v>580141056</v>
      </c>
      <c r="BO18" s="189">
        <f t="shared" si="36"/>
        <v>1164548448</v>
      </c>
      <c r="BP18" s="189">
        <f t="shared" si="37"/>
        <v>2905121584</v>
      </c>
      <c r="BQ18" s="189">
        <f t="shared" si="38"/>
        <v>40518208</v>
      </c>
      <c r="BR18" s="189">
        <f t="shared" si="39"/>
        <v>93853920</v>
      </c>
      <c r="BS18" s="189">
        <f t="shared" si="40"/>
        <v>4784183216</v>
      </c>
      <c r="BT18" s="189">
        <f t="shared" si="41"/>
        <v>674217984</v>
      </c>
      <c r="BU18" s="189">
        <f t="shared" si="42"/>
        <v>1349342064</v>
      </c>
      <c r="BV18" s="189">
        <f t="shared" si="43"/>
        <v>3367554288</v>
      </c>
      <c r="BW18" s="189">
        <f t="shared" si="44"/>
        <v>46947744</v>
      </c>
      <c r="BX18" s="189">
        <f t="shared" si="45"/>
        <v>108793440</v>
      </c>
      <c r="BY18" s="189">
        <f t="shared" si="46"/>
        <v>5546855520</v>
      </c>
      <c r="BZ18" s="302">
        <f>IF(COT_PRECALCULOS!$D$24="Precios Iva Incluído",BI18,BD18)</f>
        <v>222</v>
      </c>
      <c r="CA18" s="302">
        <f>IF(COT_PRECALCULOS!$D$24="Precios Iva Incluído",BJ18,BE18)</f>
        <v>334</v>
      </c>
      <c r="CB18" s="302">
        <f>IF(COT_PRECALCULOS!$D$24="Precios Iva Incluído",BK18,BF18)</f>
        <v>779</v>
      </c>
      <c r="CC18" s="302">
        <f>IF(COT_PRECALCULOS!$D$24="Precios Iva Incluído",BL18,BG18)</f>
        <v>334</v>
      </c>
      <c r="CD18" s="302">
        <f>IF(COT_PRECALCULOS!$D$24="Precios Iva Incluído",BM18,BH18)</f>
        <v>779</v>
      </c>
      <c r="CE18" s="302">
        <f>IF(COT_PRECALCULOS!$D$24="Precios Iva Incluído",BT18,BN18)</f>
        <v>580141056</v>
      </c>
      <c r="CF18" s="302">
        <f>IF(COT_PRECALCULOS!$D$24="Precios Iva Incluído",BU18,BO18)</f>
        <v>1164548448</v>
      </c>
      <c r="CG18" s="302">
        <f>IF(COT_PRECALCULOS!$D$24="Precios Iva Incluído",BV18,BP18)</f>
        <v>2905121584</v>
      </c>
      <c r="CH18" s="302">
        <f>IF(COT_PRECALCULOS!$D$24="Precios Iva Incluído",BW18,BQ18)</f>
        <v>40518208</v>
      </c>
      <c r="CI18" s="302">
        <f>IF(COT_PRECALCULOS!$D$24="Precios Iva Incluído",BX18,BR18)</f>
        <v>93853920</v>
      </c>
    </row>
    <row r="19" spans="1:87">
      <c r="A19" s="183" t="s">
        <v>100</v>
      </c>
      <c r="B19" s="183" t="s">
        <v>98</v>
      </c>
      <c r="C19" s="183" t="str">
        <f t="shared" si="0"/>
        <v>C_PE12</v>
      </c>
      <c r="D19" s="183" t="str">
        <f t="shared" si="1"/>
        <v>15_P_</v>
      </c>
      <c r="E19" s="380" t="s">
        <v>1</v>
      </c>
      <c r="F19" s="380" t="s">
        <v>1607</v>
      </c>
      <c r="G19" s="183" t="s">
        <v>34</v>
      </c>
      <c r="H19" s="380" t="s">
        <v>14</v>
      </c>
      <c r="I19" s="380"/>
      <c r="J19" s="380">
        <v>15</v>
      </c>
      <c r="K19" s="190" t="s">
        <v>66</v>
      </c>
      <c r="L19" s="183" t="s">
        <v>9</v>
      </c>
      <c r="M19" s="380">
        <v>50</v>
      </c>
      <c r="N19" s="380">
        <v>50</v>
      </c>
      <c r="O19" s="380">
        <v>80</v>
      </c>
      <c r="P19" s="380">
        <v>50</v>
      </c>
      <c r="Q19" s="380">
        <v>80</v>
      </c>
      <c r="R19" s="380"/>
      <c r="S19" s="184">
        <f t="shared" si="2"/>
        <v>17</v>
      </c>
      <c r="T19" s="381">
        <f t="shared" si="3"/>
        <v>17</v>
      </c>
      <c r="U19" s="381">
        <f t="shared" si="3"/>
        <v>17</v>
      </c>
      <c r="V19" s="381">
        <f t="shared" si="3"/>
        <v>17</v>
      </c>
      <c r="W19" s="381">
        <f t="shared" si="4"/>
        <v>17</v>
      </c>
      <c r="X19" s="381">
        <f t="shared" si="4"/>
        <v>17</v>
      </c>
      <c r="Y19" s="185">
        <f t="shared" si="5"/>
        <v>163328</v>
      </c>
      <c r="Z19" s="185">
        <f t="shared" si="6"/>
        <v>217917</v>
      </c>
      <c r="AA19" s="185">
        <f t="shared" si="7"/>
        <v>233081</v>
      </c>
      <c r="AB19" s="185">
        <f t="shared" si="8"/>
        <v>7582</v>
      </c>
      <c r="AC19" s="185">
        <f t="shared" si="9"/>
        <v>7530</v>
      </c>
      <c r="AD19" s="185">
        <f t="shared" si="10"/>
        <v>629438</v>
      </c>
      <c r="AE19" s="184">
        <f t="shared" si="11"/>
        <v>0</v>
      </c>
      <c r="AF19" s="381">
        <f t="shared" si="47"/>
        <v>0</v>
      </c>
      <c r="AG19" s="381">
        <f t="shared" si="47"/>
        <v>0</v>
      </c>
      <c r="AH19" s="381">
        <f t="shared" si="47"/>
        <v>0</v>
      </c>
      <c r="AI19" s="186">
        <f t="shared" si="13"/>
        <v>0</v>
      </c>
      <c r="AJ19" s="186">
        <f t="shared" si="14"/>
        <v>0</v>
      </c>
      <c r="AK19" s="186">
        <f t="shared" si="15"/>
        <v>0</v>
      </c>
      <c r="AL19" s="186">
        <f t="shared" si="16"/>
        <v>0</v>
      </c>
      <c r="AM19" s="174">
        <f t="shared" si="17"/>
        <v>2776576</v>
      </c>
      <c r="AN19" s="174">
        <f t="shared" si="18"/>
        <v>3704589</v>
      </c>
      <c r="AO19" s="174">
        <f t="shared" si="19"/>
        <v>3962377</v>
      </c>
      <c r="AP19" s="174">
        <f t="shared" si="20"/>
        <v>128894</v>
      </c>
      <c r="AQ19" s="174">
        <f t="shared" si="21"/>
        <v>128010</v>
      </c>
      <c r="AR19" s="174">
        <f t="shared" si="22"/>
        <v>10700446</v>
      </c>
      <c r="AS19" s="187" t="s">
        <v>1345</v>
      </c>
      <c r="AT19" s="298">
        <f t="shared" si="49"/>
        <v>11.9825</v>
      </c>
      <c r="AU19" s="298">
        <f t="shared" si="49"/>
        <v>11.9825</v>
      </c>
      <c r="AV19" s="298">
        <f t="shared" si="49"/>
        <v>11.9825</v>
      </c>
      <c r="AW19" s="298">
        <f t="shared" si="49"/>
        <v>11.9825</v>
      </c>
      <c r="AX19" s="298">
        <f t="shared" si="49"/>
        <v>11.9825</v>
      </c>
      <c r="AY19" s="299">
        <f t="shared" si="48"/>
        <v>13.899699999999999</v>
      </c>
      <c r="AZ19" s="299">
        <f t="shared" si="48"/>
        <v>13.899699999999999</v>
      </c>
      <c r="BA19" s="299">
        <f t="shared" si="48"/>
        <v>13.899699999999999</v>
      </c>
      <c r="BB19" s="299">
        <f t="shared" si="48"/>
        <v>13.899699999999999</v>
      </c>
      <c r="BC19" s="299">
        <f t="shared" si="48"/>
        <v>13.899699999999999</v>
      </c>
      <c r="BD19" s="188">
        <f t="shared" si="25"/>
        <v>641</v>
      </c>
      <c r="BE19" s="188">
        <f t="shared" si="26"/>
        <v>641</v>
      </c>
      <c r="BF19" s="188">
        <f t="shared" si="27"/>
        <v>1025</v>
      </c>
      <c r="BG19" s="188">
        <f t="shared" si="28"/>
        <v>641</v>
      </c>
      <c r="BH19" s="188">
        <f t="shared" si="29"/>
        <v>1025</v>
      </c>
      <c r="BI19" s="188">
        <f t="shared" si="30"/>
        <v>743</v>
      </c>
      <c r="BJ19" s="188">
        <f t="shared" si="31"/>
        <v>743</v>
      </c>
      <c r="BK19" s="188">
        <f t="shared" si="32"/>
        <v>1189</v>
      </c>
      <c r="BL19" s="188">
        <f t="shared" si="33"/>
        <v>743</v>
      </c>
      <c r="BM19" s="188">
        <f t="shared" si="34"/>
        <v>1189</v>
      </c>
      <c r="BN19" s="189">
        <f t="shared" si="35"/>
        <v>1779785216</v>
      </c>
      <c r="BO19" s="189">
        <f t="shared" si="36"/>
        <v>2374641549</v>
      </c>
      <c r="BP19" s="189">
        <f t="shared" si="37"/>
        <v>4061436425</v>
      </c>
      <c r="BQ19" s="189">
        <f t="shared" si="38"/>
        <v>82621054</v>
      </c>
      <c r="BR19" s="189">
        <f t="shared" si="39"/>
        <v>131210250</v>
      </c>
      <c r="BS19" s="189">
        <f t="shared" si="40"/>
        <v>8429694494</v>
      </c>
      <c r="BT19" s="189">
        <f t="shared" si="41"/>
        <v>2062995968</v>
      </c>
      <c r="BU19" s="189">
        <f t="shared" si="42"/>
        <v>2752509627</v>
      </c>
      <c r="BV19" s="189">
        <f t="shared" si="43"/>
        <v>4711266253</v>
      </c>
      <c r="BW19" s="189">
        <f t="shared" si="44"/>
        <v>95768242</v>
      </c>
      <c r="BX19" s="189">
        <f t="shared" si="45"/>
        <v>152203890</v>
      </c>
      <c r="BY19" s="189">
        <f t="shared" si="46"/>
        <v>9774743980</v>
      </c>
      <c r="BZ19" s="302">
        <f>IF(COT_PRECALCULOS!$D$24="Precios Iva Incluído",BI19,BD19)</f>
        <v>641</v>
      </c>
      <c r="CA19" s="302">
        <f>IF(COT_PRECALCULOS!$D$24="Precios Iva Incluído",BJ19,BE19)</f>
        <v>641</v>
      </c>
      <c r="CB19" s="302">
        <f>IF(COT_PRECALCULOS!$D$24="Precios Iva Incluído",BK19,BF19)</f>
        <v>1025</v>
      </c>
      <c r="CC19" s="302">
        <f>IF(COT_PRECALCULOS!$D$24="Precios Iva Incluído",BL19,BG19)</f>
        <v>641</v>
      </c>
      <c r="CD19" s="302">
        <f>IF(COT_PRECALCULOS!$D$24="Precios Iva Incluído",BM19,BH19)</f>
        <v>1025</v>
      </c>
      <c r="CE19" s="302">
        <f>IF(COT_PRECALCULOS!$D$24="Precios Iva Incluído",BT19,BN19)</f>
        <v>1779785216</v>
      </c>
      <c r="CF19" s="302">
        <f>IF(COT_PRECALCULOS!$D$24="Precios Iva Incluído",BU19,BO19)</f>
        <v>2374641549</v>
      </c>
      <c r="CG19" s="302">
        <f>IF(COT_PRECALCULOS!$D$24="Precios Iva Incluído",BV19,BP19)</f>
        <v>4061436425</v>
      </c>
      <c r="CH19" s="302">
        <f>IF(COT_PRECALCULOS!$D$24="Precios Iva Incluído",BW19,BQ19)</f>
        <v>82621054</v>
      </c>
      <c r="CI19" s="302">
        <f>IF(COT_PRECALCULOS!$D$24="Precios Iva Incluído",BX19,BR19)</f>
        <v>131210250</v>
      </c>
    </row>
    <row r="20" spans="1:87">
      <c r="A20" s="183" t="s">
        <v>100</v>
      </c>
      <c r="B20" s="183" t="s">
        <v>98</v>
      </c>
      <c r="C20" s="183" t="str">
        <f t="shared" si="0"/>
        <v>C_PE13</v>
      </c>
      <c r="D20" s="183" t="str">
        <f t="shared" si="1"/>
        <v>25_P_</v>
      </c>
      <c r="E20" s="380" t="s">
        <v>1</v>
      </c>
      <c r="F20" s="380" t="s">
        <v>1607</v>
      </c>
      <c r="G20" s="183" t="s">
        <v>35</v>
      </c>
      <c r="H20" s="380" t="s">
        <v>15</v>
      </c>
      <c r="I20" s="380"/>
      <c r="J20" s="380">
        <v>25</v>
      </c>
      <c r="K20" s="190" t="s">
        <v>64</v>
      </c>
      <c r="L20" s="183" t="s">
        <v>9</v>
      </c>
      <c r="M20" s="380">
        <v>40</v>
      </c>
      <c r="N20" s="380">
        <v>40</v>
      </c>
      <c r="O20" s="380">
        <v>60</v>
      </c>
      <c r="P20" s="380">
        <v>40</v>
      </c>
      <c r="Q20" s="380">
        <v>60</v>
      </c>
      <c r="R20" s="380"/>
      <c r="S20" s="184">
        <f t="shared" si="2"/>
        <v>17</v>
      </c>
      <c r="T20" s="381">
        <f t="shared" si="3"/>
        <v>17</v>
      </c>
      <c r="U20" s="381">
        <f t="shared" si="3"/>
        <v>17</v>
      </c>
      <c r="V20" s="381">
        <f t="shared" si="3"/>
        <v>17</v>
      </c>
      <c r="W20" s="381">
        <f t="shared" si="4"/>
        <v>17</v>
      </c>
      <c r="X20" s="381">
        <f t="shared" si="4"/>
        <v>17</v>
      </c>
      <c r="Y20" s="185">
        <f t="shared" si="5"/>
        <v>163328</v>
      </c>
      <c r="Z20" s="185">
        <f t="shared" si="6"/>
        <v>217917</v>
      </c>
      <c r="AA20" s="185">
        <f t="shared" si="7"/>
        <v>233081</v>
      </c>
      <c r="AB20" s="185">
        <f t="shared" si="8"/>
        <v>7582</v>
      </c>
      <c r="AC20" s="185">
        <f t="shared" si="9"/>
        <v>7530</v>
      </c>
      <c r="AD20" s="185">
        <f t="shared" si="10"/>
        <v>629438</v>
      </c>
      <c r="AE20" s="184">
        <f t="shared" si="11"/>
        <v>0</v>
      </c>
      <c r="AF20" s="381">
        <f t="shared" si="47"/>
        <v>0</v>
      </c>
      <c r="AG20" s="381">
        <f t="shared" si="47"/>
        <v>0</v>
      </c>
      <c r="AH20" s="381">
        <f t="shared" si="47"/>
        <v>0</v>
      </c>
      <c r="AI20" s="186">
        <f t="shared" si="13"/>
        <v>0</v>
      </c>
      <c r="AJ20" s="186">
        <f t="shared" si="14"/>
        <v>0</v>
      </c>
      <c r="AK20" s="186">
        <f t="shared" si="15"/>
        <v>0</v>
      </c>
      <c r="AL20" s="186">
        <f t="shared" si="16"/>
        <v>0</v>
      </c>
      <c r="AM20" s="174">
        <f t="shared" si="17"/>
        <v>2776576</v>
      </c>
      <c r="AN20" s="174">
        <f t="shared" si="18"/>
        <v>3704589</v>
      </c>
      <c r="AO20" s="174">
        <f t="shared" si="19"/>
        <v>3962377</v>
      </c>
      <c r="AP20" s="174">
        <f t="shared" si="20"/>
        <v>128894</v>
      </c>
      <c r="AQ20" s="174">
        <f t="shared" si="21"/>
        <v>128010</v>
      </c>
      <c r="AR20" s="174">
        <f t="shared" si="22"/>
        <v>10700446</v>
      </c>
      <c r="AS20" s="187" t="s">
        <v>1346</v>
      </c>
      <c r="AT20" s="298">
        <f t="shared" si="49"/>
        <v>5.7</v>
      </c>
      <c r="AU20" s="298">
        <f t="shared" si="49"/>
        <v>5.7</v>
      </c>
      <c r="AV20" s="298">
        <f t="shared" si="49"/>
        <v>5.7</v>
      </c>
      <c r="AW20" s="298">
        <f t="shared" si="49"/>
        <v>5.7</v>
      </c>
      <c r="AX20" s="298">
        <f t="shared" si="49"/>
        <v>5.7</v>
      </c>
      <c r="AY20" s="299">
        <f t="shared" si="48"/>
        <v>6.6119999999999992</v>
      </c>
      <c r="AZ20" s="299">
        <f t="shared" si="48"/>
        <v>6.6119999999999992</v>
      </c>
      <c r="BA20" s="299">
        <f t="shared" si="48"/>
        <v>6.6119999999999992</v>
      </c>
      <c r="BB20" s="299">
        <f t="shared" si="48"/>
        <v>6.6119999999999992</v>
      </c>
      <c r="BC20" s="299">
        <f t="shared" si="48"/>
        <v>6.6119999999999992</v>
      </c>
      <c r="BD20" s="188">
        <f t="shared" si="25"/>
        <v>244</v>
      </c>
      <c r="BE20" s="188">
        <f t="shared" si="26"/>
        <v>244</v>
      </c>
      <c r="BF20" s="188">
        <f t="shared" si="27"/>
        <v>366</v>
      </c>
      <c r="BG20" s="188">
        <f t="shared" si="28"/>
        <v>244</v>
      </c>
      <c r="BH20" s="188">
        <f t="shared" si="29"/>
        <v>366</v>
      </c>
      <c r="BI20" s="188">
        <f t="shared" si="30"/>
        <v>283</v>
      </c>
      <c r="BJ20" s="188">
        <f t="shared" si="31"/>
        <v>283</v>
      </c>
      <c r="BK20" s="188">
        <f t="shared" si="32"/>
        <v>424</v>
      </c>
      <c r="BL20" s="188">
        <f t="shared" si="33"/>
        <v>283</v>
      </c>
      <c r="BM20" s="188">
        <f t="shared" si="34"/>
        <v>424</v>
      </c>
      <c r="BN20" s="189">
        <f t="shared" si="35"/>
        <v>677484544</v>
      </c>
      <c r="BO20" s="189">
        <f t="shared" si="36"/>
        <v>903919716</v>
      </c>
      <c r="BP20" s="189">
        <f t="shared" si="37"/>
        <v>1450229982</v>
      </c>
      <c r="BQ20" s="189">
        <f t="shared" si="38"/>
        <v>31450136</v>
      </c>
      <c r="BR20" s="189">
        <f t="shared" si="39"/>
        <v>46851660</v>
      </c>
      <c r="BS20" s="189">
        <f t="shared" si="40"/>
        <v>3109936038</v>
      </c>
      <c r="BT20" s="189">
        <f t="shared" si="41"/>
        <v>785771008</v>
      </c>
      <c r="BU20" s="189">
        <f t="shared" si="42"/>
        <v>1048398687</v>
      </c>
      <c r="BV20" s="189">
        <f t="shared" si="43"/>
        <v>1680047848</v>
      </c>
      <c r="BW20" s="189">
        <f t="shared" si="44"/>
        <v>36477002</v>
      </c>
      <c r="BX20" s="189">
        <f t="shared" si="45"/>
        <v>54276240</v>
      </c>
      <c r="BY20" s="189">
        <f t="shared" si="46"/>
        <v>3604970785</v>
      </c>
      <c r="BZ20" s="302">
        <f>IF(COT_PRECALCULOS!$D$24="Precios Iva Incluído",BI20,BD20)</f>
        <v>244</v>
      </c>
      <c r="CA20" s="302">
        <f>IF(COT_PRECALCULOS!$D$24="Precios Iva Incluído",BJ20,BE20)</f>
        <v>244</v>
      </c>
      <c r="CB20" s="302">
        <f>IF(COT_PRECALCULOS!$D$24="Precios Iva Incluído",BK20,BF20)</f>
        <v>366</v>
      </c>
      <c r="CC20" s="302">
        <f>IF(COT_PRECALCULOS!$D$24="Precios Iva Incluído",BL20,BG20)</f>
        <v>244</v>
      </c>
      <c r="CD20" s="302">
        <f>IF(COT_PRECALCULOS!$D$24="Precios Iva Incluído",BM20,BH20)</f>
        <v>366</v>
      </c>
      <c r="CE20" s="302">
        <f>IF(COT_PRECALCULOS!$D$24="Precios Iva Incluído",BT20,BN20)</f>
        <v>677484544</v>
      </c>
      <c r="CF20" s="302">
        <f>IF(COT_PRECALCULOS!$D$24="Precios Iva Incluído",BU20,BO20)</f>
        <v>903919716</v>
      </c>
      <c r="CG20" s="302">
        <f>IF(COT_PRECALCULOS!$D$24="Precios Iva Incluído",BV20,BP20)</f>
        <v>1450229982</v>
      </c>
      <c r="CH20" s="302">
        <f>IF(COT_PRECALCULOS!$D$24="Precios Iva Incluído",BW20,BQ20)</f>
        <v>31450136</v>
      </c>
      <c r="CI20" s="302">
        <f>IF(COT_PRECALCULOS!$D$24="Precios Iva Incluído",BX20,BR20)</f>
        <v>46851660</v>
      </c>
    </row>
    <row r="21" spans="1:87">
      <c r="A21" s="183" t="s">
        <v>100</v>
      </c>
      <c r="B21" s="183" t="s">
        <v>98</v>
      </c>
      <c r="C21" s="183" t="str">
        <f t="shared" si="0"/>
        <v>C_PE15</v>
      </c>
      <c r="D21" s="183" t="str">
        <f t="shared" si="1"/>
        <v>1_P_</v>
      </c>
      <c r="E21" s="380" t="s">
        <v>1</v>
      </c>
      <c r="F21" s="380" t="s">
        <v>1607</v>
      </c>
      <c r="G21" s="183" t="s">
        <v>37</v>
      </c>
      <c r="H21" s="380" t="s">
        <v>16</v>
      </c>
      <c r="I21" s="380"/>
      <c r="J21" s="380">
        <v>1</v>
      </c>
      <c r="K21" s="190" t="s">
        <v>16</v>
      </c>
      <c r="L21" s="183" t="s">
        <v>9</v>
      </c>
      <c r="M21" s="380">
        <v>30</v>
      </c>
      <c r="N21" s="380">
        <v>40</v>
      </c>
      <c r="O21" s="380">
        <v>60</v>
      </c>
      <c r="P21" s="380">
        <v>40</v>
      </c>
      <c r="Q21" s="380">
        <v>60</v>
      </c>
      <c r="R21" s="380"/>
      <c r="S21" s="184">
        <f t="shared" si="2"/>
        <v>15</v>
      </c>
      <c r="T21" s="381">
        <f t="shared" si="3"/>
        <v>15</v>
      </c>
      <c r="U21" s="381">
        <f t="shared" si="3"/>
        <v>15</v>
      </c>
      <c r="V21" s="381">
        <f t="shared" si="3"/>
        <v>15</v>
      </c>
      <c r="W21" s="381">
        <f t="shared" si="4"/>
        <v>15</v>
      </c>
      <c r="X21" s="381">
        <f t="shared" si="4"/>
        <v>15</v>
      </c>
      <c r="Y21" s="185">
        <f t="shared" si="5"/>
        <v>163328</v>
      </c>
      <c r="Z21" s="185">
        <f t="shared" si="6"/>
        <v>217917</v>
      </c>
      <c r="AA21" s="185">
        <f t="shared" si="7"/>
        <v>233081</v>
      </c>
      <c r="AB21" s="185">
        <f t="shared" si="8"/>
        <v>7582</v>
      </c>
      <c r="AC21" s="185">
        <f t="shared" si="9"/>
        <v>7530</v>
      </c>
      <c r="AD21" s="185">
        <f t="shared" si="10"/>
        <v>629438</v>
      </c>
      <c r="AE21" s="184">
        <f t="shared" si="11"/>
        <v>0</v>
      </c>
      <c r="AF21" s="381">
        <f t="shared" si="47"/>
        <v>0</v>
      </c>
      <c r="AG21" s="381">
        <f t="shared" si="47"/>
        <v>0</v>
      </c>
      <c r="AH21" s="381">
        <f t="shared" si="47"/>
        <v>0</v>
      </c>
      <c r="AI21" s="186">
        <f t="shared" si="13"/>
        <v>0</v>
      </c>
      <c r="AJ21" s="186">
        <f t="shared" si="14"/>
        <v>0</v>
      </c>
      <c r="AK21" s="186">
        <f t="shared" si="15"/>
        <v>0</v>
      </c>
      <c r="AL21" s="186">
        <f t="shared" si="16"/>
        <v>0</v>
      </c>
      <c r="AM21" s="174">
        <f t="shared" si="17"/>
        <v>2449920</v>
      </c>
      <c r="AN21" s="174">
        <f t="shared" si="18"/>
        <v>3268755</v>
      </c>
      <c r="AO21" s="174">
        <f t="shared" si="19"/>
        <v>3496215</v>
      </c>
      <c r="AP21" s="174">
        <f t="shared" si="20"/>
        <v>113730</v>
      </c>
      <c r="AQ21" s="174">
        <f t="shared" si="21"/>
        <v>112950</v>
      </c>
      <c r="AR21" s="174">
        <f t="shared" si="22"/>
        <v>9441570</v>
      </c>
      <c r="AS21" s="187" t="s">
        <v>1347</v>
      </c>
      <c r="AT21" s="298">
        <f t="shared" si="49"/>
        <v>24</v>
      </c>
      <c r="AU21" s="298">
        <f t="shared" si="49"/>
        <v>24</v>
      </c>
      <c r="AV21" s="298">
        <f t="shared" si="49"/>
        <v>24</v>
      </c>
      <c r="AW21" s="298">
        <f t="shared" si="49"/>
        <v>24</v>
      </c>
      <c r="AX21" s="298">
        <f t="shared" si="49"/>
        <v>24</v>
      </c>
      <c r="AY21" s="299">
        <f t="shared" si="48"/>
        <v>25.2</v>
      </c>
      <c r="AZ21" s="299">
        <f t="shared" si="48"/>
        <v>25.2</v>
      </c>
      <c r="BA21" s="299">
        <f t="shared" si="48"/>
        <v>25.2</v>
      </c>
      <c r="BB21" s="299">
        <f t="shared" si="48"/>
        <v>25.2</v>
      </c>
      <c r="BC21" s="299">
        <f t="shared" si="48"/>
        <v>25.2</v>
      </c>
      <c r="BD21" s="188">
        <f t="shared" si="25"/>
        <v>770</v>
      </c>
      <c r="BE21" s="188">
        <f t="shared" si="26"/>
        <v>1027</v>
      </c>
      <c r="BF21" s="188">
        <f t="shared" si="27"/>
        <v>1540</v>
      </c>
      <c r="BG21" s="188">
        <f t="shared" si="28"/>
        <v>1027</v>
      </c>
      <c r="BH21" s="188">
        <f t="shared" si="29"/>
        <v>1540</v>
      </c>
      <c r="BI21" s="188">
        <f t="shared" si="30"/>
        <v>809</v>
      </c>
      <c r="BJ21" s="188">
        <f t="shared" si="31"/>
        <v>1078</v>
      </c>
      <c r="BK21" s="188">
        <f t="shared" si="32"/>
        <v>1617</v>
      </c>
      <c r="BL21" s="188">
        <f t="shared" si="33"/>
        <v>1078</v>
      </c>
      <c r="BM21" s="188">
        <f t="shared" si="34"/>
        <v>1617</v>
      </c>
      <c r="BN21" s="189">
        <f t="shared" si="35"/>
        <v>1886438400</v>
      </c>
      <c r="BO21" s="189">
        <f t="shared" si="36"/>
        <v>3357011385</v>
      </c>
      <c r="BP21" s="189">
        <f t="shared" si="37"/>
        <v>5384171100</v>
      </c>
      <c r="BQ21" s="189">
        <f t="shared" si="38"/>
        <v>116800710</v>
      </c>
      <c r="BR21" s="189">
        <f t="shared" si="39"/>
        <v>173943000</v>
      </c>
      <c r="BS21" s="189">
        <f t="shared" si="40"/>
        <v>10918364595</v>
      </c>
      <c r="BT21" s="189">
        <f t="shared" si="41"/>
        <v>1981985280</v>
      </c>
      <c r="BU21" s="189">
        <f t="shared" si="42"/>
        <v>3523717890</v>
      </c>
      <c r="BV21" s="189">
        <f t="shared" si="43"/>
        <v>5653379655</v>
      </c>
      <c r="BW21" s="189">
        <f t="shared" si="44"/>
        <v>122600940</v>
      </c>
      <c r="BX21" s="189">
        <f t="shared" si="45"/>
        <v>182640150</v>
      </c>
      <c r="BY21" s="189">
        <f t="shared" si="46"/>
        <v>11464323915</v>
      </c>
      <c r="BZ21" s="302">
        <f>IF(COT_PRECALCULOS!$D$24="Precios Iva Incluído",BI21,BD21)</f>
        <v>770</v>
      </c>
      <c r="CA21" s="302">
        <f>IF(COT_PRECALCULOS!$D$24="Precios Iva Incluído",BJ21,BE21)</f>
        <v>1027</v>
      </c>
      <c r="CB21" s="302">
        <f>IF(COT_PRECALCULOS!$D$24="Precios Iva Incluído",BK21,BF21)</f>
        <v>1540</v>
      </c>
      <c r="CC21" s="302">
        <f>IF(COT_PRECALCULOS!$D$24="Precios Iva Incluído",BL21,BG21)</f>
        <v>1027</v>
      </c>
      <c r="CD21" s="302">
        <f>IF(COT_PRECALCULOS!$D$24="Precios Iva Incluído",BM21,BH21)</f>
        <v>1540</v>
      </c>
      <c r="CE21" s="302">
        <f>IF(COT_PRECALCULOS!$D$24="Precios Iva Incluído",BT21,BN21)</f>
        <v>1886438400</v>
      </c>
      <c r="CF21" s="302">
        <f>IF(COT_PRECALCULOS!$D$24="Precios Iva Incluído",BU21,BO21)</f>
        <v>3357011385</v>
      </c>
      <c r="CG21" s="302">
        <f>IF(COT_PRECALCULOS!$D$24="Precios Iva Incluído",BV21,BP21)</f>
        <v>5384171100</v>
      </c>
      <c r="CH21" s="302">
        <f>IF(COT_PRECALCULOS!$D$24="Precios Iva Incluído",BW21,BQ21)</f>
        <v>116800710</v>
      </c>
      <c r="CI21" s="302">
        <f>IF(COT_PRECALCULOS!$D$24="Precios Iva Incluído",BX21,BR21)</f>
        <v>173943000</v>
      </c>
    </row>
    <row r="22" spans="1:87">
      <c r="A22" s="183" t="s">
        <v>100</v>
      </c>
      <c r="B22" s="183" t="s">
        <v>98</v>
      </c>
      <c r="C22" s="183" t="str">
        <f t="shared" si="0"/>
        <v>C_E1</v>
      </c>
      <c r="D22" s="183" t="str">
        <f t="shared" si="1"/>
        <v>26_P_</v>
      </c>
      <c r="E22" s="380" t="s">
        <v>1</v>
      </c>
      <c r="F22" s="380" t="s">
        <v>1607</v>
      </c>
      <c r="G22" s="183" t="s">
        <v>18</v>
      </c>
      <c r="H22" s="380" t="s">
        <v>17</v>
      </c>
      <c r="I22" s="380"/>
      <c r="J22" s="380">
        <v>26</v>
      </c>
      <c r="K22" s="190" t="s">
        <v>69</v>
      </c>
      <c r="L22" s="183" t="s">
        <v>9</v>
      </c>
      <c r="M22" s="380">
        <v>30</v>
      </c>
      <c r="N22" s="380">
        <v>30</v>
      </c>
      <c r="O22" s="380">
        <v>30</v>
      </c>
      <c r="P22" s="380">
        <v>30</v>
      </c>
      <c r="Q22" s="380">
        <v>30</v>
      </c>
      <c r="R22" s="380" t="s">
        <v>73</v>
      </c>
      <c r="S22" s="184">
        <f t="shared" si="2"/>
        <v>6</v>
      </c>
      <c r="T22" s="381">
        <f t="shared" si="3"/>
        <v>6</v>
      </c>
      <c r="U22" s="381">
        <f t="shared" si="3"/>
        <v>6</v>
      </c>
      <c r="V22" s="381">
        <f t="shared" si="3"/>
        <v>6</v>
      </c>
      <c r="W22" s="381">
        <f t="shared" si="4"/>
        <v>6</v>
      </c>
      <c r="X22" s="381">
        <f t="shared" si="4"/>
        <v>6</v>
      </c>
      <c r="Y22" s="185">
        <f t="shared" si="5"/>
        <v>163328</v>
      </c>
      <c r="Z22" s="185">
        <f t="shared" si="6"/>
        <v>217917</v>
      </c>
      <c r="AA22" s="185">
        <f t="shared" si="7"/>
        <v>233081</v>
      </c>
      <c r="AB22" s="185">
        <f t="shared" si="8"/>
        <v>7582</v>
      </c>
      <c r="AC22" s="185">
        <f t="shared" si="9"/>
        <v>7530</v>
      </c>
      <c r="AD22" s="185">
        <f t="shared" si="10"/>
        <v>629438</v>
      </c>
      <c r="AE22" s="184">
        <f t="shared" si="11"/>
        <v>0</v>
      </c>
      <c r="AF22" s="381">
        <f t="shared" si="47"/>
        <v>0</v>
      </c>
      <c r="AG22" s="381">
        <f t="shared" si="47"/>
        <v>0</v>
      </c>
      <c r="AH22" s="381">
        <f t="shared" si="47"/>
        <v>0</v>
      </c>
      <c r="AI22" s="186">
        <f t="shared" si="13"/>
        <v>0</v>
      </c>
      <c r="AJ22" s="186">
        <f t="shared" si="14"/>
        <v>0</v>
      </c>
      <c r="AK22" s="186">
        <f t="shared" si="15"/>
        <v>0</v>
      </c>
      <c r="AL22" s="186">
        <f t="shared" si="16"/>
        <v>0</v>
      </c>
      <c r="AM22" s="174">
        <f t="shared" si="17"/>
        <v>979968</v>
      </c>
      <c r="AN22" s="174">
        <f t="shared" si="18"/>
        <v>1307502</v>
      </c>
      <c r="AO22" s="174">
        <f t="shared" si="19"/>
        <v>1398486</v>
      </c>
      <c r="AP22" s="174">
        <f t="shared" si="20"/>
        <v>45492</v>
      </c>
      <c r="AQ22" s="174">
        <f t="shared" si="21"/>
        <v>45180</v>
      </c>
      <c r="AR22" s="174">
        <f t="shared" si="22"/>
        <v>3776628</v>
      </c>
      <c r="AS22" s="187" t="s">
        <v>1348</v>
      </c>
      <c r="AT22" s="298">
        <f t="shared" si="49"/>
        <v>5.0925000000000002</v>
      </c>
      <c r="AU22" s="298">
        <f t="shared" si="49"/>
        <v>5.0925000000000002</v>
      </c>
      <c r="AV22" s="298">
        <f t="shared" si="49"/>
        <v>5.0925000000000002</v>
      </c>
      <c r="AW22" s="298">
        <f t="shared" si="49"/>
        <v>5.0925000000000002</v>
      </c>
      <c r="AX22" s="298">
        <f t="shared" si="49"/>
        <v>5.0925000000000002</v>
      </c>
      <c r="AY22" s="299">
        <f t="shared" si="48"/>
        <v>5.9074999999999998</v>
      </c>
      <c r="AZ22" s="299">
        <f t="shared" si="48"/>
        <v>5.9074999999999998</v>
      </c>
      <c r="BA22" s="299">
        <f t="shared" si="48"/>
        <v>5.9074999999999998</v>
      </c>
      <c r="BB22" s="299">
        <f t="shared" si="48"/>
        <v>5.9074999999999998</v>
      </c>
      <c r="BC22" s="299">
        <f t="shared" si="48"/>
        <v>5.9074999999999998</v>
      </c>
      <c r="BD22" s="188">
        <f t="shared" si="25"/>
        <v>163</v>
      </c>
      <c r="BE22" s="188">
        <f t="shared" si="26"/>
        <v>163</v>
      </c>
      <c r="BF22" s="188">
        <f t="shared" si="27"/>
        <v>163</v>
      </c>
      <c r="BG22" s="188">
        <f t="shared" si="28"/>
        <v>163</v>
      </c>
      <c r="BH22" s="188">
        <f t="shared" si="29"/>
        <v>163</v>
      </c>
      <c r="BI22" s="188">
        <f t="shared" si="30"/>
        <v>190</v>
      </c>
      <c r="BJ22" s="188">
        <f t="shared" si="31"/>
        <v>190</v>
      </c>
      <c r="BK22" s="188">
        <f t="shared" si="32"/>
        <v>190</v>
      </c>
      <c r="BL22" s="188">
        <f t="shared" si="33"/>
        <v>190</v>
      </c>
      <c r="BM22" s="188">
        <f t="shared" si="34"/>
        <v>190</v>
      </c>
      <c r="BN22" s="189">
        <f t="shared" si="35"/>
        <v>159734784</v>
      </c>
      <c r="BO22" s="189">
        <f t="shared" si="36"/>
        <v>213122826</v>
      </c>
      <c r="BP22" s="189">
        <f t="shared" si="37"/>
        <v>227953218</v>
      </c>
      <c r="BQ22" s="189">
        <f t="shared" si="38"/>
        <v>7415196</v>
      </c>
      <c r="BR22" s="189">
        <f t="shared" si="39"/>
        <v>7364340</v>
      </c>
      <c r="BS22" s="189">
        <f t="shared" si="40"/>
        <v>615590364</v>
      </c>
      <c r="BT22" s="189">
        <f t="shared" si="41"/>
        <v>186193920</v>
      </c>
      <c r="BU22" s="189">
        <f t="shared" si="42"/>
        <v>248425380</v>
      </c>
      <c r="BV22" s="189">
        <f t="shared" si="43"/>
        <v>265712340</v>
      </c>
      <c r="BW22" s="189">
        <f t="shared" si="44"/>
        <v>8643480</v>
      </c>
      <c r="BX22" s="189">
        <f t="shared" si="45"/>
        <v>8584200</v>
      </c>
      <c r="BY22" s="189">
        <f t="shared" si="46"/>
        <v>717559320</v>
      </c>
      <c r="BZ22" s="302">
        <f>IF(COT_PRECALCULOS!$D$24="Precios Iva Incluído",BI22,BD22)</f>
        <v>163</v>
      </c>
      <c r="CA22" s="302">
        <f>IF(COT_PRECALCULOS!$D$24="Precios Iva Incluído",BJ22,BE22)</f>
        <v>163</v>
      </c>
      <c r="CB22" s="302">
        <f>IF(COT_PRECALCULOS!$D$24="Precios Iva Incluído",BK22,BF22)</f>
        <v>163</v>
      </c>
      <c r="CC22" s="302">
        <f>IF(COT_PRECALCULOS!$D$24="Precios Iva Incluído",BL22,BG22)</f>
        <v>163</v>
      </c>
      <c r="CD22" s="302">
        <f>IF(COT_PRECALCULOS!$D$24="Precios Iva Incluído",BM22,BH22)</f>
        <v>163</v>
      </c>
      <c r="CE22" s="302">
        <f>IF(COT_PRECALCULOS!$D$24="Precios Iva Incluído",BT22,BN22)</f>
        <v>159734784</v>
      </c>
      <c r="CF22" s="302">
        <f>IF(COT_PRECALCULOS!$D$24="Precios Iva Incluído",BU22,BO22)</f>
        <v>213122826</v>
      </c>
      <c r="CG22" s="302">
        <f>IF(COT_PRECALCULOS!$D$24="Precios Iva Incluído",BV22,BP22)</f>
        <v>227953218</v>
      </c>
      <c r="CH22" s="302">
        <f>IF(COT_PRECALCULOS!$D$24="Precios Iva Incluído",BW22,BQ22)</f>
        <v>7415196</v>
      </c>
      <c r="CI22" s="302">
        <f>IF(COT_PRECALCULOS!$D$24="Precios Iva Incluído",BX22,BR22)</f>
        <v>7364340</v>
      </c>
    </row>
    <row r="23" spans="1:87">
      <c r="A23" s="183" t="s">
        <v>100</v>
      </c>
      <c r="B23" s="183" t="s">
        <v>98</v>
      </c>
      <c r="C23" s="183" t="str">
        <f t="shared" si="0"/>
        <v>C_E2</v>
      </c>
      <c r="D23" s="183" t="str">
        <f t="shared" si="1"/>
        <v>28_P_</v>
      </c>
      <c r="E23" s="380" t="s">
        <v>1</v>
      </c>
      <c r="F23" s="380" t="s">
        <v>1607</v>
      </c>
      <c r="G23" s="183" t="s">
        <v>21</v>
      </c>
      <c r="H23" s="380" t="s">
        <v>19</v>
      </c>
      <c r="I23" s="380"/>
      <c r="J23" s="380">
        <v>28</v>
      </c>
      <c r="K23" s="190" t="s">
        <v>67</v>
      </c>
      <c r="L23" s="183" t="s">
        <v>9</v>
      </c>
      <c r="M23" s="380">
        <v>30</v>
      </c>
      <c r="N23" s="380">
        <v>40</v>
      </c>
      <c r="O23" s="380">
        <v>60</v>
      </c>
      <c r="P23" s="380">
        <v>40</v>
      </c>
      <c r="Q23" s="380">
        <v>60</v>
      </c>
      <c r="R23" s="380"/>
      <c r="S23" s="184">
        <f t="shared" si="2"/>
        <v>6</v>
      </c>
      <c r="T23" s="381">
        <f t="shared" si="3"/>
        <v>6</v>
      </c>
      <c r="U23" s="381">
        <f t="shared" si="3"/>
        <v>6</v>
      </c>
      <c r="V23" s="381">
        <f t="shared" si="3"/>
        <v>6</v>
      </c>
      <c r="W23" s="381">
        <f t="shared" si="4"/>
        <v>6</v>
      </c>
      <c r="X23" s="381">
        <f t="shared" si="4"/>
        <v>6</v>
      </c>
      <c r="Y23" s="185">
        <f t="shared" si="5"/>
        <v>163328</v>
      </c>
      <c r="Z23" s="185">
        <f t="shared" si="6"/>
        <v>217917</v>
      </c>
      <c r="AA23" s="185">
        <f t="shared" si="7"/>
        <v>233081</v>
      </c>
      <c r="AB23" s="185">
        <f t="shared" si="8"/>
        <v>7582</v>
      </c>
      <c r="AC23" s="185">
        <f t="shared" si="9"/>
        <v>7530</v>
      </c>
      <c r="AD23" s="185">
        <f t="shared" si="10"/>
        <v>629438</v>
      </c>
      <c r="AE23" s="184">
        <f t="shared" si="11"/>
        <v>0</v>
      </c>
      <c r="AF23" s="381">
        <f t="shared" si="47"/>
        <v>0</v>
      </c>
      <c r="AG23" s="381">
        <f t="shared" si="47"/>
        <v>0</v>
      </c>
      <c r="AH23" s="381">
        <f t="shared" si="47"/>
        <v>0</v>
      </c>
      <c r="AI23" s="186">
        <f t="shared" si="13"/>
        <v>0</v>
      </c>
      <c r="AJ23" s="186">
        <f t="shared" si="14"/>
        <v>0</v>
      </c>
      <c r="AK23" s="186">
        <f t="shared" si="15"/>
        <v>0</v>
      </c>
      <c r="AL23" s="186">
        <f t="shared" si="16"/>
        <v>0</v>
      </c>
      <c r="AM23" s="174">
        <f t="shared" si="17"/>
        <v>979968</v>
      </c>
      <c r="AN23" s="174">
        <f t="shared" si="18"/>
        <v>1307502</v>
      </c>
      <c r="AO23" s="174">
        <f t="shared" si="19"/>
        <v>1398486</v>
      </c>
      <c r="AP23" s="174">
        <f t="shared" si="20"/>
        <v>45492</v>
      </c>
      <c r="AQ23" s="174">
        <f t="shared" si="21"/>
        <v>45180</v>
      </c>
      <c r="AR23" s="174">
        <f t="shared" si="22"/>
        <v>3776628</v>
      </c>
      <c r="AS23" s="187" t="s">
        <v>1349</v>
      </c>
      <c r="AT23" s="298">
        <f t="shared" si="49"/>
        <v>6.7</v>
      </c>
      <c r="AU23" s="298">
        <f t="shared" si="49"/>
        <v>6.7</v>
      </c>
      <c r="AV23" s="298">
        <f t="shared" si="49"/>
        <v>6.7</v>
      </c>
      <c r="AW23" s="298">
        <f t="shared" si="49"/>
        <v>6.7</v>
      </c>
      <c r="AX23" s="298">
        <f t="shared" si="49"/>
        <v>6.7</v>
      </c>
      <c r="AY23" s="299">
        <f t="shared" si="48"/>
        <v>7.7720000000000002</v>
      </c>
      <c r="AZ23" s="299">
        <f t="shared" si="48"/>
        <v>7.7720000000000002</v>
      </c>
      <c r="BA23" s="299">
        <f t="shared" si="48"/>
        <v>7.7720000000000002</v>
      </c>
      <c r="BB23" s="299">
        <f t="shared" si="48"/>
        <v>7.7720000000000002</v>
      </c>
      <c r="BC23" s="299">
        <f t="shared" si="48"/>
        <v>7.7720000000000002</v>
      </c>
      <c r="BD23" s="188">
        <f t="shared" ref="BD23:BD38" si="50">ROUND(IF(OR(M23=0,AT23="DATO NO DISPONIBLE"),"",AT23*M23*($BD$7+1)),0)</f>
        <v>215</v>
      </c>
      <c r="BE23" s="188">
        <f t="shared" si="26"/>
        <v>287</v>
      </c>
      <c r="BF23" s="188">
        <f t="shared" si="27"/>
        <v>430</v>
      </c>
      <c r="BG23" s="188">
        <f t="shared" si="28"/>
        <v>287</v>
      </c>
      <c r="BH23" s="188">
        <f t="shared" si="29"/>
        <v>430</v>
      </c>
      <c r="BI23" s="188">
        <f t="shared" ref="BI23:BI38" si="51">ROUND(IF(OR(M23=0,AY23="DATO NO DISPONIBLE"),0,AY23*M23*($BD$7+1)),0)</f>
        <v>249</v>
      </c>
      <c r="BJ23" s="188">
        <f t="shared" ref="BJ23:BJ38" si="52">ROUND(IF(OR(N23=0,AZ23="DATO NO DISPONIBLE"),0,AZ23*N23*($BD$7+1)),0)</f>
        <v>332</v>
      </c>
      <c r="BK23" s="188">
        <f t="shared" ref="BK23:BK38" si="53">ROUND(IF(OR(O23=0,BA23="DATO NO DISPONIBLE"),0,BA23*O23*($BD$7+1)),0)</f>
        <v>499</v>
      </c>
      <c r="BL23" s="188">
        <f t="shared" si="33"/>
        <v>332</v>
      </c>
      <c r="BM23" s="188">
        <f t="shared" si="34"/>
        <v>499</v>
      </c>
      <c r="BN23" s="189">
        <f t="shared" si="35"/>
        <v>210693120</v>
      </c>
      <c r="BO23" s="189">
        <f t="shared" si="36"/>
        <v>375253074</v>
      </c>
      <c r="BP23" s="189">
        <f t="shared" si="37"/>
        <v>601348980</v>
      </c>
      <c r="BQ23" s="189">
        <f t="shared" si="38"/>
        <v>13056204</v>
      </c>
      <c r="BR23" s="189">
        <f t="shared" si="39"/>
        <v>19427400</v>
      </c>
      <c r="BS23" s="189">
        <f t="shared" si="40"/>
        <v>1219778778</v>
      </c>
      <c r="BT23" s="189">
        <f t="shared" si="41"/>
        <v>244012032</v>
      </c>
      <c r="BU23" s="189">
        <f t="shared" si="42"/>
        <v>434090664</v>
      </c>
      <c r="BV23" s="189">
        <f t="shared" si="43"/>
        <v>697844514</v>
      </c>
      <c r="BW23" s="189">
        <f t="shared" si="44"/>
        <v>15103344</v>
      </c>
      <c r="BX23" s="189">
        <f t="shared" si="45"/>
        <v>22544820</v>
      </c>
      <c r="BY23" s="189">
        <f t="shared" si="46"/>
        <v>1413595374</v>
      </c>
      <c r="BZ23" s="302">
        <f>IF(COT_PRECALCULOS!$D$24="Precios Iva Incluído",BI23,BD23)</f>
        <v>215</v>
      </c>
      <c r="CA23" s="302">
        <f>IF(COT_PRECALCULOS!$D$24="Precios Iva Incluído",BJ23,BE23)</f>
        <v>287</v>
      </c>
      <c r="CB23" s="302">
        <f>IF(COT_PRECALCULOS!$D$24="Precios Iva Incluído",BK23,BF23)</f>
        <v>430</v>
      </c>
      <c r="CC23" s="302">
        <f>IF(COT_PRECALCULOS!$D$24="Precios Iva Incluído",BL23,BG23)</f>
        <v>287</v>
      </c>
      <c r="CD23" s="302">
        <f>IF(COT_PRECALCULOS!$D$24="Precios Iva Incluído",BM23,BH23)</f>
        <v>430</v>
      </c>
      <c r="CE23" s="302">
        <f>IF(COT_PRECALCULOS!$D$24="Precios Iva Incluído",BT23,BN23)</f>
        <v>210693120</v>
      </c>
      <c r="CF23" s="302">
        <f>IF(COT_PRECALCULOS!$D$24="Precios Iva Incluído",BU23,BO23)</f>
        <v>375253074</v>
      </c>
      <c r="CG23" s="302">
        <f>IF(COT_PRECALCULOS!$D$24="Precios Iva Incluído",BV23,BP23)</f>
        <v>601348980</v>
      </c>
      <c r="CH23" s="302">
        <f>IF(COT_PRECALCULOS!$D$24="Precios Iva Incluído",BW23,BQ23)</f>
        <v>13056204</v>
      </c>
      <c r="CI23" s="302">
        <f>IF(COT_PRECALCULOS!$D$24="Precios Iva Incluído",BX23,BR23)</f>
        <v>19427400</v>
      </c>
    </row>
    <row r="24" spans="1:87">
      <c r="A24" s="183" t="s">
        <v>100</v>
      </c>
      <c r="B24" s="183" t="s">
        <v>98</v>
      </c>
      <c r="C24" s="183" t="str">
        <f t="shared" si="0"/>
        <v>C_E3</v>
      </c>
      <c r="D24" s="183" t="str">
        <f t="shared" si="1"/>
        <v>62_P_</v>
      </c>
      <c r="E24" s="175" t="s">
        <v>1</v>
      </c>
      <c r="F24" s="175" t="s">
        <v>1607</v>
      </c>
      <c r="G24" s="183" t="s">
        <v>22</v>
      </c>
      <c r="H24" s="175" t="s">
        <v>20</v>
      </c>
      <c r="I24" s="175"/>
      <c r="J24" s="175">
        <v>62</v>
      </c>
      <c r="K24" s="190" t="s">
        <v>68</v>
      </c>
      <c r="L24" s="183" t="s">
        <v>9</v>
      </c>
      <c r="M24" s="175">
        <v>50</v>
      </c>
      <c r="N24" s="175">
        <v>50</v>
      </c>
      <c r="O24" s="175">
        <v>50</v>
      </c>
      <c r="P24" s="175">
        <v>50</v>
      </c>
      <c r="Q24" s="175">
        <v>50</v>
      </c>
      <c r="R24" s="175" t="s">
        <v>73</v>
      </c>
      <c r="S24" s="184">
        <f t="shared" si="2"/>
        <v>5</v>
      </c>
      <c r="T24" s="381">
        <f t="shared" si="3"/>
        <v>5</v>
      </c>
      <c r="U24" s="381">
        <f t="shared" si="3"/>
        <v>5</v>
      </c>
      <c r="V24" s="381">
        <f t="shared" si="3"/>
        <v>5</v>
      </c>
      <c r="W24" s="381">
        <f t="shared" si="4"/>
        <v>5</v>
      </c>
      <c r="X24" s="381">
        <f t="shared" si="4"/>
        <v>5</v>
      </c>
      <c r="Y24" s="185">
        <f t="shared" si="5"/>
        <v>163328</v>
      </c>
      <c r="Z24" s="185">
        <f t="shared" si="6"/>
        <v>217917</v>
      </c>
      <c r="AA24" s="185">
        <f t="shared" si="7"/>
        <v>233081</v>
      </c>
      <c r="AB24" s="185">
        <f t="shared" si="8"/>
        <v>7582</v>
      </c>
      <c r="AC24" s="185">
        <f t="shared" si="9"/>
        <v>7530</v>
      </c>
      <c r="AD24" s="185">
        <f t="shared" si="10"/>
        <v>629438</v>
      </c>
      <c r="AE24" s="184">
        <f t="shared" si="11"/>
        <v>0</v>
      </c>
      <c r="AF24" s="381">
        <f t="shared" si="47"/>
        <v>0</v>
      </c>
      <c r="AG24" s="381">
        <f t="shared" si="47"/>
        <v>0</v>
      </c>
      <c r="AH24" s="381">
        <f t="shared" si="47"/>
        <v>0</v>
      </c>
      <c r="AI24" s="186">
        <f t="shared" si="13"/>
        <v>0</v>
      </c>
      <c r="AJ24" s="186">
        <f t="shared" si="14"/>
        <v>0</v>
      </c>
      <c r="AK24" s="186">
        <f t="shared" si="15"/>
        <v>0</v>
      </c>
      <c r="AL24" s="186">
        <f t="shared" si="16"/>
        <v>0</v>
      </c>
      <c r="AM24" s="174">
        <f t="shared" si="17"/>
        <v>816640</v>
      </c>
      <c r="AN24" s="174">
        <f t="shared" si="18"/>
        <v>1089585</v>
      </c>
      <c r="AO24" s="174">
        <f t="shared" si="19"/>
        <v>1165405</v>
      </c>
      <c r="AP24" s="174">
        <f t="shared" si="20"/>
        <v>37910</v>
      </c>
      <c r="AQ24" s="174">
        <f t="shared" si="21"/>
        <v>37650</v>
      </c>
      <c r="AR24" s="174">
        <f t="shared" si="22"/>
        <v>3147190</v>
      </c>
      <c r="AS24" s="187" t="s">
        <v>1350</v>
      </c>
      <c r="AT24" s="298">
        <f t="shared" si="49"/>
        <v>11.120000000000001</v>
      </c>
      <c r="AU24" s="298">
        <f t="shared" si="49"/>
        <v>11.120000000000001</v>
      </c>
      <c r="AV24" s="298">
        <f t="shared" si="49"/>
        <v>11.120000000000001</v>
      </c>
      <c r="AW24" s="298">
        <f t="shared" si="49"/>
        <v>11.120000000000001</v>
      </c>
      <c r="AX24" s="298">
        <f t="shared" si="49"/>
        <v>11.120000000000001</v>
      </c>
      <c r="AY24" s="299">
        <f t="shared" ref="AY24:BC33" si="54">IF(ISERROR(MATCH(CONCATENATE($J24,"_",AY$1),COT_PRE_CODIGO_ALIMENTOS,0)),IF(ISERROR(MATCH(CONCATENATE($J24,"_",AY$2),COT_PRE_CODIGO_ALIMENTOS,0)),IF(ISERROR(MATCH(CONCATENATE($J24,"_",AY$3),COT_PRE_CODIGO_ALIMENTOS,0)),IF(ISERROR(MATCH(CONCATENATE($J24,"_",AY$4),COT_PRE_CODIGO_ALIMENTOS,0)),IF(ISERROR(MATCH(CONCATENATE($J24,"_",AY$5),COT_PRE_CODIGO_ALIMENTOS,0)),IF(ISERROR(MATCH(CONCATENATE($J24,"_",AY$6),COT_PRE_CODIGO_ALIMENTOS,0)),IF(ISERROR(MATCH(CONCATENATE($J24,"_",AY$7),COT_PRE_CODIGO_ALIMENTOS,0)),IF(ISERROR(VLOOKUP($J24,COT_PRE_ALIMENTOS,AY$8,FALSE)),"DATO NO DISPONIBLE",VLOOKUP($J24,COT_PRE_ALIMENTOS,AY$8,FALSE)),VLOOKUP(CONCATENATE($J24,"_",AY$7),COT_PRE_ALIMENTOS,AY$8,FALSE)),VLOOKUP(CONCATENATE($J24,"_",AY$6),COT_PRE_ALIMENTOS,AY$8,FALSE)),VLOOKUP(CONCATENATE($J24,"_",AY$5),COT_PRE_ALIMENTOS,AY$8,FALSE)),VLOOKUP(CONCATENATE($J24,"_",AY$4),COT_PRE_ALIMENTOS,AY$8,FALSE)),VLOOKUP(CONCATENATE($J24,"_",AY$3),COT_PRE_ALIMENTOS,AY$8,FALSE)),VLOOKUP(CONCATENATE($J24,"_",AY$2),COT_PRE_ALIMENTOS,AY$8,FALSE)),VLOOKUP(CONCATENATE($J24,"_",AY$1),COT_PRE_ALIMENTOS,AY$8,FALSE))</f>
        <v>12.899199999999999</v>
      </c>
      <c r="AZ24" s="299">
        <f t="shared" si="54"/>
        <v>12.899199999999999</v>
      </c>
      <c r="BA24" s="299">
        <f t="shared" si="54"/>
        <v>12.899199999999999</v>
      </c>
      <c r="BB24" s="299">
        <f t="shared" si="54"/>
        <v>12.899199999999999</v>
      </c>
      <c r="BC24" s="299">
        <f t="shared" si="54"/>
        <v>12.899199999999999</v>
      </c>
      <c r="BD24" s="188">
        <f t="shared" si="50"/>
        <v>595</v>
      </c>
      <c r="BE24" s="188">
        <f t="shared" si="26"/>
        <v>595</v>
      </c>
      <c r="BF24" s="188">
        <f t="shared" si="27"/>
        <v>595</v>
      </c>
      <c r="BG24" s="188">
        <f t="shared" si="28"/>
        <v>595</v>
      </c>
      <c r="BH24" s="188">
        <f t="shared" si="29"/>
        <v>595</v>
      </c>
      <c r="BI24" s="188">
        <f t="shared" si="51"/>
        <v>690</v>
      </c>
      <c r="BJ24" s="188">
        <f t="shared" si="52"/>
        <v>690</v>
      </c>
      <c r="BK24" s="188">
        <f t="shared" si="53"/>
        <v>690</v>
      </c>
      <c r="BL24" s="188">
        <f t="shared" si="33"/>
        <v>690</v>
      </c>
      <c r="BM24" s="188">
        <f t="shared" si="34"/>
        <v>690</v>
      </c>
      <c r="BN24" s="189">
        <f t="shared" si="35"/>
        <v>485900800</v>
      </c>
      <c r="BO24" s="189">
        <f t="shared" si="36"/>
        <v>648303075</v>
      </c>
      <c r="BP24" s="189">
        <f t="shared" si="37"/>
        <v>693415975</v>
      </c>
      <c r="BQ24" s="189">
        <f t="shared" si="38"/>
        <v>22556450</v>
      </c>
      <c r="BR24" s="189">
        <f t="shared" si="39"/>
        <v>22401750</v>
      </c>
      <c r="BS24" s="189">
        <f t="shared" si="40"/>
        <v>1872578050</v>
      </c>
      <c r="BT24" s="189">
        <f t="shared" si="41"/>
        <v>563481600</v>
      </c>
      <c r="BU24" s="189">
        <f t="shared" si="42"/>
        <v>751813650</v>
      </c>
      <c r="BV24" s="189">
        <f t="shared" si="43"/>
        <v>804129450</v>
      </c>
      <c r="BW24" s="189">
        <f t="shared" si="44"/>
        <v>26157900</v>
      </c>
      <c r="BX24" s="189">
        <f t="shared" si="45"/>
        <v>25978500</v>
      </c>
      <c r="BY24" s="189">
        <f t="shared" si="46"/>
        <v>2171561100</v>
      </c>
      <c r="BZ24" s="302">
        <f>IF(COT_PRECALCULOS!$D$24="Precios Iva Incluído",BI24,BD24)</f>
        <v>595</v>
      </c>
      <c r="CA24" s="302">
        <f>IF(COT_PRECALCULOS!$D$24="Precios Iva Incluído",BJ24,BE24)</f>
        <v>595</v>
      </c>
      <c r="CB24" s="302">
        <f>IF(COT_PRECALCULOS!$D$24="Precios Iva Incluído",BK24,BF24)</f>
        <v>595</v>
      </c>
      <c r="CC24" s="302">
        <f>IF(COT_PRECALCULOS!$D$24="Precios Iva Incluído",BL24,BG24)</f>
        <v>595</v>
      </c>
      <c r="CD24" s="302">
        <f>IF(COT_PRECALCULOS!$D$24="Precios Iva Incluído",BM24,BH24)</f>
        <v>595</v>
      </c>
      <c r="CE24" s="302">
        <f>IF(COT_PRECALCULOS!$D$24="Precios Iva Incluído",BT24,BN24)</f>
        <v>485900800</v>
      </c>
      <c r="CF24" s="302">
        <f>IF(COT_PRECALCULOS!$D$24="Precios Iva Incluído",BU24,BO24)</f>
        <v>648303075</v>
      </c>
      <c r="CG24" s="302">
        <f>IF(COT_PRECALCULOS!$D$24="Precios Iva Incluído",BV24,BP24)</f>
        <v>693415975</v>
      </c>
      <c r="CH24" s="302">
        <f>IF(COT_PRECALCULOS!$D$24="Precios Iva Incluído",BW24,BQ24)</f>
        <v>22556450</v>
      </c>
      <c r="CI24" s="302">
        <f>IF(COT_PRECALCULOS!$D$24="Precios Iva Incluído",BX24,BR24)</f>
        <v>22401750</v>
      </c>
    </row>
    <row r="25" spans="1:87">
      <c r="A25" s="183" t="s">
        <v>98</v>
      </c>
      <c r="B25" s="183" t="s">
        <v>98</v>
      </c>
      <c r="C25" s="183" t="str">
        <f t="shared" si="0"/>
        <v>C_CPE1</v>
      </c>
      <c r="D25" s="183" t="str">
        <f t="shared" si="1"/>
        <v>24_NA</v>
      </c>
      <c r="E25" s="175" t="s">
        <v>1</v>
      </c>
      <c r="F25" s="175" t="s">
        <v>1607</v>
      </c>
      <c r="G25" s="183" t="s">
        <v>1365</v>
      </c>
      <c r="H25" s="175" t="s">
        <v>2</v>
      </c>
      <c r="I25" s="175"/>
      <c r="J25" s="175">
        <v>24</v>
      </c>
      <c r="K25" s="175" t="s">
        <v>61</v>
      </c>
      <c r="L25" s="183" t="s">
        <v>9</v>
      </c>
      <c r="M25" s="175">
        <v>20</v>
      </c>
      <c r="N25" s="175">
        <v>30</v>
      </c>
      <c r="O25" s="175">
        <v>60</v>
      </c>
      <c r="P25" s="175">
        <v>30</v>
      </c>
      <c r="Q25" s="175">
        <v>60</v>
      </c>
      <c r="R25" s="175"/>
      <c r="S25" s="184">
        <f>COUNTIF(CAL_PRIMERA_ENTREGA_FRUTA,CONCATENATE(G25,"_",J25))</f>
        <v>0</v>
      </c>
      <c r="T25" s="381">
        <f t="shared" si="3"/>
        <v>0</v>
      </c>
      <c r="U25" s="381">
        <f t="shared" si="3"/>
        <v>0</v>
      </c>
      <c r="V25" s="381">
        <f t="shared" si="3"/>
        <v>0</v>
      </c>
      <c r="W25" s="381">
        <f t="shared" si="4"/>
        <v>0</v>
      </c>
      <c r="X25" s="381">
        <f t="shared" si="4"/>
        <v>0</v>
      </c>
      <c r="Y25" s="185">
        <v>163328</v>
      </c>
      <c r="Z25" s="185">
        <v>217917</v>
      </c>
      <c r="AA25" s="185">
        <v>233081</v>
      </c>
      <c r="AB25" s="185">
        <v>7582</v>
      </c>
      <c r="AC25" s="185">
        <v>7530</v>
      </c>
      <c r="AD25" s="185">
        <v>629438</v>
      </c>
      <c r="AE25" s="184">
        <f t="shared" si="11"/>
        <v>0</v>
      </c>
      <c r="AF25" s="381">
        <f t="shared" si="47"/>
        <v>0</v>
      </c>
      <c r="AG25" s="381">
        <f t="shared" si="47"/>
        <v>0</v>
      </c>
      <c r="AH25" s="381">
        <f t="shared" si="47"/>
        <v>0</v>
      </c>
      <c r="AI25" s="186">
        <v>0</v>
      </c>
      <c r="AJ25" s="186">
        <v>0</v>
      </c>
      <c r="AK25" s="186">
        <v>0</v>
      </c>
      <c r="AL25" s="186">
        <v>0</v>
      </c>
      <c r="AM25" s="174">
        <v>0</v>
      </c>
      <c r="AN25" s="174">
        <f t="shared" si="18"/>
        <v>0</v>
      </c>
      <c r="AO25" s="174">
        <f t="shared" si="19"/>
        <v>0</v>
      </c>
      <c r="AP25" s="174">
        <f t="shared" si="20"/>
        <v>0</v>
      </c>
      <c r="AQ25" s="174">
        <f t="shared" si="21"/>
        <v>0</v>
      </c>
      <c r="AR25" s="174">
        <f t="shared" si="22"/>
        <v>0</v>
      </c>
      <c r="AS25" s="187" t="s">
        <v>84</v>
      </c>
      <c r="AT25" s="298">
        <f t="shared" si="49"/>
        <v>5.7</v>
      </c>
      <c r="AU25" s="298">
        <f t="shared" si="49"/>
        <v>5.95</v>
      </c>
      <c r="AV25" s="298">
        <f t="shared" si="49"/>
        <v>5.7249999999999996</v>
      </c>
      <c r="AW25" s="298">
        <f t="shared" si="49"/>
        <v>5.95</v>
      </c>
      <c r="AX25" s="298">
        <f t="shared" si="49"/>
        <v>5.7249999999999996</v>
      </c>
      <c r="AY25" s="299">
        <f t="shared" si="54"/>
        <v>6.6119999999999992</v>
      </c>
      <c r="AZ25" s="299">
        <f t="shared" si="54"/>
        <v>6.9019999999999992</v>
      </c>
      <c r="BA25" s="299">
        <f t="shared" si="54"/>
        <v>6.6409999999999991</v>
      </c>
      <c r="BB25" s="299">
        <f t="shared" si="54"/>
        <v>6.9019999999999992</v>
      </c>
      <c r="BC25" s="299">
        <f t="shared" si="54"/>
        <v>6.6409999999999991</v>
      </c>
      <c r="BD25" s="188">
        <f t="shared" si="50"/>
        <v>122</v>
      </c>
      <c r="BE25" s="188">
        <f t="shared" si="26"/>
        <v>191</v>
      </c>
      <c r="BF25" s="188">
        <f t="shared" si="27"/>
        <v>367</v>
      </c>
      <c r="BG25" s="188">
        <f t="shared" si="28"/>
        <v>191</v>
      </c>
      <c r="BH25" s="188">
        <f t="shared" si="29"/>
        <v>367</v>
      </c>
      <c r="BI25" s="188">
        <f t="shared" si="51"/>
        <v>141</v>
      </c>
      <c r="BJ25" s="188">
        <f t="shared" si="52"/>
        <v>221</v>
      </c>
      <c r="BK25" s="188">
        <f t="shared" si="53"/>
        <v>426</v>
      </c>
      <c r="BL25" s="188">
        <f t="shared" si="33"/>
        <v>221</v>
      </c>
      <c r="BM25" s="188">
        <f t="shared" si="34"/>
        <v>426</v>
      </c>
      <c r="BN25" s="189">
        <f t="shared" si="35"/>
        <v>0</v>
      </c>
      <c r="BO25" s="189">
        <f t="shared" si="36"/>
        <v>0</v>
      </c>
      <c r="BP25" s="189">
        <f t="shared" si="37"/>
        <v>0</v>
      </c>
      <c r="BQ25" s="189">
        <f t="shared" si="38"/>
        <v>0</v>
      </c>
      <c r="BR25" s="189">
        <f t="shared" si="39"/>
        <v>0</v>
      </c>
      <c r="BS25" s="189">
        <f t="shared" si="40"/>
        <v>0</v>
      </c>
      <c r="BT25" s="189">
        <f t="shared" si="41"/>
        <v>0</v>
      </c>
      <c r="BU25" s="189">
        <f t="shared" si="42"/>
        <v>0</v>
      </c>
      <c r="BV25" s="189">
        <f t="shared" si="43"/>
        <v>0</v>
      </c>
      <c r="BW25" s="189">
        <f t="shared" si="44"/>
        <v>0</v>
      </c>
      <c r="BX25" s="189">
        <f t="shared" si="45"/>
        <v>0</v>
      </c>
      <c r="BY25" s="189">
        <f t="shared" si="46"/>
        <v>0</v>
      </c>
      <c r="BZ25" s="302">
        <f>IF(COT_PRECALCULOS!$D$24="Precios Iva Incluído",BI25,BD25)</f>
        <v>122</v>
      </c>
      <c r="CA25" s="302">
        <f>IF(COT_PRECALCULOS!$D$24="Precios Iva Incluído",BJ25,BE25)</f>
        <v>191</v>
      </c>
      <c r="CB25" s="302">
        <f>IF(COT_PRECALCULOS!$D$24="Precios Iva Incluído",BK25,BF25)</f>
        <v>367</v>
      </c>
      <c r="CC25" s="302">
        <f>IF(COT_PRECALCULOS!$D$24="Precios Iva Incluído",BL25,BG25)</f>
        <v>191</v>
      </c>
      <c r="CD25" s="302">
        <f>IF(COT_PRECALCULOS!$D$24="Precios Iva Incluído",BM25,BH25)</f>
        <v>367</v>
      </c>
      <c r="CE25" s="302">
        <f>IF(COT_PRECALCULOS!$D$24="Precios Iva Incluído",BT25,BN25)</f>
        <v>0</v>
      </c>
      <c r="CF25" s="302">
        <f>IF(COT_PRECALCULOS!$D$24="Precios Iva Incluído",BU25,BO25)</f>
        <v>0</v>
      </c>
      <c r="CG25" s="302">
        <f>IF(COT_PRECALCULOS!$D$24="Precios Iva Incluído",BV25,BP25)</f>
        <v>0</v>
      </c>
      <c r="CH25" s="302">
        <f>IF(COT_PRECALCULOS!$D$24="Precios Iva Incluído",BW25,BQ25)</f>
        <v>0</v>
      </c>
      <c r="CI25" s="302">
        <f>IF(COT_PRECALCULOS!$D$24="Precios Iva Incluído",BX25,BR25)</f>
        <v>0</v>
      </c>
    </row>
    <row r="26" spans="1:87">
      <c r="A26" s="183" t="s">
        <v>98</v>
      </c>
      <c r="B26" s="183" t="s">
        <v>98</v>
      </c>
      <c r="C26" s="183" t="str">
        <f t="shared" si="0"/>
        <v>C_CPE2</v>
      </c>
      <c r="D26" s="183" t="str">
        <f t="shared" si="1"/>
        <v>25_NA</v>
      </c>
      <c r="E26" s="175" t="s">
        <v>1</v>
      </c>
      <c r="F26" s="175" t="s">
        <v>1607</v>
      </c>
      <c r="G26" s="183" t="s">
        <v>1366</v>
      </c>
      <c r="H26" s="175" t="s">
        <v>15</v>
      </c>
      <c r="I26" s="175"/>
      <c r="J26" s="175">
        <v>25</v>
      </c>
      <c r="K26" s="190" t="s">
        <v>64</v>
      </c>
      <c r="L26" s="183" t="s">
        <v>9</v>
      </c>
      <c r="M26" s="175">
        <v>40</v>
      </c>
      <c r="N26" s="175">
        <v>40</v>
      </c>
      <c r="O26" s="380">
        <v>60</v>
      </c>
      <c r="P26" s="175">
        <v>40</v>
      </c>
      <c r="Q26" s="380">
        <v>60</v>
      </c>
      <c r="R26" s="175"/>
      <c r="S26" s="184">
        <f>COUNTIF(CAL_PRIMERA_ENTREGA_FRUTA,CONCATENATE(G26,"_",J26))</f>
        <v>0</v>
      </c>
      <c r="T26" s="381">
        <f t="shared" si="3"/>
        <v>0</v>
      </c>
      <c r="U26" s="381">
        <f t="shared" si="3"/>
        <v>0</v>
      </c>
      <c r="V26" s="381">
        <f t="shared" si="3"/>
        <v>0</v>
      </c>
      <c r="W26" s="381">
        <f t="shared" si="4"/>
        <v>0</v>
      </c>
      <c r="X26" s="381">
        <f t="shared" si="4"/>
        <v>0</v>
      </c>
      <c r="Y26" s="185">
        <v>163328</v>
      </c>
      <c r="Z26" s="185">
        <v>217917</v>
      </c>
      <c r="AA26" s="185">
        <v>233081</v>
      </c>
      <c r="AB26" s="185">
        <v>7582</v>
      </c>
      <c r="AC26" s="185">
        <v>7530</v>
      </c>
      <c r="AD26" s="185">
        <v>629438</v>
      </c>
      <c r="AE26" s="184">
        <f t="shared" si="11"/>
        <v>0</v>
      </c>
      <c r="AF26" s="381">
        <f t="shared" si="47"/>
        <v>0</v>
      </c>
      <c r="AG26" s="381">
        <f t="shared" si="47"/>
        <v>0</v>
      </c>
      <c r="AH26" s="381">
        <f t="shared" si="47"/>
        <v>0</v>
      </c>
      <c r="AI26" s="186">
        <v>0</v>
      </c>
      <c r="AJ26" s="186">
        <v>0</v>
      </c>
      <c r="AK26" s="186">
        <v>0</v>
      </c>
      <c r="AL26" s="186">
        <v>0</v>
      </c>
      <c r="AM26" s="174">
        <v>0</v>
      </c>
      <c r="AN26" s="174">
        <f t="shared" si="18"/>
        <v>0</v>
      </c>
      <c r="AO26" s="174">
        <f t="shared" si="19"/>
        <v>0</v>
      </c>
      <c r="AP26" s="174">
        <f t="shared" si="20"/>
        <v>0</v>
      </c>
      <c r="AQ26" s="174">
        <f t="shared" si="21"/>
        <v>0</v>
      </c>
      <c r="AR26" s="174">
        <f t="shared" si="22"/>
        <v>0</v>
      </c>
      <c r="AS26" s="187" t="s">
        <v>84</v>
      </c>
      <c r="AT26" s="298">
        <f t="shared" si="49"/>
        <v>5.7</v>
      </c>
      <c r="AU26" s="298">
        <f t="shared" si="49"/>
        <v>5.7</v>
      </c>
      <c r="AV26" s="298">
        <f t="shared" si="49"/>
        <v>5.7</v>
      </c>
      <c r="AW26" s="298">
        <f t="shared" si="49"/>
        <v>5.7</v>
      </c>
      <c r="AX26" s="298">
        <f t="shared" si="49"/>
        <v>5.7</v>
      </c>
      <c r="AY26" s="299">
        <f t="shared" si="54"/>
        <v>6.6119999999999992</v>
      </c>
      <c r="AZ26" s="299">
        <f t="shared" si="54"/>
        <v>6.6119999999999992</v>
      </c>
      <c r="BA26" s="299">
        <f t="shared" si="54"/>
        <v>6.6119999999999992</v>
      </c>
      <c r="BB26" s="299">
        <f t="shared" si="54"/>
        <v>6.6119999999999992</v>
      </c>
      <c r="BC26" s="299">
        <f t="shared" si="54"/>
        <v>6.6119999999999992</v>
      </c>
      <c r="BD26" s="188">
        <f t="shared" si="50"/>
        <v>244</v>
      </c>
      <c r="BE26" s="188">
        <f t="shared" si="26"/>
        <v>244</v>
      </c>
      <c r="BF26" s="188">
        <f t="shared" si="27"/>
        <v>366</v>
      </c>
      <c r="BG26" s="188">
        <f t="shared" si="28"/>
        <v>244</v>
      </c>
      <c r="BH26" s="188">
        <f t="shared" si="29"/>
        <v>366</v>
      </c>
      <c r="BI26" s="188">
        <f t="shared" si="51"/>
        <v>283</v>
      </c>
      <c r="BJ26" s="188">
        <f t="shared" si="52"/>
        <v>283</v>
      </c>
      <c r="BK26" s="188">
        <f t="shared" si="53"/>
        <v>424</v>
      </c>
      <c r="BL26" s="188">
        <f t="shared" si="33"/>
        <v>283</v>
      </c>
      <c r="BM26" s="188">
        <f t="shared" si="34"/>
        <v>424</v>
      </c>
      <c r="BN26" s="189">
        <f t="shared" si="35"/>
        <v>0</v>
      </c>
      <c r="BO26" s="189">
        <f t="shared" si="36"/>
        <v>0</v>
      </c>
      <c r="BP26" s="189">
        <f t="shared" si="37"/>
        <v>0</v>
      </c>
      <c r="BQ26" s="189">
        <f t="shared" si="38"/>
        <v>0</v>
      </c>
      <c r="BR26" s="189">
        <f t="shared" si="39"/>
        <v>0</v>
      </c>
      <c r="BS26" s="189">
        <f t="shared" si="40"/>
        <v>0</v>
      </c>
      <c r="BT26" s="189">
        <f t="shared" si="41"/>
        <v>0</v>
      </c>
      <c r="BU26" s="189">
        <f t="shared" si="42"/>
        <v>0</v>
      </c>
      <c r="BV26" s="189">
        <f t="shared" si="43"/>
        <v>0</v>
      </c>
      <c r="BW26" s="189">
        <f t="shared" si="44"/>
        <v>0</v>
      </c>
      <c r="BX26" s="189">
        <f t="shared" si="45"/>
        <v>0</v>
      </c>
      <c r="BY26" s="189">
        <f t="shared" si="46"/>
        <v>0</v>
      </c>
      <c r="BZ26" s="302">
        <f>IF(COT_PRECALCULOS!$D$24="Precios Iva Incluído",BI26,BD26)</f>
        <v>244</v>
      </c>
      <c r="CA26" s="302">
        <f>IF(COT_PRECALCULOS!$D$24="Precios Iva Incluído",BJ26,BE26)</f>
        <v>244</v>
      </c>
      <c r="CB26" s="302">
        <f>IF(COT_PRECALCULOS!$D$24="Precios Iva Incluído",BK26,BF26)</f>
        <v>366</v>
      </c>
      <c r="CC26" s="302">
        <f>IF(COT_PRECALCULOS!$D$24="Precios Iva Incluído",BL26,BG26)</f>
        <v>244</v>
      </c>
      <c r="CD26" s="302">
        <f>IF(COT_PRECALCULOS!$D$24="Precios Iva Incluído",BM26,BH26)</f>
        <v>366</v>
      </c>
      <c r="CE26" s="302">
        <f>IF(COT_PRECALCULOS!$D$24="Precios Iva Incluído",BT26,BN26)</f>
        <v>0</v>
      </c>
      <c r="CF26" s="302">
        <f>IF(COT_PRECALCULOS!$D$24="Precios Iva Incluído",BU26,BO26)</f>
        <v>0</v>
      </c>
      <c r="CG26" s="302">
        <f>IF(COT_PRECALCULOS!$D$24="Precios Iva Incluído",BV26,BP26)</f>
        <v>0</v>
      </c>
      <c r="CH26" s="302">
        <f>IF(COT_PRECALCULOS!$D$24="Precios Iva Incluído",BW26,BQ26)</f>
        <v>0</v>
      </c>
      <c r="CI26" s="302">
        <f>IF(COT_PRECALCULOS!$D$24="Precios Iva Incluído",BX26,BR26)</f>
        <v>0</v>
      </c>
    </row>
    <row r="27" spans="1:87">
      <c r="A27" s="183" t="s">
        <v>98</v>
      </c>
      <c r="B27" s="183" t="s">
        <v>98</v>
      </c>
      <c r="C27" s="183" t="str">
        <f t="shared" si="0"/>
        <v>C_CPE3</v>
      </c>
      <c r="D27" s="183" t="str">
        <f t="shared" si="1"/>
        <v>30_NA</v>
      </c>
      <c r="E27" s="380" t="s">
        <v>1</v>
      </c>
      <c r="F27" s="380" t="s">
        <v>1607</v>
      </c>
      <c r="G27" s="183" t="s">
        <v>1367</v>
      </c>
      <c r="H27" s="380" t="s">
        <v>62</v>
      </c>
      <c r="I27" s="380"/>
      <c r="J27" s="380">
        <v>30</v>
      </c>
      <c r="K27" s="380" t="s">
        <v>63</v>
      </c>
      <c r="L27" s="183" t="s">
        <v>9</v>
      </c>
      <c r="M27" s="380">
        <v>30</v>
      </c>
      <c r="N27" s="380">
        <v>30</v>
      </c>
      <c r="O27" s="380">
        <v>30</v>
      </c>
      <c r="P27" s="380">
        <v>30</v>
      </c>
      <c r="Q27" s="380">
        <v>30</v>
      </c>
      <c r="R27" s="380" t="s">
        <v>73</v>
      </c>
      <c r="S27" s="184">
        <f>COUNTIF(CAL_PRIMERA_ENTREGA_FRUTA,CONCATENATE(G27,"_",J27))</f>
        <v>0</v>
      </c>
      <c r="T27" s="381">
        <f t="shared" si="3"/>
        <v>0</v>
      </c>
      <c r="U27" s="381">
        <f t="shared" si="3"/>
        <v>0</v>
      </c>
      <c r="V27" s="381">
        <f t="shared" si="3"/>
        <v>0</v>
      </c>
      <c r="W27" s="381">
        <f t="shared" si="4"/>
        <v>0</v>
      </c>
      <c r="X27" s="381">
        <f t="shared" si="4"/>
        <v>0</v>
      </c>
      <c r="Y27" s="185">
        <v>163328</v>
      </c>
      <c r="Z27" s="185">
        <v>217917</v>
      </c>
      <c r="AA27" s="185">
        <v>233081</v>
      </c>
      <c r="AB27" s="185">
        <v>7582</v>
      </c>
      <c r="AC27" s="185">
        <v>7530</v>
      </c>
      <c r="AD27" s="185">
        <v>629438</v>
      </c>
      <c r="AE27" s="184">
        <f t="shared" si="11"/>
        <v>0</v>
      </c>
      <c r="AF27" s="381">
        <f t="shared" si="47"/>
        <v>0</v>
      </c>
      <c r="AG27" s="381">
        <f t="shared" si="47"/>
        <v>0</v>
      </c>
      <c r="AH27" s="381">
        <f t="shared" si="47"/>
        <v>0</v>
      </c>
      <c r="AI27" s="186">
        <v>0</v>
      </c>
      <c r="AJ27" s="186">
        <v>0</v>
      </c>
      <c r="AK27" s="186">
        <v>0</v>
      </c>
      <c r="AL27" s="186">
        <v>0</v>
      </c>
      <c r="AM27" s="174">
        <v>0</v>
      </c>
      <c r="AN27" s="174">
        <f t="shared" si="18"/>
        <v>0</v>
      </c>
      <c r="AO27" s="174">
        <f t="shared" si="19"/>
        <v>0</v>
      </c>
      <c r="AP27" s="174">
        <f t="shared" si="20"/>
        <v>0</v>
      </c>
      <c r="AQ27" s="174">
        <f t="shared" si="21"/>
        <v>0</v>
      </c>
      <c r="AR27" s="174">
        <f t="shared" si="22"/>
        <v>0</v>
      </c>
      <c r="AS27" s="187" t="s">
        <v>84</v>
      </c>
      <c r="AT27" s="298">
        <f t="shared" ref="AT27:AX36" si="55">IF(ISERROR(IF(ISERROR(MATCH(CONCATENATE($J27,"_",AT$1),COT_PRE_CODIGO_ALIMENTOS,0)),IF(ISERROR(MATCH(CONCATENATE($J27,"_",AT$2),COT_PRE_CODIGO_ALIMENTOS,0)),IF(ISERROR(MATCH(CONCATENATE($J27,"_",AT$3),COT_PRE_CODIGO_ALIMENTOS,0)),IF(ISERROR(MATCH(CONCATENATE($J27,"_",AT$4),COT_PRE_CODIGO_ALIMENTOS,0)),IF(ISERROR(MATCH(CONCATENATE($J27,"_",AT$5),COT_PRE_CODIGO_ALIMENTOS,0)),IF(ISERROR(MATCH(CONCATENATE($J27,"_",AT$6),COT_PRE_CODIGO_ALIMENTOS,0)),IF(ISERROR(MATCH(CONCATENATE($J27,"_",AT$7),COT_PRE_CODIGO_ALIMENTOS,0)),IF(ISERROR(VLOOKUP($J27,COT_PRE_ALIMENTOS,AT$8,FALSE)),"DATO NO DISPONIBLE",VLOOKUP($J27,COT_PRE_ALIMENTOS,AT$8,FALSE)),VLOOKUP(CONCATENATE($J27,"_",AT$7),COT_PRE_ALIMENTOS,AT$8,FALSE)),VLOOKUP(CONCATENATE($J27,"_",AT$6),COT_PRE_ALIMENTOS,AT$8,FALSE)),VLOOKUP(CONCATENATE($J27,"_",AT$5),COT_PRE_ALIMENTOS,AT$8,FALSE)),VLOOKUP(CONCATENATE($J27,"_",AT$4),COT_PRE_ALIMENTOS,AT$8,FALSE)),VLOOKUP(CONCATENATE($J27,"_",AT$3),COT_PRE_ALIMENTOS,AT$8,FALSE)),VLOOKUP(CONCATENATE($J27,"_",AT$2),COT_PRE_ALIMENTOS,AT$8,FALSE)),VLOOKUP(CONCATENATE($J27,"_",AT$1),COT_PRE_ALIMENTOS,AT$8,FALSE))),"DATO NO DISPONIBLE",IF(ISERROR(MATCH(CONCATENATE($J27,"_",AT$1),COT_PRE_CODIGO_ALIMENTOS,0)),IF(ISERROR(MATCH(CONCATENATE($J27,"_",AT$2),COT_PRE_CODIGO_ALIMENTOS,0)),IF(ISERROR(MATCH(CONCATENATE($J27,"_",AT$3),COT_PRE_CODIGO_ALIMENTOS,0)),IF(ISERROR(MATCH(CONCATENATE($J27,"_",AT$4),COT_PRE_CODIGO_ALIMENTOS,0)),IF(ISERROR(MATCH(CONCATENATE($J27,"_",AT$5),COT_PRE_CODIGO_ALIMENTOS,0)),IF(ISERROR(MATCH(CONCATENATE($J27,"_",AT$6),COT_PRE_CODIGO_ALIMENTOS,0)),IF(ISERROR(MATCH(CONCATENATE($J27,"_",AT$7),COT_PRE_CODIGO_ALIMENTOS,0)),IF(ISERROR(VLOOKUP($J27,COT_PRE_ALIMENTOS,AT$8,FALSE)),"DATO NO DISPONIBLE",VLOOKUP($J27,COT_PRE_ALIMENTOS,AT$8,FALSE)),VLOOKUP(CONCATENATE($J27,"_",AT$7),COT_PRE_ALIMENTOS,AT$8,FALSE)),VLOOKUP(CONCATENATE($J27,"_",AT$6),COT_PRE_ALIMENTOS,AT$8,FALSE)),VLOOKUP(CONCATENATE($J27,"_",AT$5),COT_PRE_ALIMENTOS,AT$8,FALSE)),VLOOKUP(CONCATENATE($J27,"_",AT$4),COT_PRE_ALIMENTOS,AT$8,FALSE)),VLOOKUP(CONCATENATE($J27,"_",AT$3),COT_PRE_ALIMENTOS,AT$8,FALSE)),VLOOKUP(CONCATENATE($J27,"_",AT$2),COT_PRE_ALIMENTOS,AT$8,FALSE)),VLOOKUP(CONCATENATE($J27,"_",AT$1),COT_PRE_ALIMENTOS,AT$8,FALSE)))</f>
        <v>9.8365307753796962</v>
      </c>
      <c r="AU27" s="298">
        <f t="shared" si="55"/>
        <v>9.8365307753796962</v>
      </c>
      <c r="AV27" s="298">
        <f t="shared" si="55"/>
        <v>9.8365307753796962</v>
      </c>
      <c r="AW27" s="298">
        <f t="shared" si="55"/>
        <v>9.8365307753796962</v>
      </c>
      <c r="AX27" s="298">
        <f t="shared" si="55"/>
        <v>9.8365307753796962</v>
      </c>
      <c r="AY27" s="299">
        <f t="shared" si="54"/>
        <v>11.410375699440447</v>
      </c>
      <c r="AZ27" s="299">
        <f t="shared" si="54"/>
        <v>11.410375699440447</v>
      </c>
      <c r="BA27" s="299">
        <f t="shared" si="54"/>
        <v>11.410375699440447</v>
      </c>
      <c r="BB27" s="299">
        <f t="shared" si="54"/>
        <v>11.410375699440447</v>
      </c>
      <c r="BC27" s="299">
        <f t="shared" si="54"/>
        <v>11.410375699440447</v>
      </c>
      <c r="BD27" s="188">
        <f t="shared" si="50"/>
        <v>316</v>
      </c>
      <c r="BE27" s="188">
        <f t="shared" si="26"/>
        <v>316</v>
      </c>
      <c r="BF27" s="188">
        <f t="shared" si="27"/>
        <v>316</v>
      </c>
      <c r="BG27" s="188">
        <f t="shared" si="28"/>
        <v>316</v>
      </c>
      <c r="BH27" s="188">
        <f t="shared" si="29"/>
        <v>316</v>
      </c>
      <c r="BI27" s="188">
        <f t="shared" si="51"/>
        <v>366</v>
      </c>
      <c r="BJ27" s="188">
        <f t="shared" si="52"/>
        <v>366</v>
      </c>
      <c r="BK27" s="188">
        <f t="shared" si="53"/>
        <v>366</v>
      </c>
      <c r="BL27" s="188">
        <f t="shared" si="33"/>
        <v>366</v>
      </c>
      <c r="BM27" s="188">
        <f t="shared" si="34"/>
        <v>366</v>
      </c>
      <c r="BN27" s="189">
        <f t="shared" si="35"/>
        <v>0</v>
      </c>
      <c r="BO27" s="189">
        <f t="shared" si="36"/>
        <v>0</v>
      </c>
      <c r="BP27" s="189">
        <f t="shared" si="37"/>
        <v>0</v>
      </c>
      <c r="BQ27" s="189">
        <f t="shared" si="38"/>
        <v>0</v>
      </c>
      <c r="BR27" s="189">
        <f t="shared" si="39"/>
        <v>0</v>
      </c>
      <c r="BS27" s="189">
        <f t="shared" si="40"/>
        <v>0</v>
      </c>
      <c r="BT27" s="189">
        <f t="shared" si="41"/>
        <v>0</v>
      </c>
      <c r="BU27" s="189">
        <f t="shared" si="42"/>
        <v>0</v>
      </c>
      <c r="BV27" s="189">
        <f t="shared" si="43"/>
        <v>0</v>
      </c>
      <c r="BW27" s="189">
        <f t="shared" si="44"/>
        <v>0</v>
      </c>
      <c r="BX27" s="189">
        <f t="shared" si="45"/>
        <v>0</v>
      </c>
      <c r="BY27" s="189">
        <f t="shared" si="46"/>
        <v>0</v>
      </c>
      <c r="BZ27" s="302">
        <f>IF(COT_PRECALCULOS!$D$24="Precios Iva Incluído",BI27,BD27)</f>
        <v>316</v>
      </c>
      <c r="CA27" s="302">
        <f>IF(COT_PRECALCULOS!$D$24="Precios Iva Incluído",BJ27,BE27)</f>
        <v>316</v>
      </c>
      <c r="CB27" s="302">
        <f>IF(COT_PRECALCULOS!$D$24="Precios Iva Incluído",BK27,BF27)</f>
        <v>316</v>
      </c>
      <c r="CC27" s="302">
        <f>IF(COT_PRECALCULOS!$D$24="Precios Iva Incluído",BL27,BG27)</f>
        <v>316</v>
      </c>
      <c r="CD27" s="302">
        <f>IF(COT_PRECALCULOS!$D$24="Precios Iva Incluído",BM27,BH27)</f>
        <v>316</v>
      </c>
      <c r="CE27" s="302">
        <f>IF(COT_PRECALCULOS!$D$24="Precios Iva Incluído",BT27,BN27)</f>
        <v>0</v>
      </c>
      <c r="CF27" s="302">
        <f>IF(COT_PRECALCULOS!$D$24="Precios Iva Incluído",BU27,BO27)</f>
        <v>0</v>
      </c>
      <c r="CG27" s="302">
        <f>IF(COT_PRECALCULOS!$D$24="Precios Iva Incluído",BV27,BP27)</f>
        <v>0</v>
      </c>
      <c r="CH27" s="302">
        <f>IF(COT_PRECALCULOS!$D$24="Precios Iva Incluído",BW27,BQ27)</f>
        <v>0</v>
      </c>
      <c r="CI27" s="302">
        <f>IF(COT_PRECALCULOS!$D$24="Precios Iva Incluído",BX27,BR27)</f>
        <v>0</v>
      </c>
    </row>
    <row r="28" spans="1:87">
      <c r="A28" s="183" t="s">
        <v>101</v>
      </c>
      <c r="B28" s="183" t="s">
        <v>125</v>
      </c>
      <c r="C28" s="183" t="str">
        <f t="shared" si="0"/>
        <v>C_SE2</v>
      </c>
      <c r="D28" s="183" t="str">
        <f t="shared" si="1"/>
        <v>28_S_</v>
      </c>
      <c r="E28" s="380" t="s">
        <v>1</v>
      </c>
      <c r="F28" s="380" t="s">
        <v>1607</v>
      </c>
      <c r="G28" s="183" t="s">
        <v>40</v>
      </c>
      <c r="H28" s="380" t="s">
        <v>19</v>
      </c>
      <c r="I28" s="380"/>
      <c r="J28" s="380">
        <v>28</v>
      </c>
      <c r="K28" s="190" t="s">
        <v>67</v>
      </c>
      <c r="L28" s="183" t="s">
        <v>9</v>
      </c>
      <c r="M28" s="380">
        <v>30</v>
      </c>
      <c r="N28" s="380">
        <v>40</v>
      </c>
      <c r="O28" s="380">
        <v>60</v>
      </c>
      <c r="P28" s="382"/>
      <c r="Q28" s="382"/>
      <c r="R28" s="380"/>
      <c r="S28" s="184">
        <f t="shared" ref="S28:S35" si="56">VLOOKUP(G28,FRE_FRECUENCIA_MENUS_LAV,2,FALSE)</f>
        <v>19</v>
      </c>
      <c r="T28" s="381">
        <f t="shared" si="3"/>
        <v>19</v>
      </c>
      <c r="U28" s="381">
        <f t="shared" si="3"/>
        <v>19</v>
      </c>
      <c r="V28" s="381">
        <f t="shared" si="3"/>
        <v>19</v>
      </c>
      <c r="W28" s="382"/>
      <c r="X28" s="382"/>
      <c r="Y28" s="185">
        <f t="shared" ref="Y28:Y35" si="57">IF(M28&lt;&gt;0,VLOOKUP(A28,FRE_CANTIDADES_DIARIAS_SUMINISTROS,4,FALSE),0)</f>
        <v>28053</v>
      </c>
      <c r="Z28" s="185">
        <f t="shared" ref="Z28:Z35" si="58">IF(N28&lt;&gt;0,VLOOKUP(A28,FRE_CANTIDADES_DIARIAS_SUMINISTROS,5,FALSE),0)</f>
        <v>31277</v>
      </c>
      <c r="AA28" s="185">
        <f t="shared" ref="AA28:AA35" si="59">IF(O28&lt;&gt;0,VLOOKUP(A28,FRE_CANTIDADES_DIARIAS_SUMINISTROS,6,FALSE),0)</f>
        <v>46469</v>
      </c>
      <c r="AB28" s="185">
        <f t="shared" ref="AB28:AB35" si="60">IF(P28&lt;&gt;0,VLOOKUP(A28,FRE_CANTIDADES_DIARIAS_SUMINISTROS,7,FALSE),0)</f>
        <v>0</v>
      </c>
      <c r="AC28" s="185">
        <f t="shared" ref="AC28:AC35" si="61">IF(Q28&lt;&gt;0,VLOOKUP(A28,FRE_CANTIDADES_DIARIAS_SUMINISTROS,8,FALSE),0)</f>
        <v>0</v>
      </c>
      <c r="AD28" s="185">
        <f t="shared" ref="AD28:AD35" si="62">SUM(Y28:AC28)</f>
        <v>105799</v>
      </c>
      <c r="AE28" s="184">
        <f t="shared" si="11"/>
        <v>0</v>
      </c>
      <c r="AF28" s="381">
        <f t="shared" si="47"/>
        <v>0</v>
      </c>
      <c r="AG28" s="381">
        <f t="shared" si="47"/>
        <v>0</v>
      </c>
      <c r="AH28" s="381">
        <f t="shared" si="47"/>
        <v>0</v>
      </c>
      <c r="AI28" s="186">
        <f t="shared" ref="AI28:AI35" si="63">IF(OR(B28="NA",M28=0),0,VLOOKUP(B28,FRE_CANTIDADES_DIARIAS_SUMINISTROS,4,FALSE))</f>
        <v>74</v>
      </c>
      <c r="AJ28" s="186">
        <f t="shared" ref="AJ28:AJ35" si="64">IF(OR(B28="NA",N28=0),0,VLOOKUP(B28,FRE_CANTIDADES_DIARIAS_SUMINISTROS,5,FALSE))</f>
        <v>433</v>
      </c>
      <c r="AK28" s="186">
        <f t="shared" ref="AK28:AK35" si="65">IF(OR(B28="NA",O28=0),0,VLOOKUP(B28,FRE_CANTIDADES_DIARIAS_SUMINISTROS,6,FALSE))</f>
        <v>683</v>
      </c>
      <c r="AL28" s="186">
        <f t="shared" ref="AL28:AL35" si="66">AI28+AJ28+AK28</f>
        <v>1190</v>
      </c>
      <c r="AM28" s="174">
        <f t="shared" ref="AM28:AM38" si="67">($S28*Y28)+($AE28*AI28)</f>
        <v>533007</v>
      </c>
      <c r="AN28" s="174">
        <f t="shared" si="18"/>
        <v>594263</v>
      </c>
      <c r="AO28" s="174">
        <f t="shared" si="19"/>
        <v>882911</v>
      </c>
      <c r="AP28" s="174">
        <f t="shared" si="20"/>
        <v>0</v>
      </c>
      <c r="AQ28" s="174">
        <f t="shared" si="21"/>
        <v>0</v>
      </c>
      <c r="AR28" s="174">
        <f t="shared" si="22"/>
        <v>2010181</v>
      </c>
      <c r="AS28" s="187" t="s">
        <v>1357</v>
      </c>
      <c r="AT28" s="298">
        <f t="shared" si="55"/>
        <v>6.7</v>
      </c>
      <c r="AU28" s="298">
        <f t="shared" si="55"/>
        <v>6.7</v>
      </c>
      <c r="AV28" s="298">
        <f t="shared" si="55"/>
        <v>6.7</v>
      </c>
      <c r="AW28" s="298">
        <f t="shared" si="55"/>
        <v>6.7</v>
      </c>
      <c r="AX28" s="298">
        <f t="shared" si="55"/>
        <v>6.7</v>
      </c>
      <c r="AY28" s="299">
        <f t="shared" si="54"/>
        <v>7.7720000000000002</v>
      </c>
      <c r="AZ28" s="299">
        <f t="shared" si="54"/>
        <v>7.7720000000000002</v>
      </c>
      <c r="BA28" s="299">
        <f t="shared" si="54"/>
        <v>7.7720000000000002</v>
      </c>
      <c r="BB28" s="299">
        <f t="shared" si="54"/>
        <v>7.7720000000000002</v>
      </c>
      <c r="BC28" s="299">
        <f t="shared" si="54"/>
        <v>7.7720000000000002</v>
      </c>
      <c r="BD28" s="188">
        <f t="shared" si="50"/>
        <v>215</v>
      </c>
      <c r="BE28" s="188">
        <f t="shared" si="26"/>
        <v>287</v>
      </c>
      <c r="BF28" s="188">
        <f t="shared" si="27"/>
        <v>430</v>
      </c>
      <c r="BG28" s="188"/>
      <c r="BH28" s="188"/>
      <c r="BI28" s="188">
        <f t="shared" si="51"/>
        <v>249</v>
      </c>
      <c r="BJ28" s="188">
        <f t="shared" si="52"/>
        <v>332</v>
      </c>
      <c r="BK28" s="188">
        <f t="shared" si="53"/>
        <v>499</v>
      </c>
      <c r="BL28" s="188"/>
      <c r="BM28" s="188"/>
      <c r="BN28" s="189">
        <f t="shared" si="35"/>
        <v>114596505</v>
      </c>
      <c r="BO28" s="189">
        <f t="shared" si="36"/>
        <v>170553481</v>
      </c>
      <c r="BP28" s="189">
        <f t="shared" si="37"/>
        <v>379651730</v>
      </c>
      <c r="BQ28" s="189">
        <f t="shared" si="38"/>
        <v>0</v>
      </c>
      <c r="BR28" s="189">
        <f t="shared" si="39"/>
        <v>0</v>
      </c>
      <c r="BS28" s="189">
        <f t="shared" si="40"/>
        <v>664801716</v>
      </c>
      <c r="BT28" s="189">
        <f t="shared" si="41"/>
        <v>132718743</v>
      </c>
      <c r="BU28" s="189">
        <f t="shared" si="42"/>
        <v>197295316</v>
      </c>
      <c r="BV28" s="189">
        <f t="shared" si="43"/>
        <v>440572589</v>
      </c>
      <c r="BW28" s="189">
        <f t="shared" si="44"/>
        <v>0</v>
      </c>
      <c r="BX28" s="189">
        <f t="shared" si="45"/>
        <v>0</v>
      </c>
      <c r="BY28" s="189">
        <f t="shared" si="46"/>
        <v>770586648</v>
      </c>
      <c r="BZ28" s="302">
        <f>IF(COT_PRECALCULOS!$D$24="Precios Iva Incluído",BI28,BD28)</f>
        <v>215</v>
      </c>
      <c r="CA28" s="302">
        <f>IF(COT_PRECALCULOS!$D$24="Precios Iva Incluído",BJ28,BE28)</f>
        <v>287</v>
      </c>
      <c r="CB28" s="302">
        <f>IF(COT_PRECALCULOS!$D$24="Precios Iva Incluído",BK28,BF28)</f>
        <v>430</v>
      </c>
      <c r="CC28" s="302">
        <f>IF(COT_PRECALCULOS!$D$24="Precios Iva Incluído",BL28,BG28)</f>
        <v>0</v>
      </c>
      <c r="CD28" s="302">
        <f>IF(COT_PRECALCULOS!$D$24="Precios Iva Incluído",BM28,BH28)</f>
        <v>0</v>
      </c>
      <c r="CE28" s="302">
        <f>IF(COT_PRECALCULOS!$D$24="Precios Iva Incluído",BT28,BN28)</f>
        <v>114596505</v>
      </c>
      <c r="CF28" s="302">
        <f>IF(COT_PRECALCULOS!$D$24="Precios Iva Incluído",BU28,BO28)</f>
        <v>170553481</v>
      </c>
      <c r="CG28" s="302">
        <f>IF(COT_PRECALCULOS!$D$24="Precios Iva Incluído",BV28,BP28)</f>
        <v>379651730</v>
      </c>
      <c r="CH28" s="302">
        <f>IF(COT_PRECALCULOS!$D$24="Precios Iva Incluído",BW28,BQ28)</f>
        <v>0</v>
      </c>
      <c r="CI28" s="302">
        <f>IF(COT_PRECALCULOS!$D$24="Precios Iva Incluído",BX28,BR28)</f>
        <v>0</v>
      </c>
    </row>
    <row r="29" spans="1:87">
      <c r="A29" s="183" t="s">
        <v>101</v>
      </c>
      <c r="B29" s="183" t="s">
        <v>125</v>
      </c>
      <c r="C29" s="183" t="str">
        <f t="shared" si="0"/>
        <v>C_SE4</v>
      </c>
      <c r="D29" s="183" t="str">
        <f t="shared" si="1"/>
        <v>15_S_</v>
      </c>
      <c r="E29" s="380" t="s">
        <v>1</v>
      </c>
      <c r="F29" s="380" t="s">
        <v>1607</v>
      </c>
      <c r="G29" s="183" t="s">
        <v>42</v>
      </c>
      <c r="H29" s="380" t="s">
        <v>52</v>
      </c>
      <c r="I29" s="380"/>
      <c r="J29" s="380">
        <v>15</v>
      </c>
      <c r="K29" s="190" t="s">
        <v>66</v>
      </c>
      <c r="L29" s="183" t="s">
        <v>9</v>
      </c>
      <c r="M29" s="380">
        <v>50</v>
      </c>
      <c r="N29" s="380">
        <v>50</v>
      </c>
      <c r="O29" s="380">
        <v>80</v>
      </c>
      <c r="P29" s="382"/>
      <c r="Q29" s="382"/>
      <c r="R29" s="380"/>
      <c r="S29" s="184">
        <f t="shared" si="56"/>
        <v>11</v>
      </c>
      <c r="T29" s="381">
        <f t="shared" si="3"/>
        <v>11</v>
      </c>
      <c r="U29" s="381">
        <f t="shared" si="3"/>
        <v>11</v>
      </c>
      <c r="V29" s="381">
        <f t="shared" si="3"/>
        <v>11</v>
      </c>
      <c r="W29" s="382"/>
      <c r="X29" s="382"/>
      <c r="Y29" s="185">
        <f t="shared" si="57"/>
        <v>28053</v>
      </c>
      <c r="Z29" s="185">
        <f t="shared" si="58"/>
        <v>31277</v>
      </c>
      <c r="AA29" s="185">
        <f t="shared" si="59"/>
        <v>46469</v>
      </c>
      <c r="AB29" s="185">
        <f t="shared" si="60"/>
        <v>0</v>
      </c>
      <c r="AC29" s="185">
        <f t="shared" si="61"/>
        <v>0</v>
      </c>
      <c r="AD29" s="185">
        <f t="shared" si="62"/>
        <v>105799</v>
      </c>
      <c r="AE29" s="184">
        <f t="shared" si="11"/>
        <v>11</v>
      </c>
      <c r="AF29" s="381">
        <f t="shared" si="47"/>
        <v>11</v>
      </c>
      <c r="AG29" s="381">
        <f t="shared" si="47"/>
        <v>11</v>
      </c>
      <c r="AH29" s="381">
        <f t="shared" si="47"/>
        <v>11</v>
      </c>
      <c r="AI29" s="186">
        <f t="shared" si="63"/>
        <v>74</v>
      </c>
      <c r="AJ29" s="186">
        <f t="shared" si="64"/>
        <v>433</v>
      </c>
      <c r="AK29" s="186">
        <f t="shared" si="65"/>
        <v>683</v>
      </c>
      <c r="AL29" s="186">
        <f t="shared" si="66"/>
        <v>1190</v>
      </c>
      <c r="AM29" s="174">
        <f t="shared" si="67"/>
        <v>309397</v>
      </c>
      <c r="AN29" s="174">
        <f t="shared" si="18"/>
        <v>348810</v>
      </c>
      <c r="AO29" s="174">
        <f t="shared" si="19"/>
        <v>518672</v>
      </c>
      <c r="AP29" s="174">
        <f t="shared" si="20"/>
        <v>0</v>
      </c>
      <c r="AQ29" s="174">
        <f t="shared" si="21"/>
        <v>0</v>
      </c>
      <c r="AR29" s="174">
        <f t="shared" si="22"/>
        <v>1176879</v>
      </c>
      <c r="AS29" s="187" t="s">
        <v>1358</v>
      </c>
      <c r="AT29" s="298">
        <f t="shared" si="55"/>
        <v>11.9825</v>
      </c>
      <c r="AU29" s="298">
        <f t="shared" si="55"/>
        <v>11.9825</v>
      </c>
      <c r="AV29" s="298">
        <f t="shared" si="55"/>
        <v>11.9825</v>
      </c>
      <c r="AW29" s="298">
        <f t="shared" si="55"/>
        <v>11.9825</v>
      </c>
      <c r="AX29" s="298">
        <f t="shared" si="55"/>
        <v>11.9825</v>
      </c>
      <c r="AY29" s="299">
        <f t="shared" si="54"/>
        <v>13.899699999999999</v>
      </c>
      <c r="AZ29" s="299">
        <f t="shared" si="54"/>
        <v>13.899699999999999</v>
      </c>
      <c r="BA29" s="299">
        <f t="shared" si="54"/>
        <v>13.899699999999999</v>
      </c>
      <c r="BB29" s="299">
        <f t="shared" si="54"/>
        <v>13.899699999999999</v>
      </c>
      <c r="BC29" s="299">
        <f t="shared" si="54"/>
        <v>13.899699999999999</v>
      </c>
      <c r="BD29" s="188">
        <f t="shared" si="50"/>
        <v>641</v>
      </c>
      <c r="BE29" s="188">
        <f t="shared" si="26"/>
        <v>641</v>
      </c>
      <c r="BF29" s="188">
        <f t="shared" si="27"/>
        <v>1025</v>
      </c>
      <c r="BG29" s="188"/>
      <c r="BH29" s="188"/>
      <c r="BI29" s="188">
        <f t="shared" si="51"/>
        <v>743</v>
      </c>
      <c r="BJ29" s="188">
        <f t="shared" si="52"/>
        <v>743</v>
      </c>
      <c r="BK29" s="188">
        <f t="shared" si="53"/>
        <v>1189</v>
      </c>
      <c r="BL29" s="188"/>
      <c r="BM29" s="188"/>
      <c r="BN29" s="189">
        <f t="shared" si="35"/>
        <v>198323477</v>
      </c>
      <c r="BO29" s="189">
        <f t="shared" si="36"/>
        <v>223587210</v>
      </c>
      <c r="BP29" s="189">
        <f t="shared" si="37"/>
        <v>531638800</v>
      </c>
      <c r="BQ29" s="189">
        <f t="shared" si="38"/>
        <v>0</v>
      </c>
      <c r="BR29" s="189">
        <f t="shared" si="39"/>
        <v>0</v>
      </c>
      <c r="BS29" s="189">
        <f t="shared" si="40"/>
        <v>953549487</v>
      </c>
      <c r="BT29" s="189">
        <f t="shared" si="41"/>
        <v>229881971</v>
      </c>
      <c r="BU29" s="189">
        <f t="shared" si="42"/>
        <v>259165830</v>
      </c>
      <c r="BV29" s="189">
        <f t="shared" si="43"/>
        <v>616701008</v>
      </c>
      <c r="BW29" s="189">
        <f t="shared" si="44"/>
        <v>0</v>
      </c>
      <c r="BX29" s="189">
        <f t="shared" si="45"/>
        <v>0</v>
      </c>
      <c r="BY29" s="189">
        <f t="shared" si="46"/>
        <v>1105748809</v>
      </c>
      <c r="BZ29" s="302">
        <f>IF(COT_PRECALCULOS!$D$24="Precios Iva Incluído",BI29,BD29)</f>
        <v>641</v>
      </c>
      <c r="CA29" s="302">
        <f>IF(COT_PRECALCULOS!$D$24="Precios Iva Incluído",BJ29,BE29)</f>
        <v>641</v>
      </c>
      <c r="CB29" s="302">
        <f>IF(COT_PRECALCULOS!$D$24="Precios Iva Incluído",BK29,BF29)</f>
        <v>1025</v>
      </c>
      <c r="CC29" s="302">
        <f>IF(COT_PRECALCULOS!$D$24="Precios Iva Incluído",BL29,BG29)</f>
        <v>0</v>
      </c>
      <c r="CD29" s="302">
        <f>IF(COT_PRECALCULOS!$D$24="Precios Iva Incluído",BM29,BH29)</f>
        <v>0</v>
      </c>
      <c r="CE29" s="302">
        <f>IF(COT_PRECALCULOS!$D$24="Precios Iva Incluído",BT29,BN29)</f>
        <v>198323477</v>
      </c>
      <c r="CF29" s="302">
        <f>IF(COT_PRECALCULOS!$D$24="Precios Iva Incluído",BU29,BO29)</f>
        <v>223587210</v>
      </c>
      <c r="CG29" s="302">
        <f>IF(COT_PRECALCULOS!$D$24="Precios Iva Incluído",BV29,BP29)</f>
        <v>531638800</v>
      </c>
      <c r="CH29" s="302">
        <f>IF(COT_PRECALCULOS!$D$24="Precios Iva Incluído",BW29,BQ29)</f>
        <v>0</v>
      </c>
      <c r="CI29" s="302">
        <f>IF(COT_PRECALCULOS!$D$24="Precios Iva Incluído",BX29,BR29)</f>
        <v>0</v>
      </c>
    </row>
    <row r="30" spans="1:87">
      <c r="A30" s="183" t="s">
        <v>101</v>
      </c>
      <c r="B30" s="183" t="s">
        <v>125</v>
      </c>
      <c r="C30" s="183" t="str">
        <f t="shared" si="0"/>
        <v>C_SE5</v>
      </c>
      <c r="D30" s="183" t="str">
        <f t="shared" si="1"/>
        <v>45_S_</v>
      </c>
      <c r="E30" s="380" t="s">
        <v>1</v>
      </c>
      <c r="F30" s="380" t="s">
        <v>1607</v>
      </c>
      <c r="G30" s="183" t="s">
        <v>43</v>
      </c>
      <c r="H30" s="380" t="s">
        <v>10</v>
      </c>
      <c r="I30" s="380"/>
      <c r="J30" s="380">
        <v>45</v>
      </c>
      <c r="K30" s="190" t="s">
        <v>10</v>
      </c>
      <c r="L30" s="183" t="s">
        <v>9</v>
      </c>
      <c r="M30" s="380">
        <v>20</v>
      </c>
      <c r="N30" s="380">
        <v>30</v>
      </c>
      <c r="O30" s="209">
        <v>60</v>
      </c>
      <c r="P30" s="382"/>
      <c r="Q30" s="382"/>
      <c r="R30" s="380"/>
      <c r="S30" s="184">
        <f t="shared" si="56"/>
        <v>20</v>
      </c>
      <c r="T30" s="381">
        <f t="shared" si="3"/>
        <v>20</v>
      </c>
      <c r="U30" s="381">
        <f t="shared" si="3"/>
        <v>20</v>
      </c>
      <c r="V30" s="381">
        <f t="shared" si="3"/>
        <v>20</v>
      </c>
      <c r="W30" s="382"/>
      <c r="X30" s="382"/>
      <c r="Y30" s="185">
        <f t="shared" si="57"/>
        <v>28053</v>
      </c>
      <c r="Z30" s="185">
        <f t="shared" si="58"/>
        <v>31277</v>
      </c>
      <c r="AA30" s="185">
        <f t="shared" si="59"/>
        <v>46469</v>
      </c>
      <c r="AB30" s="185">
        <f t="shared" si="60"/>
        <v>0</v>
      </c>
      <c r="AC30" s="185">
        <f t="shared" si="61"/>
        <v>0</v>
      </c>
      <c r="AD30" s="185">
        <f t="shared" si="62"/>
        <v>105799</v>
      </c>
      <c r="AE30" s="184">
        <f t="shared" si="11"/>
        <v>0</v>
      </c>
      <c r="AF30" s="381">
        <f t="shared" si="47"/>
        <v>0</v>
      </c>
      <c r="AG30" s="381">
        <f t="shared" si="47"/>
        <v>0</v>
      </c>
      <c r="AH30" s="381">
        <f t="shared" si="47"/>
        <v>0</v>
      </c>
      <c r="AI30" s="186">
        <f t="shared" si="63"/>
        <v>74</v>
      </c>
      <c r="AJ30" s="186">
        <f t="shared" si="64"/>
        <v>433</v>
      </c>
      <c r="AK30" s="186">
        <f t="shared" si="65"/>
        <v>683</v>
      </c>
      <c r="AL30" s="186">
        <f t="shared" si="66"/>
        <v>1190</v>
      </c>
      <c r="AM30" s="174">
        <f t="shared" si="67"/>
        <v>561060</v>
      </c>
      <c r="AN30" s="174">
        <f t="shared" si="18"/>
        <v>625540</v>
      </c>
      <c r="AO30" s="174">
        <f t="shared" si="19"/>
        <v>929380</v>
      </c>
      <c r="AP30" s="174">
        <f t="shared" si="20"/>
        <v>0</v>
      </c>
      <c r="AQ30" s="174">
        <f t="shared" si="21"/>
        <v>0</v>
      </c>
      <c r="AR30" s="174">
        <f t="shared" si="22"/>
        <v>2115980</v>
      </c>
      <c r="AS30" s="187" t="s">
        <v>1359</v>
      </c>
      <c r="AT30" s="298">
        <f t="shared" si="55"/>
        <v>8.8666666666666671</v>
      </c>
      <c r="AU30" s="298">
        <f t="shared" si="55"/>
        <v>8.8666666666666671</v>
      </c>
      <c r="AV30" s="298">
        <f t="shared" si="55"/>
        <v>8.8666666666666671</v>
      </c>
      <c r="AW30" s="298">
        <f t="shared" si="55"/>
        <v>8.8666666666666671</v>
      </c>
      <c r="AX30" s="298">
        <f t="shared" si="55"/>
        <v>8.8666666666666671</v>
      </c>
      <c r="AY30" s="299">
        <f t="shared" si="54"/>
        <v>10.285333333333332</v>
      </c>
      <c r="AZ30" s="299">
        <f t="shared" si="54"/>
        <v>10.285333333333332</v>
      </c>
      <c r="BA30" s="299">
        <f t="shared" si="54"/>
        <v>10.285333333333332</v>
      </c>
      <c r="BB30" s="299">
        <f t="shared" si="54"/>
        <v>10.285333333333332</v>
      </c>
      <c r="BC30" s="299">
        <f t="shared" si="54"/>
        <v>10.285333333333332</v>
      </c>
      <c r="BD30" s="188">
        <f t="shared" si="50"/>
        <v>190</v>
      </c>
      <c r="BE30" s="188">
        <f t="shared" si="26"/>
        <v>284</v>
      </c>
      <c r="BF30" s="188">
        <f t="shared" si="27"/>
        <v>569</v>
      </c>
      <c r="BG30" s="188"/>
      <c r="BH30" s="188"/>
      <c r="BI30" s="188">
        <f t="shared" si="51"/>
        <v>220</v>
      </c>
      <c r="BJ30" s="188">
        <f t="shared" si="52"/>
        <v>330</v>
      </c>
      <c r="BK30" s="188">
        <f t="shared" si="53"/>
        <v>660</v>
      </c>
      <c r="BL30" s="188"/>
      <c r="BM30" s="188"/>
      <c r="BN30" s="189">
        <f t="shared" si="35"/>
        <v>106601400</v>
      </c>
      <c r="BO30" s="189">
        <f t="shared" si="36"/>
        <v>177653360</v>
      </c>
      <c r="BP30" s="189">
        <f t="shared" si="37"/>
        <v>528817220</v>
      </c>
      <c r="BQ30" s="189">
        <f t="shared" si="38"/>
        <v>0</v>
      </c>
      <c r="BR30" s="189">
        <f t="shared" si="39"/>
        <v>0</v>
      </c>
      <c r="BS30" s="189">
        <f t="shared" si="40"/>
        <v>813071980</v>
      </c>
      <c r="BT30" s="189">
        <f t="shared" si="41"/>
        <v>123433200</v>
      </c>
      <c r="BU30" s="189">
        <f t="shared" si="42"/>
        <v>206428200</v>
      </c>
      <c r="BV30" s="189">
        <f t="shared" si="43"/>
        <v>613390800</v>
      </c>
      <c r="BW30" s="189">
        <f t="shared" si="44"/>
        <v>0</v>
      </c>
      <c r="BX30" s="189">
        <f t="shared" si="45"/>
        <v>0</v>
      </c>
      <c r="BY30" s="189">
        <f t="shared" si="46"/>
        <v>943252200</v>
      </c>
      <c r="BZ30" s="302">
        <f>IF(COT_PRECALCULOS!$D$24="Precios Iva Incluído",BI30,BD30)</f>
        <v>190</v>
      </c>
      <c r="CA30" s="302">
        <f>IF(COT_PRECALCULOS!$D$24="Precios Iva Incluído",BJ30,BE30)</f>
        <v>284</v>
      </c>
      <c r="CB30" s="302">
        <f>IF(COT_PRECALCULOS!$D$24="Precios Iva Incluído",BK30,BF30)</f>
        <v>569</v>
      </c>
      <c r="CC30" s="302">
        <f>IF(COT_PRECALCULOS!$D$24="Precios Iva Incluído",BL30,BG30)</f>
        <v>0</v>
      </c>
      <c r="CD30" s="302">
        <f>IF(COT_PRECALCULOS!$D$24="Precios Iva Incluído",BM30,BH30)</f>
        <v>0</v>
      </c>
      <c r="CE30" s="302">
        <f>IF(COT_PRECALCULOS!$D$24="Precios Iva Incluído",BT30,BN30)</f>
        <v>106601400</v>
      </c>
      <c r="CF30" s="302">
        <f>IF(COT_PRECALCULOS!$D$24="Precios Iva Incluído",BU30,BO30)</f>
        <v>177653360</v>
      </c>
      <c r="CG30" s="302">
        <f>IF(COT_PRECALCULOS!$D$24="Precios Iva Incluído",BV30,BP30)</f>
        <v>528817220</v>
      </c>
      <c r="CH30" s="302">
        <f>IF(COT_PRECALCULOS!$D$24="Precios Iva Incluído",BW30,BQ30)</f>
        <v>0</v>
      </c>
      <c r="CI30" s="302">
        <f>IF(COT_PRECALCULOS!$D$24="Precios Iva Incluído",BX30,BR30)</f>
        <v>0</v>
      </c>
    </row>
    <row r="31" spans="1:87">
      <c r="A31" s="183" t="s">
        <v>101</v>
      </c>
      <c r="B31" s="183" t="s">
        <v>125</v>
      </c>
      <c r="C31" s="183" t="str">
        <f t="shared" si="0"/>
        <v>C_SE6</v>
      </c>
      <c r="D31" s="183" t="str">
        <f t="shared" si="1"/>
        <v>21_S_</v>
      </c>
      <c r="E31" s="380" t="s">
        <v>1</v>
      </c>
      <c r="F31" s="380" t="s">
        <v>1607</v>
      </c>
      <c r="G31" s="183" t="s">
        <v>44</v>
      </c>
      <c r="H31" s="380" t="s">
        <v>56</v>
      </c>
      <c r="I31" s="380"/>
      <c r="J31" s="380">
        <v>21</v>
      </c>
      <c r="K31" s="190" t="s">
        <v>70</v>
      </c>
      <c r="L31" s="183" t="s">
        <v>9</v>
      </c>
      <c r="M31" s="380">
        <v>30</v>
      </c>
      <c r="N31" s="380">
        <v>30</v>
      </c>
      <c r="O31" s="380">
        <v>50</v>
      </c>
      <c r="P31" s="382"/>
      <c r="Q31" s="382"/>
      <c r="R31" s="380"/>
      <c r="S31" s="184">
        <f t="shared" si="56"/>
        <v>22</v>
      </c>
      <c r="T31" s="381">
        <f t="shared" ref="T31:V38" si="68">$S31</f>
        <v>22</v>
      </c>
      <c r="U31" s="381">
        <f t="shared" si="68"/>
        <v>22</v>
      </c>
      <c r="V31" s="381">
        <f t="shared" si="68"/>
        <v>22</v>
      </c>
      <c r="W31" s="382"/>
      <c r="X31" s="382"/>
      <c r="Y31" s="185">
        <f t="shared" si="57"/>
        <v>28053</v>
      </c>
      <c r="Z31" s="185">
        <f t="shared" si="58"/>
        <v>31277</v>
      </c>
      <c r="AA31" s="185">
        <f t="shared" si="59"/>
        <v>46469</v>
      </c>
      <c r="AB31" s="185">
        <f t="shared" si="60"/>
        <v>0</v>
      </c>
      <c r="AC31" s="185">
        <f t="shared" si="61"/>
        <v>0</v>
      </c>
      <c r="AD31" s="185">
        <f t="shared" si="62"/>
        <v>105799</v>
      </c>
      <c r="AE31" s="184">
        <f t="shared" si="11"/>
        <v>0</v>
      </c>
      <c r="AF31" s="381">
        <f t="shared" si="47"/>
        <v>0</v>
      </c>
      <c r="AG31" s="381">
        <f t="shared" si="47"/>
        <v>0</v>
      </c>
      <c r="AH31" s="381">
        <f t="shared" si="47"/>
        <v>0</v>
      </c>
      <c r="AI31" s="186">
        <f t="shared" si="63"/>
        <v>74</v>
      </c>
      <c r="AJ31" s="186">
        <f t="shared" si="64"/>
        <v>433</v>
      </c>
      <c r="AK31" s="186">
        <f t="shared" si="65"/>
        <v>683</v>
      </c>
      <c r="AL31" s="186">
        <f t="shared" si="66"/>
        <v>1190</v>
      </c>
      <c r="AM31" s="174">
        <f t="shared" si="67"/>
        <v>617166</v>
      </c>
      <c r="AN31" s="174">
        <f t="shared" si="18"/>
        <v>688094</v>
      </c>
      <c r="AO31" s="174">
        <f t="shared" si="19"/>
        <v>1022318</v>
      </c>
      <c r="AP31" s="174">
        <f t="shared" si="20"/>
        <v>0</v>
      </c>
      <c r="AQ31" s="174">
        <f t="shared" si="21"/>
        <v>0</v>
      </c>
      <c r="AR31" s="174">
        <f t="shared" si="22"/>
        <v>2327578</v>
      </c>
      <c r="AS31" s="187" t="s">
        <v>1360</v>
      </c>
      <c r="AT31" s="298">
        <f t="shared" si="55"/>
        <v>14.283333333333333</v>
      </c>
      <c r="AU31" s="298">
        <f t="shared" si="55"/>
        <v>14.283333333333333</v>
      </c>
      <c r="AV31" s="298">
        <f t="shared" si="55"/>
        <v>14.283333333333333</v>
      </c>
      <c r="AW31" s="298">
        <f t="shared" si="55"/>
        <v>14.283333333333333</v>
      </c>
      <c r="AX31" s="298">
        <f t="shared" si="55"/>
        <v>14.283333333333333</v>
      </c>
      <c r="AY31" s="299">
        <f t="shared" si="54"/>
        <v>16.568666666666665</v>
      </c>
      <c r="AZ31" s="299">
        <f t="shared" si="54"/>
        <v>16.568666666666665</v>
      </c>
      <c r="BA31" s="299">
        <f t="shared" si="54"/>
        <v>16.568666666666665</v>
      </c>
      <c r="BB31" s="299">
        <f t="shared" si="54"/>
        <v>16.568666666666665</v>
      </c>
      <c r="BC31" s="299">
        <f t="shared" si="54"/>
        <v>16.568666666666665</v>
      </c>
      <c r="BD31" s="188">
        <f t="shared" si="50"/>
        <v>458</v>
      </c>
      <c r="BE31" s="188">
        <f t="shared" si="26"/>
        <v>458</v>
      </c>
      <c r="BF31" s="188">
        <f t="shared" si="27"/>
        <v>764</v>
      </c>
      <c r="BG31" s="188"/>
      <c r="BH31" s="188"/>
      <c r="BI31" s="188">
        <f t="shared" si="51"/>
        <v>532</v>
      </c>
      <c r="BJ31" s="188">
        <f t="shared" si="52"/>
        <v>532</v>
      </c>
      <c r="BK31" s="188">
        <f t="shared" si="53"/>
        <v>886</v>
      </c>
      <c r="BL31" s="188"/>
      <c r="BM31" s="188"/>
      <c r="BN31" s="189">
        <f t="shared" si="35"/>
        <v>282662028</v>
      </c>
      <c r="BO31" s="189">
        <f t="shared" si="36"/>
        <v>315147052</v>
      </c>
      <c r="BP31" s="189">
        <f t="shared" si="37"/>
        <v>781050952</v>
      </c>
      <c r="BQ31" s="189">
        <f t="shared" si="38"/>
        <v>0</v>
      </c>
      <c r="BR31" s="189">
        <f t="shared" si="39"/>
        <v>0</v>
      </c>
      <c r="BS31" s="189">
        <f t="shared" si="40"/>
        <v>1378860032</v>
      </c>
      <c r="BT31" s="189">
        <f t="shared" si="41"/>
        <v>328332312</v>
      </c>
      <c r="BU31" s="189">
        <f t="shared" si="42"/>
        <v>366066008</v>
      </c>
      <c r="BV31" s="189">
        <f t="shared" si="43"/>
        <v>905773748</v>
      </c>
      <c r="BW31" s="189">
        <f t="shared" si="44"/>
        <v>0</v>
      </c>
      <c r="BX31" s="189">
        <f t="shared" si="45"/>
        <v>0</v>
      </c>
      <c r="BY31" s="189">
        <f t="shared" si="46"/>
        <v>1600172068</v>
      </c>
      <c r="BZ31" s="302">
        <f>IF(COT_PRECALCULOS!$D$24="Precios Iva Incluído",BI31,BD31)</f>
        <v>458</v>
      </c>
      <c r="CA31" s="302">
        <f>IF(COT_PRECALCULOS!$D$24="Precios Iva Incluído",BJ31,BE31)</f>
        <v>458</v>
      </c>
      <c r="CB31" s="302">
        <f>IF(COT_PRECALCULOS!$D$24="Precios Iva Incluído",BK31,BF31)</f>
        <v>764</v>
      </c>
      <c r="CC31" s="302">
        <f>IF(COT_PRECALCULOS!$D$24="Precios Iva Incluído",BL31,BG31)</f>
        <v>0</v>
      </c>
      <c r="CD31" s="302">
        <f>IF(COT_PRECALCULOS!$D$24="Precios Iva Incluído",BM31,BH31)</f>
        <v>0</v>
      </c>
      <c r="CE31" s="302">
        <f>IF(COT_PRECALCULOS!$D$24="Precios Iva Incluído",BT31,BN31)</f>
        <v>282662028</v>
      </c>
      <c r="CF31" s="302">
        <f>IF(COT_PRECALCULOS!$D$24="Precios Iva Incluído",BU31,BO31)</f>
        <v>315147052</v>
      </c>
      <c r="CG31" s="302">
        <f>IF(COT_PRECALCULOS!$D$24="Precios Iva Incluído",BV31,BP31)</f>
        <v>781050952</v>
      </c>
      <c r="CH31" s="302">
        <f>IF(COT_PRECALCULOS!$D$24="Precios Iva Incluído",BW31,BQ31)</f>
        <v>0</v>
      </c>
      <c r="CI31" s="302">
        <f>IF(COT_PRECALCULOS!$D$24="Precios Iva Incluído",BX31,BR31)</f>
        <v>0</v>
      </c>
    </row>
    <row r="32" spans="1:87">
      <c r="A32" s="183" t="s">
        <v>101</v>
      </c>
      <c r="B32" s="183" t="s">
        <v>125</v>
      </c>
      <c r="C32" s="183" t="str">
        <f t="shared" si="0"/>
        <v>C_SE9</v>
      </c>
      <c r="D32" s="183" t="str">
        <f t="shared" si="1"/>
        <v>25_S_</v>
      </c>
      <c r="E32" s="380" t="s">
        <v>1</v>
      </c>
      <c r="F32" s="380" t="s">
        <v>1607</v>
      </c>
      <c r="G32" s="183" t="s">
        <v>47</v>
      </c>
      <c r="H32" s="380" t="s">
        <v>48</v>
      </c>
      <c r="I32" s="380"/>
      <c r="J32" s="380">
        <v>25</v>
      </c>
      <c r="K32" s="190" t="s">
        <v>64</v>
      </c>
      <c r="L32" s="183" t="s">
        <v>9</v>
      </c>
      <c r="M32" s="380">
        <v>40</v>
      </c>
      <c r="N32" s="380">
        <v>40</v>
      </c>
      <c r="O32" s="380">
        <v>60</v>
      </c>
      <c r="P32" s="382"/>
      <c r="Q32" s="382"/>
      <c r="R32" s="380"/>
      <c r="S32" s="184">
        <f t="shared" si="56"/>
        <v>22</v>
      </c>
      <c r="T32" s="381">
        <f t="shared" si="68"/>
        <v>22</v>
      </c>
      <c r="U32" s="381">
        <f t="shared" si="68"/>
        <v>22</v>
      </c>
      <c r="V32" s="381">
        <f t="shared" si="68"/>
        <v>22</v>
      </c>
      <c r="W32" s="382"/>
      <c r="X32" s="382"/>
      <c r="Y32" s="185">
        <f t="shared" si="57"/>
        <v>28053</v>
      </c>
      <c r="Z32" s="185">
        <f t="shared" si="58"/>
        <v>31277</v>
      </c>
      <c r="AA32" s="185">
        <f t="shared" si="59"/>
        <v>46469</v>
      </c>
      <c r="AB32" s="185">
        <f t="shared" si="60"/>
        <v>0</v>
      </c>
      <c r="AC32" s="185">
        <f t="shared" si="61"/>
        <v>0</v>
      </c>
      <c r="AD32" s="185">
        <f t="shared" si="62"/>
        <v>105799</v>
      </c>
      <c r="AE32" s="184">
        <f t="shared" si="11"/>
        <v>0</v>
      </c>
      <c r="AF32" s="381">
        <f t="shared" si="47"/>
        <v>0</v>
      </c>
      <c r="AG32" s="381">
        <f t="shared" si="47"/>
        <v>0</v>
      </c>
      <c r="AH32" s="381">
        <f t="shared" si="47"/>
        <v>0</v>
      </c>
      <c r="AI32" s="186">
        <f t="shared" si="63"/>
        <v>74</v>
      </c>
      <c r="AJ32" s="186">
        <f t="shared" si="64"/>
        <v>433</v>
      </c>
      <c r="AK32" s="186">
        <f t="shared" si="65"/>
        <v>683</v>
      </c>
      <c r="AL32" s="186">
        <f t="shared" si="66"/>
        <v>1190</v>
      </c>
      <c r="AM32" s="174">
        <f t="shared" si="67"/>
        <v>617166</v>
      </c>
      <c r="AN32" s="174">
        <f t="shared" si="18"/>
        <v>688094</v>
      </c>
      <c r="AO32" s="174">
        <f t="shared" si="19"/>
        <v>1022318</v>
      </c>
      <c r="AP32" s="174">
        <f t="shared" si="20"/>
        <v>0</v>
      </c>
      <c r="AQ32" s="174">
        <f t="shared" si="21"/>
        <v>0</v>
      </c>
      <c r="AR32" s="174">
        <f t="shared" si="22"/>
        <v>2327578</v>
      </c>
      <c r="AS32" s="187" t="s">
        <v>1361</v>
      </c>
      <c r="AT32" s="298">
        <f t="shared" si="55"/>
        <v>5.7</v>
      </c>
      <c r="AU32" s="298">
        <f t="shared" si="55"/>
        <v>5.7</v>
      </c>
      <c r="AV32" s="298">
        <f t="shared" si="55"/>
        <v>5.7</v>
      </c>
      <c r="AW32" s="298">
        <f t="shared" si="55"/>
        <v>5.7</v>
      </c>
      <c r="AX32" s="298">
        <f t="shared" si="55"/>
        <v>5.7</v>
      </c>
      <c r="AY32" s="299">
        <f t="shared" si="54"/>
        <v>6.6119999999999992</v>
      </c>
      <c r="AZ32" s="299">
        <f t="shared" si="54"/>
        <v>6.6119999999999992</v>
      </c>
      <c r="BA32" s="299">
        <f t="shared" si="54"/>
        <v>6.6119999999999992</v>
      </c>
      <c r="BB32" s="299">
        <f t="shared" si="54"/>
        <v>6.6119999999999992</v>
      </c>
      <c r="BC32" s="299">
        <f t="shared" si="54"/>
        <v>6.6119999999999992</v>
      </c>
      <c r="BD32" s="188">
        <f t="shared" si="50"/>
        <v>244</v>
      </c>
      <c r="BE32" s="188">
        <f t="shared" si="26"/>
        <v>244</v>
      </c>
      <c r="BF32" s="188">
        <f t="shared" si="27"/>
        <v>366</v>
      </c>
      <c r="BG32" s="188"/>
      <c r="BH32" s="188"/>
      <c r="BI32" s="188">
        <f t="shared" si="51"/>
        <v>283</v>
      </c>
      <c r="BJ32" s="188">
        <f t="shared" si="52"/>
        <v>283</v>
      </c>
      <c r="BK32" s="188">
        <f t="shared" si="53"/>
        <v>424</v>
      </c>
      <c r="BL32" s="188"/>
      <c r="BM32" s="188"/>
      <c r="BN32" s="189">
        <f t="shared" si="35"/>
        <v>150588504</v>
      </c>
      <c r="BO32" s="189">
        <f t="shared" si="36"/>
        <v>167894936</v>
      </c>
      <c r="BP32" s="189">
        <f t="shared" si="37"/>
        <v>374168388</v>
      </c>
      <c r="BQ32" s="189">
        <f t="shared" si="38"/>
        <v>0</v>
      </c>
      <c r="BR32" s="189">
        <f t="shared" si="39"/>
        <v>0</v>
      </c>
      <c r="BS32" s="189">
        <f t="shared" si="40"/>
        <v>692651828</v>
      </c>
      <c r="BT32" s="189">
        <f t="shared" si="41"/>
        <v>174657978</v>
      </c>
      <c r="BU32" s="189">
        <f t="shared" si="42"/>
        <v>194730602</v>
      </c>
      <c r="BV32" s="189">
        <f t="shared" si="43"/>
        <v>433462832</v>
      </c>
      <c r="BW32" s="189">
        <f t="shared" si="44"/>
        <v>0</v>
      </c>
      <c r="BX32" s="189">
        <f t="shared" si="45"/>
        <v>0</v>
      </c>
      <c r="BY32" s="189">
        <f t="shared" si="46"/>
        <v>802851412</v>
      </c>
      <c r="BZ32" s="302">
        <f>IF(COT_PRECALCULOS!$D$24="Precios Iva Incluído",BI32,BD32)</f>
        <v>244</v>
      </c>
      <c r="CA32" s="302">
        <f>IF(COT_PRECALCULOS!$D$24="Precios Iva Incluído",BJ32,BE32)</f>
        <v>244</v>
      </c>
      <c r="CB32" s="302">
        <f>IF(COT_PRECALCULOS!$D$24="Precios Iva Incluído",BK32,BF32)</f>
        <v>366</v>
      </c>
      <c r="CC32" s="302">
        <f>IF(COT_PRECALCULOS!$D$24="Precios Iva Incluído",BL32,BG32)</f>
        <v>0</v>
      </c>
      <c r="CD32" s="302">
        <f>IF(COT_PRECALCULOS!$D$24="Precios Iva Incluído",BM32,BH32)</f>
        <v>0</v>
      </c>
      <c r="CE32" s="302">
        <f>IF(COT_PRECALCULOS!$D$24="Precios Iva Incluído",BT32,BN32)</f>
        <v>150588504</v>
      </c>
      <c r="CF32" s="302">
        <f>IF(COT_PRECALCULOS!$D$24="Precios Iva Incluído",BU32,BO32)</f>
        <v>167894936</v>
      </c>
      <c r="CG32" s="302">
        <f>IF(COT_PRECALCULOS!$D$24="Precios Iva Incluído",BV32,BP32)</f>
        <v>374168388</v>
      </c>
      <c r="CH32" s="302">
        <f>IF(COT_PRECALCULOS!$D$24="Precios Iva Incluído",BW32,BQ32)</f>
        <v>0</v>
      </c>
      <c r="CI32" s="302">
        <f>IF(COT_PRECALCULOS!$D$24="Precios Iva Incluído",BX32,BR32)</f>
        <v>0</v>
      </c>
    </row>
    <row r="33" spans="1:87">
      <c r="A33" s="183" t="s">
        <v>101</v>
      </c>
      <c r="B33" s="183" t="s">
        <v>125</v>
      </c>
      <c r="C33" s="183" t="str">
        <f t="shared" si="0"/>
        <v>C_SE10</v>
      </c>
      <c r="D33" s="183" t="str">
        <f t="shared" si="1"/>
        <v>24_S_</v>
      </c>
      <c r="E33" s="380" t="s">
        <v>1</v>
      </c>
      <c r="F33" s="380" t="s">
        <v>1607</v>
      </c>
      <c r="G33" s="183" t="s">
        <v>50</v>
      </c>
      <c r="H33" s="380" t="s">
        <v>49</v>
      </c>
      <c r="I33" s="380"/>
      <c r="J33" s="380">
        <v>24</v>
      </c>
      <c r="K33" s="190" t="s">
        <v>61</v>
      </c>
      <c r="L33" s="183" t="s">
        <v>9</v>
      </c>
      <c r="M33" s="380">
        <v>20</v>
      </c>
      <c r="N33" s="380">
        <v>30</v>
      </c>
      <c r="O33" s="380">
        <v>60</v>
      </c>
      <c r="P33" s="382"/>
      <c r="Q33" s="382"/>
      <c r="R33" s="380"/>
      <c r="S33" s="381">
        <f t="shared" si="56"/>
        <v>11</v>
      </c>
      <c r="T33" s="381">
        <f t="shared" si="68"/>
        <v>11</v>
      </c>
      <c r="U33" s="381">
        <f t="shared" si="68"/>
        <v>11</v>
      </c>
      <c r="V33" s="381">
        <f t="shared" si="68"/>
        <v>11</v>
      </c>
      <c r="W33" s="382"/>
      <c r="X33" s="382"/>
      <c r="Y33" s="185">
        <f t="shared" si="57"/>
        <v>28053</v>
      </c>
      <c r="Z33" s="185">
        <f t="shared" si="58"/>
        <v>31277</v>
      </c>
      <c r="AA33" s="185">
        <f t="shared" si="59"/>
        <v>46469</v>
      </c>
      <c r="AB33" s="185">
        <f t="shared" si="60"/>
        <v>0</v>
      </c>
      <c r="AC33" s="185">
        <f t="shared" si="61"/>
        <v>0</v>
      </c>
      <c r="AD33" s="185">
        <f t="shared" si="62"/>
        <v>105799</v>
      </c>
      <c r="AE33" s="184">
        <f t="shared" si="11"/>
        <v>11</v>
      </c>
      <c r="AF33" s="381">
        <f t="shared" si="47"/>
        <v>11</v>
      </c>
      <c r="AG33" s="381">
        <f t="shared" si="47"/>
        <v>11</v>
      </c>
      <c r="AH33" s="381">
        <f t="shared" si="47"/>
        <v>11</v>
      </c>
      <c r="AI33" s="186">
        <f t="shared" si="63"/>
        <v>74</v>
      </c>
      <c r="AJ33" s="186">
        <f t="shared" si="64"/>
        <v>433</v>
      </c>
      <c r="AK33" s="186">
        <f t="shared" si="65"/>
        <v>683</v>
      </c>
      <c r="AL33" s="186">
        <f t="shared" si="66"/>
        <v>1190</v>
      </c>
      <c r="AM33" s="174">
        <f t="shared" si="67"/>
        <v>309397</v>
      </c>
      <c r="AN33" s="174">
        <f t="shared" si="18"/>
        <v>348810</v>
      </c>
      <c r="AO33" s="174">
        <f t="shared" si="19"/>
        <v>518672</v>
      </c>
      <c r="AP33" s="174">
        <f t="shared" si="20"/>
        <v>0</v>
      </c>
      <c r="AQ33" s="174">
        <f t="shared" si="21"/>
        <v>0</v>
      </c>
      <c r="AR33" s="174">
        <f t="shared" si="22"/>
        <v>1176879</v>
      </c>
      <c r="AS33" s="187" t="s">
        <v>1362</v>
      </c>
      <c r="AT33" s="298">
        <f t="shared" si="55"/>
        <v>5.7</v>
      </c>
      <c r="AU33" s="298">
        <f t="shared" si="55"/>
        <v>5.95</v>
      </c>
      <c r="AV33" s="298">
        <f t="shared" si="55"/>
        <v>5.7249999999999996</v>
      </c>
      <c r="AW33" s="298">
        <f t="shared" si="55"/>
        <v>5.95</v>
      </c>
      <c r="AX33" s="298">
        <f t="shared" si="55"/>
        <v>5.7249999999999996</v>
      </c>
      <c r="AY33" s="299">
        <f t="shared" si="54"/>
        <v>6.6119999999999992</v>
      </c>
      <c r="AZ33" s="299">
        <f t="shared" si="54"/>
        <v>6.9019999999999992</v>
      </c>
      <c r="BA33" s="299">
        <f t="shared" si="54"/>
        <v>6.6409999999999991</v>
      </c>
      <c r="BB33" s="299">
        <f t="shared" si="54"/>
        <v>6.9019999999999992</v>
      </c>
      <c r="BC33" s="299">
        <f t="shared" si="54"/>
        <v>6.6409999999999991</v>
      </c>
      <c r="BD33" s="188">
        <f t="shared" si="50"/>
        <v>122</v>
      </c>
      <c r="BE33" s="188">
        <f t="shared" si="26"/>
        <v>191</v>
      </c>
      <c r="BF33" s="188">
        <f t="shared" si="27"/>
        <v>367</v>
      </c>
      <c r="BG33" s="188"/>
      <c r="BH33" s="188"/>
      <c r="BI33" s="188">
        <f t="shared" si="51"/>
        <v>141</v>
      </c>
      <c r="BJ33" s="188">
        <f t="shared" si="52"/>
        <v>221</v>
      </c>
      <c r="BK33" s="188">
        <f t="shared" si="53"/>
        <v>426</v>
      </c>
      <c r="BL33" s="188"/>
      <c r="BM33" s="188"/>
      <c r="BN33" s="189">
        <f t="shared" si="35"/>
        <v>37746434</v>
      </c>
      <c r="BO33" s="189">
        <f t="shared" si="36"/>
        <v>66622710</v>
      </c>
      <c r="BP33" s="189">
        <f t="shared" si="37"/>
        <v>190352624</v>
      </c>
      <c r="BQ33" s="189">
        <f t="shared" si="38"/>
        <v>0</v>
      </c>
      <c r="BR33" s="189">
        <f t="shared" si="39"/>
        <v>0</v>
      </c>
      <c r="BS33" s="189">
        <f t="shared" si="40"/>
        <v>294721768</v>
      </c>
      <c r="BT33" s="189">
        <f t="shared" si="41"/>
        <v>43624977</v>
      </c>
      <c r="BU33" s="189">
        <f t="shared" si="42"/>
        <v>77087010</v>
      </c>
      <c r="BV33" s="189">
        <f t="shared" si="43"/>
        <v>220954272</v>
      </c>
      <c r="BW33" s="189">
        <f t="shared" si="44"/>
        <v>0</v>
      </c>
      <c r="BX33" s="189">
        <f t="shared" si="45"/>
        <v>0</v>
      </c>
      <c r="BY33" s="189">
        <f t="shared" si="46"/>
        <v>341666259</v>
      </c>
      <c r="BZ33" s="302">
        <f>IF(COT_PRECALCULOS!$D$24="Precios Iva Incluído",BI33,BD33)</f>
        <v>122</v>
      </c>
      <c r="CA33" s="302">
        <f>IF(COT_PRECALCULOS!$D$24="Precios Iva Incluído",BJ33,BE33)</f>
        <v>191</v>
      </c>
      <c r="CB33" s="302">
        <f>IF(COT_PRECALCULOS!$D$24="Precios Iva Incluído",BK33,BF33)</f>
        <v>367</v>
      </c>
      <c r="CC33" s="302">
        <f>IF(COT_PRECALCULOS!$D$24="Precios Iva Incluído",BL33,BG33)</f>
        <v>0</v>
      </c>
      <c r="CD33" s="302">
        <f>IF(COT_PRECALCULOS!$D$24="Precios Iva Incluído",BM33,BH33)</f>
        <v>0</v>
      </c>
      <c r="CE33" s="302">
        <f>IF(COT_PRECALCULOS!$D$24="Precios Iva Incluído",BT33,BN33)</f>
        <v>37746434</v>
      </c>
      <c r="CF33" s="302">
        <f>IF(COT_PRECALCULOS!$D$24="Precios Iva Incluído",BU33,BO33)</f>
        <v>66622710</v>
      </c>
      <c r="CG33" s="302">
        <f>IF(COT_PRECALCULOS!$D$24="Precios Iva Incluído",BV33,BP33)</f>
        <v>190352624</v>
      </c>
      <c r="CH33" s="302">
        <f>IF(COT_PRECALCULOS!$D$24="Precios Iva Incluído",BW33,BQ33)</f>
        <v>0</v>
      </c>
      <c r="CI33" s="302">
        <f>IF(COT_PRECALCULOS!$D$24="Precios Iva Incluído",BX33,BR33)</f>
        <v>0</v>
      </c>
    </row>
    <row r="34" spans="1:87">
      <c r="A34" s="183" t="s">
        <v>101</v>
      </c>
      <c r="B34" s="183" t="s">
        <v>125</v>
      </c>
      <c r="C34" s="183" t="str">
        <f t="shared" si="0"/>
        <v>C_SE14</v>
      </c>
      <c r="D34" s="183" t="str">
        <f t="shared" si="1"/>
        <v>3_S_</v>
      </c>
      <c r="E34" s="380" t="s">
        <v>1</v>
      </c>
      <c r="F34" s="380" t="s">
        <v>1607</v>
      </c>
      <c r="G34" s="183" t="s">
        <v>55</v>
      </c>
      <c r="H34" s="380" t="s">
        <v>12</v>
      </c>
      <c r="I34" s="380"/>
      <c r="J34" s="380">
        <v>3</v>
      </c>
      <c r="K34" s="190" t="s">
        <v>12</v>
      </c>
      <c r="L34" s="183" t="s">
        <v>9</v>
      </c>
      <c r="M34" s="380">
        <v>50</v>
      </c>
      <c r="N34" s="380">
        <v>50</v>
      </c>
      <c r="O34" s="380">
        <v>80</v>
      </c>
      <c r="P34" s="382"/>
      <c r="Q34" s="382"/>
      <c r="R34" s="380"/>
      <c r="S34" s="184">
        <f t="shared" si="56"/>
        <v>19</v>
      </c>
      <c r="T34" s="381">
        <f t="shared" si="68"/>
        <v>19</v>
      </c>
      <c r="U34" s="381">
        <f t="shared" si="68"/>
        <v>19</v>
      </c>
      <c r="V34" s="381">
        <f t="shared" si="68"/>
        <v>19</v>
      </c>
      <c r="W34" s="382"/>
      <c r="X34" s="382"/>
      <c r="Y34" s="185">
        <f t="shared" si="57"/>
        <v>28053</v>
      </c>
      <c r="Z34" s="185">
        <f t="shared" si="58"/>
        <v>31277</v>
      </c>
      <c r="AA34" s="185">
        <f t="shared" si="59"/>
        <v>46469</v>
      </c>
      <c r="AB34" s="185">
        <f t="shared" si="60"/>
        <v>0</v>
      </c>
      <c r="AC34" s="185">
        <f t="shared" si="61"/>
        <v>0</v>
      </c>
      <c r="AD34" s="185">
        <f t="shared" si="62"/>
        <v>105799</v>
      </c>
      <c r="AE34" s="184">
        <f t="shared" si="11"/>
        <v>0</v>
      </c>
      <c r="AF34" s="381">
        <f t="shared" ref="AF34:AH38" si="69">$AE34</f>
        <v>0</v>
      </c>
      <c r="AG34" s="381">
        <f t="shared" si="69"/>
        <v>0</v>
      </c>
      <c r="AH34" s="381">
        <f t="shared" si="69"/>
        <v>0</v>
      </c>
      <c r="AI34" s="186">
        <f t="shared" si="63"/>
        <v>74</v>
      </c>
      <c r="AJ34" s="186">
        <f t="shared" si="64"/>
        <v>433</v>
      </c>
      <c r="AK34" s="186">
        <f t="shared" si="65"/>
        <v>683</v>
      </c>
      <c r="AL34" s="186">
        <f t="shared" si="66"/>
        <v>1190</v>
      </c>
      <c r="AM34" s="174">
        <f t="shared" si="67"/>
        <v>533007</v>
      </c>
      <c r="AN34" s="174">
        <f t="shared" si="18"/>
        <v>594263</v>
      </c>
      <c r="AO34" s="174">
        <f t="shared" si="19"/>
        <v>882911</v>
      </c>
      <c r="AP34" s="174">
        <f t="shared" si="20"/>
        <v>0</v>
      </c>
      <c r="AQ34" s="174">
        <f t="shared" si="21"/>
        <v>0</v>
      </c>
      <c r="AR34" s="174">
        <f t="shared" si="22"/>
        <v>2010181</v>
      </c>
      <c r="AS34" s="187" t="s">
        <v>1363</v>
      </c>
      <c r="AT34" s="298">
        <f t="shared" si="55"/>
        <v>9</v>
      </c>
      <c r="AU34" s="298">
        <f t="shared" si="55"/>
        <v>9</v>
      </c>
      <c r="AV34" s="298">
        <f t="shared" si="55"/>
        <v>8.5</v>
      </c>
      <c r="AW34" s="298">
        <f t="shared" si="55"/>
        <v>9</v>
      </c>
      <c r="AX34" s="298">
        <f t="shared" si="55"/>
        <v>8.5</v>
      </c>
      <c r="AY34" s="299">
        <f t="shared" ref="AY34:BC38" si="70">IF(ISERROR(MATCH(CONCATENATE($J34,"_",AY$1),COT_PRE_CODIGO_ALIMENTOS,0)),IF(ISERROR(MATCH(CONCATENATE($J34,"_",AY$2),COT_PRE_CODIGO_ALIMENTOS,0)),IF(ISERROR(MATCH(CONCATENATE($J34,"_",AY$3),COT_PRE_CODIGO_ALIMENTOS,0)),IF(ISERROR(MATCH(CONCATENATE($J34,"_",AY$4),COT_PRE_CODIGO_ALIMENTOS,0)),IF(ISERROR(MATCH(CONCATENATE($J34,"_",AY$5),COT_PRE_CODIGO_ALIMENTOS,0)),IF(ISERROR(MATCH(CONCATENATE($J34,"_",AY$6),COT_PRE_CODIGO_ALIMENTOS,0)),IF(ISERROR(MATCH(CONCATENATE($J34,"_",AY$7),COT_PRE_CODIGO_ALIMENTOS,0)),IF(ISERROR(VLOOKUP($J34,COT_PRE_ALIMENTOS,AY$8,FALSE)),"DATO NO DISPONIBLE",VLOOKUP($J34,COT_PRE_ALIMENTOS,AY$8,FALSE)),VLOOKUP(CONCATENATE($J34,"_",AY$7),COT_PRE_ALIMENTOS,AY$8,FALSE)),VLOOKUP(CONCATENATE($J34,"_",AY$6),COT_PRE_ALIMENTOS,AY$8,FALSE)),VLOOKUP(CONCATENATE($J34,"_",AY$5),COT_PRE_ALIMENTOS,AY$8,FALSE)),VLOOKUP(CONCATENATE($J34,"_",AY$4),COT_PRE_ALIMENTOS,AY$8,FALSE)),VLOOKUP(CONCATENATE($J34,"_",AY$3),COT_PRE_ALIMENTOS,AY$8,FALSE)),VLOOKUP(CONCATENATE($J34,"_",AY$2),COT_PRE_ALIMENTOS,AY$8,FALSE)),VLOOKUP(CONCATENATE($J34,"_",AY$1),COT_PRE_ALIMENTOS,AY$8,FALSE))</f>
        <v>10.44</v>
      </c>
      <c r="AZ34" s="299">
        <f t="shared" si="70"/>
        <v>10.44</v>
      </c>
      <c r="BA34" s="299">
        <f t="shared" si="70"/>
        <v>9.86</v>
      </c>
      <c r="BB34" s="299">
        <f t="shared" si="70"/>
        <v>10.44</v>
      </c>
      <c r="BC34" s="299">
        <f t="shared" si="70"/>
        <v>9.86</v>
      </c>
      <c r="BD34" s="188">
        <f t="shared" si="50"/>
        <v>481</v>
      </c>
      <c r="BE34" s="188">
        <f t="shared" si="26"/>
        <v>481</v>
      </c>
      <c r="BF34" s="188">
        <f t="shared" si="27"/>
        <v>727</v>
      </c>
      <c r="BG34" s="188"/>
      <c r="BH34" s="188"/>
      <c r="BI34" s="188">
        <f t="shared" si="51"/>
        <v>558</v>
      </c>
      <c r="BJ34" s="188">
        <f t="shared" si="52"/>
        <v>558</v>
      </c>
      <c r="BK34" s="188">
        <f t="shared" si="53"/>
        <v>844</v>
      </c>
      <c r="BL34" s="188"/>
      <c r="BM34" s="188"/>
      <c r="BN34" s="189">
        <f t="shared" si="35"/>
        <v>256376367</v>
      </c>
      <c r="BO34" s="189">
        <f t="shared" si="36"/>
        <v>285840503</v>
      </c>
      <c r="BP34" s="189">
        <f t="shared" si="37"/>
        <v>641876297</v>
      </c>
      <c r="BQ34" s="189">
        <f t="shared" si="38"/>
        <v>0</v>
      </c>
      <c r="BR34" s="189">
        <f t="shared" si="39"/>
        <v>0</v>
      </c>
      <c r="BS34" s="189">
        <f t="shared" si="40"/>
        <v>1184093167</v>
      </c>
      <c r="BT34" s="189">
        <f t="shared" si="41"/>
        <v>297417906</v>
      </c>
      <c r="BU34" s="189">
        <f t="shared" si="42"/>
        <v>331598754</v>
      </c>
      <c r="BV34" s="189">
        <f t="shared" si="43"/>
        <v>745176884</v>
      </c>
      <c r="BW34" s="189">
        <f t="shared" si="44"/>
        <v>0</v>
      </c>
      <c r="BX34" s="189">
        <f t="shared" si="45"/>
        <v>0</v>
      </c>
      <c r="BY34" s="189">
        <f t="shared" si="46"/>
        <v>1374193544</v>
      </c>
      <c r="BZ34" s="302">
        <f>IF(COT_PRECALCULOS!$D$24="Precios Iva Incluído",BI34,BD34)</f>
        <v>481</v>
      </c>
      <c r="CA34" s="302">
        <f>IF(COT_PRECALCULOS!$D$24="Precios Iva Incluído",BJ34,BE34)</f>
        <v>481</v>
      </c>
      <c r="CB34" s="302">
        <f>IF(COT_PRECALCULOS!$D$24="Precios Iva Incluído",BK34,BF34)</f>
        <v>727</v>
      </c>
      <c r="CC34" s="302">
        <f>IF(COT_PRECALCULOS!$D$24="Precios Iva Incluído",BL34,BG34)</f>
        <v>0</v>
      </c>
      <c r="CD34" s="302">
        <f>IF(COT_PRECALCULOS!$D$24="Precios Iva Incluído",BM34,BH34)</f>
        <v>0</v>
      </c>
      <c r="CE34" s="302">
        <f>IF(COT_PRECALCULOS!$D$24="Precios Iva Incluído",BT34,BN34)</f>
        <v>256376367</v>
      </c>
      <c r="CF34" s="302">
        <f>IF(COT_PRECALCULOS!$D$24="Precios Iva Incluído",BU34,BO34)</f>
        <v>285840503</v>
      </c>
      <c r="CG34" s="302">
        <f>IF(COT_PRECALCULOS!$D$24="Precios Iva Incluído",BV34,BP34)</f>
        <v>641876297</v>
      </c>
      <c r="CH34" s="302">
        <f>IF(COT_PRECALCULOS!$D$24="Precios Iva Incluído",BW34,BQ34)</f>
        <v>0</v>
      </c>
      <c r="CI34" s="302">
        <f>IF(COT_PRECALCULOS!$D$24="Precios Iva Incluído",BX34,BR34)</f>
        <v>0</v>
      </c>
    </row>
    <row r="35" spans="1:87">
      <c r="A35" s="183" t="s">
        <v>101</v>
      </c>
      <c r="B35" s="183" t="s">
        <v>125</v>
      </c>
      <c r="C35" s="183" t="str">
        <f t="shared" si="0"/>
        <v>C_SE15</v>
      </c>
      <c r="D35" s="183" t="str">
        <f t="shared" si="1"/>
        <v>61_S_</v>
      </c>
      <c r="E35" s="380" t="s">
        <v>1</v>
      </c>
      <c r="F35" s="380" t="s">
        <v>1607</v>
      </c>
      <c r="G35" s="183" t="s">
        <v>58</v>
      </c>
      <c r="H35" s="380" t="s">
        <v>57</v>
      </c>
      <c r="I35" s="380"/>
      <c r="J35" s="380">
        <v>61</v>
      </c>
      <c r="K35" s="190" t="s">
        <v>13</v>
      </c>
      <c r="L35" s="183" t="s">
        <v>9</v>
      </c>
      <c r="M35" s="380">
        <v>20</v>
      </c>
      <c r="N35" s="380">
        <v>30</v>
      </c>
      <c r="O35" s="380">
        <v>70</v>
      </c>
      <c r="P35" s="382"/>
      <c r="Q35" s="382"/>
      <c r="R35" s="380"/>
      <c r="S35" s="184">
        <f t="shared" si="56"/>
        <v>20</v>
      </c>
      <c r="T35" s="381">
        <f t="shared" si="68"/>
        <v>20</v>
      </c>
      <c r="U35" s="381">
        <f t="shared" si="68"/>
        <v>20</v>
      </c>
      <c r="V35" s="381">
        <f t="shared" si="68"/>
        <v>20</v>
      </c>
      <c r="W35" s="382"/>
      <c r="X35" s="382"/>
      <c r="Y35" s="185">
        <f t="shared" si="57"/>
        <v>28053</v>
      </c>
      <c r="Z35" s="185">
        <f t="shared" si="58"/>
        <v>31277</v>
      </c>
      <c r="AA35" s="185">
        <f t="shared" si="59"/>
        <v>46469</v>
      </c>
      <c r="AB35" s="185">
        <f t="shared" si="60"/>
        <v>0</v>
      </c>
      <c r="AC35" s="185">
        <f t="shared" si="61"/>
        <v>0</v>
      </c>
      <c r="AD35" s="185">
        <f t="shared" si="62"/>
        <v>105799</v>
      </c>
      <c r="AE35" s="184">
        <f t="shared" si="11"/>
        <v>0</v>
      </c>
      <c r="AF35" s="381">
        <f t="shared" si="69"/>
        <v>0</v>
      </c>
      <c r="AG35" s="381">
        <f t="shared" si="69"/>
        <v>0</v>
      </c>
      <c r="AH35" s="381">
        <f t="shared" si="69"/>
        <v>0</v>
      </c>
      <c r="AI35" s="186">
        <f t="shared" si="63"/>
        <v>74</v>
      </c>
      <c r="AJ35" s="186">
        <f t="shared" si="64"/>
        <v>433</v>
      </c>
      <c r="AK35" s="186">
        <f t="shared" si="65"/>
        <v>683</v>
      </c>
      <c r="AL35" s="186">
        <f t="shared" si="66"/>
        <v>1190</v>
      </c>
      <c r="AM35" s="174">
        <f t="shared" si="67"/>
        <v>561060</v>
      </c>
      <c r="AN35" s="174">
        <f t="shared" si="18"/>
        <v>625540</v>
      </c>
      <c r="AO35" s="174">
        <f t="shared" si="19"/>
        <v>929380</v>
      </c>
      <c r="AP35" s="174">
        <f t="shared" si="20"/>
        <v>0</v>
      </c>
      <c r="AQ35" s="174">
        <f t="shared" si="21"/>
        <v>0</v>
      </c>
      <c r="AR35" s="174">
        <f t="shared" si="22"/>
        <v>2115980</v>
      </c>
      <c r="AS35" s="187" t="s">
        <v>1364</v>
      </c>
      <c r="AT35" s="298">
        <f t="shared" si="55"/>
        <v>10.4</v>
      </c>
      <c r="AU35" s="298">
        <f t="shared" si="55"/>
        <v>10.4</v>
      </c>
      <c r="AV35" s="298">
        <f t="shared" si="55"/>
        <v>10.4</v>
      </c>
      <c r="AW35" s="298">
        <f t="shared" si="55"/>
        <v>10.4</v>
      </c>
      <c r="AX35" s="298">
        <f t="shared" si="55"/>
        <v>10.4</v>
      </c>
      <c r="AY35" s="299">
        <f t="shared" si="70"/>
        <v>12.063999999999998</v>
      </c>
      <c r="AZ35" s="299">
        <f t="shared" si="70"/>
        <v>12.063999999999998</v>
      </c>
      <c r="BA35" s="299">
        <f t="shared" si="70"/>
        <v>12.063999999999998</v>
      </c>
      <c r="BB35" s="299">
        <f t="shared" si="70"/>
        <v>12.063999999999998</v>
      </c>
      <c r="BC35" s="299">
        <f t="shared" si="70"/>
        <v>12.063999999999998</v>
      </c>
      <c r="BD35" s="188">
        <f t="shared" si="50"/>
        <v>222</v>
      </c>
      <c r="BE35" s="188">
        <f t="shared" si="26"/>
        <v>334</v>
      </c>
      <c r="BF35" s="188">
        <f t="shared" si="27"/>
        <v>779</v>
      </c>
      <c r="BG35" s="188"/>
      <c r="BH35" s="188"/>
      <c r="BI35" s="188">
        <f t="shared" si="51"/>
        <v>258</v>
      </c>
      <c r="BJ35" s="188">
        <f t="shared" si="52"/>
        <v>387</v>
      </c>
      <c r="BK35" s="188">
        <f t="shared" si="53"/>
        <v>903</v>
      </c>
      <c r="BL35" s="188"/>
      <c r="BM35" s="188"/>
      <c r="BN35" s="189">
        <f t="shared" si="35"/>
        <v>124555320</v>
      </c>
      <c r="BO35" s="189">
        <f t="shared" si="36"/>
        <v>208930360</v>
      </c>
      <c r="BP35" s="189">
        <f t="shared" si="37"/>
        <v>723987020</v>
      </c>
      <c r="BQ35" s="189">
        <f t="shared" si="38"/>
        <v>0</v>
      </c>
      <c r="BR35" s="189">
        <f t="shared" si="39"/>
        <v>0</v>
      </c>
      <c r="BS35" s="189">
        <f t="shared" si="40"/>
        <v>1057472700</v>
      </c>
      <c r="BT35" s="189">
        <f t="shared" si="41"/>
        <v>144753480</v>
      </c>
      <c r="BU35" s="189">
        <f t="shared" si="42"/>
        <v>242083980</v>
      </c>
      <c r="BV35" s="189">
        <f t="shared" si="43"/>
        <v>839230140</v>
      </c>
      <c r="BW35" s="189">
        <f t="shared" si="44"/>
        <v>0</v>
      </c>
      <c r="BX35" s="189">
        <f t="shared" si="45"/>
        <v>0</v>
      </c>
      <c r="BY35" s="189">
        <f t="shared" si="46"/>
        <v>1226067600</v>
      </c>
      <c r="BZ35" s="302">
        <f>IF(COT_PRECALCULOS!$D$24="Precios Iva Incluído",BI35,BD35)</f>
        <v>222</v>
      </c>
      <c r="CA35" s="302">
        <f>IF(COT_PRECALCULOS!$D$24="Precios Iva Incluído",BJ35,BE35)</f>
        <v>334</v>
      </c>
      <c r="CB35" s="302">
        <f>IF(COT_PRECALCULOS!$D$24="Precios Iva Incluído",BK35,BF35)</f>
        <v>779</v>
      </c>
      <c r="CC35" s="302">
        <f>IF(COT_PRECALCULOS!$D$24="Precios Iva Incluído",BL35,BG35)</f>
        <v>0</v>
      </c>
      <c r="CD35" s="302">
        <f>IF(COT_PRECALCULOS!$D$24="Precios Iva Incluído",BM35,BH35)</f>
        <v>0</v>
      </c>
      <c r="CE35" s="302">
        <f>IF(COT_PRECALCULOS!$D$24="Precios Iva Incluído",BT35,BN35)</f>
        <v>124555320</v>
      </c>
      <c r="CF35" s="302">
        <f>IF(COT_PRECALCULOS!$D$24="Precios Iva Incluído",BU35,BO35)</f>
        <v>208930360</v>
      </c>
      <c r="CG35" s="302">
        <f>IF(COT_PRECALCULOS!$D$24="Precios Iva Incluído",BV35,BP35)</f>
        <v>723987020</v>
      </c>
      <c r="CH35" s="302">
        <f>IF(COT_PRECALCULOS!$D$24="Precios Iva Incluído",BW35,BQ35)</f>
        <v>0</v>
      </c>
      <c r="CI35" s="302">
        <f>IF(COT_PRECALCULOS!$D$24="Precios Iva Incluído",BX35,BR35)</f>
        <v>0</v>
      </c>
    </row>
    <row r="36" spans="1:87">
      <c r="A36" s="183" t="s">
        <v>98</v>
      </c>
      <c r="B36" s="183" t="s">
        <v>98</v>
      </c>
      <c r="C36" s="183" t="str">
        <f t="shared" si="0"/>
        <v>C_CSE1</v>
      </c>
      <c r="D36" s="183" t="str">
        <f t="shared" si="1"/>
        <v>28_NA</v>
      </c>
      <c r="E36" s="380" t="s">
        <v>1</v>
      </c>
      <c r="F36" s="380" t="s">
        <v>1607</v>
      </c>
      <c r="G36" s="183" t="s">
        <v>1368</v>
      </c>
      <c r="H36" s="380" t="s">
        <v>19</v>
      </c>
      <c r="I36" s="380"/>
      <c r="J36" s="380">
        <v>28</v>
      </c>
      <c r="K36" s="190" t="s">
        <v>67</v>
      </c>
      <c r="L36" s="183" t="s">
        <v>9</v>
      </c>
      <c r="M36" s="380">
        <v>30</v>
      </c>
      <c r="N36" s="380">
        <v>40</v>
      </c>
      <c r="O36" s="380">
        <v>60</v>
      </c>
      <c r="P36" s="382"/>
      <c r="Q36" s="382"/>
      <c r="R36" s="380"/>
      <c r="S36" s="184">
        <f>COUNTIF(CAL_SEGUNDA_ENTREGA_LAV_FRUTA,CONCATENATE(G36,"_",J36))</f>
        <v>0</v>
      </c>
      <c r="T36" s="381">
        <f t="shared" si="68"/>
        <v>0</v>
      </c>
      <c r="U36" s="381">
        <f t="shared" si="68"/>
        <v>0</v>
      </c>
      <c r="V36" s="381">
        <f t="shared" si="68"/>
        <v>0</v>
      </c>
      <c r="W36" s="382"/>
      <c r="X36" s="382"/>
      <c r="Y36" s="185">
        <v>28053</v>
      </c>
      <c r="Z36" s="185">
        <v>31277</v>
      </c>
      <c r="AA36" s="185">
        <v>46469</v>
      </c>
      <c r="AB36" s="185">
        <v>0</v>
      </c>
      <c r="AC36" s="185">
        <v>0</v>
      </c>
      <c r="AD36" s="185">
        <v>105799</v>
      </c>
      <c r="AE36" s="184">
        <f t="shared" si="11"/>
        <v>0</v>
      </c>
      <c r="AF36" s="381">
        <f t="shared" si="69"/>
        <v>0</v>
      </c>
      <c r="AG36" s="381">
        <f t="shared" si="69"/>
        <v>0</v>
      </c>
      <c r="AH36" s="381">
        <f t="shared" si="69"/>
        <v>0</v>
      </c>
      <c r="AI36" s="186">
        <v>0</v>
      </c>
      <c r="AJ36" s="186">
        <v>0</v>
      </c>
      <c r="AK36" s="186">
        <v>0</v>
      </c>
      <c r="AL36" s="186">
        <v>0</v>
      </c>
      <c r="AM36" s="174">
        <f t="shared" si="67"/>
        <v>0</v>
      </c>
      <c r="AN36" s="174">
        <f t="shared" si="18"/>
        <v>0</v>
      </c>
      <c r="AO36" s="174">
        <f t="shared" si="19"/>
        <v>0</v>
      </c>
      <c r="AP36" s="174">
        <f t="shared" si="20"/>
        <v>0</v>
      </c>
      <c r="AQ36" s="174">
        <f t="shared" si="21"/>
        <v>0</v>
      </c>
      <c r="AR36" s="174">
        <f t="shared" si="22"/>
        <v>0</v>
      </c>
      <c r="AS36" s="187" t="s">
        <v>84</v>
      </c>
      <c r="AT36" s="298">
        <f t="shared" si="55"/>
        <v>6.7</v>
      </c>
      <c r="AU36" s="298">
        <f t="shared" si="55"/>
        <v>6.7</v>
      </c>
      <c r="AV36" s="298">
        <f t="shared" si="55"/>
        <v>6.7</v>
      </c>
      <c r="AW36" s="298">
        <f t="shared" si="55"/>
        <v>6.7</v>
      </c>
      <c r="AX36" s="298">
        <f t="shared" si="55"/>
        <v>6.7</v>
      </c>
      <c r="AY36" s="299">
        <f t="shared" si="70"/>
        <v>7.7720000000000002</v>
      </c>
      <c r="AZ36" s="299">
        <f t="shared" si="70"/>
        <v>7.7720000000000002</v>
      </c>
      <c r="BA36" s="299">
        <f t="shared" si="70"/>
        <v>7.7720000000000002</v>
      </c>
      <c r="BB36" s="299">
        <f t="shared" si="70"/>
        <v>7.7720000000000002</v>
      </c>
      <c r="BC36" s="299">
        <f t="shared" si="70"/>
        <v>7.7720000000000002</v>
      </c>
      <c r="BD36" s="188">
        <f t="shared" si="50"/>
        <v>215</v>
      </c>
      <c r="BE36" s="188">
        <f t="shared" si="26"/>
        <v>287</v>
      </c>
      <c r="BF36" s="188">
        <f t="shared" si="27"/>
        <v>430</v>
      </c>
      <c r="BG36" s="188"/>
      <c r="BH36" s="188"/>
      <c r="BI36" s="188">
        <f t="shared" si="51"/>
        <v>249</v>
      </c>
      <c r="BJ36" s="188">
        <f t="shared" si="52"/>
        <v>332</v>
      </c>
      <c r="BK36" s="188">
        <f t="shared" si="53"/>
        <v>499</v>
      </c>
      <c r="BL36" s="188"/>
      <c r="BM36" s="188"/>
      <c r="BN36" s="189">
        <f t="shared" si="35"/>
        <v>0</v>
      </c>
      <c r="BO36" s="189">
        <f t="shared" si="36"/>
        <v>0</v>
      </c>
      <c r="BP36" s="189">
        <f t="shared" si="37"/>
        <v>0</v>
      </c>
      <c r="BQ36" s="189">
        <f t="shared" si="38"/>
        <v>0</v>
      </c>
      <c r="BR36" s="189">
        <f t="shared" si="39"/>
        <v>0</v>
      </c>
      <c r="BS36" s="189">
        <f t="shared" si="40"/>
        <v>0</v>
      </c>
      <c r="BT36" s="189">
        <f t="shared" si="41"/>
        <v>0</v>
      </c>
      <c r="BU36" s="189">
        <f t="shared" si="42"/>
        <v>0</v>
      </c>
      <c r="BV36" s="189">
        <f t="shared" si="43"/>
        <v>0</v>
      </c>
      <c r="BW36" s="189">
        <f t="shared" si="44"/>
        <v>0</v>
      </c>
      <c r="BX36" s="189">
        <f t="shared" si="45"/>
        <v>0</v>
      </c>
      <c r="BY36" s="189">
        <f t="shared" si="46"/>
        <v>0</v>
      </c>
      <c r="BZ36" s="302">
        <f>IF(COT_PRECALCULOS!$D$24="Precios Iva Incluído",BI36,BD36)</f>
        <v>215</v>
      </c>
      <c r="CA36" s="302">
        <f>IF(COT_PRECALCULOS!$D$24="Precios Iva Incluído",BJ36,BE36)</f>
        <v>287</v>
      </c>
      <c r="CB36" s="302">
        <f>IF(COT_PRECALCULOS!$D$24="Precios Iva Incluído",BK36,BF36)</f>
        <v>430</v>
      </c>
      <c r="CC36" s="302">
        <f>IF(COT_PRECALCULOS!$D$24="Precios Iva Incluído",BL36,BG36)</f>
        <v>0</v>
      </c>
      <c r="CD36" s="302">
        <f>IF(COT_PRECALCULOS!$D$24="Precios Iva Incluído",BM36,BH36)</f>
        <v>0</v>
      </c>
      <c r="CE36" s="302">
        <f>IF(COT_PRECALCULOS!$D$24="Precios Iva Incluído",BT36,BN36)</f>
        <v>0</v>
      </c>
      <c r="CF36" s="302">
        <f>IF(COT_PRECALCULOS!$D$24="Precios Iva Incluído",BU36,BO36)</f>
        <v>0</v>
      </c>
      <c r="CG36" s="302">
        <f>IF(COT_PRECALCULOS!$D$24="Precios Iva Incluído",BV36,BP36)</f>
        <v>0</v>
      </c>
      <c r="CH36" s="302">
        <f>IF(COT_PRECALCULOS!$D$24="Precios Iva Incluído",BW36,BQ36)</f>
        <v>0</v>
      </c>
      <c r="CI36" s="302">
        <f>IF(COT_PRECALCULOS!$D$24="Precios Iva Incluído",BX36,BR36)</f>
        <v>0</v>
      </c>
    </row>
    <row r="37" spans="1:87">
      <c r="A37" s="183" t="s">
        <v>98</v>
      </c>
      <c r="B37" s="183" t="s">
        <v>98</v>
      </c>
      <c r="C37" s="183" t="str">
        <f t="shared" si="0"/>
        <v>C_CSE2</v>
      </c>
      <c r="D37" s="183" t="str">
        <f t="shared" si="1"/>
        <v>25_NA</v>
      </c>
      <c r="E37" s="380" t="s">
        <v>1</v>
      </c>
      <c r="F37" s="380" t="s">
        <v>1607</v>
      </c>
      <c r="G37" s="183" t="s">
        <v>1369</v>
      </c>
      <c r="H37" s="380" t="s">
        <v>15</v>
      </c>
      <c r="I37" s="380"/>
      <c r="J37" s="380">
        <v>25</v>
      </c>
      <c r="K37" s="190" t="s">
        <v>64</v>
      </c>
      <c r="L37" s="183" t="s">
        <v>9</v>
      </c>
      <c r="M37" s="380">
        <v>40</v>
      </c>
      <c r="N37" s="380">
        <v>40</v>
      </c>
      <c r="O37" s="380">
        <v>60</v>
      </c>
      <c r="P37" s="382"/>
      <c r="Q37" s="382"/>
      <c r="R37" s="380"/>
      <c r="S37" s="381">
        <f>COUNTIF(CAL_SEGUNDA_ENTREGA_LAV_FRUTA,CONCATENATE(G37,"_",J37))</f>
        <v>0</v>
      </c>
      <c r="T37" s="381">
        <f t="shared" si="68"/>
        <v>0</v>
      </c>
      <c r="U37" s="381">
        <f t="shared" si="68"/>
        <v>0</v>
      </c>
      <c r="V37" s="381">
        <f t="shared" si="68"/>
        <v>0</v>
      </c>
      <c r="W37" s="382"/>
      <c r="X37" s="382"/>
      <c r="Y37" s="185">
        <v>28053</v>
      </c>
      <c r="Z37" s="185">
        <v>31277</v>
      </c>
      <c r="AA37" s="185">
        <v>46469</v>
      </c>
      <c r="AB37" s="185">
        <v>0</v>
      </c>
      <c r="AC37" s="185">
        <v>0</v>
      </c>
      <c r="AD37" s="185">
        <v>105799</v>
      </c>
      <c r="AE37" s="184">
        <f t="shared" si="11"/>
        <v>0</v>
      </c>
      <c r="AF37" s="381">
        <f t="shared" si="69"/>
        <v>0</v>
      </c>
      <c r="AG37" s="381">
        <f t="shared" si="69"/>
        <v>0</v>
      </c>
      <c r="AH37" s="381">
        <f t="shared" si="69"/>
        <v>0</v>
      </c>
      <c r="AI37" s="186">
        <v>0</v>
      </c>
      <c r="AJ37" s="186">
        <v>0</v>
      </c>
      <c r="AK37" s="186">
        <v>0</v>
      </c>
      <c r="AL37" s="186">
        <v>0</v>
      </c>
      <c r="AM37" s="174">
        <f t="shared" si="67"/>
        <v>0</v>
      </c>
      <c r="AN37" s="174">
        <f t="shared" si="18"/>
        <v>0</v>
      </c>
      <c r="AO37" s="174">
        <f t="shared" si="19"/>
        <v>0</v>
      </c>
      <c r="AP37" s="174">
        <f t="shared" si="20"/>
        <v>0</v>
      </c>
      <c r="AQ37" s="174">
        <f t="shared" si="21"/>
        <v>0</v>
      </c>
      <c r="AR37" s="174">
        <f t="shared" si="22"/>
        <v>0</v>
      </c>
      <c r="AS37" s="187" t="s">
        <v>84</v>
      </c>
      <c r="AT37" s="298">
        <f t="shared" ref="AT37:AX38" si="71">IF(ISERROR(IF(ISERROR(MATCH(CONCATENATE($J37,"_",AT$1),COT_PRE_CODIGO_ALIMENTOS,0)),IF(ISERROR(MATCH(CONCATENATE($J37,"_",AT$2),COT_PRE_CODIGO_ALIMENTOS,0)),IF(ISERROR(MATCH(CONCATENATE($J37,"_",AT$3),COT_PRE_CODIGO_ALIMENTOS,0)),IF(ISERROR(MATCH(CONCATENATE($J37,"_",AT$4),COT_PRE_CODIGO_ALIMENTOS,0)),IF(ISERROR(MATCH(CONCATENATE($J37,"_",AT$5),COT_PRE_CODIGO_ALIMENTOS,0)),IF(ISERROR(MATCH(CONCATENATE($J37,"_",AT$6),COT_PRE_CODIGO_ALIMENTOS,0)),IF(ISERROR(MATCH(CONCATENATE($J37,"_",AT$7),COT_PRE_CODIGO_ALIMENTOS,0)),IF(ISERROR(VLOOKUP($J37,COT_PRE_ALIMENTOS,AT$8,FALSE)),"DATO NO DISPONIBLE",VLOOKUP($J37,COT_PRE_ALIMENTOS,AT$8,FALSE)),VLOOKUP(CONCATENATE($J37,"_",AT$7),COT_PRE_ALIMENTOS,AT$8,FALSE)),VLOOKUP(CONCATENATE($J37,"_",AT$6),COT_PRE_ALIMENTOS,AT$8,FALSE)),VLOOKUP(CONCATENATE($J37,"_",AT$5),COT_PRE_ALIMENTOS,AT$8,FALSE)),VLOOKUP(CONCATENATE($J37,"_",AT$4),COT_PRE_ALIMENTOS,AT$8,FALSE)),VLOOKUP(CONCATENATE($J37,"_",AT$3),COT_PRE_ALIMENTOS,AT$8,FALSE)),VLOOKUP(CONCATENATE($J37,"_",AT$2),COT_PRE_ALIMENTOS,AT$8,FALSE)),VLOOKUP(CONCATENATE($J37,"_",AT$1),COT_PRE_ALIMENTOS,AT$8,FALSE))),"DATO NO DISPONIBLE",IF(ISERROR(MATCH(CONCATENATE($J37,"_",AT$1),COT_PRE_CODIGO_ALIMENTOS,0)),IF(ISERROR(MATCH(CONCATENATE($J37,"_",AT$2),COT_PRE_CODIGO_ALIMENTOS,0)),IF(ISERROR(MATCH(CONCATENATE($J37,"_",AT$3),COT_PRE_CODIGO_ALIMENTOS,0)),IF(ISERROR(MATCH(CONCATENATE($J37,"_",AT$4),COT_PRE_CODIGO_ALIMENTOS,0)),IF(ISERROR(MATCH(CONCATENATE($J37,"_",AT$5),COT_PRE_CODIGO_ALIMENTOS,0)),IF(ISERROR(MATCH(CONCATENATE($J37,"_",AT$6),COT_PRE_CODIGO_ALIMENTOS,0)),IF(ISERROR(MATCH(CONCATENATE($J37,"_",AT$7),COT_PRE_CODIGO_ALIMENTOS,0)),IF(ISERROR(VLOOKUP($J37,COT_PRE_ALIMENTOS,AT$8,FALSE)),"DATO NO DISPONIBLE",VLOOKUP($J37,COT_PRE_ALIMENTOS,AT$8,FALSE)),VLOOKUP(CONCATENATE($J37,"_",AT$7),COT_PRE_ALIMENTOS,AT$8,FALSE)),VLOOKUP(CONCATENATE($J37,"_",AT$6),COT_PRE_ALIMENTOS,AT$8,FALSE)),VLOOKUP(CONCATENATE($J37,"_",AT$5),COT_PRE_ALIMENTOS,AT$8,FALSE)),VLOOKUP(CONCATENATE($J37,"_",AT$4),COT_PRE_ALIMENTOS,AT$8,FALSE)),VLOOKUP(CONCATENATE($J37,"_",AT$3),COT_PRE_ALIMENTOS,AT$8,FALSE)),VLOOKUP(CONCATENATE($J37,"_",AT$2),COT_PRE_ALIMENTOS,AT$8,FALSE)),VLOOKUP(CONCATENATE($J37,"_",AT$1),COT_PRE_ALIMENTOS,AT$8,FALSE)))</f>
        <v>5.7</v>
      </c>
      <c r="AU37" s="298">
        <f t="shared" si="71"/>
        <v>5.7</v>
      </c>
      <c r="AV37" s="298">
        <f t="shared" si="71"/>
        <v>5.7</v>
      </c>
      <c r="AW37" s="298">
        <f t="shared" si="71"/>
        <v>5.7</v>
      </c>
      <c r="AX37" s="298">
        <f t="shared" si="71"/>
        <v>5.7</v>
      </c>
      <c r="AY37" s="299">
        <f t="shared" si="70"/>
        <v>6.6119999999999992</v>
      </c>
      <c r="AZ37" s="299">
        <f t="shared" si="70"/>
        <v>6.6119999999999992</v>
      </c>
      <c r="BA37" s="299">
        <f t="shared" si="70"/>
        <v>6.6119999999999992</v>
      </c>
      <c r="BB37" s="299">
        <f t="shared" si="70"/>
        <v>6.6119999999999992</v>
      </c>
      <c r="BC37" s="299">
        <f t="shared" si="70"/>
        <v>6.6119999999999992</v>
      </c>
      <c r="BD37" s="188">
        <f t="shared" si="50"/>
        <v>244</v>
      </c>
      <c r="BE37" s="188">
        <f t="shared" si="26"/>
        <v>244</v>
      </c>
      <c r="BF37" s="188">
        <f t="shared" si="27"/>
        <v>366</v>
      </c>
      <c r="BG37" s="188"/>
      <c r="BH37" s="188"/>
      <c r="BI37" s="188">
        <f t="shared" si="51"/>
        <v>283</v>
      </c>
      <c r="BJ37" s="188">
        <f t="shared" si="52"/>
        <v>283</v>
      </c>
      <c r="BK37" s="188">
        <f t="shared" si="53"/>
        <v>424</v>
      </c>
      <c r="BL37" s="188"/>
      <c r="BM37" s="188"/>
      <c r="BN37" s="189">
        <f t="shared" si="35"/>
        <v>0</v>
      </c>
      <c r="BO37" s="189">
        <f t="shared" si="36"/>
        <v>0</v>
      </c>
      <c r="BP37" s="189">
        <f t="shared" si="37"/>
        <v>0</v>
      </c>
      <c r="BQ37" s="189">
        <f t="shared" si="38"/>
        <v>0</v>
      </c>
      <c r="BR37" s="189">
        <f t="shared" si="39"/>
        <v>0</v>
      </c>
      <c r="BS37" s="189">
        <f t="shared" si="40"/>
        <v>0</v>
      </c>
      <c r="BT37" s="189">
        <f t="shared" si="41"/>
        <v>0</v>
      </c>
      <c r="BU37" s="189">
        <f t="shared" si="42"/>
        <v>0</v>
      </c>
      <c r="BV37" s="189">
        <f t="shared" si="43"/>
        <v>0</v>
      </c>
      <c r="BW37" s="189">
        <f t="shared" si="44"/>
        <v>0</v>
      </c>
      <c r="BX37" s="189">
        <f t="shared" si="45"/>
        <v>0</v>
      </c>
      <c r="BY37" s="189">
        <f t="shared" si="46"/>
        <v>0</v>
      </c>
      <c r="BZ37" s="302">
        <f>IF(COT_PRECALCULOS!$D$24="Precios Iva Incluído",BI37,BD37)</f>
        <v>244</v>
      </c>
      <c r="CA37" s="302">
        <f>IF(COT_PRECALCULOS!$D$24="Precios Iva Incluído",BJ37,BE37)</f>
        <v>244</v>
      </c>
      <c r="CB37" s="302">
        <f>IF(COT_PRECALCULOS!$D$24="Precios Iva Incluído",BK37,BF37)</f>
        <v>366</v>
      </c>
      <c r="CC37" s="302">
        <f>IF(COT_PRECALCULOS!$D$24="Precios Iva Incluído",BL37,BG37)</f>
        <v>0</v>
      </c>
      <c r="CD37" s="302">
        <f>IF(COT_PRECALCULOS!$D$24="Precios Iva Incluído",BM37,BH37)</f>
        <v>0</v>
      </c>
      <c r="CE37" s="302">
        <f>IF(COT_PRECALCULOS!$D$24="Precios Iva Incluído",BT37,BN37)</f>
        <v>0</v>
      </c>
      <c r="CF37" s="302">
        <f>IF(COT_PRECALCULOS!$D$24="Precios Iva Incluído",BU37,BO37)</f>
        <v>0</v>
      </c>
      <c r="CG37" s="302">
        <f>IF(COT_PRECALCULOS!$D$24="Precios Iva Incluído",BV37,BP37)</f>
        <v>0</v>
      </c>
      <c r="CH37" s="302">
        <f>IF(COT_PRECALCULOS!$D$24="Precios Iva Incluído",BW37,BQ37)</f>
        <v>0</v>
      </c>
      <c r="CI37" s="302">
        <f>IF(COT_PRECALCULOS!$D$24="Precios Iva Incluído",BX37,BR37)</f>
        <v>0</v>
      </c>
    </row>
    <row r="38" spans="1:87">
      <c r="A38" s="183" t="s">
        <v>98</v>
      </c>
      <c r="B38" s="183" t="s">
        <v>98</v>
      </c>
      <c r="C38" s="183" t="str">
        <f t="shared" ref="C38" si="72">CONCATENATE(MID(E38,1,1),"_",G38)</f>
        <v>C_CSE3</v>
      </c>
      <c r="D38" s="183" t="str">
        <f t="shared" ref="D38" si="73">CONCATENATE(J38,"_",A38)</f>
        <v>61_NA</v>
      </c>
      <c r="E38" s="380" t="s">
        <v>1</v>
      </c>
      <c r="F38" s="380" t="s">
        <v>1607</v>
      </c>
      <c r="G38" s="183" t="s">
        <v>1370</v>
      </c>
      <c r="H38" s="380" t="s">
        <v>57</v>
      </c>
      <c r="I38" s="380"/>
      <c r="J38" s="380">
        <v>61</v>
      </c>
      <c r="K38" s="190" t="s">
        <v>13</v>
      </c>
      <c r="L38" s="183" t="s">
        <v>9</v>
      </c>
      <c r="M38" s="380">
        <v>20</v>
      </c>
      <c r="N38" s="380">
        <v>30</v>
      </c>
      <c r="O38" s="380">
        <v>70</v>
      </c>
      <c r="P38" s="382"/>
      <c r="Q38" s="382"/>
      <c r="R38" s="380"/>
      <c r="S38" s="184">
        <f>COUNTIF(CAL_SEGUNDA_ENTREGA_LAV_FRUTA,CONCATENATE(G38,"_",J38))</f>
        <v>0</v>
      </c>
      <c r="T38" s="381">
        <f t="shared" si="68"/>
        <v>0</v>
      </c>
      <c r="U38" s="381">
        <f t="shared" si="68"/>
        <v>0</v>
      </c>
      <c r="V38" s="381">
        <f t="shared" si="68"/>
        <v>0</v>
      </c>
      <c r="W38" s="382"/>
      <c r="X38" s="382"/>
      <c r="Y38" s="185">
        <v>28053</v>
      </c>
      <c r="Z38" s="185">
        <v>31277</v>
      </c>
      <c r="AA38" s="185">
        <v>46469</v>
      </c>
      <c r="AB38" s="185">
        <v>0</v>
      </c>
      <c r="AC38" s="185">
        <v>0</v>
      </c>
      <c r="AD38" s="185">
        <v>105799</v>
      </c>
      <c r="AE38" s="184">
        <f t="shared" si="11"/>
        <v>0</v>
      </c>
      <c r="AF38" s="381">
        <f t="shared" si="69"/>
        <v>0</v>
      </c>
      <c r="AG38" s="381">
        <f t="shared" si="69"/>
        <v>0</v>
      </c>
      <c r="AH38" s="381">
        <f t="shared" si="69"/>
        <v>0</v>
      </c>
      <c r="AI38" s="186">
        <v>0</v>
      </c>
      <c r="AJ38" s="186">
        <v>0</v>
      </c>
      <c r="AK38" s="186">
        <v>0</v>
      </c>
      <c r="AL38" s="186">
        <v>0</v>
      </c>
      <c r="AM38" s="174">
        <f t="shared" si="67"/>
        <v>0</v>
      </c>
      <c r="AN38" s="174">
        <f t="shared" si="18"/>
        <v>0</v>
      </c>
      <c r="AO38" s="174">
        <f t="shared" si="19"/>
        <v>0</v>
      </c>
      <c r="AP38" s="174">
        <f t="shared" ref="AP38" si="74">($S38*AB38)</f>
        <v>0</v>
      </c>
      <c r="AQ38" s="174">
        <f t="shared" ref="AQ38" si="75">($S38*AC38)</f>
        <v>0</v>
      </c>
      <c r="AR38" s="174">
        <f t="shared" ref="AR38" si="76">AM38+AN38+AO38+AP38+AQ38</f>
        <v>0</v>
      </c>
      <c r="AS38" s="187" t="s">
        <v>84</v>
      </c>
      <c r="AT38" s="298">
        <f t="shared" si="71"/>
        <v>10.4</v>
      </c>
      <c r="AU38" s="298">
        <f t="shared" si="71"/>
        <v>10.4</v>
      </c>
      <c r="AV38" s="298">
        <f t="shared" si="71"/>
        <v>10.4</v>
      </c>
      <c r="AW38" s="298">
        <f t="shared" si="71"/>
        <v>10.4</v>
      </c>
      <c r="AX38" s="298">
        <f t="shared" si="71"/>
        <v>10.4</v>
      </c>
      <c r="AY38" s="299">
        <f t="shared" si="70"/>
        <v>12.063999999999998</v>
      </c>
      <c r="AZ38" s="299">
        <f t="shared" si="70"/>
        <v>12.063999999999998</v>
      </c>
      <c r="BA38" s="299">
        <f t="shared" si="70"/>
        <v>12.063999999999998</v>
      </c>
      <c r="BB38" s="299">
        <f t="shared" si="70"/>
        <v>12.063999999999998</v>
      </c>
      <c r="BC38" s="299">
        <f t="shared" si="70"/>
        <v>12.063999999999998</v>
      </c>
      <c r="BD38" s="188">
        <f t="shared" si="50"/>
        <v>222</v>
      </c>
      <c r="BE38" s="188">
        <f t="shared" si="26"/>
        <v>334</v>
      </c>
      <c r="BF38" s="188">
        <f t="shared" si="27"/>
        <v>779</v>
      </c>
      <c r="BG38" s="188"/>
      <c r="BH38" s="188"/>
      <c r="BI38" s="188">
        <f t="shared" si="51"/>
        <v>258</v>
      </c>
      <c r="BJ38" s="188">
        <f t="shared" si="52"/>
        <v>387</v>
      </c>
      <c r="BK38" s="188">
        <f t="shared" si="53"/>
        <v>903</v>
      </c>
      <c r="BL38" s="188"/>
      <c r="BM38" s="188"/>
      <c r="BN38" s="189">
        <f t="shared" si="35"/>
        <v>0</v>
      </c>
      <c r="BO38" s="189">
        <f t="shared" si="36"/>
        <v>0</v>
      </c>
      <c r="BP38" s="189">
        <f t="shared" si="37"/>
        <v>0</v>
      </c>
      <c r="BQ38" s="189">
        <f t="shared" si="38"/>
        <v>0</v>
      </c>
      <c r="BR38" s="189">
        <f t="shared" si="39"/>
        <v>0</v>
      </c>
      <c r="BS38" s="189">
        <f t="shared" ref="BS38" si="77">SUM(BN38:BR38)</f>
        <v>0</v>
      </c>
      <c r="BT38" s="189">
        <f t="shared" ref="BT38" si="78">BI38*AM38</f>
        <v>0</v>
      </c>
      <c r="BU38" s="189">
        <f t="shared" ref="BU38" si="79">BJ38*AN38</f>
        <v>0</v>
      </c>
      <c r="BV38" s="189">
        <f t="shared" ref="BV38" si="80">BK38*AO38</f>
        <v>0</v>
      </c>
      <c r="BW38" s="189">
        <f t="shared" ref="BW38" si="81">BL38*AP38</f>
        <v>0</v>
      </c>
      <c r="BX38" s="189">
        <f t="shared" ref="BX38" si="82">BM38*AQ38</f>
        <v>0</v>
      </c>
      <c r="BY38" s="189">
        <f t="shared" ref="BY38" si="83">SUM(BT38:BX38)</f>
        <v>0</v>
      </c>
      <c r="BZ38" s="302">
        <f>IF(COT_PRECALCULOS!$D$24="Precios Iva Incluído",BI38,BD38)</f>
        <v>222</v>
      </c>
      <c r="CA38" s="302">
        <f>IF(COT_PRECALCULOS!$D$24="Precios Iva Incluído",BJ38,BE38)</f>
        <v>334</v>
      </c>
      <c r="CB38" s="302">
        <f>IF(COT_PRECALCULOS!$D$24="Precios Iva Incluído",BK38,BF38)</f>
        <v>779</v>
      </c>
      <c r="CC38" s="302">
        <f>IF(COT_PRECALCULOS!$D$24="Precios Iva Incluído",BL38,BG38)</f>
        <v>0</v>
      </c>
      <c r="CD38" s="302">
        <f>IF(COT_PRECALCULOS!$D$24="Precios Iva Incluído",BM38,BH38)</f>
        <v>0</v>
      </c>
      <c r="CE38" s="302">
        <f>IF(COT_PRECALCULOS!$D$24="Precios Iva Incluído",BT38,BN38)</f>
        <v>0</v>
      </c>
      <c r="CF38" s="302">
        <f>IF(COT_PRECALCULOS!$D$24="Precios Iva Incluído",BU38,BO38)</f>
        <v>0</v>
      </c>
      <c r="CG38" s="302">
        <f>IF(COT_PRECALCULOS!$D$24="Precios Iva Incluído",BV38,BP38)</f>
        <v>0</v>
      </c>
      <c r="CH38" s="302">
        <f>IF(COT_PRECALCULOS!$D$24="Precios Iva Incluído",BW38,BQ38)</f>
        <v>0</v>
      </c>
      <c r="CI38" s="302">
        <f>IF(COT_PRECALCULOS!$D$24="Precios Iva Incluído",BX38,BR38)</f>
        <v>0</v>
      </c>
    </row>
    <row r="39" spans="1:87">
      <c r="G39" s="2"/>
      <c r="CE39" s="223"/>
    </row>
    <row r="40" spans="1:87">
      <c r="G40" s="2"/>
      <c r="BS40" s="83"/>
    </row>
    <row r="41" spans="1:87">
      <c r="G41" s="2"/>
      <c r="BS41" s="83"/>
    </row>
    <row r="42" spans="1:87">
      <c r="G42" s="2"/>
      <c r="BS42" s="83"/>
    </row>
    <row r="43" spans="1:87">
      <c r="G43" s="2"/>
      <c r="BS43" s="83"/>
    </row>
    <row r="44" spans="1:87">
      <c r="G44" s="2"/>
      <c r="BS44" s="83"/>
    </row>
    <row r="45" spans="1:87">
      <c r="G45" s="2"/>
      <c r="BS45" s="83"/>
    </row>
    <row r="46" spans="1:87">
      <c r="G46" s="2"/>
      <c r="BS46" s="83"/>
    </row>
    <row r="47" spans="1:87">
      <c r="G47" s="2"/>
      <c r="BS47" s="83"/>
    </row>
    <row r="48" spans="1:87">
      <c r="G48" s="2"/>
    </row>
    <row r="49" spans="7:7">
      <c r="G49" s="2"/>
    </row>
    <row r="50" spans="7:7">
      <c r="G50" s="2"/>
    </row>
    <row r="51" spans="7:7">
      <c r="G51" s="2"/>
    </row>
    <row r="52" spans="7:7">
      <c r="G52" s="2"/>
    </row>
    <row r="53" spans="7:7">
      <c r="G53" s="2"/>
    </row>
    <row r="54" spans="7:7">
      <c r="G54" s="2"/>
    </row>
    <row r="55" spans="7:7">
      <c r="G55" s="2"/>
    </row>
    <row r="56" spans="7:7">
      <c r="G56" s="2"/>
    </row>
    <row r="57" spans="7:7">
      <c r="G57" s="2"/>
    </row>
    <row r="58" spans="7:7">
      <c r="G58" s="2"/>
    </row>
    <row r="59" spans="7:7">
      <c r="G59" s="2"/>
    </row>
    <row r="60" spans="7:7">
      <c r="G60" s="2"/>
    </row>
    <row r="61" spans="7:7">
      <c r="G61" s="2"/>
    </row>
    <row r="62" spans="7:7">
      <c r="G62" s="2"/>
    </row>
    <row r="63" spans="7:7">
      <c r="G63" s="2"/>
    </row>
    <row r="64" spans="7:7">
      <c r="G64" s="2"/>
    </row>
    <row r="65" spans="7:7">
      <c r="G65" s="2"/>
    </row>
    <row r="66" spans="7:7">
      <c r="G66" s="2"/>
    </row>
    <row r="67" spans="7:7">
      <c r="G67" s="2"/>
    </row>
    <row r="68" spans="7:7">
      <c r="G68" s="2"/>
    </row>
    <row r="69" spans="7:7">
      <c r="G69" s="2"/>
    </row>
    <row r="70" spans="7:7">
      <c r="G70" s="2"/>
    </row>
    <row r="71" spans="7:7">
      <c r="G71" s="2"/>
    </row>
    <row r="72" spans="7:7">
      <c r="G72" s="2"/>
    </row>
    <row r="73" spans="7:7">
      <c r="G73" s="2"/>
    </row>
  </sheetData>
  <sortState ref="A13:DZ466">
    <sortCondition ref="F13:F466"/>
  </sortState>
  <mergeCells count="22">
    <mergeCell ref="AS9:BY9"/>
    <mergeCell ref="AT10:AX10"/>
    <mergeCell ref="AY10:BC10"/>
    <mergeCell ref="BD10:BH10"/>
    <mergeCell ref="BI10:BM10"/>
    <mergeCell ref="BN10:BS10"/>
    <mergeCell ref="BZ10:CD10"/>
    <mergeCell ref="CE10:CI10"/>
    <mergeCell ref="C2:E2"/>
    <mergeCell ref="AM9:AR9"/>
    <mergeCell ref="A3:Q3"/>
    <mergeCell ref="A4:Q4"/>
    <mergeCell ref="A6:Q6"/>
    <mergeCell ref="M9:Q9"/>
    <mergeCell ref="AI9:AL9"/>
    <mergeCell ref="Y9:AD9"/>
    <mergeCell ref="A7:Q7"/>
    <mergeCell ref="A5:Q5"/>
    <mergeCell ref="AE9:AH9"/>
    <mergeCell ref="S9:X9"/>
    <mergeCell ref="BD7:BM7"/>
    <mergeCell ref="BT10:BY10"/>
  </mergeCells>
  <hyperlinks>
    <hyperlink ref="C2:E2" location="'INDICE_ MODELO'!D10" display="Ir a Índice"/>
  </hyperlinks>
  <pageMargins left="0.7" right="0.7" top="0.75" bottom="0.75" header="0.3" footer="0.3"/>
  <pageSetup paperSize="9" orientation="portrait" r:id="rId1"/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"/>
  <dimension ref="A1:AL2414"/>
  <sheetViews>
    <sheetView zoomScale="85" zoomScaleNormal="85" workbookViewId="0"/>
  </sheetViews>
  <sheetFormatPr baseColWidth="10" defaultColWidth="0" defaultRowHeight="15" zeroHeight="1"/>
  <cols>
    <col min="1" max="1" width="27" bestFit="1" customWidth="1"/>
    <col min="2" max="2" width="34.42578125" style="225" bestFit="1" customWidth="1"/>
    <col min="3" max="3" width="47.85546875" style="225" bestFit="1" customWidth="1"/>
    <col min="4" max="4" width="11.5703125" customWidth="1"/>
    <col min="5" max="5" width="34.85546875" customWidth="1"/>
    <col min="6" max="6" width="9.42578125" customWidth="1"/>
    <col min="7" max="7" width="15.7109375" style="66" customWidth="1"/>
    <col min="8" max="8" width="10.42578125" customWidth="1"/>
    <col min="9" max="9" width="18.7109375" customWidth="1"/>
    <col min="10" max="10" width="10.85546875" customWidth="1"/>
    <col min="11" max="11" width="74" customWidth="1"/>
    <col min="12" max="12" width="17.42578125" customWidth="1"/>
    <col min="13" max="13" width="12.85546875" customWidth="1"/>
    <col min="14" max="14" width="18.85546875" customWidth="1"/>
    <col min="15" max="15" width="17.5703125" style="225" customWidth="1"/>
    <col min="16" max="16" width="16.5703125" style="66" customWidth="1"/>
    <col min="17" max="17" width="13.42578125" style="66" customWidth="1"/>
    <col min="18" max="18" width="11.7109375" customWidth="1"/>
    <col min="19" max="20" width="14.5703125" customWidth="1"/>
    <col min="21" max="21" width="12.42578125" customWidth="1"/>
    <col min="22" max="23" width="14.5703125" customWidth="1"/>
    <col min="24" max="24" width="38" customWidth="1"/>
    <col min="25" max="25" width="25.5703125" customWidth="1"/>
    <col min="26" max="26" width="13.28515625" customWidth="1"/>
    <col min="27" max="27" width="18.42578125" style="225" customWidth="1"/>
    <col min="28" max="28" width="17.42578125" customWidth="1"/>
    <col min="29" max="29" width="16" customWidth="1"/>
    <col min="30" max="30" width="18.28515625" style="225" customWidth="1"/>
    <col min="31" max="31" width="19.5703125" customWidth="1"/>
    <col min="32" max="32" width="37.85546875" customWidth="1"/>
    <col min="33" max="38" width="0" hidden="1" customWidth="1"/>
    <col min="39" max="16384" width="11" hidden="1"/>
  </cols>
  <sheetData>
    <row r="1" spans="1:32" ht="15.75">
      <c r="A1" s="69"/>
      <c r="B1" s="70"/>
      <c r="C1" s="70"/>
      <c r="D1" s="70"/>
      <c r="E1" s="70"/>
      <c r="F1" s="51"/>
      <c r="G1" s="51"/>
      <c r="H1" s="70"/>
      <c r="I1" s="70"/>
      <c r="J1" s="70"/>
      <c r="K1" s="70"/>
      <c r="L1" s="70"/>
      <c r="M1" s="70"/>
      <c r="N1" s="70"/>
      <c r="O1" s="70"/>
      <c r="P1" s="70"/>
      <c r="Q1" s="70"/>
      <c r="R1" s="70"/>
      <c r="S1" s="70"/>
      <c r="T1" s="72"/>
      <c r="U1" s="72"/>
      <c r="V1" s="72"/>
      <c r="W1" s="72"/>
      <c r="X1" s="51"/>
      <c r="Y1" s="51"/>
      <c r="Z1" s="51"/>
      <c r="AA1" s="51"/>
      <c r="AB1" s="51"/>
      <c r="AC1" s="51"/>
      <c r="AD1" s="51"/>
      <c r="AE1" s="51"/>
      <c r="AF1" s="52"/>
    </row>
    <row r="2" spans="1:32" ht="20.25">
      <c r="A2" s="67"/>
      <c r="B2" s="86"/>
      <c r="C2" s="86"/>
      <c r="D2" s="474" t="s">
        <v>1502</v>
      </c>
      <c r="E2" s="474"/>
      <c r="F2" s="53"/>
      <c r="G2" s="53"/>
      <c r="H2" s="68"/>
      <c r="I2" s="68"/>
      <c r="J2" s="68"/>
      <c r="K2" s="68"/>
      <c r="L2" s="68"/>
      <c r="M2" s="68"/>
      <c r="N2" s="68"/>
      <c r="O2" s="86"/>
      <c r="P2" s="68"/>
      <c r="Q2" s="68"/>
      <c r="R2" s="516"/>
      <c r="S2" s="516"/>
      <c r="T2" s="71"/>
      <c r="U2" s="71"/>
      <c r="V2" s="71"/>
      <c r="W2" s="71"/>
      <c r="X2" s="53"/>
      <c r="Y2" s="53"/>
      <c r="Z2" s="53"/>
      <c r="AA2" s="53"/>
      <c r="AB2" s="53"/>
      <c r="AC2" s="53"/>
      <c r="AD2" s="53"/>
      <c r="AE2" s="53"/>
      <c r="AF2" s="54"/>
    </row>
    <row r="3" spans="1:32" ht="22.5">
      <c r="A3" s="463" t="s">
        <v>1968</v>
      </c>
      <c r="B3" s="464"/>
      <c r="C3" s="464"/>
      <c r="D3" s="464"/>
      <c r="E3" s="464"/>
      <c r="F3" s="464"/>
      <c r="G3" s="464"/>
      <c r="H3" s="464"/>
      <c r="I3" s="464"/>
      <c r="J3" s="464"/>
      <c r="K3" s="464"/>
      <c r="L3" s="464"/>
      <c r="M3" s="464"/>
      <c r="N3" s="464"/>
      <c r="O3" s="464"/>
      <c r="P3" s="464"/>
      <c r="Q3" s="464"/>
      <c r="R3" s="313"/>
      <c r="S3" s="313"/>
      <c r="T3" s="304"/>
      <c r="U3" s="304"/>
      <c r="V3" s="103"/>
      <c r="W3" s="103"/>
      <c r="X3" s="103"/>
      <c r="Y3" s="103"/>
      <c r="Z3" s="103"/>
      <c r="AA3" s="103"/>
      <c r="AB3" s="103"/>
      <c r="AC3" s="103"/>
      <c r="AD3" s="103"/>
      <c r="AE3" s="103"/>
      <c r="AF3" s="104"/>
    </row>
    <row r="4" spans="1:32" ht="22.5">
      <c r="A4" s="463" t="s">
        <v>1969</v>
      </c>
      <c r="B4" s="464"/>
      <c r="C4" s="464"/>
      <c r="D4" s="464"/>
      <c r="E4" s="464"/>
      <c r="F4" s="464"/>
      <c r="G4" s="464"/>
      <c r="H4" s="464"/>
      <c r="I4" s="464"/>
      <c r="J4" s="464"/>
      <c r="K4" s="464"/>
      <c r="L4" s="464"/>
      <c r="M4" s="464"/>
      <c r="N4" s="464"/>
      <c r="O4" s="464"/>
      <c r="P4" s="464"/>
      <c r="Q4" s="464"/>
      <c r="R4" s="306"/>
      <c r="S4" s="306"/>
      <c r="T4" s="304"/>
      <c r="U4" s="304"/>
      <c r="V4" s="103"/>
      <c r="W4" s="103"/>
      <c r="X4" s="103"/>
      <c r="Y4" s="103"/>
      <c r="Z4" s="103"/>
      <c r="AA4" s="103"/>
      <c r="AB4" s="103"/>
      <c r="AC4" s="103"/>
      <c r="AD4" s="103"/>
      <c r="AE4" s="103"/>
      <c r="AF4" s="104"/>
    </row>
    <row r="5" spans="1:32" ht="23.25">
      <c r="A5" s="463" t="s">
        <v>1970</v>
      </c>
      <c r="B5" s="464"/>
      <c r="C5" s="464"/>
      <c r="D5" s="464"/>
      <c r="E5" s="464"/>
      <c r="F5" s="464"/>
      <c r="G5" s="464"/>
      <c r="H5" s="464"/>
      <c r="I5" s="464"/>
      <c r="J5" s="464"/>
      <c r="K5" s="464"/>
      <c r="L5" s="464"/>
      <c r="M5" s="464"/>
      <c r="N5" s="464"/>
      <c r="O5" s="464"/>
      <c r="P5" s="464"/>
      <c r="Q5" s="464"/>
      <c r="R5" s="306"/>
      <c r="S5" s="306"/>
      <c r="T5" s="191"/>
      <c r="U5" s="191"/>
      <c r="V5" s="64"/>
      <c r="W5" s="64"/>
      <c r="X5" s="65"/>
      <c r="Y5" s="65"/>
      <c r="Z5" s="65"/>
      <c r="AA5" s="65"/>
      <c r="AB5" s="65"/>
      <c r="AC5" s="65"/>
      <c r="AD5" s="65"/>
      <c r="AE5" s="65"/>
      <c r="AF5" s="54"/>
    </row>
    <row r="6" spans="1:32" ht="22.5">
      <c r="A6" s="463"/>
      <c r="B6" s="464"/>
      <c r="C6" s="464"/>
      <c r="D6" s="464"/>
      <c r="E6" s="464"/>
      <c r="F6" s="464"/>
      <c r="G6" s="464"/>
      <c r="H6" s="464"/>
      <c r="I6" s="464"/>
      <c r="J6" s="464"/>
      <c r="K6" s="464"/>
      <c r="L6" s="464"/>
      <c r="M6" s="464"/>
      <c r="N6" s="464"/>
      <c r="O6" s="464"/>
      <c r="P6" s="464"/>
      <c r="Q6" s="464"/>
      <c r="R6" s="306"/>
      <c r="S6" s="306"/>
      <c r="T6" s="304"/>
      <c r="U6" s="304"/>
      <c r="V6" s="103"/>
      <c r="W6" s="103"/>
      <c r="X6" s="103"/>
      <c r="Y6" s="103"/>
      <c r="Z6" s="103"/>
      <c r="AA6" s="103"/>
      <c r="AB6" s="103"/>
      <c r="AC6" s="103"/>
      <c r="AD6" s="103"/>
      <c r="AE6" s="103"/>
      <c r="AF6" s="104"/>
    </row>
    <row r="7" spans="1:32" ht="22.5">
      <c r="A7" s="463" t="str">
        <f>CONCATENATE("CONSOLIDADO DE COTIZACIONES"," : ",RES_RESUMEN_PRESUPUESTO_2!A1)</f>
        <v>CONSOLIDADO DE COTIZACIONES : CEREAL EMPACADO</v>
      </c>
      <c r="B7" s="464"/>
      <c r="C7" s="464"/>
      <c r="D7" s="464"/>
      <c r="E7" s="464"/>
      <c r="F7" s="464"/>
      <c r="G7" s="464"/>
      <c r="H7" s="464"/>
      <c r="I7" s="464"/>
      <c r="J7" s="464"/>
      <c r="K7" s="464"/>
      <c r="L7" s="464"/>
      <c r="M7" s="464"/>
      <c r="N7" s="464"/>
      <c r="O7" s="464"/>
      <c r="P7" s="464"/>
      <c r="Q7" s="464"/>
      <c r="R7" s="306"/>
      <c r="S7" s="306"/>
      <c r="T7" s="305"/>
      <c r="U7" s="305"/>
      <c r="V7" s="73"/>
      <c r="W7" s="73"/>
      <c r="X7" s="53"/>
      <c r="Y7" s="53"/>
      <c r="Z7" s="53"/>
      <c r="AA7" s="53"/>
      <c r="AB7" s="53"/>
      <c r="AC7" s="53"/>
      <c r="AD7" s="53"/>
      <c r="AE7" s="53"/>
      <c r="AF7" s="54"/>
    </row>
    <row r="8" spans="1:32" ht="18">
      <c r="A8" s="74"/>
      <c r="B8" s="234"/>
      <c r="C8" s="234"/>
      <c r="D8" s="73"/>
      <c r="E8" s="73"/>
      <c r="F8" s="53"/>
      <c r="G8" s="53"/>
      <c r="H8" s="73"/>
      <c r="I8" s="73"/>
      <c r="J8" s="73"/>
      <c r="K8" s="73"/>
      <c r="L8" s="73"/>
      <c r="M8" s="73"/>
      <c r="N8" s="73"/>
      <c r="O8" s="234"/>
      <c r="P8" s="73"/>
      <c r="Q8" s="73"/>
      <c r="R8" s="306"/>
      <c r="S8" s="306"/>
      <c r="T8" s="305"/>
      <c r="U8" s="305"/>
      <c r="V8" s="73"/>
      <c r="W8" s="73"/>
      <c r="X8" s="53"/>
      <c r="Y8" s="53"/>
      <c r="Z8" s="53"/>
      <c r="AA8" s="53"/>
      <c r="AB8" s="53"/>
      <c r="AC8" s="53"/>
      <c r="AD8" s="53"/>
      <c r="AE8" s="53"/>
      <c r="AF8" s="54"/>
    </row>
    <row r="9" spans="1:32" ht="15.75">
      <c r="A9" s="67"/>
      <c r="B9" s="86"/>
      <c r="C9" s="86"/>
      <c r="D9" s="68"/>
      <c r="E9" s="68"/>
      <c r="F9" s="53"/>
      <c r="G9" s="53"/>
      <c r="H9" s="68"/>
      <c r="I9" s="68"/>
      <c r="J9" s="68"/>
      <c r="K9" s="68"/>
      <c r="L9" s="68"/>
      <c r="M9" s="68"/>
      <c r="N9" s="68"/>
      <c r="O9" s="86"/>
      <c r="P9" s="68"/>
      <c r="Q9" s="68"/>
      <c r="R9" s="77"/>
      <c r="S9" s="77"/>
      <c r="T9" s="191"/>
      <c r="U9" s="191"/>
      <c r="V9" s="71"/>
      <c r="W9" s="71"/>
      <c r="X9" s="53"/>
      <c r="Y9" s="53"/>
      <c r="Z9" s="53"/>
      <c r="AA9" s="53"/>
      <c r="AB9" s="53"/>
      <c r="AC9" s="53"/>
      <c r="AD9" s="53"/>
      <c r="AE9" s="53"/>
      <c r="AF9" s="54"/>
    </row>
    <row r="10" spans="1:32" ht="15.75">
      <c r="A10" s="10"/>
      <c r="B10" s="11"/>
      <c r="C10" s="11"/>
      <c r="D10" s="11"/>
      <c r="E10" s="11"/>
      <c r="F10" s="55"/>
      <c r="G10" s="55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50"/>
      <c r="U10" s="50"/>
      <c r="V10" s="50"/>
      <c r="W10" s="50"/>
      <c r="X10" s="55"/>
      <c r="Y10" s="55"/>
      <c r="Z10" s="55"/>
      <c r="AA10" s="55"/>
      <c r="AB10" s="55"/>
      <c r="AC10" s="55"/>
      <c r="AD10" s="55"/>
      <c r="AE10" s="55"/>
      <c r="AF10" s="56"/>
    </row>
    <row r="11" spans="1:32" ht="5.25" customHeight="1">
      <c r="A11" s="43"/>
      <c r="B11" s="75"/>
      <c r="C11" s="75"/>
      <c r="D11" s="43"/>
      <c r="E11" s="43"/>
      <c r="F11" s="43"/>
      <c r="G11" s="75"/>
      <c r="H11" s="43"/>
      <c r="I11" s="43"/>
      <c r="J11" s="43"/>
      <c r="K11" s="43"/>
      <c r="L11" s="43"/>
      <c r="M11" s="43"/>
      <c r="N11" s="43"/>
      <c r="O11" s="75"/>
      <c r="P11" s="75"/>
      <c r="Q11" s="75"/>
      <c r="R11" s="43"/>
      <c r="S11" s="43"/>
      <c r="T11" s="43"/>
      <c r="U11" s="43"/>
      <c r="V11" s="43"/>
      <c r="W11" s="43"/>
      <c r="X11" s="43"/>
      <c r="Y11" s="43"/>
      <c r="Z11" s="43"/>
      <c r="AA11" s="75"/>
      <c r="AB11" s="43"/>
      <c r="AC11" s="43"/>
      <c r="AD11" s="75"/>
      <c r="AE11" s="43"/>
      <c r="AF11" s="75"/>
    </row>
    <row r="12" spans="1:32" ht="27" customHeight="1">
      <c r="A12" s="61"/>
      <c r="B12" s="59"/>
      <c r="C12" s="59"/>
      <c r="D12" s="59"/>
      <c r="E12" s="59"/>
      <c r="F12" s="59"/>
      <c r="G12" s="59"/>
      <c r="H12" s="59"/>
      <c r="I12" s="59"/>
      <c r="J12" s="59"/>
      <c r="K12" s="59"/>
      <c r="L12" s="59"/>
      <c r="M12" s="59"/>
      <c r="N12" s="59"/>
      <c r="O12" s="59"/>
      <c r="P12" s="59"/>
      <c r="Q12" s="59"/>
      <c r="R12" s="513" t="s">
        <v>1980</v>
      </c>
      <c r="S12" s="514"/>
      <c r="T12" s="515"/>
      <c r="U12" s="510" t="s">
        <v>1981</v>
      </c>
      <c r="V12" s="511"/>
      <c r="W12" s="512"/>
      <c r="X12" s="59"/>
      <c r="Y12" s="59"/>
      <c r="Z12" s="59"/>
      <c r="AA12" s="59"/>
      <c r="AB12" s="59"/>
      <c r="AC12" s="59"/>
      <c r="AD12" s="59"/>
      <c r="AE12" s="60"/>
      <c r="AF12" s="60"/>
    </row>
    <row r="13" spans="1:32" ht="9" customHeight="1">
      <c r="A13" s="139"/>
      <c r="B13" s="139"/>
      <c r="C13" s="139"/>
      <c r="D13" s="139"/>
      <c r="E13" s="139"/>
      <c r="F13" s="43"/>
      <c r="G13" s="75"/>
      <c r="H13" s="139"/>
      <c r="I13" s="139"/>
      <c r="J13" s="139"/>
      <c r="K13" s="139"/>
      <c r="L13" s="140"/>
      <c r="M13" s="141"/>
      <c r="N13" s="140"/>
      <c r="O13" s="140"/>
      <c r="P13" s="140"/>
      <c r="Q13" s="140"/>
      <c r="R13" s="141"/>
      <c r="S13" s="141"/>
      <c r="T13" s="141"/>
      <c r="U13" s="141"/>
      <c r="V13" s="141"/>
      <c r="W13" s="141"/>
      <c r="X13" s="43"/>
      <c r="Y13" s="43"/>
      <c r="Z13" s="43"/>
      <c r="AA13" s="75"/>
      <c r="AB13" s="43"/>
      <c r="AC13" s="43"/>
      <c r="AD13" s="75"/>
      <c r="AE13" s="43"/>
      <c r="AF13" s="75"/>
    </row>
    <row r="14" spans="1:32" ht="45" customHeight="1">
      <c r="A14" s="142" t="s">
        <v>1982</v>
      </c>
      <c r="B14" s="130" t="s">
        <v>1975</v>
      </c>
      <c r="C14" s="132" t="s">
        <v>1659</v>
      </c>
      <c r="D14" s="142" t="s">
        <v>1372</v>
      </c>
      <c r="E14" s="143" t="s">
        <v>1976</v>
      </c>
      <c r="F14" s="132" t="s">
        <v>1386</v>
      </c>
      <c r="G14" s="132" t="s">
        <v>1657</v>
      </c>
      <c r="H14" s="142" t="s">
        <v>1379</v>
      </c>
      <c r="I14" s="144" t="s">
        <v>1379</v>
      </c>
      <c r="J14" s="142" t="s">
        <v>1391</v>
      </c>
      <c r="K14" s="143" t="s">
        <v>1380</v>
      </c>
      <c r="L14" s="132" t="s">
        <v>1978</v>
      </c>
      <c r="M14" s="130" t="s">
        <v>1387</v>
      </c>
      <c r="N14" s="132" t="s">
        <v>1977</v>
      </c>
      <c r="O14" s="132" t="s">
        <v>1979</v>
      </c>
      <c r="P14" s="132" t="s">
        <v>2451</v>
      </c>
      <c r="Q14" s="132" t="s">
        <v>1434</v>
      </c>
      <c r="R14" s="145" t="s">
        <v>1381</v>
      </c>
      <c r="S14" s="145" t="s">
        <v>1382</v>
      </c>
      <c r="T14" s="145" t="s">
        <v>1383</v>
      </c>
      <c r="U14" s="146" t="s">
        <v>1381</v>
      </c>
      <c r="V14" s="146" t="s">
        <v>1382</v>
      </c>
      <c r="W14" s="146" t="s">
        <v>1383</v>
      </c>
      <c r="X14" s="132" t="s">
        <v>1384</v>
      </c>
      <c r="Y14" s="132" t="s">
        <v>1392</v>
      </c>
      <c r="Z14" s="132" t="s">
        <v>1385</v>
      </c>
      <c r="AA14" s="132" t="s">
        <v>1721</v>
      </c>
      <c r="AB14" s="132" t="s">
        <v>1720</v>
      </c>
      <c r="AC14" s="132" t="s">
        <v>1388</v>
      </c>
      <c r="AD14" s="132" t="s">
        <v>1722</v>
      </c>
      <c r="AE14" s="132" t="s">
        <v>1723</v>
      </c>
      <c r="AF14" s="132" t="s">
        <v>1384</v>
      </c>
    </row>
    <row r="15" spans="1:32">
      <c r="A15" s="252" t="s">
        <v>1393</v>
      </c>
      <c r="B15" s="147" t="s">
        <v>1607</v>
      </c>
      <c r="C15" s="156" t="s">
        <v>1422</v>
      </c>
      <c r="D15" s="148">
        <v>479</v>
      </c>
      <c r="E15" s="149" t="s">
        <v>1647</v>
      </c>
      <c r="F15" s="148"/>
      <c r="G15" s="148"/>
      <c r="H15" s="148">
        <v>1</v>
      </c>
      <c r="I15" s="150" t="str">
        <f t="shared" ref="I15:I24" si="0">IF(AND(F15="SI",J15&lt;&gt;"",J15&lt;&gt;"NA"),CONCATENATE(H15,"_",J15),IF(F15="SI",H15,CONCATENATE(" REGISTRO COTIZACION NO EVALUADA: ",H15)))</f>
        <v xml:space="preserve"> REGISTRO COTIZACION NO EVALUADA: 1</v>
      </c>
      <c r="J15" s="148"/>
      <c r="K15" s="329" t="s">
        <v>16</v>
      </c>
      <c r="L15" s="148">
        <v>30</v>
      </c>
      <c r="M15" s="148" t="s">
        <v>9</v>
      </c>
      <c r="N15" s="148">
        <v>28</v>
      </c>
      <c r="O15" s="148" t="s">
        <v>84</v>
      </c>
      <c r="P15" s="148">
        <v>28</v>
      </c>
      <c r="Q15" s="151">
        <f t="shared" ref="Q15:Q24" si="1">(T15-S15)/S15</f>
        <v>0.05</v>
      </c>
      <c r="R15" s="152"/>
      <c r="S15" s="153">
        <v>860</v>
      </c>
      <c r="T15" s="159">
        <v>903</v>
      </c>
      <c r="U15" s="154"/>
      <c r="V15" s="155"/>
      <c r="W15" s="155"/>
      <c r="X15" s="156"/>
      <c r="Y15" s="156" t="s">
        <v>1646</v>
      </c>
      <c r="Z15" s="156" t="s">
        <v>1444</v>
      </c>
      <c r="AA15" s="271">
        <f t="shared" ref="AA15:AA24" si="2">S15/P15</f>
        <v>30.714285714285715</v>
      </c>
      <c r="AB15" s="271">
        <f t="shared" ref="AB15:AB24" si="3">T15/P15</f>
        <v>32.25</v>
      </c>
      <c r="AC15" s="157">
        <f t="shared" ref="AC15:AC24" si="4">P15</f>
        <v>28</v>
      </c>
      <c r="AD15" s="272">
        <f t="shared" ref="AD15:AD24" si="5">AA15*AC15</f>
        <v>860</v>
      </c>
      <c r="AE15" s="272">
        <f>AB15*AC15</f>
        <v>903</v>
      </c>
      <c r="AF15" s="332"/>
    </row>
    <row r="16" spans="1:32">
      <c r="A16" s="252" t="s">
        <v>1393</v>
      </c>
      <c r="B16" s="147" t="s">
        <v>1607</v>
      </c>
      <c r="C16" s="156" t="s">
        <v>1422</v>
      </c>
      <c r="D16" s="148">
        <v>407</v>
      </c>
      <c r="E16" s="158" t="s">
        <v>1571</v>
      </c>
      <c r="F16" s="148"/>
      <c r="G16" s="148"/>
      <c r="H16" s="148">
        <v>15</v>
      </c>
      <c r="I16" s="150" t="str">
        <f t="shared" si="0"/>
        <v xml:space="preserve"> REGISTRO COTIZACION NO EVALUADA: 15</v>
      </c>
      <c r="J16" s="148"/>
      <c r="K16" s="329" t="s">
        <v>66</v>
      </c>
      <c r="L16" s="148">
        <v>40</v>
      </c>
      <c r="M16" s="148" t="s">
        <v>9</v>
      </c>
      <c r="N16" s="148" t="s">
        <v>1413</v>
      </c>
      <c r="O16" s="148" t="s">
        <v>84</v>
      </c>
      <c r="P16" s="148">
        <v>50</v>
      </c>
      <c r="Q16" s="151">
        <f t="shared" si="1"/>
        <v>0.15999999999999981</v>
      </c>
      <c r="R16" s="152"/>
      <c r="S16" s="153">
        <v>1163.793103448276</v>
      </c>
      <c r="T16" s="159">
        <v>1350</v>
      </c>
      <c r="U16" s="161"/>
      <c r="V16" s="161"/>
      <c r="W16" s="161"/>
      <c r="X16" s="156" t="s">
        <v>1567</v>
      </c>
      <c r="Y16" s="156" t="s">
        <v>1646</v>
      </c>
      <c r="Z16" s="156" t="s">
        <v>1444</v>
      </c>
      <c r="AA16" s="271">
        <f t="shared" si="2"/>
        <v>23.27586206896552</v>
      </c>
      <c r="AB16" s="271">
        <f t="shared" si="3"/>
        <v>27</v>
      </c>
      <c r="AC16" s="157">
        <f t="shared" si="4"/>
        <v>50</v>
      </c>
      <c r="AD16" s="272">
        <f t="shared" si="5"/>
        <v>1163.793103448276</v>
      </c>
      <c r="AE16" s="272">
        <f t="shared" ref="AE16:AE23" si="6">AC16*AB16</f>
        <v>1350</v>
      </c>
      <c r="AF16" s="129"/>
    </row>
    <row r="17" spans="1:32">
      <c r="A17" s="252" t="s">
        <v>1393</v>
      </c>
      <c r="B17" s="147" t="s">
        <v>1607</v>
      </c>
      <c r="C17" s="156" t="s">
        <v>1422</v>
      </c>
      <c r="D17" s="148">
        <v>407</v>
      </c>
      <c r="E17" s="158" t="s">
        <v>1571</v>
      </c>
      <c r="F17" s="148"/>
      <c r="G17" s="148"/>
      <c r="H17" s="148">
        <v>15</v>
      </c>
      <c r="I17" s="150" t="str">
        <f t="shared" si="0"/>
        <v xml:space="preserve"> REGISTRO COTIZACION NO EVALUADA: 15</v>
      </c>
      <c r="J17" s="148"/>
      <c r="K17" s="329" t="s">
        <v>66</v>
      </c>
      <c r="L17" s="148">
        <v>80</v>
      </c>
      <c r="M17" s="148" t="s">
        <v>9</v>
      </c>
      <c r="N17" s="148" t="s">
        <v>1563</v>
      </c>
      <c r="O17" s="148" t="s">
        <v>84</v>
      </c>
      <c r="P17" s="148">
        <v>65</v>
      </c>
      <c r="Q17" s="151">
        <f t="shared" si="1"/>
        <v>0.15999999999999998</v>
      </c>
      <c r="R17" s="152"/>
      <c r="S17" s="153">
        <v>1436.2068965517242</v>
      </c>
      <c r="T17" s="159">
        <v>1666</v>
      </c>
      <c r="U17" s="161"/>
      <c r="V17" s="161"/>
      <c r="W17" s="161"/>
      <c r="X17" s="156" t="s">
        <v>1568</v>
      </c>
      <c r="Y17" s="156" t="s">
        <v>1646</v>
      </c>
      <c r="Z17" s="156" t="s">
        <v>1444</v>
      </c>
      <c r="AA17" s="271">
        <f t="shared" si="2"/>
        <v>22.095490716180372</v>
      </c>
      <c r="AB17" s="271">
        <f t="shared" si="3"/>
        <v>25.630769230769232</v>
      </c>
      <c r="AC17" s="157">
        <f t="shared" si="4"/>
        <v>65</v>
      </c>
      <c r="AD17" s="272">
        <f t="shared" si="5"/>
        <v>1436.2068965517242</v>
      </c>
      <c r="AE17" s="272">
        <f t="shared" si="6"/>
        <v>1666</v>
      </c>
      <c r="AF17" s="129"/>
    </row>
    <row r="18" spans="1:32">
      <c r="A18" s="252" t="s">
        <v>1393</v>
      </c>
      <c r="B18" s="147" t="s">
        <v>1607</v>
      </c>
      <c r="C18" s="156" t="s">
        <v>1422</v>
      </c>
      <c r="D18" s="148">
        <v>407</v>
      </c>
      <c r="E18" s="158" t="s">
        <v>1571</v>
      </c>
      <c r="F18" s="148"/>
      <c r="G18" s="148"/>
      <c r="H18" s="148">
        <v>21</v>
      </c>
      <c r="I18" s="150" t="str">
        <f t="shared" si="0"/>
        <v xml:space="preserve"> REGISTRO COTIZACION NO EVALUADA: 21</v>
      </c>
      <c r="J18" s="148"/>
      <c r="K18" s="329" t="s">
        <v>70</v>
      </c>
      <c r="L18" s="148">
        <v>50</v>
      </c>
      <c r="M18" s="148" t="s">
        <v>9</v>
      </c>
      <c r="N18" s="148" t="s">
        <v>1415</v>
      </c>
      <c r="O18" s="148" t="s">
        <v>105</v>
      </c>
      <c r="P18" s="148">
        <v>60</v>
      </c>
      <c r="Q18" s="151">
        <f t="shared" si="1"/>
        <v>0.15999999999999998</v>
      </c>
      <c r="R18" s="152"/>
      <c r="S18" s="153">
        <v>933.62068965517244</v>
      </c>
      <c r="T18" s="159">
        <v>1083</v>
      </c>
      <c r="U18" s="161"/>
      <c r="V18" s="161"/>
      <c r="W18" s="161"/>
      <c r="X18" s="156" t="s">
        <v>1569</v>
      </c>
      <c r="Y18" s="156" t="s">
        <v>1646</v>
      </c>
      <c r="Z18" s="156" t="s">
        <v>1444</v>
      </c>
      <c r="AA18" s="271">
        <f t="shared" si="2"/>
        <v>15.560344827586208</v>
      </c>
      <c r="AB18" s="271">
        <f t="shared" si="3"/>
        <v>18.05</v>
      </c>
      <c r="AC18" s="157">
        <f t="shared" si="4"/>
        <v>60</v>
      </c>
      <c r="AD18" s="272">
        <f t="shared" si="5"/>
        <v>933.62068965517244</v>
      </c>
      <c r="AE18" s="272">
        <f t="shared" si="6"/>
        <v>1083</v>
      </c>
      <c r="AF18" s="129"/>
    </row>
    <row r="19" spans="1:32">
      <c r="A19" s="252" t="s">
        <v>1393</v>
      </c>
      <c r="B19" s="147" t="s">
        <v>1607</v>
      </c>
      <c r="C19" s="156" t="s">
        <v>1422</v>
      </c>
      <c r="D19" s="148">
        <v>407</v>
      </c>
      <c r="E19" s="158" t="s">
        <v>1571</v>
      </c>
      <c r="F19" s="148"/>
      <c r="G19" s="148"/>
      <c r="H19" s="148">
        <v>21</v>
      </c>
      <c r="I19" s="150" t="str">
        <f t="shared" si="0"/>
        <v xml:space="preserve"> REGISTRO COTIZACION NO EVALUADA: 21</v>
      </c>
      <c r="J19" s="148"/>
      <c r="K19" s="329" t="s">
        <v>70</v>
      </c>
      <c r="L19" s="148">
        <v>30</v>
      </c>
      <c r="M19" s="148" t="s">
        <v>9</v>
      </c>
      <c r="N19" s="148" t="s">
        <v>1564</v>
      </c>
      <c r="O19" s="148" t="s">
        <v>105</v>
      </c>
      <c r="P19" s="148">
        <v>180</v>
      </c>
      <c r="Q19" s="151">
        <f t="shared" si="1"/>
        <v>0.15999999999999984</v>
      </c>
      <c r="R19" s="152"/>
      <c r="S19" s="153">
        <v>2801.7241379310349</v>
      </c>
      <c r="T19" s="159">
        <v>3250</v>
      </c>
      <c r="U19" s="161"/>
      <c r="V19" s="161"/>
      <c r="W19" s="161"/>
      <c r="X19" s="156" t="s">
        <v>1570</v>
      </c>
      <c r="Y19" s="156" t="s">
        <v>1646</v>
      </c>
      <c r="Z19" s="156" t="s">
        <v>1444</v>
      </c>
      <c r="AA19" s="271">
        <f t="shared" si="2"/>
        <v>15.565134099616861</v>
      </c>
      <c r="AB19" s="271">
        <f t="shared" si="3"/>
        <v>18.055555555555557</v>
      </c>
      <c r="AC19" s="157">
        <f t="shared" si="4"/>
        <v>180</v>
      </c>
      <c r="AD19" s="272">
        <f t="shared" si="5"/>
        <v>2801.7241379310349</v>
      </c>
      <c r="AE19" s="272">
        <f t="shared" si="6"/>
        <v>3250.0000000000005</v>
      </c>
      <c r="AF19" s="129"/>
    </row>
    <row r="20" spans="1:32">
      <c r="A20" s="332" t="s">
        <v>1393</v>
      </c>
      <c r="B20" s="147" t="s">
        <v>1607</v>
      </c>
      <c r="C20" s="156" t="s">
        <v>1422</v>
      </c>
      <c r="D20" s="148">
        <v>407</v>
      </c>
      <c r="E20" s="158" t="s">
        <v>1571</v>
      </c>
      <c r="F20" s="148" t="s">
        <v>105</v>
      </c>
      <c r="G20" s="148" t="s">
        <v>1430</v>
      </c>
      <c r="H20" s="148">
        <v>45</v>
      </c>
      <c r="I20" s="150">
        <f t="shared" si="0"/>
        <v>45</v>
      </c>
      <c r="J20" s="148"/>
      <c r="K20" s="329" t="s">
        <v>10</v>
      </c>
      <c r="L20" s="148">
        <v>50</v>
      </c>
      <c r="M20" s="148" t="s">
        <v>9</v>
      </c>
      <c r="N20" s="148" t="s">
        <v>1421</v>
      </c>
      <c r="O20" s="148" t="s">
        <v>84</v>
      </c>
      <c r="P20" s="148">
        <v>55</v>
      </c>
      <c r="Q20" s="151">
        <f t="shared" si="1"/>
        <v>0.15999999999999995</v>
      </c>
      <c r="R20" s="152"/>
      <c r="S20" s="153">
        <v>861.20689655172418</v>
      </c>
      <c r="T20" s="159">
        <v>999</v>
      </c>
      <c r="U20" s="161"/>
      <c r="V20" s="161"/>
      <c r="W20" s="161"/>
      <c r="X20" s="156" t="s">
        <v>1566</v>
      </c>
      <c r="Y20" s="156" t="s">
        <v>1646</v>
      </c>
      <c r="Z20" s="156" t="s">
        <v>1444</v>
      </c>
      <c r="AA20" s="271">
        <f t="shared" si="2"/>
        <v>15.658307210031349</v>
      </c>
      <c r="AB20" s="271">
        <f t="shared" si="3"/>
        <v>18.163636363636364</v>
      </c>
      <c r="AC20" s="157">
        <f t="shared" si="4"/>
        <v>55</v>
      </c>
      <c r="AD20" s="272">
        <f t="shared" si="5"/>
        <v>861.20689655172418</v>
      </c>
      <c r="AE20" s="272">
        <f t="shared" si="6"/>
        <v>999</v>
      </c>
      <c r="AF20" s="129"/>
    </row>
    <row r="21" spans="1:32">
      <c r="A21" s="332" t="s">
        <v>1393</v>
      </c>
      <c r="B21" s="147" t="s">
        <v>1607</v>
      </c>
      <c r="C21" s="156" t="s">
        <v>1422</v>
      </c>
      <c r="D21" s="148">
        <v>407</v>
      </c>
      <c r="E21" s="158" t="s">
        <v>1571</v>
      </c>
      <c r="F21" s="148" t="s">
        <v>105</v>
      </c>
      <c r="G21" s="148" t="s">
        <v>1430</v>
      </c>
      <c r="H21" s="148">
        <v>62</v>
      </c>
      <c r="I21" s="150">
        <f t="shared" si="0"/>
        <v>62</v>
      </c>
      <c r="J21" s="148"/>
      <c r="K21" s="329" t="s">
        <v>68</v>
      </c>
      <c r="L21" s="148" t="s">
        <v>1403</v>
      </c>
      <c r="M21" s="148" t="s">
        <v>9</v>
      </c>
      <c r="N21" s="148" t="s">
        <v>1562</v>
      </c>
      <c r="O21" s="148" t="s">
        <v>84</v>
      </c>
      <c r="P21" s="148">
        <v>34</v>
      </c>
      <c r="Q21" s="151">
        <f t="shared" si="1"/>
        <v>0.16</v>
      </c>
      <c r="R21" s="152"/>
      <c r="S21" s="153">
        <v>575</v>
      </c>
      <c r="T21" s="159">
        <v>667</v>
      </c>
      <c r="U21" s="161"/>
      <c r="V21" s="161"/>
      <c r="W21" s="161"/>
      <c r="X21" s="156" t="s">
        <v>1565</v>
      </c>
      <c r="Y21" s="156" t="s">
        <v>1646</v>
      </c>
      <c r="Z21" s="156" t="s">
        <v>1444</v>
      </c>
      <c r="AA21" s="271">
        <f t="shared" si="2"/>
        <v>16.911764705882351</v>
      </c>
      <c r="AB21" s="271">
        <f t="shared" si="3"/>
        <v>19.617647058823529</v>
      </c>
      <c r="AC21" s="157">
        <f t="shared" si="4"/>
        <v>34</v>
      </c>
      <c r="AD21" s="272">
        <f t="shared" si="5"/>
        <v>575</v>
      </c>
      <c r="AE21" s="272">
        <f t="shared" si="6"/>
        <v>667</v>
      </c>
      <c r="AF21" s="129"/>
    </row>
    <row r="22" spans="1:32" ht="27">
      <c r="A22" s="252" t="s">
        <v>1393</v>
      </c>
      <c r="B22" s="147" t="s">
        <v>1607</v>
      </c>
      <c r="C22" s="156" t="s">
        <v>1422</v>
      </c>
      <c r="D22" s="148">
        <v>605</v>
      </c>
      <c r="E22" s="158" t="s">
        <v>1690</v>
      </c>
      <c r="F22" s="148"/>
      <c r="G22" s="148"/>
      <c r="H22" s="148">
        <v>28</v>
      </c>
      <c r="I22" s="150" t="str">
        <f t="shared" si="0"/>
        <v xml:space="preserve"> REGISTRO COTIZACION NO EVALUADA: 28</v>
      </c>
      <c r="J22" s="148"/>
      <c r="K22" s="329" t="s">
        <v>67</v>
      </c>
      <c r="L22" s="148">
        <v>30</v>
      </c>
      <c r="M22" s="148" t="s">
        <v>9</v>
      </c>
      <c r="N22" s="148" t="s">
        <v>1412</v>
      </c>
      <c r="O22" s="148" t="s">
        <v>105</v>
      </c>
      <c r="P22" s="148">
        <v>30</v>
      </c>
      <c r="Q22" s="151">
        <f t="shared" si="1"/>
        <v>0.15999999999999995</v>
      </c>
      <c r="R22" s="152"/>
      <c r="S22" s="153">
        <v>295</v>
      </c>
      <c r="T22" s="159">
        <v>342.2</v>
      </c>
      <c r="U22" s="161"/>
      <c r="V22" s="161">
        <v>295</v>
      </c>
      <c r="W22" s="161">
        <v>342.2</v>
      </c>
      <c r="X22" s="156" t="s">
        <v>1644</v>
      </c>
      <c r="Y22" s="156" t="s">
        <v>1423</v>
      </c>
      <c r="Z22" s="156" t="s">
        <v>1444</v>
      </c>
      <c r="AA22" s="271">
        <f t="shared" si="2"/>
        <v>9.8333333333333339</v>
      </c>
      <c r="AB22" s="271">
        <f t="shared" si="3"/>
        <v>11.406666666666666</v>
      </c>
      <c r="AC22" s="157">
        <f t="shared" si="4"/>
        <v>30</v>
      </c>
      <c r="AD22" s="272">
        <f t="shared" si="5"/>
        <v>295</v>
      </c>
      <c r="AE22" s="272">
        <f t="shared" si="6"/>
        <v>342.2</v>
      </c>
      <c r="AF22" s="129"/>
    </row>
    <row r="23" spans="1:32">
      <c r="A23" s="252" t="s">
        <v>1393</v>
      </c>
      <c r="B23" s="147" t="s">
        <v>1607</v>
      </c>
      <c r="C23" s="156" t="s">
        <v>1422</v>
      </c>
      <c r="D23" s="148">
        <v>606</v>
      </c>
      <c r="E23" s="149" t="s">
        <v>1446</v>
      </c>
      <c r="F23" s="148"/>
      <c r="G23" s="148"/>
      <c r="H23" s="148">
        <v>26</v>
      </c>
      <c r="I23" s="150" t="str">
        <f t="shared" si="0"/>
        <v xml:space="preserve"> REGISTRO COTIZACION NO EVALUADA: 26</v>
      </c>
      <c r="J23" s="148"/>
      <c r="K23" s="329" t="s">
        <v>69</v>
      </c>
      <c r="L23" s="148" t="s">
        <v>1475</v>
      </c>
      <c r="M23" s="148" t="s">
        <v>9</v>
      </c>
      <c r="N23" s="148" t="s">
        <v>1486</v>
      </c>
      <c r="O23" s="148" t="s">
        <v>105</v>
      </c>
      <c r="P23" s="148">
        <v>360</v>
      </c>
      <c r="Q23" s="151">
        <f t="shared" si="1"/>
        <v>0.15999999999999998</v>
      </c>
      <c r="R23" s="152" t="s">
        <v>1481</v>
      </c>
      <c r="S23" s="153">
        <v>1680.1724137931035</v>
      </c>
      <c r="T23" s="159">
        <v>1949</v>
      </c>
      <c r="U23" s="154" t="s">
        <v>1481</v>
      </c>
      <c r="V23" s="155">
        <v>1680.1724137931035</v>
      </c>
      <c r="W23" s="155">
        <v>1949</v>
      </c>
      <c r="X23" s="156"/>
      <c r="Y23" s="156" t="s">
        <v>1423</v>
      </c>
      <c r="Z23" s="156" t="s">
        <v>1444</v>
      </c>
      <c r="AA23" s="271">
        <f t="shared" si="2"/>
        <v>4.6671455938697317</v>
      </c>
      <c r="AB23" s="271">
        <f t="shared" si="3"/>
        <v>5.4138888888888888</v>
      </c>
      <c r="AC23" s="157">
        <f t="shared" si="4"/>
        <v>360</v>
      </c>
      <c r="AD23" s="272">
        <f t="shared" si="5"/>
        <v>1680.1724137931035</v>
      </c>
      <c r="AE23" s="272">
        <f t="shared" si="6"/>
        <v>1949</v>
      </c>
      <c r="AF23" s="332"/>
    </row>
    <row r="24" spans="1:32">
      <c r="A24" s="332" t="s">
        <v>1393</v>
      </c>
      <c r="B24" s="147" t="s">
        <v>1607</v>
      </c>
      <c r="C24" s="156" t="s">
        <v>1422</v>
      </c>
      <c r="D24" s="148">
        <v>400</v>
      </c>
      <c r="E24" s="149" t="s">
        <v>1394</v>
      </c>
      <c r="F24" s="148" t="s">
        <v>105</v>
      </c>
      <c r="G24" s="148" t="s">
        <v>1430</v>
      </c>
      <c r="H24" s="148">
        <v>25</v>
      </c>
      <c r="I24" s="150">
        <f t="shared" si="0"/>
        <v>25</v>
      </c>
      <c r="J24" s="148"/>
      <c r="K24" s="329" t="s">
        <v>64</v>
      </c>
      <c r="L24" s="148">
        <v>40</v>
      </c>
      <c r="M24" s="148" t="s">
        <v>9</v>
      </c>
      <c r="N24" s="148" t="s">
        <v>1406</v>
      </c>
      <c r="O24" s="148" t="s">
        <v>84</v>
      </c>
      <c r="P24" s="148">
        <v>42</v>
      </c>
      <c r="Q24" s="151">
        <f t="shared" si="1"/>
        <v>0.16</v>
      </c>
      <c r="R24" s="152"/>
      <c r="S24" s="153">
        <v>525</v>
      </c>
      <c r="T24" s="159">
        <v>609</v>
      </c>
      <c r="U24" s="154"/>
      <c r="V24" s="155">
        <v>525</v>
      </c>
      <c r="W24" s="155">
        <v>608</v>
      </c>
      <c r="X24" s="156" t="s">
        <v>1425</v>
      </c>
      <c r="Y24" s="156" t="s">
        <v>1646</v>
      </c>
      <c r="Z24" s="156" t="s">
        <v>1444</v>
      </c>
      <c r="AA24" s="271">
        <f t="shared" si="2"/>
        <v>12.5</v>
      </c>
      <c r="AB24" s="271">
        <f t="shared" si="3"/>
        <v>14.5</v>
      </c>
      <c r="AC24" s="157">
        <f t="shared" si="4"/>
        <v>42</v>
      </c>
      <c r="AD24" s="272">
        <f t="shared" si="5"/>
        <v>525</v>
      </c>
      <c r="AE24" s="272">
        <f>AB24*AC24</f>
        <v>609</v>
      </c>
      <c r="AF24" s="332" t="s">
        <v>1442</v>
      </c>
    </row>
    <row r="25" spans="1:32">
      <c r="A25" s="332" t="s">
        <v>1393</v>
      </c>
      <c r="B25" s="147" t="s">
        <v>1607</v>
      </c>
      <c r="C25" s="156" t="s">
        <v>1422</v>
      </c>
      <c r="D25" s="148">
        <v>400</v>
      </c>
      <c r="E25" s="149" t="s">
        <v>1394</v>
      </c>
      <c r="F25" s="148" t="s">
        <v>105</v>
      </c>
      <c r="G25" s="148" t="s">
        <v>1430</v>
      </c>
      <c r="H25" s="148">
        <v>45</v>
      </c>
      <c r="I25" s="150">
        <f t="shared" ref="I25:I88" si="7">IF(AND(F25="SI",J25&lt;&gt;"",J25&lt;&gt;"NA"),CONCATENATE(H25,"_",J25),IF(F25="SI",H25,CONCATENATE(" REGISTRO COTIZACION NO EVALUADA: ",H25)))</f>
        <v>45</v>
      </c>
      <c r="J25" s="148"/>
      <c r="K25" s="329" t="s">
        <v>10</v>
      </c>
      <c r="L25" s="148">
        <v>50</v>
      </c>
      <c r="M25" s="148" t="s">
        <v>9</v>
      </c>
      <c r="N25" s="148" t="s">
        <v>1407</v>
      </c>
      <c r="O25" s="148" t="s">
        <v>84</v>
      </c>
      <c r="P25" s="148">
        <v>90</v>
      </c>
      <c r="Q25" s="151">
        <f t="shared" ref="Q25:Q88" si="8">(T25-S25)/S25</f>
        <v>0.15999999999999995</v>
      </c>
      <c r="R25" s="152"/>
      <c r="S25" s="153">
        <v>1213</v>
      </c>
      <c r="T25" s="159">
        <v>1407.08</v>
      </c>
      <c r="U25" s="154"/>
      <c r="V25" s="155">
        <v>1213</v>
      </c>
      <c r="W25" s="155">
        <v>1611</v>
      </c>
      <c r="X25" s="156" t="s">
        <v>1425</v>
      </c>
      <c r="Y25" s="156" t="s">
        <v>1646</v>
      </c>
      <c r="Z25" s="156" t="s">
        <v>1444</v>
      </c>
      <c r="AA25" s="271">
        <f t="shared" ref="AA25:AA88" si="9">S25/P25</f>
        <v>13.477777777777778</v>
      </c>
      <c r="AB25" s="271">
        <f t="shared" ref="AB25:AB88" si="10">T25/P25</f>
        <v>15.634222222222222</v>
      </c>
      <c r="AC25" s="157">
        <f t="shared" ref="AC25:AC88" si="11">P25</f>
        <v>90</v>
      </c>
      <c r="AD25" s="272">
        <f t="shared" ref="AD25:AD88" si="12">AA25*AC25</f>
        <v>1213</v>
      </c>
      <c r="AE25" s="272">
        <f>AB25*AC25</f>
        <v>1407.08</v>
      </c>
      <c r="AF25" s="332"/>
    </row>
    <row r="26" spans="1:32">
      <c r="A26" s="332" t="s">
        <v>1393</v>
      </c>
      <c r="B26" s="147" t="s">
        <v>1607</v>
      </c>
      <c r="C26" s="156" t="s">
        <v>1422</v>
      </c>
      <c r="D26" s="148">
        <v>400</v>
      </c>
      <c r="E26" s="149" t="s">
        <v>1394</v>
      </c>
      <c r="F26" s="148" t="s">
        <v>105</v>
      </c>
      <c r="G26" s="148" t="s">
        <v>1430</v>
      </c>
      <c r="H26" s="148">
        <v>50</v>
      </c>
      <c r="I26" s="150">
        <f t="shared" si="7"/>
        <v>50</v>
      </c>
      <c r="J26" s="148"/>
      <c r="K26" s="329" t="s">
        <v>65</v>
      </c>
      <c r="L26" s="148">
        <v>80</v>
      </c>
      <c r="M26" s="148" t="s">
        <v>9</v>
      </c>
      <c r="N26" s="148" t="s">
        <v>1408</v>
      </c>
      <c r="O26" s="148" t="s">
        <v>84</v>
      </c>
      <c r="P26" s="148">
        <v>90</v>
      </c>
      <c r="Q26" s="151">
        <f t="shared" si="8"/>
        <v>0.15999999999999984</v>
      </c>
      <c r="R26" s="152"/>
      <c r="S26" s="153">
        <v>1389</v>
      </c>
      <c r="T26" s="159">
        <v>1611.2399999999998</v>
      </c>
      <c r="U26" s="154" t="s">
        <v>1402</v>
      </c>
      <c r="V26" s="155">
        <v>1389</v>
      </c>
      <c r="W26" s="155">
        <v>1611</v>
      </c>
      <c r="X26" s="156" t="s">
        <v>1425</v>
      </c>
      <c r="Y26" s="156" t="s">
        <v>1646</v>
      </c>
      <c r="Z26" s="156" t="s">
        <v>1444</v>
      </c>
      <c r="AA26" s="271">
        <f t="shared" si="9"/>
        <v>15.433333333333334</v>
      </c>
      <c r="AB26" s="271">
        <f t="shared" si="10"/>
        <v>17.902666666666665</v>
      </c>
      <c r="AC26" s="157">
        <f t="shared" si="11"/>
        <v>90</v>
      </c>
      <c r="AD26" s="272">
        <f t="shared" si="12"/>
        <v>1389</v>
      </c>
      <c r="AE26" s="272">
        <f>AB26*AC26</f>
        <v>1611.2399999999998</v>
      </c>
      <c r="AF26" s="332"/>
    </row>
    <row r="27" spans="1:32" s="225" customFormat="1">
      <c r="A27" s="332" t="s">
        <v>1393</v>
      </c>
      <c r="B27" s="147" t="s">
        <v>1607</v>
      </c>
      <c r="C27" s="156" t="s">
        <v>1422</v>
      </c>
      <c r="D27" s="148">
        <v>400</v>
      </c>
      <c r="E27" s="149" t="s">
        <v>1394</v>
      </c>
      <c r="F27" s="148" t="s">
        <v>105</v>
      </c>
      <c r="G27" s="148" t="s">
        <v>1430</v>
      </c>
      <c r="H27" s="148">
        <v>61</v>
      </c>
      <c r="I27" s="150">
        <f t="shared" si="7"/>
        <v>61</v>
      </c>
      <c r="J27" s="148"/>
      <c r="K27" s="329" t="s">
        <v>13</v>
      </c>
      <c r="L27" s="148">
        <v>30</v>
      </c>
      <c r="M27" s="148" t="s">
        <v>9</v>
      </c>
      <c r="N27" s="148" t="s">
        <v>1409</v>
      </c>
      <c r="O27" s="148" t="s">
        <v>105</v>
      </c>
      <c r="P27" s="148">
        <v>30</v>
      </c>
      <c r="Q27" s="151">
        <f t="shared" si="8"/>
        <v>0.15999999999999998</v>
      </c>
      <c r="R27" s="152"/>
      <c r="S27" s="153">
        <v>411</v>
      </c>
      <c r="T27" s="159">
        <v>476.76</v>
      </c>
      <c r="U27" s="154" t="s">
        <v>1402</v>
      </c>
      <c r="V27" s="155">
        <v>411</v>
      </c>
      <c r="W27" s="155">
        <v>477</v>
      </c>
      <c r="X27" s="156"/>
      <c r="Y27" s="156" t="s">
        <v>1646</v>
      </c>
      <c r="Z27" s="156" t="s">
        <v>1444</v>
      </c>
      <c r="AA27" s="271">
        <f t="shared" si="9"/>
        <v>13.7</v>
      </c>
      <c r="AB27" s="271">
        <f t="shared" si="10"/>
        <v>15.891999999999999</v>
      </c>
      <c r="AC27" s="157">
        <f t="shared" si="11"/>
        <v>30</v>
      </c>
      <c r="AD27" s="272">
        <f t="shared" si="12"/>
        <v>411</v>
      </c>
      <c r="AE27" s="272">
        <f t="shared" ref="AE27:AE47" si="13">AC27*AB27</f>
        <v>476.76</v>
      </c>
      <c r="AF27" s="332"/>
    </row>
    <row r="28" spans="1:32">
      <c r="A28" s="332" t="s">
        <v>1393</v>
      </c>
      <c r="B28" s="147" t="s">
        <v>1607</v>
      </c>
      <c r="C28" s="156" t="s">
        <v>1422</v>
      </c>
      <c r="D28" s="148">
        <v>400</v>
      </c>
      <c r="E28" s="149" t="s">
        <v>1394</v>
      </c>
      <c r="F28" s="148" t="s">
        <v>105</v>
      </c>
      <c r="G28" s="148" t="s">
        <v>1430</v>
      </c>
      <c r="H28" s="148">
        <v>61</v>
      </c>
      <c r="I28" s="150">
        <f t="shared" si="7"/>
        <v>61</v>
      </c>
      <c r="J28" s="148"/>
      <c r="K28" s="329" t="s">
        <v>13</v>
      </c>
      <c r="L28" s="148">
        <v>70</v>
      </c>
      <c r="M28" s="148" t="s">
        <v>9</v>
      </c>
      <c r="N28" s="148" t="s">
        <v>1410</v>
      </c>
      <c r="O28" s="148" t="s">
        <v>84</v>
      </c>
      <c r="P28" s="148">
        <v>68</v>
      </c>
      <c r="Q28" s="151">
        <f t="shared" si="8"/>
        <v>0.15995260663507108</v>
      </c>
      <c r="R28" s="152"/>
      <c r="S28" s="153">
        <v>844</v>
      </c>
      <c r="T28" s="159">
        <v>979</v>
      </c>
      <c r="U28" s="154" t="s">
        <v>1402</v>
      </c>
      <c r="V28" s="155">
        <v>844</v>
      </c>
      <c r="W28" s="155">
        <v>979</v>
      </c>
      <c r="X28" s="156" t="s">
        <v>1425</v>
      </c>
      <c r="Y28" s="156" t="s">
        <v>1646</v>
      </c>
      <c r="Z28" s="156" t="s">
        <v>1444</v>
      </c>
      <c r="AA28" s="271">
        <f t="shared" si="9"/>
        <v>12.411764705882353</v>
      </c>
      <c r="AB28" s="271">
        <f t="shared" si="10"/>
        <v>14.397058823529411</v>
      </c>
      <c r="AC28" s="157">
        <f t="shared" si="11"/>
        <v>68</v>
      </c>
      <c r="AD28" s="272">
        <f t="shared" si="12"/>
        <v>844</v>
      </c>
      <c r="AE28" s="272">
        <f t="shared" si="13"/>
        <v>979</v>
      </c>
      <c r="AF28" s="332"/>
    </row>
    <row r="29" spans="1:32">
      <c r="A29" s="332" t="s">
        <v>1393</v>
      </c>
      <c r="B29" s="147" t="s">
        <v>1607</v>
      </c>
      <c r="C29" s="156" t="s">
        <v>1422</v>
      </c>
      <c r="D29" s="148">
        <v>400</v>
      </c>
      <c r="E29" s="149" t="s">
        <v>1394</v>
      </c>
      <c r="F29" s="148" t="s">
        <v>105</v>
      </c>
      <c r="G29" s="148" t="s">
        <v>1430</v>
      </c>
      <c r="H29" s="148">
        <v>62</v>
      </c>
      <c r="I29" s="150">
        <f t="shared" si="7"/>
        <v>62</v>
      </c>
      <c r="J29" s="148"/>
      <c r="K29" s="329" t="s">
        <v>68</v>
      </c>
      <c r="L29" s="148" t="s">
        <v>1403</v>
      </c>
      <c r="M29" s="148" t="s">
        <v>9</v>
      </c>
      <c r="N29" s="148" t="s">
        <v>1404</v>
      </c>
      <c r="O29" s="148" t="s">
        <v>84</v>
      </c>
      <c r="P29" s="148">
        <v>30</v>
      </c>
      <c r="Q29" s="151">
        <f t="shared" si="8"/>
        <v>0.15999999999999998</v>
      </c>
      <c r="R29" s="152"/>
      <c r="S29" s="153">
        <v>436</v>
      </c>
      <c r="T29" s="159">
        <v>505.76</v>
      </c>
      <c r="U29" s="154" t="s">
        <v>1402</v>
      </c>
      <c r="V29" s="155">
        <v>436</v>
      </c>
      <c r="W29" s="155">
        <v>506</v>
      </c>
      <c r="X29" s="156" t="s">
        <v>1425</v>
      </c>
      <c r="Y29" s="156" t="s">
        <v>1646</v>
      </c>
      <c r="Z29" s="156" t="s">
        <v>1444</v>
      </c>
      <c r="AA29" s="271">
        <f t="shared" si="9"/>
        <v>14.533333333333333</v>
      </c>
      <c r="AB29" s="271">
        <f t="shared" si="10"/>
        <v>16.858666666666668</v>
      </c>
      <c r="AC29" s="157">
        <f t="shared" si="11"/>
        <v>30</v>
      </c>
      <c r="AD29" s="272">
        <f t="shared" si="12"/>
        <v>436</v>
      </c>
      <c r="AE29" s="272">
        <f t="shared" si="13"/>
        <v>505.76000000000005</v>
      </c>
      <c r="AF29" s="332"/>
    </row>
    <row r="30" spans="1:32">
      <c r="A30" s="332" t="s">
        <v>1393</v>
      </c>
      <c r="B30" s="147" t="s">
        <v>1607</v>
      </c>
      <c r="C30" s="156" t="s">
        <v>1422</v>
      </c>
      <c r="D30" s="148">
        <v>401</v>
      </c>
      <c r="E30" s="149" t="s">
        <v>1482</v>
      </c>
      <c r="F30" s="148" t="s">
        <v>105</v>
      </c>
      <c r="G30" s="148" t="s">
        <v>1433</v>
      </c>
      <c r="H30" s="148">
        <v>3</v>
      </c>
      <c r="I30" s="150" t="str">
        <f t="shared" si="7"/>
        <v>3_ABM</v>
      </c>
      <c r="J30" s="148" t="s">
        <v>1438</v>
      </c>
      <c r="K30" s="329" t="s">
        <v>12</v>
      </c>
      <c r="L30" s="148">
        <v>50</v>
      </c>
      <c r="M30" s="148" t="s">
        <v>9</v>
      </c>
      <c r="N30" s="148" t="s">
        <v>1479</v>
      </c>
      <c r="O30" s="148" t="s">
        <v>105</v>
      </c>
      <c r="P30" s="148">
        <v>50</v>
      </c>
      <c r="Q30" s="151">
        <f t="shared" si="8"/>
        <v>0.16</v>
      </c>
      <c r="R30" s="152"/>
      <c r="S30" s="153">
        <v>800</v>
      </c>
      <c r="T30" s="159">
        <v>928</v>
      </c>
      <c r="U30" s="154">
        <v>2000</v>
      </c>
      <c r="V30" s="155">
        <v>800</v>
      </c>
      <c r="W30" s="155">
        <v>928</v>
      </c>
      <c r="X30" s="156"/>
      <c r="Y30" s="156" t="s">
        <v>1646</v>
      </c>
      <c r="Z30" s="156" t="s">
        <v>1444</v>
      </c>
      <c r="AA30" s="271">
        <f t="shared" si="9"/>
        <v>16</v>
      </c>
      <c r="AB30" s="271">
        <f t="shared" si="10"/>
        <v>18.559999999999999</v>
      </c>
      <c r="AC30" s="157">
        <f t="shared" si="11"/>
        <v>50</v>
      </c>
      <c r="AD30" s="272">
        <f t="shared" si="12"/>
        <v>800</v>
      </c>
      <c r="AE30" s="272">
        <f t="shared" si="13"/>
        <v>927.99999999999989</v>
      </c>
      <c r="AF30" s="332"/>
    </row>
    <row r="31" spans="1:32">
      <c r="A31" s="332" t="s">
        <v>1393</v>
      </c>
      <c r="B31" s="147" t="s">
        <v>1607</v>
      </c>
      <c r="C31" s="156" t="s">
        <v>1422</v>
      </c>
      <c r="D31" s="148">
        <v>401</v>
      </c>
      <c r="E31" s="149" t="s">
        <v>1482</v>
      </c>
      <c r="F31" s="148" t="s">
        <v>105</v>
      </c>
      <c r="G31" s="148" t="s">
        <v>1433</v>
      </c>
      <c r="H31" s="148">
        <v>3</v>
      </c>
      <c r="I31" s="150" t="str">
        <f t="shared" si="7"/>
        <v>3_CH</v>
      </c>
      <c r="J31" s="148" t="s">
        <v>1440</v>
      </c>
      <c r="K31" s="329" t="s">
        <v>12</v>
      </c>
      <c r="L31" s="148">
        <v>80</v>
      </c>
      <c r="M31" s="148" t="s">
        <v>9</v>
      </c>
      <c r="N31" s="148" t="s">
        <v>1476</v>
      </c>
      <c r="O31" s="148" t="s">
        <v>105</v>
      </c>
      <c r="P31" s="148">
        <v>80</v>
      </c>
      <c r="Q31" s="151">
        <f t="shared" si="8"/>
        <v>0.15999999999999998</v>
      </c>
      <c r="R31" s="152"/>
      <c r="S31" s="153">
        <v>1280</v>
      </c>
      <c r="T31" s="159">
        <v>1484.8</v>
      </c>
      <c r="U31" s="154">
        <v>2000</v>
      </c>
      <c r="V31" s="155">
        <v>1280</v>
      </c>
      <c r="W31" s="155">
        <v>1484.8</v>
      </c>
      <c r="X31" s="156"/>
      <c r="Y31" s="156" t="s">
        <v>1646</v>
      </c>
      <c r="Z31" s="156" t="s">
        <v>1444</v>
      </c>
      <c r="AA31" s="271">
        <f t="shared" si="9"/>
        <v>16</v>
      </c>
      <c r="AB31" s="271">
        <f t="shared" si="10"/>
        <v>18.559999999999999</v>
      </c>
      <c r="AC31" s="157">
        <f t="shared" si="11"/>
        <v>80</v>
      </c>
      <c r="AD31" s="272">
        <f t="shared" si="12"/>
        <v>1280</v>
      </c>
      <c r="AE31" s="272">
        <f t="shared" si="13"/>
        <v>1484.8</v>
      </c>
      <c r="AF31" s="332"/>
    </row>
    <row r="32" spans="1:32">
      <c r="A32" s="332" t="s">
        <v>1393</v>
      </c>
      <c r="B32" s="147" t="s">
        <v>1607</v>
      </c>
      <c r="C32" s="156" t="s">
        <v>1422</v>
      </c>
      <c r="D32" s="148">
        <v>401</v>
      </c>
      <c r="E32" s="149" t="s">
        <v>1482</v>
      </c>
      <c r="F32" s="148" t="s">
        <v>105</v>
      </c>
      <c r="G32" s="148" t="s">
        <v>1433</v>
      </c>
      <c r="H32" s="148">
        <v>24</v>
      </c>
      <c r="I32" s="150" t="str">
        <f t="shared" si="7"/>
        <v>24_A</v>
      </c>
      <c r="J32" s="148" t="s">
        <v>1427</v>
      </c>
      <c r="K32" s="329" t="s">
        <v>61</v>
      </c>
      <c r="L32" s="148">
        <v>20</v>
      </c>
      <c r="M32" s="148" t="s">
        <v>9</v>
      </c>
      <c r="N32" s="148" t="s">
        <v>1477</v>
      </c>
      <c r="O32" s="148" t="s">
        <v>105</v>
      </c>
      <c r="P32" s="148">
        <v>20</v>
      </c>
      <c r="Q32" s="151">
        <f t="shared" si="8"/>
        <v>0.15999999999999989</v>
      </c>
      <c r="R32" s="152">
        <v>7000</v>
      </c>
      <c r="S32" s="153">
        <v>180.00000000000003</v>
      </c>
      <c r="T32" s="159">
        <v>208.8</v>
      </c>
      <c r="U32" s="154">
        <v>14000</v>
      </c>
      <c r="V32" s="155">
        <v>180.00000000000003</v>
      </c>
      <c r="W32" s="155">
        <v>208.8</v>
      </c>
      <c r="X32" s="156"/>
      <c r="Y32" s="156" t="s">
        <v>1646</v>
      </c>
      <c r="Z32" s="156" t="s">
        <v>1444</v>
      </c>
      <c r="AA32" s="271">
        <f t="shared" si="9"/>
        <v>9.0000000000000018</v>
      </c>
      <c r="AB32" s="271">
        <f t="shared" si="10"/>
        <v>10.440000000000001</v>
      </c>
      <c r="AC32" s="157">
        <f t="shared" si="11"/>
        <v>20</v>
      </c>
      <c r="AD32" s="272">
        <f t="shared" si="12"/>
        <v>180.00000000000003</v>
      </c>
      <c r="AE32" s="272">
        <f t="shared" si="13"/>
        <v>208.8</v>
      </c>
      <c r="AF32" s="332"/>
    </row>
    <row r="33" spans="1:32">
      <c r="A33" s="332" t="s">
        <v>1393</v>
      </c>
      <c r="B33" s="147" t="s">
        <v>1607</v>
      </c>
      <c r="C33" s="156" t="s">
        <v>1422</v>
      </c>
      <c r="D33" s="148">
        <v>401</v>
      </c>
      <c r="E33" s="149" t="s">
        <v>1482</v>
      </c>
      <c r="F33" s="148" t="s">
        <v>105</v>
      </c>
      <c r="G33" s="148" t="s">
        <v>1433</v>
      </c>
      <c r="H33" s="148">
        <v>24</v>
      </c>
      <c r="I33" s="150" t="str">
        <f t="shared" si="7"/>
        <v>24_BM</v>
      </c>
      <c r="J33" s="148" t="s">
        <v>1439</v>
      </c>
      <c r="K33" s="329" t="s">
        <v>61</v>
      </c>
      <c r="L33" s="148">
        <v>30</v>
      </c>
      <c r="M33" s="148" t="s">
        <v>9</v>
      </c>
      <c r="N33" s="148" t="s">
        <v>1417</v>
      </c>
      <c r="O33" s="148" t="s">
        <v>105</v>
      </c>
      <c r="P33" s="148">
        <v>30</v>
      </c>
      <c r="Q33" s="151">
        <f t="shared" si="8"/>
        <v>0.15999999999999995</v>
      </c>
      <c r="R33" s="152"/>
      <c r="S33" s="153">
        <v>270</v>
      </c>
      <c r="T33" s="159">
        <v>313.2</v>
      </c>
      <c r="U33" s="154">
        <v>6000</v>
      </c>
      <c r="V33" s="155">
        <v>270</v>
      </c>
      <c r="W33" s="155">
        <v>313.2</v>
      </c>
      <c r="X33" s="156"/>
      <c r="Y33" s="156" t="s">
        <v>1646</v>
      </c>
      <c r="Z33" s="156" t="s">
        <v>1444</v>
      </c>
      <c r="AA33" s="271">
        <f t="shared" si="9"/>
        <v>9</v>
      </c>
      <c r="AB33" s="271">
        <f t="shared" si="10"/>
        <v>10.44</v>
      </c>
      <c r="AC33" s="157">
        <f t="shared" si="11"/>
        <v>30</v>
      </c>
      <c r="AD33" s="272">
        <f t="shared" si="12"/>
        <v>270</v>
      </c>
      <c r="AE33" s="272">
        <f t="shared" si="13"/>
        <v>313.2</v>
      </c>
      <c r="AF33" s="332"/>
    </row>
    <row r="34" spans="1:32">
      <c r="A34" s="332" t="s">
        <v>1393</v>
      </c>
      <c r="B34" s="147" t="s">
        <v>1607</v>
      </c>
      <c r="C34" s="156" t="s">
        <v>1422</v>
      </c>
      <c r="D34" s="148">
        <v>401</v>
      </c>
      <c r="E34" s="149" t="s">
        <v>1482</v>
      </c>
      <c r="F34" s="148" t="s">
        <v>105</v>
      </c>
      <c r="G34" s="148" t="s">
        <v>1433</v>
      </c>
      <c r="H34" s="148">
        <v>24</v>
      </c>
      <c r="I34" s="150" t="str">
        <f t="shared" si="7"/>
        <v>24_CH</v>
      </c>
      <c r="J34" s="148" t="s">
        <v>1440</v>
      </c>
      <c r="K34" s="329" t="s">
        <v>61</v>
      </c>
      <c r="L34" s="148">
        <v>60</v>
      </c>
      <c r="M34" s="148" t="s">
        <v>9</v>
      </c>
      <c r="N34" s="148" t="s">
        <v>1419</v>
      </c>
      <c r="O34" s="148" t="s">
        <v>105</v>
      </c>
      <c r="P34" s="148">
        <v>60</v>
      </c>
      <c r="Q34" s="151">
        <f t="shared" si="8"/>
        <v>0.15999999999999995</v>
      </c>
      <c r="R34" s="152"/>
      <c r="S34" s="153">
        <v>540</v>
      </c>
      <c r="T34" s="159">
        <v>626.4</v>
      </c>
      <c r="U34" s="154">
        <v>6000</v>
      </c>
      <c r="V34" s="155">
        <v>540</v>
      </c>
      <c r="W34" s="155">
        <v>626.4</v>
      </c>
      <c r="X34" s="156"/>
      <c r="Y34" s="156" t="s">
        <v>1646</v>
      </c>
      <c r="Z34" s="156" t="s">
        <v>1444</v>
      </c>
      <c r="AA34" s="271">
        <f t="shared" si="9"/>
        <v>9</v>
      </c>
      <c r="AB34" s="271">
        <f t="shared" si="10"/>
        <v>10.44</v>
      </c>
      <c r="AC34" s="157">
        <f t="shared" si="11"/>
        <v>60</v>
      </c>
      <c r="AD34" s="272">
        <f t="shared" si="12"/>
        <v>540</v>
      </c>
      <c r="AE34" s="272">
        <f t="shared" si="13"/>
        <v>626.4</v>
      </c>
      <c r="AF34" s="332"/>
    </row>
    <row r="35" spans="1:32">
      <c r="A35" s="332" t="s">
        <v>1393</v>
      </c>
      <c r="B35" s="147" t="s">
        <v>1607</v>
      </c>
      <c r="C35" s="156" t="s">
        <v>1422</v>
      </c>
      <c r="D35" s="148">
        <v>401</v>
      </c>
      <c r="E35" s="149" t="s">
        <v>1482</v>
      </c>
      <c r="F35" s="148" t="s">
        <v>105</v>
      </c>
      <c r="G35" s="148" t="s">
        <v>1430</v>
      </c>
      <c r="H35" s="148">
        <v>25</v>
      </c>
      <c r="I35" s="150">
        <f t="shared" si="7"/>
        <v>25</v>
      </c>
      <c r="J35" s="148"/>
      <c r="K35" s="329" t="s">
        <v>64</v>
      </c>
      <c r="L35" s="148">
        <v>30</v>
      </c>
      <c r="M35" s="148" t="s">
        <v>9</v>
      </c>
      <c r="N35" s="148" t="s">
        <v>1417</v>
      </c>
      <c r="O35" s="148" t="s">
        <v>105</v>
      </c>
      <c r="P35" s="148">
        <v>30</v>
      </c>
      <c r="Q35" s="151">
        <f t="shared" si="8"/>
        <v>0.15999999999999984</v>
      </c>
      <c r="R35" s="152">
        <v>6000</v>
      </c>
      <c r="S35" s="153">
        <v>285.00000000000006</v>
      </c>
      <c r="T35" s="159">
        <v>330.6</v>
      </c>
      <c r="U35" s="154">
        <v>14000</v>
      </c>
      <c r="V35" s="155">
        <v>285.00000000000006</v>
      </c>
      <c r="W35" s="155">
        <v>330.6</v>
      </c>
      <c r="X35" s="156"/>
      <c r="Y35" s="156" t="s">
        <v>1646</v>
      </c>
      <c r="Z35" s="156" t="s">
        <v>1444</v>
      </c>
      <c r="AA35" s="271">
        <f t="shared" si="9"/>
        <v>9.5000000000000018</v>
      </c>
      <c r="AB35" s="271">
        <f t="shared" si="10"/>
        <v>11.020000000000001</v>
      </c>
      <c r="AC35" s="157">
        <f t="shared" si="11"/>
        <v>30</v>
      </c>
      <c r="AD35" s="272">
        <f t="shared" si="12"/>
        <v>285.00000000000006</v>
      </c>
      <c r="AE35" s="272">
        <f t="shared" si="13"/>
        <v>330.6</v>
      </c>
      <c r="AF35" s="332"/>
    </row>
    <row r="36" spans="1:32">
      <c r="A36" s="332" t="s">
        <v>1393</v>
      </c>
      <c r="B36" s="147" t="s">
        <v>1607</v>
      </c>
      <c r="C36" s="156" t="s">
        <v>1422</v>
      </c>
      <c r="D36" s="148">
        <v>401</v>
      </c>
      <c r="E36" s="149" t="s">
        <v>1482</v>
      </c>
      <c r="F36" s="148" t="s">
        <v>105</v>
      </c>
      <c r="G36" s="148" t="s">
        <v>1430</v>
      </c>
      <c r="H36" s="148">
        <v>25</v>
      </c>
      <c r="I36" s="150">
        <f t="shared" si="7"/>
        <v>25</v>
      </c>
      <c r="J36" s="148"/>
      <c r="K36" s="329" t="s">
        <v>64</v>
      </c>
      <c r="L36" s="148">
        <v>40</v>
      </c>
      <c r="M36" s="148" t="s">
        <v>9</v>
      </c>
      <c r="N36" s="148" t="s">
        <v>1418</v>
      </c>
      <c r="O36" s="148" t="s">
        <v>105</v>
      </c>
      <c r="P36" s="148">
        <v>40</v>
      </c>
      <c r="Q36" s="151">
        <f t="shared" si="8"/>
        <v>0.15999999999999986</v>
      </c>
      <c r="R36" s="152"/>
      <c r="S36" s="153">
        <v>380.00000000000006</v>
      </c>
      <c r="T36" s="159">
        <v>440.8</v>
      </c>
      <c r="U36" s="154">
        <v>6000</v>
      </c>
      <c r="V36" s="155">
        <v>380.00000000000006</v>
      </c>
      <c r="W36" s="155">
        <v>440.8</v>
      </c>
      <c r="X36" s="156"/>
      <c r="Y36" s="156" t="s">
        <v>1646</v>
      </c>
      <c r="Z36" s="156" t="s">
        <v>1444</v>
      </c>
      <c r="AA36" s="271">
        <f t="shared" si="9"/>
        <v>9.5000000000000018</v>
      </c>
      <c r="AB36" s="271">
        <f t="shared" si="10"/>
        <v>11.02</v>
      </c>
      <c r="AC36" s="157">
        <f t="shared" si="11"/>
        <v>40</v>
      </c>
      <c r="AD36" s="272">
        <f t="shared" si="12"/>
        <v>380.00000000000006</v>
      </c>
      <c r="AE36" s="272">
        <f t="shared" si="13"/>
        <v>440.79999999999995</v>
      </c>
      <c r="AF36" s="332"/>
    </row>
    <row r="37" spans="1:32">
      <c r="A37" s="332" t="s">
        <v>1393</v>
      </c>
      <c r="B37" s="147" t="s">
        <v>1607</v>
      </c>
      <c r="C37" s="156" t="s">
        <v>1422</v>
      </c>
      <c r="D37" s="148">
        <v>401</v>
      </c>
      <c r="E37" s="149" t="s">
        <v>1482</v>
      </c>
      <c r="F37" s="148" t="s">
        <v>105</v>
      </c>
      <c r="G37" s="148" t="s">
        <v>1430</v>
      </c>
      <c r="H37" s="148">
        <v>25</v>
      </c>
      <c r="I37" s="150">
        <f t="shared" si="7"/>
        <v>25</v>
      </c>
      <c r="J37" s="148"/>
      <c r="K37" s="329" t="s">
        <v>64</v>
      </c>
      <c r="L37" s="148">
        <v>60</v>
      </c>
      <c r="M37" s="148" t="s">
        <v>9</v>
      </c>
      <c r="N37" s="148" t="s">
        <v>1419</v>
      </c>
      <c r="O37" s="148" t="s">
        <v>105</v>
      </c>
      <c r="P37" s="148">
        <v>60</v>
      </c>
      <c r="Q37" s="151">
        <f t="shared" si="8"/>
        <v>0.15999999999999984</v>
      </c>
      <c r="R37" s="152"/>
      <c r="S37" s="153">
        <v>570.00000000000011</v>
      </c>
      <c r="T37" s="159">
        <v>661.2</v>
      </c>
      <c r="U37" s="154">
        <v>6000</v>
      </c>
      <c r="V37" s="155">
        <v>570.00000000000011</v>
      </c>
      <c r="W37" s="155">
        <v>661.2</v>
      </c>
      <c r="X37" s="156"/>
      <c r="Y37" s="156" t="s">
        <v>1646</v>
      </c>
      <c r="Z37" s="156" t="s">
        <v>1444</v>
      </c>
      <c r="AA37" s="271">
        <f t="shared" si="9"/>
        <v>9.5000000000000018</v>
      </c>
      <c r="AB37" s="271">
        <f t="shared" si="10"/>
        <v>11.020000000000001</v>
      </c>
      <c r="AC37" s="157">
        <f t="shared" si="11"/>
        <v>60</v>
      </c>
      <c r="AD37" s="272">
        <f t="shared" si="12"/>
        <v>570.00000000000011</v>
      </c>
      <c r="AE37" s="272">
        <f t="shared" si="13"/>
        <v>661.2</v>
      </c>
      <c r="AF37" s="332"/>
    </row>
    <row r="38" spans="1:32" ht="27">
      <c r="A38" s="332" t="s">
        <v>1393</v>
      </c>
      <c r="B38" s="147" t="s">
        <v>1607</v>
      </c>
      <c r="C38" s="156" t="s">
        <v>1422</v>
      </c>
      <c r="D38" s="148">
        <v>401</v>
      </c>
      <c r="E38" s="149" t="s">
        <v>1482</v>
      </c>
      <c r="F38" s="148" t="s">
        <v>105</v>
      </c>
      <c r="G38" s="148" t="s">
        <v>1430</v>
      </c>
      <c r="H38" s="148">
        <v>28</v>
      </c>
      <c r="I38" s="150">
        <f t="shared" si="7"/>
        <v>28</v>
      </c>
      <c r="J38" s="148"/>
      <c r="K38" s="329" t="s">
        <v>67</v>
      </c>
      <c r="L38" s="148">
        <v>30</v>
      </c>
      <c r="M38" s="148" t="s">
        <v>9</v>
      </c>
      <c r="N38" s="148" t="s">
        <v>1478</v>
      </c>
      <c r="O38" s="148" t="s">
        <v>84</v>
      </c>
      <c r="P38" s="148">
        <v>35</v>
      </c>
      <c r="Q38" s="151">
        <f t="shared" si="8"/>
        <v>0.15999999999999992</v>
      </c>
      <c r="R38" s="152"/>
      <c r="S38" s="153">
        <v>333</v>
      </c>
      <c r="T38" s="159">
        <v>386.28</v>
      </c>
      <c r="U38" s="154">
        <v>6000</v>
      </c>
      <c r="V38" s="155">
        <v>333</v>
      </c>
      <c r="W38" s="155">
        <v>386.28</v>
      </c>
      <c r="X38" s="156"/>
      <c r="Y38" s="156" t="s">
        <v>1646</v>
      </c>
      <c r="Z38" s="156" t="s">
        <v>1444</v>
      </c>
      <c r="AA38" s="271">
        <f t="shared" si="9"/>
        <v>9.5142857142857142</v>
      </c>
      <c r="AB38" s="271">
        <f t="shared" si="10"/>
        <v>11.036571428571428</v>
      </c>
      <c r="AC38" s="157">
        <f t="shared" si="11"/>
        <v>35</v>
      </c>
      <c r="AD38" s="272">
        <f t="shared" si="12"/>
        <v>333</v>
      </c>
      <c r="AE38" s="272">
        <f t="shared" si="13"/>
        <v>386.28</v>
      </c>
      <c r="AF38" s="332"/>
    </row>
    <row r="39" spans="1:32">
      <c r="A39" s="332" t="s">
        <v>1393</v>
      </c>
      <c r="B39" s="147" t="s">
        <v>1607</v>
      </c>
      <c r="C39" s="156" t="s">
        <v>1422</v>
      </c>
      <c r="D39" s="148">
        <v>401</v>
      </c>
      <c r="E39" s="149" t="s">
        <v>1482</v>
      </c>
      <c r="F39" s="148" t="s">
        <v>105</v>
      </c>
      <c r="G39" s="148" t="s">
        <v>1430</v>
      </c>
      <c r="H39" s="148">
        <v>45</v>
      </c>
      <c r="I39" s="150">
        <f t="shared" si="7"/>
        <v>45</v>
      </c>
      <c r="J39" s="148"/>
      <c r="K39" s="329" t="s">
        <v>10</v>
      </c>
      <c r="L39" s="148">
        <v>20</v>
      </c>
      <c r="M39" s="148" t="s">
        <v>9</v>
      </c>
      <c r="N39" s="148" t="s">
        <v>1477</v>
      </c>
      <c r="O39" s="148" t="s">
        <v>105</v>
      </c>
      <c r="P39" s="148">
        <v>20</v>
      </c>
      <c r="Q39" s="151">
        <f t="shared" si="8"/>
        <v>0.15999999999999998</v>
      </c>
      <c r="R39" s="152">
        <v>8000</v>
      </c>
      <c r="S39" s="153">
        <v>210</v>
      </c>
      <c r="T39" s="159">
        <v>243.6</v>
      </c>
      <c r="U39" s="154">
        <v>10000</v>
      </c>
      <c r="V39" s="155">
        <v>210</v>
      </c>
      <c r="W39" s="155">
        <v>243.6</v>
      </c>
      <c r="X39" s="156"/>
      <c r="Y39" s="156" t="s">
        <v>1646</v>
      </c>
      <c r="Z39" s="156" t="s">
        <v>1444</v>
      </c>
      <c r="AA39" s="271">
        <f t="shared" si="9"/>
        <v>10.5</v>
      </c>
      <c r="AB39" s="271">
        <f t="shared" si="10"/>
        <v>12.18</v>
      </c>
      <c r="AC39" s="157">
        <f t="shared" si="11"/>
        <v>20</v>
      </c>
      <c r="AD39" s="272">
        <f t="shared" si="12"/>
        <v>210</v>
      </c>
      <c r="AE39" s="272">
        <f t="shared" si="13"/>
        <v>243.6</v>
      </c>
      <c r="AF39" s="332"/>
    </row>
    <row r="40" spans="1:32">
      <c r="A40" s="332" t="s">
        <v>1393</v>
      </c>
      <c r="B40" s="147" t="s">
        <v>1607</v>
      </c>
      <c r="C40" s="156" t="s">
        <v>1422</v>
      </c>
      <c r="D40" s="148">
        <v>401</v>
      </c>
      <c r="E40" s="149" t="s">
        <v>1482</v>
      </c>
      <c r="F40" s="148" t="s">
        <v>105</v>
      </c>
      <c r="G40" s="148" t="s">
        <v>1430</v>
      </c>
      <c r="H40" s="148">
        <v>45</v>
      </c>
      <c r="I40" s="150">
        <f t="shared" si="7"/>
        <v>45</v>
      </c>
      <c r="J40" s="148"/>
      <c r="K40" s="329" t="s">
        <v>10</v>
      </c>
      <c r="L40" s="148">
        <v>30</v>
      </c>
      <c r="M40" s="148" t="s">
        <v>9</v>
      </c>
      <c r="N40" s="148" t="s">
        <v>1417</v>
      </c>
      <c r="O40" s="148" t="s">
        <v>105</v>
      </c>
      <c r="P40" s="148">
        <v>30</v>
      </c>
      <c r="Q40" s="151">
        <f t="shared" si="8"/>
        <v>0.15999999999999992</v>
      </c>
      <c r="R40" s="152">
        <v>8000</v>
      </c>
      <c r="S40" s="153">
        <v>315</v>
      </c>
      <c r="T40" s="159">
        <v>365.4</v>
      </c>
      <c r="U40" s="154">
        <v>10000</v>
      </c>
      <c r="V40" s="155">
        <v>315</v>
      </c>
      <c r="W40" s="155">
        <v>365.4</v>
      </c>
      <c r="X40" s="156"/>
      <c r="Y40" s="156" t="s">
        <v>1646</v>
      </c>
      <c r="Z40" s="156" t="s">
        <v>1444</v>
      </c>
      <c r="AA40" s="271">
        <f t="shared" si="9"/>
        <v>10.5</v>
      </c>
      <c r="AB40" s="271">
        <f t="shared" si="10"/>
        <v>12.18</v>
      </c>
      <c r="AC40" s="157">
        <f t="shared" si="11"/>
        <v>30</v>
      </c>
      <c r="AD40" s="272">
        <f t="shared" si="12"/>
        <v>315</v>
      </c>
      <c r="AE40" s="272">
        <f t="shared" si="13"/>
        <v>365.4</v>
      </c>
      <c r="AF40" s="332"/>
    </row>
    <row r="41" spans="1:32">
      <c r="A41" s="332" t="s">
        <v>1393</v>
      </c>
      <c r="B41" s="147" t="s">
        <v>1607</v>
      </c>
      <c r="C41" s="156" t="s">
        <v>1422</v>
      </c>
      <c r="D41" s="148">
        <v>401</v>
      </c>
      <c r="E41" s="149" t="s">
        <v>1482</v>
      </c>
      <c r="F41" s="148" t="s">
        <v>105</v>
      </c>
      <c r="G41" s="148" t="s">
        <v>1430</v>
      </c>
      <c r="H41" s="148">
        <v>45</v>
      </c>
      <c r="I41" s="150">
        <f t="shared" si="7"/>
        <v>45</v>
      </c>
      <c r="J41" s="148"/>
      <c r="K41" s="329" t="s">
        <v>10</v>
      </c>
      <c r="L41" s="148">
        <v>50</v>
      </c>
      <c r="M41" s="148" t="s">
        <v>9</v>
      </c>
      <c r="N41" s="148" t="s">
        <v>1479</v>
      </c>
      <c r="O41" s="148" t="s">
        <v>105</v>
      </c>
      <c r="P41" s="148">
        <v>50</v>
      </c>
      <c r="Q41" s="151">
        <f t="shared" si="8"/>
        <v>0.16</v>
      </c>
      <c r="R41" s="152">
        <v>5000</v>
      </c>
      <c r="S41" s="153">
        <v>525</v>
      </c>
      <c r="T41" s="159">
        <v>609</v>
      </c>
      <c r="U41" s="154">
        <v>8000</v>
      </c>
      <c r="V41" s="155">
        <v>525</v>
      </c>
      <c r="W41" s="155">
        <v>609</v>
      </c>
      <c r="X41" s="156"/>
      <c r="Y41" s="156" t="s">
        <v>1646</v>
      </c>
      <c r="Z41" s="156" t="s">
        <v>1444</v>
      </c>
      <c r="AA41" s="271">
        <f t="shared" si="9"/>
        <v>10.5</v>
      </c>
      <c r="AB41" s="271">
        <f t="shared" si="10"/>
        <v>12.18</v>
      </c>
      <c r="AC41" s="157">
        <f t="shared" si="11"/>
        <v>50</v>
      </c>
      <c r="AD41" s="272">
        <f t="shared" si="12"/>
        <v>525</v>
      </c>
      <c r="AE41" s="272">
        <f t="shared" si="13"/>
        <v>609</v>
      </c>
      <c r="AF41" s="332"/>
    </row>
    <row r="42" spans="1:32">
      <c r="A42" s="332" t="s">
        <v>1393</v>
      </c>
      <c r="B42" s="147" t="s">
        <v>1607</v>
      </c>
      <c r="C42" s="156" t="s">
        <v>1422</v>
      </c>
      <c r="D42" s="148">
        <v>401</v>
      </c>
      <c r="E42" s="149" t="s">
        <v>1482</v>
      </c>
      <c r="F42" s="148" t="s">
        <v>105</v>
      </c>
      <c r="G42" s="148" t="s">
        <v>1430</v>
      </c>
      <c r="H42" s="148">
        <v>50</v>
      </c>
      <c r="I42" s="150">
        <f t="shared" si="7"/>
        <v>50</v>
      </c>
      <c r="J42" s="148"/>
      <c r="K42" s="329" t="s">
        <v>65</v>
      </c>
      <c r="L42" s="148">
        <v>30</v>
      </c>
      <c r="M42" s="148" t="s">
        <v>9</v>
      </c>
      <c r="N42" s="148" t="s">
        <v>1417</v>
      </c>
      <c r="O42" s="148" t="s">
        <v>105</v>
      </c>
      <c r="P42" s="148">
        <v>30</v>
      </c>
      <c r="Q42" s="151">
        <f t="shared" si="8"/>
        <v>0.16</v>
      </c>
      <c r="R42" s="152"/>
      <c r="S42" s="153">
        <v>375</v>
      </c>
      <c r="T42" s="159">
        <v>435</v>
      </c>
      <c r="U42" s="154">
        <v>5000</v>
      </c>
      <c r="V42" s="155">
        <v>375</v>
      </c>
      <c r="W42" s="155">
        <v>435</v>
      </c>
      <c r="X42" s="156"/>
      <c r="Y42" s="156" t="s">
        <v>1646</v>
      </c>
      <c r="Z42" s="156" t="s">
        <v>1444</v>
      </c>
      <c r="AA42" s="271">
        <f t="shared" si="9"/>
        <v>12.5</v>
      </c>
      <c r="AB42" s="271">
        <f t="shared" si="10"/>
        <v>14.5</v>
      </c>
      <c r="AC42" s="157">
        <f t="shared" si="11"/>
        <v>30</v>
      </c>
      <c r="AD42" s="272">
        <f t="shared" si="12"/>
        <v>375</v>
      </c>
      <c r="AE42" s="272">
        <f t="shared" si="13"/>
        <v>435</v>
      </c>
      <c r="AF42" s="332"/>
    </row>
    <row r="43" spans="1:32">
      <c r="A43" s="332" t="s">
        <v>1393</v>
      </c>
      <c r="B43" s="147" t="s">
        <v>1607</v>
      </c>
      <c r="C43" s="156" t="s">
        <v>1422</v>
      </c>
      <c r="D43" s="148">
        <v>401</v>
      </c>
      <c r="E43" s="149" t="s">
        <v>1482</v>
      </c>
      <c r="F43" s="148" t="s">
        <v>105</v>
      </c>
      <c r="G43" s="148" t="s">
        <v>1430</v>
      </c>
      <c r="H43" s="148">
        <v>50</v>
      </c>
      <c r="I43" s="150">
        <f t="shared" si="7"/>
        <v>50</v>
      </c>
      <c r="J43" s="148"/>
      <c r="K43" s="329" t="s">
        <v>65</v>
      </c>
      <c r="L43" s="148">
        <v>40</v>
      </c>
      <c r="M43" s="148" t="s">
        <v>9</v>
      </c>
      <c r="N43" s="148" t="s">
        <v>1418</v>
      </c>
      <c r="O43" s="148" t="s">
        <v>105</v>
      </c>
      <c r="P43" s="148">
        <v>40</v>
      </c>
      <c r="Q43" s="151">
        <f t="shared" si="8"/>
        <v>0.15999999999999986</v>
      </c>
      <c r="R43" s="152"/>
      <c r="S43" s="153">
        <v>500.00000000000006</v>
      </c>
      <c r="T43" s="159">
        <v>580</v>
      </c>
      <c r="U43" s="154">
        <v>5000</v>
      </c>
      <c r="V43" s="155">
        <v>500.00000000000006</v>
      </c>
      <c r="W43" s="155">
        <v>580</v>
      </c>
      <c r="X43" s="156"/>
      <c r="Y43" s="156" t="s">
        <v>1646</v>
      </c>
      <c r="Z43" s="156" t="s">
        <v>1444</v>
      </c>
      <c r="AA43" s="271">
        <f t="shared" si="9"/>
        <v>12.500000000000002</v>
      </c>
      <c r="AB43" s="271">
        <f t="shared" si="10"/>
        <v>14.5</v>
      </c>
      <c r="AC43" s="157">
        <f t="shared" si="11"/>
        <v>40</v>
      </c>
      <c r="AD43" s="272">
        <f t="shared" si="12"/>
        <v>500.00000000000006</v>
      </c>
      <c r="AE43" s="272">
        <f t="shared" si="13"/>
        <v>580</v>
      </c>
      <c r="AF43" s="332"/>
    </row>
    <row r="44" spans="1:32">
      <c r="A44" s="332" t="s">
        <v>1393</v>
      </c>
      <c r="B44" s="147" t="s">
        <v>1607</v>
      </c>
      <c r="C44" s="156" t="s">
        <v>1422</v>
      </c>
      <c r="D44" s="148">
        <v>401</v>
      </c>
      <c r="E44" s="149" t="s">
        <v>1482</v>
      </c>
      <c r="F44" s="148" t="s">
        <v>105</v>
      </c>
      <c r="G44" s="148" t="s">
        <v>1430</v>
      </c>
      <c r="H44" s="148">
        <v>50</v>
      </c>
      <c r="I44" s="150">
        <f t="shared" si="7"/>
        <v>50</v>
      </c>
      <c r="J44" s="148"/>
      <c r="K44" s="329" t="s">
        <v>65</v>
      </c>
      <c r="L44" s="148">
        <v>80</v>
      </c>
      <c r="M44" s="148" t="s">
        <v>9</v>
      </c>
      <c r="N44" s="148" t="s">
        <v>1476</v>
      </c>
      <c r="O44" s="148" t="s">
        <v>105</v>
      </c>
      <c r="P44" s="148">
        <v>80</v>
      </c>
      <c r="Q44" s="151">
        <f t="shared" si="8"/>
        <v>0.15999999999999986</v>
      </c>
      <c r="R44" s="152"/>
      <c r="S44" s="153">
        <v>1000.0000000000001</v>
      </c>
      <c r="T44" s="159">
        <v>1160</v>
      </c>
      <c r="U44" s="154">
        <v>2000</v>
      </c>
      <c r="V44" s="155">
        <v>1000.0000000000001</v>
      </c>
      <c r="W44" s="155">
        <v>1160</v>
      </c>
      <c r="X44" s="156"/>
      <c r="Y44" s="156" t="s">
        <v>1646</v>
      </c>
      <c r="Z44" s="156" t="s">
        <v>1444</v>
      </c>
      <c r="AA44" s="271">
        <f t="shared" si="9"/>
        <v>12.500000000000002</v>
      </c>
      <c r="AB44" s="271">
        <f t="shared" si="10"/>
        <v>14.5</v>
      </c>
      <c r="AC44" s="157">
        <f t="shared" si="11"/>
        <v>80</v>
      </c>
      <c r="AD44" s="272">
        <f t="shared" si="12"/>
        <v>1000.0000000000001</v>
      </c>
      <c r="AE44" s="272">
        <f t="shared" si="13"/>
        <v>1160</v>
      </c>
      <c r="AF44" s="332"/>
    </row>
    <row r="45" spans="1:32">
      <c r="A45" s="332" t="s">
        <v>1393</v>
      </c>
      <c r="B45" s="147" t="s">
        <v>1607</v>
      </c>
      <c r="C45" s="156" t="s">
        <v>1422</v>
      </c>
      <c r="D45" s="148">
        <v>472</v>
      </c>
      <c r="E45" s="149" t="s">
        <v>1471</v>
      </c>
      <c r="F45" s="148" t="s">
        <v>105</v>
      </c>
      <c r="G45" s="148" t="s">
        <v>1433</v>
      </c>
      <c r="H45" s="148">
        <v>3</v>
      </c>
      <c r="I45" s="150" t="str">
        <f t="shared" si="7"/>
        <v>3_ABM</v>
      </c>
      <c r="J45" s="148" t="s">
        <v>1438</v>
      </c>
      <c r="K45" s="329" t="s">
        <v>12</v>
      </c>
      <c r="L45" s="148">
        <v>50</v>
      </c>
      <c r="M45" s="148" t="s">
        <v>9</v>
      </c>
      <c r="N45" s="148" t="s">
        <v>1418</v>
      </c>
      <c r="O45" s="148" t="s">
        <v>84</v>
      </c>
      <c r="P45" s="148">
        <v>40</v>
      </c>
      <c r="Q45" s="151">
        <f t="shared" si="8"/>
        <v>0.15999999999999998</v>
      </c>
      <c r="R45" s="152"/>
      <c r="S45" s="153">
        <v>431.0344827586207</v>
      </c>
      <c r="T45" s="159">
        <v>500</v>
      </c>
      <c r="U45" s="154"/>
      <c r="V45" s="155"/>
      <c r="W45" s="155">
        <v>500</v>
      </c>
      <c r="X45" s="156"/>
      <c r="Y45" s="156" t="s">
        <v>1646</v>
      </c>
      <c r="Z45" s="156" t="s">
        <v>1444</v>
      </c>
      <c r="AA45" s="271">
        <f t="shared" si="9"/>
        <v>10.775862068965518</v>
      </c>
      <c r="AB45" s="271">
        <f t="shared" si="10"/>
        <v>12.5</v>
      </c>
      <c r="AC45" s="157">
        <f t="shared" si="11"/>
        <v>40</v>
      </c>
      <c r="AD45" s="272">
        <f t="shared" si="12"/>
        <v>431.0344827586207</v>
      </c>
      <c r="AE45" s="272">
        <f t="shared" si="13"/>
        <v>500</v>
      </c>
      <c r="AF45" s="332"/>
    </row>
    <row r="46" spans="1:32">
      <c r="A46" s="332" t="s">
        <v>1393</v>
      </c>
      <c r="B46" s="147" t="s">
        <v>1607</v>
      </c>
      <c r="C46" s="156" t="s">
        <v>1422</v>
      </c>
      <c r="D46" s="148">
        <v>472</v>
      </c>
      <c r="E46" s="149" t="s">
        <v>1471</v>
      </c>
      <c r="F46" s="148" t="s">
        <v>105</v>
      </c>
      <c r="G46" s="148" t="s">
        <v>1433</v>
      </c>
      <c r="H46" s="148">
        <v>3</v>
      </c>
      <c r="I46" s="150" t="str">
        <f t="shared" si="7"/>
        <v>3_CH</v>
      </c>
      <c r="J46" s="148" t="s">
        <v>1440</v>
      </c>
      <c r="K46" s="329" t="s">
        <v>12</v>
      </c>
      <c r="L46" s="148">
        <v>80</v>
      </c>
      <c r="M46" s="148" t="s">
        <v>9</v>
      </c>
      <c r="N46" s="148" t="s">
        <v>1480</v>
      </c>
      <c r="O46" s="148" t="s">
        <v>84</v>
      </c>
      <c r="P46" s="148">
        <v>70</v>
      </c>
      <c r="Q46" s="151">
        <f t="shared" si="8"/>
        <v>0.15999999999999992</v>
      </c>
      <c r="R46" s="152"/>
      <c r="S46" s="153">
        <v>1715.5172413793105</v>
      </c>
      <c r="T46" s="159">
        <v>1990</v>
      </c>
      <c r="U46" s="154"/>
      <c r="V46" s="155"/>
      <c r="W46" s="155">
        <v>1990</v>
      </c>
      <c r="X46" s="156"/>
      <c r="Y46" s="156" t="s">
        <v>1646</v>
      </c>
      <c r="Z46" s="156" t="s">
        <v>1444</v>
      </c>
      <c r="AA46" s="271">
        <f t="shared" si="9"/>
        <v>24.507389162561577</v>
      </c>
      <c r="AB46" s="271">
        <f t="shared" si="10"/>
        <v>28.428571428571427</v>
      </c>
      <c r="AC46" s="157">
        <f t="shared" si="11"/>
        <v>70</v>
      </c>
      <c r="AD46" s="272">
        <f t="shared" si="12"/>
        <v>1715.5172413793105</v>
      </c>
      <c r="AE46" s="272">
        <f t="shared" si="13"/>
        <v>1990</v>
      </c>
      <c r="AF46" s="332"/>
    </row>
    <row r="47" spans="1:32">
      <c r="A47" s="332" t="s">
        <v>1393</v>
      </c>
      <c r="B47" s="147" t="s">
        <v>1607</v>
      </c>
      <c r="C47" s="156" t="s">
        <v>1422</v>
      </c>
      <c r="D47" s="148">
        <v>420</v>
      </c>
      <c r="E47" s="149" t="s">
        <v>1485</v>
      </c>
      <c r="F47" s="148" t="s">
        <v>105</v>
      </c>
      <c r="G47" s="148" t="s">
        <v>1430</v>
      </c>
      <c r="H47" s="148">
        <v>21</v>
      </c>
      <c r="I47" s="150">
        <f t="shared" si="7"/>
        <v>21</v>
      </c>
      <c r="J47" s="148"/>
      <c r="K47" s="329" t="s">
        <v>70</v>
      </c>
      <c r="L47" s="148">
        <v>50</v>
      </c>
      <c r="M47" s="148" t="s">
        <v>9</v>
      </c>
      <c r="N47" s="148" t="s">
        <v>1479</v>
      </c>
      <c r="O47" s="148" t="s">
        <v>105</v>
      </c>
      <c r="P47" s="148">
        <v>50</v>
      </c>
      <c r="Q47" s="151">
        <f t="shared" si="8"/>
        <v>0.16</v>
      </c>
      <c r="R47" s="152">
        <v>3000</v>
      </c>
      <c r="S47" s="153">
        <v>1100</v>
      </c>
      <c r="T47" s="159">
        <v>1276</v>
      </c>
      <c r="U47" s="154">
        <v>6000</v>
      </c>
      <c r="V47" s="155">
        <v>1100</v>
      </c>
      <c r="W47" s="155">
        <v>1276</v>
      </c>
      <c r="X47" s="156"/>
      <c r="Y47" s="156" t="s">
        <v>1646</v>
      </c>
      <c r="Z47" s="156" t="s">
        <v>1444</v>
      </c>
      <c r="AA47" s="271">
        <f t="shared" si="9"/>
        <v>22</v>
      </c>
      <c r="AB47" s="271">
        <f t="shared" si="10"/>
        <v>25.52</v>
      </c>
      <c r="AC47" s="157">
        <f t="shared" si="11"/>
        <v>50</v>
      </c>
      <c r="AD47" s="272">
        <f t="shared" si="12"/>
        <v>1100</v>
      </c>
      <c r="AE47" s="272">
        <f t="shared" si="13"/>
        <v>1276</v>
      </c>
      <c r="AF47" s="332"/>
    </row>
    <row r="48" spans="1:32">
      <c r="A48" s="253" t="s">
        <v>1393</v>
      </c>
      <c r="B48" s="147" t="s">
        <v>1607</v>
      </c>
      <c r="C48" s="156" t="s">
        <v>1422</v>
      </c>
      <c r="D48" s="148">
        <v>408</v>
      </c>
      <c r="E48" s="149" t="s">
        <v>1718</v>
      </c>
      <c r="F48" s="148"/>
      <c r="G48" s="148"/>
      <c r="H48" s="148">
        <v>45</v>
      </c>
      <c r="I48" s="150" t="str">
        <f t="shared" si="7"/>
        <v xml:space="preserve"> REGISTRO COTIZACION NO EVALUADA: 45</v>
      </c>
      <c r="J48" s="148"/>
      <c r="K48" s="329" t="s">
        <v>10</v>
      </c>
      <c r="L48" s="148">
        <v>20</v>
      </c>
      <c r="M48" s="148" t="s">
        <v>9</v>
      </c>
      <c r="N48" s="148" t="s">
        <v>1411</v>
      </c>
      <c r="O48" s="148" t="s">
        <v>105</v>
      </c>
      <c r="P48" s="148">
        <v>20</v>
      </c>
      <c r="Q48" s="151">
        <f t="shared" si="8"/>
        <v>0.16</v>
      </c>
      <c r="R48" s="152"/>
      <c r="S48" s="153">
        <v>800</v>
      </c>
      <c r="T48" s="159">
        <v>928</v>
      </c>
      <c r="U48" s="154"/>
      <c r="V48" s="155">
        <v>800</v>
      </c>
      <c r="W48" s="155">
        <v>928</v>
      </c>
      <c r="X48" s="156"/>
      <c r="Y48" s="156" t="s">
        <v>1646</v>
      </c>
      <c r="Z48" s="156" t="s">
        <v>1444</v>
      </c>
      <c r="AA48" s="271">
        <f t="shared" si="9"/>
        <v>40</v>
      </c>
      <c r="AB48" s="271">
        <f t="shared" si="10"/>
        <v>46.4</v>
      </c>
      <c r="AC48" s="157">
        <f t="shared" si="11"/>
        <v>20</v>
      </c>
      <c r="AD48" s="272">
        <f t="shared" si="12"/>
        <v>800</v>
      </c>
      <c r="AE48" s="272">
        <f>AB48*AC48</f>
        <v>928</v>
      </c>
      <c r="AF48" s="332"/>
    </row>
    <row r="49" spans="1:32">
      <c r="A49" s="253" t="s">
        <v>1393</v>
      </c>
      <c r="B49" s="147" t="s">
        <v>1607</v>
      </c>
      <c r="C49" s="156" t="s">
        <v>1422</v>
      </c>
      <c r="D49" s="148">
        <v>408</v>
      </c>
      <c r="E49" s="149" t="s">
        <v>1718</v>
      </c>
      <c r="F49" s="148"/>
      <c r="G49" s="148"/>
      <c r="H49" s="148">
        <v>45</v>
      </c>
      <c r="I49" s="150" t="str">
        <f t="shared" si="7"/>
        <v xml:space="preserve"> REGISTRO COTIZACION NO EVALUADA: 45</v>
      </c>
      <c r="J49" s="148"/>
      <c r="K49" s="329" t="s">
        <v>10</v>
      </c>
      <c r="L49" s="148">
        <v>30</v>
      </c>
      <c r="M49" s="148" t="s">
        <v>9</v>
      </c>
      <c r="N49" s="148" t="s">
        <v>1412</v>
      </c>
      <c r="O49" s="148" t="s">
        <v>105</v>
      </c>
      <c r="P49" s="148">
        <v>30</v>
      </c>
      <c r="Q49" s="151">
        <f t="shared" si="8"/>
        <v>0.16</v>
      </c>
      <c r="R49" s="152"/>
      <c r="S49" s="153">
        <v>1000</v>
      </c>
      <c r="T49" s="159">
        <v>1160</v>
      </c>
      <c r="U49" s="154"/>
      <c r="V49" s="155">
        <v>1000</v>
      </c>
      <c r="W49" s="155">
        <v>1160</v>
      </c>
      <c r="X49" s="156"/>
      <c r="Y49" s="156" t="s">
        <v>1646</v>
      </c>
      <c r="Z49" s="156" t="s">
        <v>1444</v>
      </c>
      <c r="AA49" s="271">
        <f t="shared" si="9"/>
        <v>33.333333333333336</v>
      </c>
      <c r="AB49" s="271">
        <f t="shared" si="10"/>
        <v>38.666666666666664</v>
      </c>
      <c r="AC49" s="157">
        <f t="shared" si="11"/>
        <v>30</v>
      </c>
      <c r="AD49" s="272">
        <f t="shared" si="12"/>
        <v>1000.0000000000001</v>
      </c>
      <c r="AE49" s="272">
        <f>AB49*AC49</f>
        <v>1160</v>
      </c>
      <c r="AF49" s="332"/>
    </row>
    <row r="50" spans="1:32">
      <c r="A50" s="253" t="s">
        <v>1393</v>
      </c>
      <c r="B50" s="147" t="s">
        <v>1607</v>
      </c>
      <c r="C50" s="156" t="s">
        <v>1422</v>
      </c>
      <c r="D50" s="148">
        <v>408</v>
      </c>
      <c r="E50" s="149" t="s">
        <v>1718</v>
      </c>
      <c r="F50" s="148"/>
      <c r="G50" s="148"/>
      <c r="H50" s="148">
        <v>45</v>
      </c>
      <c r="I50" s="150" t="str">
        <f t="shared" si="7"/>
        <v xml:space="preserve"> REGISTRO COTIZACION NO EVALUADA: 45</v>
      </c>
      <c r="J50" s="148"/>
      <c r="K50" s="329" t="s">
        <v>10</v>
      </c>
      <c r="L50" s="148">
        <v>50</v>
      </c>
      <c r="M50" s="148" t="s">
        <v>9</v>
      </c>
      <c r="N50" s="148" t="s">
        <v>1413</v>
      </c>
      <c r="O50" s="148" t="s">
        <v>105</v>
      </c>
      <c r="P50" s="148">
        <v>50</v>
      </c>
      <c r="Q50" s="151">
        <f t="shared" si="8"/>
        <v>0.16</v>
      </c>
      <c r="R50" s="152"/>
      <c r="S50" s="153">
        <v>1100</v>
      </c>
      <c r="T50" s="159">
        <v>1276</v>
      </c>
      <c r="U50" s="154"/>
      <c r="V50" s="155">
        <v>1100</v>
      </c>
      <c r="W50" s="155">
        <v>1276</v>
      </c>
      <c r="X50" s="156"/>
      <c r="Y50" s="156" t="s">
        <v>1646</v>
      </c>
      <c r="Z50" s="156" t="s">
        <v>1444</v>
      </c>
      <c r="AA50" s="271">
        <f t="shared" si="9"/>
        <v>22</v>
      </c>
      <c r="AB50" s="271">
        <f t="shared" si="10"/>
        <v>25.52</v>
      </c>
      <c r="AC50" s="157">
        <f t="shared" si="11"/>
        <v>50</v>
      </c>
      <c r="AD50" s="272">
        <f t="shared" si="12"/>
        <v>1100</v>
      </c>
      <c r="AE50" s="272">
        <f>AB50*AC50</f>
        <v>1276</v>
      </c>
      <c r="AF50" s="332"/>
    </row>
    <row r="51" spans="1:32" ht="27">
      <c r="A51" s="332" t="s">
        <v>1393</v>
      </c>
      <c r="B51" s="147" t="s">
        <v>1607</v>
      </c>
      <c r="C51" s="156" t="s">
        <v>1422</v>
      </c>
      <c r="D51" s="148">
        <v>612</v>
      </c>
      <c r="E51" s="149" t="s">
        <v>1398</v>
      </c>
      <c r="F51" s="148" t="s">
        <v>105</v>
      </c>
      <c r="G51" s="148" t="s">
        <v>1430</v>
      </c>
      <c r="H51" s="148">
        <v>28</v>
      </c>
      <c r="I51" s="150">
        <f t="shared" si="7"/>
        <v>28</v>
      </c>
      <c r="J51" s="148"/>
      <c r="K51" s="329" t="s">
        <v>67</v>
      </c>
      <c r="L51" s="148" t="s">
        <v>1472</v>
      </c>
      <c r="M51" s="148" t="s">
        <v>9</v>
      </c>
      <c r="N51" s="148" t="s">
        <v>1473</v>
      </c>
      <c r="O51" s="148" t="s">
        <v>84</v>
      </c>
      <c r="P51" s="148">
        <v>32</v>
      </c>
      <c r="Q51" s="151">
        <f t="shared" si="8"/>
        <v>0.15999999999999992</v>
      </c>
      <c r="R51" s="152">
        <v>75000</v>
      </c>
      <c r="S51" s="153">
        <v>299</v>
      </c>
      <c r="T51" s="159">
        <v>346.84</v>
      </c>
      <c r="U51" s="154">
        <v>75000</v>
      </c>
      <c r="V51" s="155">
        <v>299</v>
      </c>
      <c r="W51" s="155">
        <v>346.84</v>
      </c>
      <c r="X51" s="156"/>
      <c r="Y51" s="156" t="s">
        <v>1423</v>
      </c>
      <c r="Z51" s="156" t="s">
        <v>1444</v>
      </c>
      <c r="AA51" s="271">
        <f t="shared" si="9"/>
        <v>9.34375</v>
      </c>
      <c r="AB51" s="271">
        <f t="shared" si="10"/>
        <v>10.838749999999999</v>
      </c>
      <c r="AC51" s="157">
        <f t="shared" si="11"/>
        <v>32</v>
      </c>
      <c r="AD51" s="272">
        <f t="shared" si="12"/>
        <v>299</v>
      </c>
      <c r="AE51" s="272">
        <f t="shared" ref="AE51:AE59" si="14">AC51*AB51</f>
        <v>346.84</v>
      </c>
      <c r="AF51" s="332"/>
    </row>
    <row r="52" spans="1:32" ht="27">
      <c r="A52" s="332" t="s">
        <v>1393</v>
      </c>
      <c r="B52" s="147" t="s">
        <v>1607</v>
      </c>
      <c r="C52" s="156" t="s">
        <v>1422</v>
      </c>
      <c r="D52" s="148">
        <v>612</v>
      </c>
      <c r="E52" s="149" t="s">
        <v>1398</v>
      </c>
      <c r="F52" s="148" t="s">
        <v>105</v>
      </c>
      <c r="G52" s="148" t="s">
        <v>1430</v>
      </c>
      <c r="H52" s="148">
        <v>28</v>
      </c>
      <c r="I52" s="150">
        <f t="shared" si="7"/>
        <v>28</v>
      </c>
      <c r="J52" s="148"/>
      <c r="K52" s="329" t="s">
        <v>67</v>
      </c>
      <c r="L52" s="148" t="s">
        <v>1472</v>
      </c>
      <c r="M52" s="148" t="s">
        <v>9</v>
      </c>
      <c r="N52" s="148" t="s">
        <v>1474</v>
      </c>
      <c r="O52" s="148" t="s">
        <v>84</v>
      </c>
      <c r="P52" s="148">
        <v>35</v>
      </c>
      <c r="Q52" s="151">
        <f t="shared" si="8"/>
        <v>0.15999999999999981</v>
      </c>
      <c r="R52" s="152">
        <v>75000</v>
      </c>
      <c r="S52" s="153">
        <v>314.00000000000006</v>
      </c>
      <c r="T52" s="159">
        <v>364.24</v>
      </c>
      <c r="U52" s="154">
        <v>75000</v>
      </c>
      <c r="V52" s="155">
        <v>314.00000000000006</v>
      </c>
      <c r="W52" s="155">
        <v>364.24</v>
      </c>
      <c r="X52" s="156"/>
      <c r="Y52" s="156" t="s">
        <v>1423</v>
      </c>
      <c r="Z52" s="156" t="s">
        <v>1444</v>
      </c>
      <c r="AA52" s="271">
        <f t="shared" si="9"/>
        <v>8.9714285714285733</v>
      </c>
      <c r="AB52" s="271">
        <f t="shared" si="10"/>
        <v>10.406857142857143</v>
      </c>
      <c r="AC52" s="157">
        <f t="shared" si="11"/>
        <v>35</v>
      </c>
      <c r="AD52" s="272">
        <f t="shared" si="12"/>
        <v>314.00000000000006</v>
      </c>
      <c r="AE52" s="272">
        <f t="shared" si="14"/>
        <v>364.24</v>
      </c>
      <c r="AF52" s="332"/>
    </row>
    <row r="53" spans="1:32">
      <c r="A53" s="252" t="s">
        <v>1393</v>
      </c>
      <c r="B53" s="147" t="s">
        <v>1607</v>
      </c>
      <c r="C53" s="156" t="s">
        <v>1422</v>
      </c>
      <c r="D53" s="148">
        <v>612</v>
      </c>
      <c r="E53" s="149" t="s">
        <v>1398</v>
      </c>
      <c r="F53" s="148"/>
      <c r="G53" s="148"/>
      <c r="H53" s="148">
        <v>62</v>
      </c>
      <c r="I53" s="150" t="str">
        <f t="shared" si="7"/>
        <v xml:space="preserve"> REGISTRO COTIZACION NO EVALUADA: 62</v>
      </c>
      <c r="J53" s="148"/>
      <c r="K53" s="329" t="s">
        <v>68</v>
      </c>
      <c r="L53" s="148" t="s">
        <v>1403</v>
      </c>
      <c r="M53" s="148" t="s">
        <v>9</v>
      </c>
      <c r="N53" s="148" t="s">
        <v>1414</v>
      </c>
      <c r="O53" s="148" t="s">
        <v>105</v>
      </c>
      <c r="P53" s="148">
        <v>40</v>
      </c>
      <c r="Q53" s="151">
        <f t="shared" si="8"/>
        <v>0.15999999999999995</v>
      </c>
      <c r="R53" s="152">
        <v>45000</v>
      </c>
      <c r="S53" s="153">
        <v>445.00000000000006</v>
      </c>
      <c r="T53" s="159">
        <v>516.20000000000005</v>
      </c>
      <c r="U53" s="154">
        <v>45000</v>
      </c>
      <c r="V53" s="155">
        <v>445.00000000000006</v>
      </c>
      <c r="W53" s="155">
        <v>516.20000000000005</v>
      </c>
      <c r="X53" s="156"/>
      <c r="Y53" s="156" t="s">
        <v>1423</v>
      </c>
      <c r="Z53" s="156" t="s">
        <v>1444</v>
      </c>
      <c r="AA53" s="271">
        <f t="shared" si="9"/>
        <v>11.125000000000002</v>
      </c>
      <c r="AB53" s="271">
        <f t="shared" si="10"/>
        <v>12.905000000000001</v>
      </c>
      <c r="AC53" s="157">
        <f t="shared" si="11"/>
        <v>40</v>
      </c>
      <c r="AD53" s="272">
        <f t="shared" si="12"/>
        <v>445.00000000000006</v>
      </c>
      <c r="AE53" s="272">
        <f t="shared" si="14"/>
        <v>516.20000000000005</v>
      </c>
      <c r="AF53" s="332"/>
    </row>
    <row r="54" spans="1:32">
      <c r="A54" s="252" t="s">
        <v>1393</v>
      </c>
      <c r="B54" s="147" t="s">
        <v>1607</v>
      </c>
      <c r="C54" s="156" t="s">
        <v>1422</v>
      </c>
      <c r="D54" s="148">
        <v>612</v>
      </c>
      <c r="E54" s="149" t="s">
        <v>1398</v>
      </c>
      <c r="F54" s="148"/>
      <c r="G54" s="148"/>
      <c r="H54" s="148">
        <v>62</v>
      </c>
      <c r="I54" s="150" t="str">
        <f t="shared" si="7"/>
        <v xml:space="preserve"> REGISTRO COTIZACION NO EVALUADA: 62</v>
      </c>
      <c r="J54" s="148"/>
      <c r="K54" s="329" t="s">
        <v>68</v>
      </c>
      <c r="L54" s="148" t="s">
        <v>1403</v>
      </c>
      <c r="M54" s="148" t="s">
        <v>9</v>
      </c>
      <c r="N54" s="148" t="s">
        <v>1413</v>
      </c>
      <c r="O54" s="148" t="s">
        <v>105</v>
      </c>
      <c r="P54" s="148">
        <v>50</v>
      </c>
      <c r="Q54" s="151">
        <f t="shared" si="8"/>
        <v>0.15999999999999981</v>
      </c>
      <c r="R54" s="152">
        <v>45000</v>
      </c>
      <c r="S54" s="153">
        <v>549.00000000000011</v>
      </c>
      <c r="T54" s="159">
        <v>636.84</v>
      </c>
      <c r="U54" s="154">
        <v>45000</v>
      </c>
      <c r="V54" s="155">
        <v>549.00000000000011</v>
      </c>
      <c r="W54" s="155">
        <v>636.84</v>
      </c>
      <c r="X54" s="156"/>
      <c r="Y54" s="156" t="s">
        <v>1423</v>
      </c>
      <c r="Z54" s="156" t="s">
        <v>1444</v>
      </c>
      <c r="AA54" s="271">
        <f t="shared" si="9"/>
        <v>10.980000000000002</v>
      </c>
      <c r="AB54" s="271">
        <f t="shared" si="10"/>
        <v>12.736800000000001</v>
      </c>
      <c r="AC54" s="157">
        <f t="shared" si="11"/>
        <v>50</v>
      </c>
      <c r="AD54" s="272">
        <f t="shared" si="12"/>
        <v>549.00000000000011</v>
      </c>
      <c r="AE54" s="272">
        <f t="shared" si="14"/>
        <v>636.84</v>
      </c>
      <c r="AF54" s="332"/>
    </row>
    <row r="55" spans="1:32">
      <c r="A55" s="332" t="s">
        <v>1393</v>
      </c>
      <c r="B55" s="147" t="s">
        <v>1607</v>
      </c>
      <c r="C55" s="156" t="s">
        <v>1422</v>
      </c>
      <c r="D55" s="148">
        <v>413</v>
      </c>
      <c r="E55" s="149" t="s">
        <v>1648</v>
      </c>
      <c r="F55" s="148" t="s">
        <v>105</v>
      </c>
      <c r="G55" s="148" t="s">
        <v>1433</v>
      </c>
      <c r="H55" s="148">
        <v>3</v>
      </c>
      <c r="I55" s="150" t="str">
        <f t="shared" si="7"/>
        <v>3_ABM</v>
      </c>
      <c r="J55" s="148" t="s">
        <v>1438</v>
      </c>
      <c r="K55" s="329" t="s">
        <v>12</v>
      </c>
      <c r="L55" s="148">
        <v>50</v>
      </c>
      <c r="M55" s="148" t="s">
        <v>9</v>
      </c>
      <c r="N55" s="148" t="s">
        <v>1479</v>
      </c>
      <c r="O55" s="148" t="s">
        <v>105</v>
      </c>
      <c r="P55" s="148">
        <v>50</v>
      </c>
      <c r="Q55" s="151">
        <f t="shared" si="8"/>
        <v>0.16</v>
      </c>
      <c r="R55" s="152"/>
      <c r="S55" s="153">
        <v>450</v>
      </c>
      <c r="T55" s="159">
        <v>522</v>
      </c>
      <c r="U55" s="154">
        <v>15000</v>
      </c>
      <c r="V55" s="155">
        <v>450</v>
      </c>
      <c r="W55" s="155">
        <v>522</v>
      </c>
      <c r="X55" s="156"/>
      <c r="Y55" s="156" t="s">
        <v>1646</v>
      </c>
      <c r="Z55" s="156" t="s">
        <v>1444</v>
      </c>
      <c r="AA55" s="271">
        <f t="shared" si="9"/>
        <v>9</v>
      </c>
      <c r="AB55" s="271">
        <f t="shared" si="10"/>
        <v>10.44</v>
      </c>
      <c r="AC55" s="157">
        <f t="shared" si="11"/>
        <v>50</v>
      </c>
      <c r="AD55" s="272">
        <f t="shared" si="12"/>
        <v>450</v>
      </c>
      <c r="AE55" s="272">
        <f t="shared" si="14"/>
        <v>522</v>
      </c>
      <c r="AF55" s="332"/>
    </row>
    <row r="56" spans="1:32">
      <c r="A56" s="332" t="s">
        <v>1393</v>
      </c>
      <c r="B56" s="147" t="s">
        <v>1607</v>
      </c>
      <c r="C56" s="156" t="s">
        <v>1422</v>
      </c>
      <c r="D56" s="148">
        <v>413</v>
      </c>
      <c r="E56" s="149" t="s">
        <v>1648</v>
      </c>
      <c r="F56" s="148" t="s">
        <v>105</v>
      </c>
      <c r="G56" s="148" t="s">
        <v>1433</v>
      </c>
      <c r="H56" s="148">
        <v>3</v>
      </c>
      <c r="I56" s="150" t="str">
        <f t="shared" si="7"/>
        <v>3_CH</v>
      </c>
      <c r="J56" s="148" t="s">
        <v>1440</v>
      </c>
      <c r="K56" s="329" t="s">
        <v>12</v>
      </c>
      <c r="L56" s="148">
        <v>80</v>
      </c>
      <c r="M56" s="148" t="s">
        <v>9</v>
      </c>
      <c r="N56" s="148" t="s">
        <v>1476</v>
      </c>
      <c r="O56" s="148" t="s">
        <v>105</v>
      </c>
      <c r="P56" s="148">
        <v>80</v>
      </c>
      <c r="Q56" s="151">
        <f t="shared" si="8"/>
        <v>0.15999999999999992</v>
      </c>
      <c r="R56" s="152"/>
      <c r="S56" s="153">
        <v>680</v>
      </c>
      <c r="T56" s="159">
        <v>788.8</v>
      </c>
      <c r="U56" s="154">
        <v>15000</v>
      </c>
      <c r="V56" s="155">
        <v>680</v>
      </c>
      <c r="W56" s="155">
        <v>788.8</v>
      </c>
      <c r="X56" s="156"/>
      <c r="Y56" s="156" t="s">
        <v>1646</v>
      </c>
      <c r="Z56" s="156" t="s">
        <v>1444</v>
      </c>
      <c r="AA56" s="271">
        <f t="shared" si="9"/>
        <v>8.5</v>
      </c>
      <c r="AB56" s="271">
        <f t="shared" si="10"/>
        <v>9.86</v>
      </c>
      <c r="AC56" s="157">
        <f t="shared" si="11"/>
        <v>80</v>
      </c>
      <c r="AD56" s="272">
        <f t="shared" si="12"/>
        <v>680</v>
      </c>
      <c r="AE56" s="272">
        <f t="shared" si="14"/>
        <v>788.8</v>
      </c>
      <c r="AF56" s="332"/>
    </row>
    <row r="57" spans="1:32" ht="27">
      <c r="A57" s="129" t="s">
        <v>1393</v>
      </c>
      <c r="B57" s="147" t="s">
        <v>1607</v>
      </c>
      <c r="C57" s="156" t="s">
        <v>1422</v>
      </c>
      <c r="D57" s="148">
        <v>628</v>
      </c>
      <c r="E57" s="149" t="s">
        <v>1488</v>
      </c>
      <c r="F57" s="148" t="s">
        <v>105</v>
      </c>
      <c r="G57" s="148" t="s">
        <v>1430</v>
      </c>
      <c r="H57" s="148">
        <v>28</v>
      </c>
      <c r="I57" s="150">
        <f t="shared" si="7"/>
        <v>28</v>
      </c>
      <c r="J57" s="148"/>
      <c r="K57" s="329" t="s">
        <v>67</v>
      </c>
      <c r="L57" s="148" t="s">
        <v>1490</v>
      </c>
      <c r="M57" s="148" t="s">
        <v>9</v>
      </c>
      <c r="N57" s="148" t="s">
        <v>1491</v>
      </c>
      <c r="O57" s="148" t="s">
        <v>84</v>
      </c>
      <c r="P57" s="148">
        <v>35</v>
      </c>
      <c r="Q57" s="151">
        <f t="shared" si="8"/>
        <v>0.15999999999999992</v>
      </c>
      <c r="R57" s="152" t="s">
        <v>1492</v>
      </c>
      <c r="S57" s="153">
        <v>333</v>
      </c>
      <c r="T57" s="159">
        <v>386.28</v>
      </c>
      <c r="U57" s="161"/>
      <c r="V57" s="160">
        <v>333</v>
      </c>
      <c r="W57" s="160">
        <v>386.28</v>
      </c>
      <c r="X57" s="156" t="s">
        <v>1424</v>
      </c>
      <c r="Y57" s="156" t="s">
        <v>1423</v>
      </c>
      <c r="Z57" s="156" t="s">
        <v>1444</v>
      </c>
      <c r="AA57" s="271">
        <f t="shared" si="9"/>
        <v>9.5142857142857142</v>
      </c>
      <c r="AB57" s="271">
        <f t="shared" si="10"/>
        <v>11.036571428571428</v>
      </c>
      <c r="AC57" s="157">
        <f t="shared" si="11"/>
        <v>35</v>
      </c>
      <c r="AD57" s="272">
        <f t="shared" si="12"/>
        <v>333</v>
      </c>
      <c r="AE57" s="272">
        <f t="shared" si="14"/>
        <v>386.28</v>
      </c>
      <c r="AF57" s="129"/>
    </row>
    <row r="58" spans="1:32">
      <c r="A58" s="332" t="s">
        <v>1393</v>
      </c>
      <c r="B58" s="147" t="s">
        <v>1607</v>
      </c>
      <c r="C58" s="156" t="s">
        <v>1422</v>
      </c>
      <c r="D58" s="148">
        <v>431</v>
      </c>
      <c r="E58" s="149" t="s">
        <v>1487</v>
      </c>
      <c r="F58" s="148" t="s">
        <v>105</v>
      </c>
      <c r="G58" s="148" t="s">
        <v>1430</v>
      </c>
      <c r="H58" s="148">
        <v>21</v>
      </c>
      <c r="I58" s="150">
        <f t="shared" si="7"/>
        <v>21</v>
      </c>
      <c r="J58" s="148"/>
      <c r="K58" s="329" t="s">
        <v>70</v>
      </c>
      <c r="L58" s="148">
        <v>30</v>
      </c>
      <c r="M58" s="148" t="s">
        <v>9</v>
      </c>
      <c r="N58" s="148" t="s">
        <v>1477</v>
      </c>
      <c r="O58" s="148" t="s">
        <v>105</v>
      </c>
      <c r="P58" s="148">
        <v>20</v>
      </c>
      <c r="Q58" s="151">
        <f t="shared" si="8"/>
        <v>0.16</v>
      </c>
      <c r="R58" s="152" t="s">
        <v>1486</v>
      </c>
      <c r="S58" s="153">
        <v>800</v>
      </c>
      <c r="T58" s="159">
        <v>928</v>
      </c>
      <c r="U58" s="154" t="s">
        <v>1486</v>
      </c>
      <c r="V58" s="155" t="s">
        <v>1486</v>
      </c>
      <c r="W58" s="155" t="s">
        <v>1486</v>
      </c>
      <c r="X58" s="156"/>
      <c r="Y58" s="156" t="s">
        <v>1646</v>
      </c>
      <c r="Z58" s="156" t="s">
        <v>1444</v>
      </c>
      <c r="AA58" s="271">
        <f t="shared" si="9"/>
        <v>40</v>
      </c>
      <c r="AB58" s="271">
        <f t="shared" si="10"/>
        <v>46.4</v>
      </c>
      <c r="AC58" s="157">
        <f t="shared" si="11"/>
        <v>20</v>
      </c>
      <c r="AD58" s="272">
        <f t="shared" si="12"/>
        <v>800</v>
      </c>
      <c r="AE58" s="272">
        <f t="shared" si="14"/>
        <v>928</v>
      </c>
      <c r="AF58" s="332"/>
    </row>
    <row r="59" spans="1:32">
      <c r="A59" s="332" t="s">
        <v>1393</v>
      </c>
      <c r="B59" s="147" t="s">
        <v>1607</v>
      </c>
      <c r="C59" s="156" t="s">
        <v>1422</v>
      </c>
      <c r="D59" s="148">
        <v>614</v>
      </c>
      <c r="E59" s="149" t="s">
        <v>1649</v>
      </c>
      <c r="F59" s="148" t="s">
        <v>105</v>
      </c>
      <c r="G59" s="148" t="s">
        <v>1430</v>
      </c>
      <c r="H59" s="148">
        <v>26</v>
      </c>
      <c r="I59" s="150">
        <f t="shared" si="7"/>
        <v>26</v>
      </c>
      <c r="J59" s="148"/>
      <c r="K59" s="329" t="s">
        <v>69</v>
      </c>
      <c r="L59" s="148" t="s">
        <v>1475</v>
      </c>
      <c r="M59" s="148" t="s">
        <v>9</v>
      </c>
      <c r="N59" s="148" t="s">
        <v>1650</v>
      </c>
      <c r="O59" s="148" t="s">
        <v>105</v>
      </c>
      <c r="P59" s="148">
        <v>360</v>
      </c>
      <c r="Q59" s="151">
        <f t="shared" si="8"/>
        <v>0.15995397008055237</v>
      </c>
      <c r="R59" s="152">
        <v>7000</v>
      </c>
      <c r="S59" s="153">
        <v>1738</v>
      </c>
      <c r="T59" s="159">
        <v>2016</v>
      </c>
      <c r="U59" s="154">
        <v>7000</v>
      </c>
      <c r="V59" s="155">
        <v>1738</v>
      </c>
      <c r="W59" s="155">
        <v>2016</v>
      </c>
      <c r="X59" s="156" t="s">
        <v>1651</v>
      </c>
      <c r="Y59" s="156" t="s">
        <v>1423</v>
      </c>
      <c r="Z59" s="156" t="s">
        <v>1444</v>
      </c>
      <c r="AA59" s="271">
        <f t="shared" si="9"/>
        <v>4.8277777777777775</v>
      </c>
      <c r="AB59" s="271">
        <f t="shared" si="10"/>
        <v>5.6</v>
      </c>
      <c r="AC59" s="157">
        <f t="shared" si="11"/>
        <v>360</v>
      </c>
      <c r="AD59" s="272">
        <f t="shared" si="12"/>
        <v>1738</v>
      </c>
      <c r="AE59" s="272">
        <f t="shared" si="14"/>
        <v>2015.9999999999998</v>
      </c>
      <c r="AF59" s="332"/>
    </row>
    <row r="60" spans="1:32">
      <c r="A60" s="332" t="s">
        <v>1393</v>
      </c>
      <c r="B60" s="147" t="s">
        <v>1607</v>
      </c>
      <c r="C60" s="156" t="s">
        <v>1422</v>
      </c>
      <c r="D60" s="148">
        <v>458</v>
      </c>
      <c r="E60" s="149" t="s">
        <v>1396</v>
      </c>
      <c r="F60" s="148" t="s">
        <v>105</v>
      </c>
      <c r="G60" s="148" t="s">
        <v>1430</v>
      </c>
      <c r="H60" s="148">
        <v>15</v>
      </c>
      <c r="I60" s="150">
        <f t="shared" si="7"/>
        <v>15</v>
      </c>
      <c r="J60" s="148"/>
      <c r="K60" s="329" t="s">
        <v>66</v>
      </c>
      <c r="L60" s="148">
        <v>40</v>
      </c>
      <c r="M60" s="148" t="s">
        <v>9</v>
      </c>
      <c r="N60" s="148" t="s">
        <v>1416</v>
      </c>
      <c r="O60" s="148" t="s">
        <v>84</v>
      </c>
      <c r="P60" s="148">
        <v>50</v>
      </c>
      <c r="Q60" s="151">
        <f t="shared" si="8"/>
        <v>0.15999999999999986</v>
      </c>
      <c r="R60" s="152"/>
      <c r="S60" s="153">
        <v>1309</v>
      </c>
      <c r="T60" s="159">
        <v>1518.4399999999998</v>
      </c>
      <c r="U60" s="154"/>
      <c r="V60" s="155">
        <v>1309</v>
      </c>
      <c r="W60" s="155">
        <v>1518</v>
      </c>
      <c r="X60" s="156" t="s">
        <v>1426</v>
      </c>
      <c r="Y60" s="156" t="s">
        <v>1646</v>
      </c>
      <c r="Z60" s="156" t="s">
        <v>1444</v>
      </c>
      <c r="AA60" s="271">
        <f t="shared" si="9"/>
        <v>26.18</v>
      </c>
      <c r="AB60" s="271">
        <f t="shared" si="10"/>
        <v>30.368799999999997</v>
      </c>
      <c r="AC60" s="157">
        <f t="shared" si="11"/>
        <v>50</v>
      </c>
      <c r="AD60" s="272">
        <f t="shared" si="12"/>
        <v>1309</v>
      </c>
      <c r="AE60" s="272">
        <f>AB60*AC60</f>
        <v>1518.4399999999998</v>
      </c>
      <c r="AF60" s="332"/>
    </row>
    <row r="61" spans="1:32">
      <c r="A61" s="332" t="s">
        <v>1393</v>
      </c>
      <c r="B61" s="147" t="s">
        <v>1607</v>
      </c>
      <c r="C61" s="156" t="s">
        <v>1422</v>
      </c>
      <c r="D61" s="148">
        <v>426</v>
      </c>
      <c r="E61" s="149" t="s">
        <v>1432</v>
      </c>
      <c r="F61" s="148" t="s">
        <v>105</v>
      </c>
      <c r="G61" s="148" t="s">
        <v>1430</v>
      </c>
      <c r="H61" s="148">
        <v>1</v>
      </c>
      <c r="I61" s="150">
        <f t="shared" si="7"/>
        <v>1</v>
      </c>
      <c r="J61" s="148"/>
      <c r="K61" s="329" t="s">
        <v>16</v>
      </c>
      <c r="L61" s="148">
        <v>30</v>
      </c>
      <c r="M61" s="148" t="s">
        <v>9</v>
      </c>
      <c r="N61" s="148" t="s">
        <v>1417</v>
      </c>
      <c r="O61" s="148" t="s">
        <v>105</v>
      </c>
      <c r="P61" s="148">
        <v>30</v>
      </c>
      <c r="Q61" s="151">
        <f t="shared" si="8"/>
        <v>0.05</v>
      </c>
      <c r="R61" s="152">
        <v>1500</v>
      </c>
      <c r="S61" s="153">
        <v>775</v>
      </c>
      <c r="T61" s="159">
        <v>813.75</v>
      </c>
      <c r="U61" s="154"/>
      <c r="V61" s="155">
        <v>775</v>
      </c>
      <c r="W61" s="155">
        <v>899</v>
      </c>
      <c r="X61" s="156"/>
      <c r="Y61" s="156" t="s">
        <v>1646</v>
      </c>
      <c r="Z61" s="156" t="s">
        <v>1444</v>
      </c>
      <c r="AA61" s="271">
        <f t="shared" si="9"/>
        <v>25.833333333333332</v>
      </c>
      <c r="AB61" s="271">
        <f t="shared" si="10"/>
        <v>27.125</v>
      </c>
      <c r="AC61" s="157">
        <f t="shared" si="11"/>
        <v>30</v>
      </c>
      <c r="AD61" s="272">
        <f t="shared" si="12"/>
        <v>775</v>
      </c>
      <c r="AE61" s="272">
        <f>AB61*AC61</f>
        <v>813.75</v>
      </c>
      <c r="AF61" s="332"/>
    </row>
    <row r="62" spans="1:32">
      <c r="A62" s="332" t="s">
        <v>1393</v>
      </c>
      <c r="B62" s="147" t="s">
        <v>1607</v>
      </c>
      <c r="C62" s="156" t="s">
        <v>1422</v>
      </c>
      <c r="D62" s="148">
        <v>426</v>
      </c>
      <c r="E62" s="149" t="s">
        <v>1432</v>
      </c>
      <c r="F62" s="148" t="s">
        <v>105</v>
      </c>
      <c r="G62" s="148" t="s">
        <v>1430</v>
      </c>
      <c r="H62" s="148">
        <v>1</v>
      </c>
      <c r="I62" s="150">
        <f t="shared" si="7"/>
        <v>1</v>
      </c>
      <c r="J62" s="148"/>
      <c r="K62" s="329" t="s">
        <v>16</v>
      </c>
      <c r="L62" s="148">
        <v>40</v>
      </c>
      <c r="M62" s="148" t="s">
        <v>9</v>
      </c>
      <c r="N62" s="148" t="s">
        <v>1418</v>
      </c>
      <c r="O62" s="148" t="s">
        <v>105</v>
      </c>
      <c r="P62" s="148">
        <v>40</v>
      </c>
      <c r="Q62" s="151">
        <f t="shared" si="8"/>
        <v>0.05</v>
      </c>
      <c r="R62" s="152" t="s">
        <v>1405</v>
      </c>
      <c r="S62" s="153">
        <v>990</v>
      </c>
      <c r="T62" s="159">
        <v>1039.5</v>
      </c>
      <c r="U62" s="154"/>
      <c r="V62" s="155">
        <v>990</v>
      </c>
      <c r="W62" s="155">
        <v>1148.4000000000001</v>
      </c>
      <c r="X62" s="156"/>
      <c r="Y62" s="156" t="s">
        <v>1646</v>
      </c>
      <c r="Z62" s="156" t="s">
        <v>1444</v>
      </c>
      <c r="AA62" s="271">
        <f t="shared" si="9"/>
        <v>24.75</v>
      </c>
      <c r="AB62" s="271">
        <f t="shared" si="10"/>
        <v>25.987500000000001</v>
      </c>
      <c r="AC62" s="157">
        <f t="shared" si="11"/>
        <v>40</v>
      </c>
      <c r="AD62" s="272">
        <f t="shared" si="12"/>
        <v>990</v>
      </c>
      <c r="AE62" s="272">
        <f>AB62*AC62</f>
        <v>1039.5</v>
      </c>
      <c r="AF62" s="147"/>
    </row>
    <row r="63" spans="1:32">
      <c r="A63" s="332" t="s">
        <v>1393</v>
      </c>
      <c r="B63" s="147" t="s">
        <v>1607</v>
      </c>
      <c r="C63" s="156" t="s">
        <v>1422</v>
      </c>
      <c r="D63" s="148">
        <v>426</v>
      </c>
      <c r="E63" s="149" t="s">
        <v>1432</v>
      </c>
      <c r="F63" s="148" t="s">
        <v>105</v>
      </c>
      <c r="G63" s="148" t="s">
        <v>1430</v>
      </c>
      <c r="H63" s="148">
        <v>1</v>
      </c>
      <c r="I63" s="150">
        <f t="shared" si="7"/>
        <v>1</v>
      </c>
      <c r="J63" s="148"/>
      <c r="K63" s="329" t="s">
        <v>16</v>
      </c>
      <c r="L63" s="148">
        <v>60</v>
      </c>
      <c r="M63" s="148" t="s">
        <v>9</v>
      </c>
      <c r="N63" s="148" t="s">
        <v>1419</v>
      </c>
      <c r="O63" s="148" t="s">
        <v>105</v>
      </c>
      <c r="P63" s="148">
        <v>60</v>
      </c>
      <c r="Q63" s="151">
        <f t="shared" si="8"/>
        <v>0.05</v>
      </c>
      <c r="R63" s="152">
        <v>900</v>
      </c>
      <c r="S63" s="153">
        <v>1440</v>
      </c>
      <c r="T63" s="159">
        <v>1512</v>
      </c>
      <c r="U63" s="154"/>
      <c r="V63" s="155">
        <v>1440</v>
      </c>
      <c r="W63" s="155">
        <v>1670.4</v>
      </c>
      <c r="X63" s="156"/>
      <c r="Y63" s="156" t="s">
        <v>1646</v>
      </c>
      <c r="Z63" s="156" t="s">
        <v>1444</v>
      </c>
      <c r="AA63" s="271">
        <f t="shared" si="9"/>
        <v>24</v>
      </c>
      <c r="AB63" s="271">
        <f t="shared" si="10"/>
        <v>25.2</v>
      </c>
      <c r="AC63" s="157">
        <f t="shared" si="11"/>
        <v>60</v>
      </c>
      <c r="AD63" s="272">
        <f t="shared" si="12"/>
        <v>1440</v>
      </c>
      <c r="AE63" s="272">
        <f>AB63*AC63</f>
        <v>1512</v>
      </c>
      <c r="AF63" s="147"/>
    </row>
    <row r="64" spans="1:32">
      <c r="A64" s="332" t="s">
        <v>1393</v>
      </c>
      <c r="B64" s="147" t="s">
        <v>1607</v>
      </c>
      <c r="C64" s="156" t="s">
        <v>1422</v>
      </c>
      <c r="D64" s="148">
        <v>269</v>
      </c>
      <c r="E64" s="149" t="s">
        <v>1399</v>
      </c>
      <c r="F64" s="148" t="s">
        <v>105</v>
      </c>
      <c r="G64" s="148" t="s">
        <v>1430</v>
      </c>
      <c r="H64" s="148">
        <v>1</v>
      </c>
      <c r="I64" s="150">
        <f t="shared" si="7"/>
        <v>1</v>
      </c>
      <c r="J64" s="148"/>
      <c r="K64" s="329" t="s">
        <v>16</v>
      </c>
      <c r="L64" s="148">
        <v>40</v>
      </c>
      <c r="M64" s="148" t="s">
        <v>9</v>
      </c>
      <c r="N64" s="148" t="s">
        <v>1400</v>
      </c>
      <c r="O64" s="148" t="s">
        <v>84</v>
      </c>
      <c r="P64" s="148">
        <v>200</v>
      </c>
      <c r="Q64" s="151">
        <f t="shared" si="8"/>
        <v>5.0000000000000093E-2</v>
      </c>
      <c r="R64" s="152">
        <v>1</v>
      </c>
      <c r="S64" s="153">
        <v>9017.241379310346</v>
      </c>
      <c r="T64" s="159">
        <v>9468.1034482758641</v>
      </c>
      <c r="U64" s="154"/>
      <c r="V64" s="155"/>
      <c r="W64" s="155"/>
      <c r="X64" s="156"/>
      <c r="Y64" s="156" t="s">
        <v>1646</v>
      </c>
      <c r="Z64" s="156" t="s">
        <v>1444</v>
      </c>
      <c r="AA64" s="271">
        <f t="shared" si="9"/>
        <v>45.08620689655173</v>
      </c>
      <c r="AB64" s="271">
        <f t="shared" si="10"/>
        <v>47.340517241379324</v>
      </c>
      <c r="AC64" s="157">
        <f t="shared" si="11"/>
        <v>200</v>
      </c>
      <c r="AD64" s="272">
        <f t="shared" si="12"/>
        <v>9017.241379310346</v>
      </c>
      <c r="AE64" s="272">
        <f t="shared" ref="AE64:AE78" si="15">AC64*AB64</f>
        <v>9468.1034482758641</v>
      </c>
      <c r="AF64" s="147"/>
    </row>
    <row r="65" spans="1:32">
      <c r="A65" s="332" t="s">
        <v>1393</v>
      </c>
      <c r="B65" s="147" t="s">
        <v>1607</v>
      </c>
      <c r="C65" s="156" t="s">
        <v>1422</v>
      </c>
      <c r="D65" s="148">
        <v>269</v>
      </c>
      <c r="E65" s="149" t="s">
        <v>1399</v>
      </c>
      <c r="F65" s="148" t="s">
        <v>105</v>
      </c>
      <c r="G65" s="148" t="s">
        <v>1430</v>
      </c>
      <c r="H65" s="148">
        <v>15</v>
      </c>
      <c r="I65" s="150">
        <f t="shared" si="7"/>
        <v>15</v>
      </c>
      <c r="J65" s="148"/>
      <c r="K65" s="329" t="s">
        <v>66</v>
      </c>
      <c r="L65" s="148">
        <v>80</v>
      </c>
      <c r="M65" s="148" t="s">
        <v>9</v>
      </c>
      <c r="N65" s="148" t="s">
        <v>1476</v>
      </c>
      <c r="O65" s="148" t="s">
        <v>105</v>
      </c>
      <c r="P65" s="148">
        <v>80</v>
      </c>
      <c r="Q65" s="151">
        <f t="shared" si="8"/>
        <v>0.15999999999999998</v>
      </c>
      <c r="R65" s="152">
        <v>1</v>
      </c>
      <c r="S65" s="153">
        <v>2198.2758620689656</v>
      </c>
      <c r="T65" s="159">
        <v>2550</v>
      </c>
      <c r="U65" s="154"/>
      <c r="V65" s="155">
        <v>2198.2758620689656</v>
      </c>
      <c r="W65" s="155">
        <v>2550</v>
      </c>
      <c r="X65" s="156"/>
      <c r="Y65" s="156" t="s">
        <v>1646</v>
      </c>
      <c r="Z65" s="156" t="s">
        <v>1444</v>
      </c>
      <c r="AA65" s="271">
        <f t="shared" si="9"/>
        <v>27.478448275862071</v>
      </c>
      <c r="AB65" s="271">
        <f t="shared" si="10"/>
        <v>31.875</v>
      </c>
      <c r="AC65" s="157">
        <f t="shared" si="11"/>
        <v>80</v>
      </c>
      <c r="AD65" s="272">
        <f t="shared" si="12"/>
        <v>2198.2758620689656</v>
      </c>
      <c r="AE65" s="272">
        <f t="shared" si="15"/>
        <v>2550</v>
      </c>
      <c r="AF65" s="147"/>
    </row>
    <row r="66" spans="1:32">
      <c r="A66" s="252" t="s">
        <v>1393</v>
      </c>
      <c r="B66" s="147" t="s">
        <v>1607</v>
      </c>
      <c r="C66" s="156" t="s">
        <v>1422</v>
      </c>
      <c r="D66" s="148">
        <v>425</v>
      </c>
      <c r="E66" s="158" t="s">
        <v>1448</v>
      </c>
      <c r="F66" s="148"/>
      <c r="G66" s="148"/>
      <c r="H66" s="148">
        <v>1</v>
      </c>
      <c r="I66" s="150" t="str">
        <f t="shared" si="7"/>
        <v xml:space="preserve"> REGISTRO COTIZACION NO EVALUADA: 1</v>
      </c>
      <c r="J66" s="148"/>
      <c r="K66" s="329" t="s">
        <v>16</v>
      </c>
      <c r="L66" s="148">
        <v>30</v>
      </c>
      <c r="M66" s="148" t="s">
        <v>9</v>
      </c>
      <c r="N66" s="148" t="s">
        <v>1412</v>
      </c>
      <c r="O66" s="148" t="s">
        <v>105</v>
      </c>
      <c r="P66" s="148">
        <v>30</v>
      </c>
      <c r="Q66" s="151">
        <f t="shared" si="8"/>
        <v>5.0000000000000079E-2</v>
      </c>
      <c r="R66" s="152"/>
      <c r="S66" s="153">
        <v>1133</v>
      </c>
      <c r="T66" s="159">
        <v>1189.6500000000001</v>
      </c>
      <c r="U66" s="161"/>
      <c r="V66" s="161"/>
      <c r="W66" s="161"/>
      <c r="X66" s="156" t="s">
        <v>1618</v>
      </c>
      <c r="Y66" s="156" t="s">
        <v>1646</v>
      </c>
      <c r="Z66" s="156" t="s">
        <v>1444</v>
      </c>
      <c r="AA66" s="271">
        <f t="shared" si="9"/>
        <v>37.766666666666666</v>
      </c>
      <c r="AB66" s="271">
        <f t="shared" si="10"/>
        <v>39.655000000000001</v>
      </c>
      <c r="AC66" s="157">
        <f t="shared" si="11"/>
        <v>30</v>
      </c>
      <c r="AD66" s="272">
        <f t="shared" si="12"/>
        <v>1133</v>
      </c>
      <c r="AE66" s="272">
        <f t="shared" si="15"/>
        <v>1189.6500000000001</v>
      </c>
      <c r="AF66" s="129"/>
    </row>
    <row r="67" spans="1:32">
      <c r="A67" s="252" t="s">
        <v>1393</v>
      </c>
      <c r="B67" s="147" t="s">
        <v>1607</v>
      </c>
      <c r="C67" s="156" t="s">
        <v>1422</v>
      </c>
      <c r="D67" s="148">
        <v>425</v>
      </c>
      <c r="E67" s="158" t="s">
        <v>1448</v>
      </c>
      <c r="F67" s="148"/>
      <c r="G67" s="148"/>
      <c r="H67" s="148">
        <v>1</v>
      </c>
      <c r="I67" s="150" t="str">
        <f t="shared" si="7"/>
        <v xml:space="preserve"> REGISTRO COTIZACION NO EVALUADA: 1</v>
      </c>
      <c r="J67" s="148"/>
      <c r="K67" s="329" t="s">
        <v>16</v>
      </c>
      <c r="L67" s="148">
        <v>40</v>
      </c>
      <c r="M67" s="148" t="s">
        <v>9</v>
      </c>
      <c r="N67" s="148" t="s">
        <v>1608</v>
      </c>
      <c r="O67" s="148" t="s">
        <v>84</v>
      </c>
      <c r="P67" s="148">
        <v>102</v>
      </c>
      <c r="Q67" s="151">
        <f t="shared" si="8"/>
        <v>5.0000000000000093E-2</v>
      </c>
      <c r="R67" s="152"/>
      <c r="S67" s="153">
        <v>4017</v>
      </c>
      <c r="T67" s="159">
        <v>4217.8500000000004</v>
      </c>
      <c r="U67" s="161"/>
      <c r="V67" s="161"/>
      <c r="W67" s="161"/>
      <c r="X67" s="156" t="s">
        <v>1619</v>
      </c>
      <c r="Y67" s="156" t="s">
        <v>1646</v>
      </c>
      <c r="Z67" s="156" t="s">
        <v>1444</v>
      </c>
      <c r="AA67" s="271">
        <f t="shared" si="9"/>
        <v>39.382352941176471</v>
      </c>
      <c r="AB67" s="271">
        <f t="shared" si="10"/>
        <v>41.351470588235294</v>
      </c>
      <c r="AC67" s="157">
        <f t="shared" si="11"/>
        <v>102</v>
      </c>
      <c r="AD67" s="272">
        <f t="shared" si="12"/>
        <v>4017</v>
      </c>
      <c r="AE67" s="272">
        <f t="shared" si="15"/>
        <v>4217.8500000000004</v>
      </c>
      <c r="AF67" s="129"/>
    </row>
    <row r="68" spans="1:32">
      <c r="A68" s="252" t="s">
        <v>1393</v>
      </c>
      <c r="B68" s="147" t="s">
        <v>1607</v>
      </c>
      <c r="C68" s="156" t="s">
        <v>1422</v>
      </c>
      <c r="D68" s="148">
        <v>425</v>
      </c>
      <c r="E68" s="158" t="s">
        <v>1448</v>
      </c>
      <c r="F68" s="148"/>
      <c r="G68" s="148"/>
      <c r="H68" s="148">
        <v>1</v>
      </c>
      <c r="I68" s="150" t="str">
        <f t="shared" si="7"/>
        <v xml:space="preserve"> REGISTRO COTIZACION NO EVALUADA: 1</v>
      </c>
      <c r="J68" s="148"/>
      <c r="K68" s="329" t="s">
        <v>16</v>
      </c>
      <c r="L68" s="148">
        <v>60</v>
      </c>
      <c r="M68" s="148" t="s">
        <v>9</v>
      </c>
      <c r="N68" s="148" t="s">
        <v>1609</v>
      </c>
      <c r="O68" s="148" t="s">
        <v>84</v>
      </c>
      <c r="P68" s="148">
        <v>100</v>
      </c>
      <c r="Q68" s="151">
        <f t="shared" si="8"/>
        <v>5.0000000000000093E-2</v>
      </c>
      <c r="R68" s="152"/>
      <c r="S68" s="153">
        <v>4017</v>
      </c>
      <c r="T68" s="159">
        <v>4217.8500000000004</v>
      </c>
      <c r="U68" s="161"/>
      <c r="V68" s="161"/>
      <c r="W68" s="161"/>
      <c r="X68" s="156" t="s">
        <v>1620</v>
      </c>
      <c r="Y68" s="156" t="s">
        <v>1646</v>
      </c>
      <c r="Z68" s="156" t="s">
        <v>1444</v>
      </c>
      <c r="AA68" s="271">
        <f t="shared" si="9"/>
        <v>40.17</v>
      </c>
      <c r="AB68" s="271">
        <f t="shared" si="10"/>
        <v>42.178500000000007</v>
      </c>
      <c r="AC68" s="157">
        <f t="shared" si="11"/>
        <v>100</v>
      </c>
      <c r="AD68" s="272">
        <f t="shared" si="12"/>
        <v>4017</v>
      </c>
      <c r="AE68" s="272">
        <f t="shared" si="15"/>
        <v>4217.8500000000004</v>
      </c>
      <c r="AF68" s="129"/>
    </row>
    <row r="69" spans="1:32">
      <c r="A69" s="252" t="s">
        <v>1393</v>
      </c>
      <c r="B69" s="147" t="s">
        <v>1607</v>
      </c>
      <c r="C69" s="156" t="s">
        <v>1422</v>
      </c>
      <c r="D69" s="148">
        <v>425</v>
      </c>
      <c r="E69" s="158" t="s">
        <v>1448</v>
      </c>
      <c r="F69" s="148"/>
      <c r="G69" s="148"/>
      <c r="H69" s="148">
        <v>15</v>
      </c>
      <c r="I69" s="150" t="str">
        <f t="shared" si="7"/>
        <v xml:space="preserve"> REGISTRO COTIZACION NO EVALUADA: 15</v>
      </c>
      <c r="J69" s="148"/>
      <c r="K69" s="329" t="s">
        <v>66</v>
      </c>
      <c r="L69" s="148">
        <v>40</v>
      </c>
      <c r="M69" s="148" t="s">
        <v>9</v>
      </c>
      <c r="N69" s="148" t="s">
        <v>1421</v>
      </c>
      <c r="O69" s="148" t="s">
        <v>84</v>
      </c>
      <c r="P69" s="148">
        <v>55</v>
      </c>
      <c r="Q69" s="151">
        <f t="shared" si="8"/>
        <v>0.16000000000000003</v>
      </c>
      <c r="R69" s="152"/>
      <c r="S69" s="153">
        <v>1259</v>
      </c>
      <c r="T69" s="159">
        <v>1460.44</v>
      </c>
      <c r="U69" s="161"/>
      <c r="V69" s="161"/>
      <c r="W69" s="161"/>
      <c r="X69" s="156" t="s">
        <v>1625</v>
      </c>
      <c r="Y69" s="156" t="s">
        <v>1646</v>
      </c>
      <c r="Z69" s="156" t="s">
        <v>1444</v>
      </c>
      <c r="AA69" s="271">
        <f t="shared" si="9"/>
        <v>22.890909090909091</v>
      </c>
      <c r="AB69" s="271">
        <f t="shared" si="10"/>
        <v>26.553454545454546</v>
      </c>
      <c r="AC69" s="157">
        <f t="shared" si="11"/>
        <v>55</v>
      </c>
      <c r="AD69" s="272">
        <f t="shared" si="12"/>
        <v>1259</v>
      </c>
      <c r="AE69" s="272">
        <f t="shared" si="15"/>
        <v>1460.44</v>
      </c>
      <c r="AF69" s="129"/>
    </row>
    <row r="70" spans="1:32">
      <c r="A70" s="252" t="s">
        <v>1393</v>
      </c>
      <c r="B70" s="147" t="s">
        <v>1607</v>
      </c>
      <c r="C70" s="156" t="s">
        <v>1422</v>
      </c>
      <c r="D70" s="148">
        <v>425</v>
      </c>
      <c r="E70" s="158" t="s">
        <v>1448</v>
      </c>
      <c r="F70" s="148"/>
      <c r="G70" s="148"/>
      <c r="H70" s="148">
        <v>15</v>
      </c>
      <c r="I70" s="150" t="str">
        <f t="shared" si="7"/>
        <v xml:space="preserve"> REGISTRO COTIZACION NO EVALUADA: 15</v>
      </c>
      <c r="J70" s="148"/>
      <c r="K70" s="329" t="s">
        <v>66</v>
      </c>
      <c r="L70" s="148">
        <v>80</v>
      </c>
      <c r="M70" s="148" t="s">
        <v>9</v>
      </c>
      <c r="N70" s="148" t="s">
        <v>1489</v>
      </c>
      <c r="O70" s="148" t="s">
        <v>105</v>
      </c>
      <c r="P70" s="148">
        <v>80</v>
      </c>
      <c r="Q70" s="151">
        <f t="shared" si="8"/>
        <v>0.15999999999999998</v>
      </c>
      <c r="R70" s="152"/>
      <c r="S70" s="153">
        <v>1297</v>
      </c>
      <c r="T70" s="159">
        <v>1504.52</v>
      </c>
      <c r="U70" s="161"/>
      <c r="V70" s="161"/>
      <c r="W70" s="161"/>
      <c r="X70" s="156" t="s">
        <v>1626</v>
      </c>
      <c r="Y70" s="156" t="s">
        <v>1646</v>
      </c>
      <c r="Z70" s="156" t="s">
        <v>1444</v>
      </c>
      <c r="AA70" s="271">
        <f t="shared" si="9"/>
        <v>16.212499999999999</v>
      </c>
      <c r="AB70" s="271">
        <f t="shared" si="10"/>
        <v>18.8065</v>
      </c>
      <c r="AC70" s="157">
        <f t="shared" si="11"/>
        <v>80</v>
      </c>
      <c r="AD70" s="272">
        <f t="shared" si="12"/>
        <v>1297</v>
      </c>
      <c r="AE70" s="272">
        <f t="shared" si="15"/>
        <v>1504.52</v>
      </c>
      <c r="AF70" s="129"/>
    </row>
    <row r="71" spans="1:32">
      <c r="A71" s="252" t="s">
        <v>1393</v>
      </c>
      <c r="B71" s="147" t="s">
        <v>1607</v>
      </c>
      <c r="C71" s="156" t="s">
        <v>1422</v>
      </c>
      <c r="D71" s="148">
        <v>425</v>
      </c>
      <c r="E71" s="158" t="s">
        <v>1448</v>
      </c>
      <c r="F71" s="148"/>
      <c r="G71" s="148"/>
      <c r="H71" s="148">
        <v>21</v>
      </c>
      <c r="I71" s="150" t="str">
        <f t="shared" si="7"/>
        <v xml:space="preserve"> REGISTRO COTIZACION NO EVALUADA: 21</v>
      </c>
      <c r="J71" s="148"/>
      <c r="K71" s="329" t="s">
        <v>70</v>
      </c>
      <c r="L71" s="148">
        <v>30</v>
      </c>
      <c r="M71" s="148" t="s">
        <v>9</v>
      </c>
      <c r="N71" s="148" t="s">
        <v>1613</v>
      </c>
      <c r="O71" s="148" t="s">
        <v>105</v>
      </c>
      <c r="P71" s="148">
        <v>54</v>
      </c>
      <c r="Q71" s="151">
        <f t="shared" si="8"/>
        <v>0.16000000000000003</v>
      </c>
      <c r="R71" s="152"/>
      <c r="S71" s="153">
        <v>1259</v>
      </c>
      <c r="T71" s="159">
        <v>1460.44</v>
      </c>
      <c r="U71" s="161"/>
      <c r="V71" s="161"/>
      <c r="W71" s="161"/>
      <c r="X71" s="156" t="s">
        <v>1623</v>
      </c>
      <c r="Y71" s="156" t="s">
        <v>1646</v>
      </c>
      <c r="Z71" s="156" t="s">
        <v>1444</v>
      </c>
      <c r="AA71" s="271">
        <f t="shared" si="9"/>
        <v>23.314814814814813</v>
      </c>
      <c r="AB71" s="271">
        <f t="shared" si="10"/>
        <v>27.045185185185186</v>
      </c>
      <c r="AC71" s="157">
        <f t="shared" si="11"/>
        <v>54</v>
      </c>
      <c r="AD71" s="272">
        <f t="shared" si="12"/>
        <v>1259</v>
      </c>
      <c r="AE71" s="272">
        <f t="shared" si="15"/>
        <v>1460.44</v>
      </c>
      <c r="AF71" s="129"/>
    </row>
    <row r="72" spans="1:32">
      <c r="A72" s="252" t="s">
        <v>1393</v>
      </c>
      <c r="B72" s="147" t="s">
        <v>1607</v>
      </c>
      <c r="C72" s="156" t="s">
        <v>1422</v>
      </c>
      <c r="D72" s="148">
        <v>425</v>
      </c>
      <c r="E72" s="158" t="s">
        <v>1448</v>
      </c>
      <c r="F72" s="148"/>
      <c r="G72" s="148"/>
      <c r="H72" s="148">
        <v>21</v>
      </c>
      <c r="I72" s="150" t="str">
        <f t="shared" si="7"/>
        <v xml:space="preserve"> REGISTRO COTIZACION NO EVALUADA: 21</v>
      </c>
      <c r="J72" s="148"/>
      <c r="K72" s="329" t="s">
        <v>70</v>
      </c>
      <c r="L72" s="148">
        <v>50</v>
      </c>
      <c r="M72" s="148" t="s">
        <v>9</v>
      </c>
      <c r="N72" s="148" t="s">
        <v>1614</v>
      </c>
      <c r="O72" s="148" t="s">
        <v>105</v>
      </c>
      <c r="P72" s="148">
        <v>44</v>
      </c>
      <c r="Q72" s="151">
        <f t="shared" si="8"/>
        <v>0.16000000000000003</v>
      </c>
      <c r="R72" s="152"/>
      <c r="S72" s="153">
        <v>1259</v>
      </c>
      <c r="T72" s="159">
        <v>1460.44</v>
      </c>
      <c r="U72" s="161"/>
      <c r="V72" s="161"/>
      <c r="W72" s="161"/>
      <c r="X72" s="156" t="s">
        <v>1624</v>
      </c>
      <c r="Y72" s="156" t="s">
        <v>1646</v>
      </c>
      <c r="Z72" s="156" t="s">
        <v>1444</v>
      </c>
      <c r="AA72" s="271">
        <f t="shared" si="9"/>
        <v>28.613636363636363</v>
      </c>
      <c r="AB72" s="271">
        <f t="shared" si="10"/>
        <v>33.191818181818185</v>
      </c>
      <c r="AC72" s="157">
        <f t="shared" si="11"/>
        <v>44</v>
      </c>
      <c r="AD72" s="272">
        <f t="shared" si="12"/>
        <v>1259</v>
      </c>
      <c r="AE72" s="272">
        <f t="shared" si="15"/>
        <v>1460.44</v>
      </c>
      <c r="AF72" s="129"/>
    </row>
    <row r="73" spans="1:32">
      <c r="A73" s="332" t="s">
        <v>1393</v>
      </c>
      <c r="B73" s="147" t="s">
        <v>1607</v>
      </c>
      <c r="C73" s="156" t="s">
        <v>1422</v>
      </c>
      <c r="D73" s="148">
        <v>425</v>
      </c>
      <c r="E73" s="158" t="s">
        <v>1448</v>
      </c>
      <c r="F73" s="148" t="s">
        <v>105</v>
      </c>
      <c r="G73" s="148" t="s">
        <v>1430</v>
      </c>
      <c r="H73" s="148">
        <v>30</v>
      </c>
      <c r="I73" s="150">
        <f t="shared" si="7"/>
        <v>30</v>
      </c>
      <c r="J73" s="148"/>
      <c r="K73" s="329" t="s">
        <v>63</v>
      </c>
      <c r="L73" s="148" t="s">
        <v>1610</v>
      </c>
      <c r="M73" s="148" t="s">
        <v>9</v>
      </c>
      <c r="N73" s="148" t="s">
        <v>1611</v>
      </c>
      <c r="O73" s="148" t="s">
        <v>84</v>
      </c>
      <c r="P73" s="148">
        <v>162</v>
      </c>
      <c r="Q73" s="151">
        <f t="shared" si="8"/>
        <v>0.15999999999999995</v>
      </c>
      <c r="R73" s="152"/>
      <c r="S73" s="153">
        <v>2704</v>
      </c>
      <c r="T73" s="159">
        <v>3136.64</v>
      </c>
      <c r="U73" s="161"/>
      <c r="V73" s="161"/>
      <c r="W73" s="161"/>
      <c r="X73" s="156" t="s">
        <v>1621</v>
      </c>
      <c r="Y73" s="156" t="s">
        <v>1646</v>
      </c>
      <c r="Z73" s="156" t="s">
        <v>1444</v>
      </c>
      <c r="AA73" s="271">
        <f t="shared" si="9"/>
        <v>16.691358024691358</v>
      </c>
      <c r="AB73" s="271">
        <f t="shared" si="10"/>
        <v>19.361975308641973</v>
      </c>
      <c r="AC73" s="157">
        <f t="shared" si="11"/>
        <v>162</v>
      </c>
      <c r="AD73" s="272">
        <f t="shared" si="12"/>
        <v>2704</v>
      </c>
      <c r="AE73" s="272">
        <f t="shared" si="15"/>
        <v>3136.64</v>
      </c>
      <c r="AF73" s="129"/>
    </row>
    <row r="74" spans="1:32">
      <c r="A74" s="332" t="s">
        <v>1393</v>
      </c>
      <c r="B74" s="147" t="s">
        <v>1607</v>
      </c>
      <c r="C74" s="156" t="s">
        <v>1422</v>
      </c>
      <c r="D74" s="148">
        <v>425</v>
      </c>
      <c r="E74" s="158" t="s">
        <v>1448</v>
      </c>
      <c r="F74" s="148" t="s">
        <v>105</v>
      </c>
      <c r="G74" s="148" t="s">
        <v>1430</v>
      </c>
      <c r="H74" s="148">
        <v>30</v>
      </c>
      <c r="I74" s="150">
        <f t="shared" si="7"/>
        <v>30</v>
      </c>
      <c r="J74" s="148"/>
      <c r="K74" s="329" t="s">
        <v>63</v>
      </c>
      <c r="L74" s="148" t="s">
        <v>1610</v>
      </c>
      <c r="M74" s="148" t="s">
        <v>9</v>
      </c>
      <c r="N74" s="148" t="s">
        <v>1612</v>
      </c>
      <c r="O74" s="148" t="s">
        <v>84</v>
      </c>
      <c r="P74" s="148">
        <v>243</v>
      </c>
      <c r="Q74" s="151">
        <f t="shared" si="8"/>
        <v>0.15999999999999995</v>
      </c>
      <c r="R74" s="152"/>
      <c r="S74" s="153">
        <v>3870</v>
      </c>
      <c r="T74" s="159">
        <v>4489.2</v>
      </c>
      <c r="U74" s="161"/>
      <c r="V74" s="161"/>
      <c r="W74" s="161"/>
      <c r="X74" s="156" t="s">
        <v>1622</v>
      </c>
      <c r="Y74" s="156" t="s">
        <v>1646</v>
      </c>
      <c r="Z74" s="156" t="s">
        <v>1444</v>
      </c>
      <c r="AA74" s="271">
        <f t="shared" si="9"/>
        <v>15.925925925925926</v>
      </c>
      <c r="AB74" s="271">
        <f t="shared" si="10"/>
        <v>18.474074074074075</v>
      </c>
      <c r="AC74" s="157">
        <f t="shared" si="11"/>
        <v>243</v>
      </c>
      <c r="AD74" s="272">
        <f t="shared" si="12"/>
        <v>3870</v>
      </c>
      <c r="AE74" s="272">
        <f t="shared" si="15"/>
        <v>4489.2</v>
      </c>
      <c r="AF74" s="129"/>
    </row>
    <row r="75" spans="1:32">
      <c r="A75" s="253" t="s">
        <v>1393</v>
      </c>
      <c r="B75" s="147" t="s">
        <v>1607</v>
      </c>
      <c r="C75" s="156" t="s">
        <v>1422</v>
      </c>
      <c r="D75" s="148">
        <v>425</v>
      </c>
      <c r="E75" s="158" t="s">
        <v>1448</v>
      </c>
      <c r="F75" s="148"/>
      <c r="G75" s="148"/>
      <c r="H75" s="148">
        <v>50</v>
      </c>
      <c r="I75" s="150" t="str">
        <f t="shared" si="7"/>
        <v xml:space="preserve"> REGISTRO COTIZACION NO EVALUADA: 50</v>
      </c>
      <c r="J75" s="148"/>
      <c r="K75" s="329" t="s">
        <v>65</v>
      </c>
      <c r="L75" s="148">
        <v>40</v>
      </c>
      <c r="M75" s="148" t="s">
        <v>9</v>
      </c>
      <c r="N75" s="148" t="s">
        <v>1615</v>
      </c>
      <c r="O75" s="148" t="s">
        <v>84</v>
      </c>
      <c r="P75" s="148">
        <v>420</v>
      </c>
      <c r="Q75" s="151">
        <f t="shared" si="8"/>
        <v>0.16</v>
      </c>
      <c r="R75" s="152"/>
      <c r="S75" s="153">
        <v>6700</v>
      </c>
      <c r="T75" s="159">
        <v>7772</v>
      </c>
      <c r="U75" s="161"/>
      <c r="V75" s="161"/>
      <c r="W75" s="161"/>
      <c r="X75" s="156" t="s">
        <v>1627</v>
      </c>
      <c r="Y75" s="156" t="s">
        <v>1646</v>
      </c>
      <c r="Z75" s="156" t="s">
        <v>1444</v>
      </c>
      <c r="AA75" s="271">
        <f t="shared" si="9"/>
        <v>15.952380952380953</v>
      </c>
      <c r="AB75" s="271">
        <f t="shared" si="10"/>
        <v>18.504761904761907</v>
      </c>
      <c r="AC75" s="157">
        <f t="shared" si="11"/>
        <v>420</v>
      </c>
      <c r="AD75" s="272">
        <f t="shared" si="12"/>
        <v>6700</v>
      </c>
      <c r="AE75" s="272">
        <f t="shared" si="15"/>
        <v>7772.0000000000009</v>
      </c>
      <c r="AF75" s="129"/>
    </row>
    <row r="76" spans="1:32">
      <c r="A76" s="253" t="s">
        <v>1393</v>
      </c>
      <c r="B76" s="147" t="s">
        <v>1607</v>
      </c>
      <c r="C76" s="156" t="s">
        <v>1422</v>
      </c>
      <c r="D76" s="148">
        <v>425</v>
      </c>
      <c r="E76" s="158" t="s">
        <v>1448</v>
      </c>
      <c r="F76" s="148"/>
      <c r="G76" s="148"/>
      <c r="H76" s="148">
        <v>50</v>
      </c>
      <c r="I76" s="150" t="str">
        <f t="shared" si="7"/>
        <v xml:space="preserve"> REGISTRO COTIZACION NO EVALUADA: 50</v>
      </c>
      <c r="J76" s="148"/>
      <c r="K76" s="329" t="s">
        <v>65</v>
      </c>
      <c r="L76" s="148">
        <v>80</v>
      </c>
      <c r="M76" s="148" t="s">
        <v>9</v>
      </c>
      <c r="N76" s="148" t="s">
        <v>1476</v>
      </c>
      <c r="O76" s="148" t="s">
        <v>105</v>
      </c>
      <c r="P76" s="148">
        <v>480</v>
      </c>
      <c r="Q76" s="151">
        <f t="shared" si="8"/>
        <v>0.16000000000000006</v>
      </c>
      <c r="R76" s="152"/>
      <c r="S76" s="153">
        <v>6373</v>
      </c>
      <c r="T76" s="159">
        <v>7392.68</v>
      </c>
      <c r="U76" s="161"/>
      <c r="V76" s="161"/>
      <c r="W76" s="161"/>
      <c r="X76" s="156" t="s">
        <v>1628</v>
      </c>
      <c r="Y76" s="156" t="s">
        <v>1646</v>
      </c>
      <c r="Z76" s="156" t="s">
        <v>1444</v>
      </c>
      <c r="AA76" s="271">
        <f t="shared" si="9"/>
        <v>13.277083333333334</v>
      </c>
      <c r="AB76" s="271">
        <f t="shared" si="10"/>
        <v>15.401416666666668</v>
      </c>
      <c r="AC76" s="157">
        <f t="shared" si="11"/>
        <v>480</v>
      </c>
      <c r="AD76" s="272">
        <f t="shared" si="12"/>
        <v>6373</v>
      </c>
      <c r="AE76" s="272">
        <f t="shared" si="15"/>
        <v>7392.68</v>
      </c>
      <c r="AF76" s="129"/>
    </row>
    <row r="77" spans="1:32">
      <c r="A77" s="252" t="s">
        <v>1393</v>
      </c>
      <c r="B77" s="147" t="s">
        <v>1607</v>
      </c>
      <c r="C77" s="156" t="s">
        <v>1422</v>
      </c>
      <c r="D77" s="148">
        <v>425</v>
      </c>
      <c r="E77" s="158" t="s">
        <v>1448</v>
      </c>
      <c r="F77" s="148"/>
      <c r="G77" s="148"/>
      <c r="H77" s="148">
        <v>61</v>
      </c>
      <c r="I77" s="150" t="str">
        <f t="shared" si="7"/>
        <v xml:space="preserve"> REGISTRO COTIZACION NO EVALUADA: 61</v>
      </c>
      <c r="J77" s="148"/>
      <c r="K77" s="329" t="s">
        <v>13</v>
      </c>
      <c r="L77" s="148">
        <v>70</v>
      </c>
      <c r="M77" s="148" t="s">
        <v>9</v>
      </c>
      <c r="N77" s="148" t="s">
        <v>1480</v>
      </c>
      <c r="O77" s="148" t="s">
        <v>105</v>
      </c>
      <c r="P77" s="148">
        <v>70</v>
      </c>
      <c r="Q77" s="151">
        <f t="shared" si="8"/>
        <v>0.15999999999999989</v>
      </c>
      <c r="R77" s="152"/>
      <c r="S77" s="153">
        <v>960</v>
      </c>
      <c r="T77" s="159">
        <v>1113.5999999999999</v>
      </c>
      <c r="U77" s="161"/>
      <c r="V77" s="161"/>
      <c r="W77" s="161"/>
      <c r="X77" s="156" t="s">
        <v>1616</v>
      </c>
      <c r="Y77" s="156" t="s">
        <v>1646</v>
      </c>
      <c r="Z77" s="156" t="s">
        <v>1444</v>
      </c>
      <c r="AA77" s="271">
        <f t="shared" si="9"/>
        <v>13.714285714285714</v>
      </c>
      <c r="AB77" s="271">
        <f t="shared" si="10"/>
        <v>15.908571428571427</v>
      </c>
      <c r="AC77" s="157">
        <f t="shared" si="11"/>
        <v>70</v>
      </c>
      <c r="AD77" s="272">
        <f t="shared" si="12"/>
        <v>960</v>
      </c>
      <c r="AE77" s="272">
        <f t="shared" si="15"/>
        <v>1113.5999999999999</v>
      </c>
      <c r="AF77" s="129"/>
    </row>
    <row r="78" spans="1:32">
      <c r="A78" s="252" t="s">
        <v>1393</v>
      </c>
      <c r="B78" s="147" t="s">
        <v>1607</v>
      </c>
      <c r="C78" s="156" t="s">
        <v>1422</v>
      </c>
      <c r="D78" s="148">
        <v>425</v>
      </c>
      <c r="E78" s="158" t="s">
        <v>1448</v>
      </c>
      <c r="F78" s="148"/>
      <c r="G78" s="148"/>
      <c r="H78" s="148">
        <v>62</v>
      </c>
      <c r="I78" s="150" t="str">
        <f t="shared" si="7"/>
        <v xml:space="preserve"> REGISTRO COTIZACION NO EVALUADA: 62</v>
      </c>
      <c r="J78" s="148"/>
      <c r="K78" s="329" t="s">
        <v>68</v>
      </c>
      <c r="L78" s="148" t="s">
        <v>1403</v>
      </c>
      <c r="M78" s="148" t="s">
        <v>9</v>
      </c>
      <c r="N78" s="148" t="s">
        <v>1418</v>
      </c>
      <c r="O78" s="148" t="s">
        <v>105</v>
      </c>
      <c r="P78" s="148">
        <v>40</v>
      </c>
      <c r="Q78" s="151">
        <f t="shared" si="8"/>
        <v>0.16</v>
      </c>
      <c r="R78" s="152"/>
      <c r="S78" s="153">
        <v>423</v>
      </c>
      <c r="T78" s="159">
        <v>490.68</v>
      </c>
      <c r="U78" s="161"/>
      <c r="V78" s="161"/>
      <c r="W78" s="161"/>
      <c r="X78" s="156" t="s">
        <v>1617</v>
      </c>
      <c r="Y78" s="156" t="s">
        <v>1646</v>
      </c>
      <c r="Z78" s="156" t="s">
        <v>1444</v>
      </c>
      <c r="AA78" s="271">
        <f t="shared" si="9"/>
        <v>10.574999999999999</v>
      </c>
      <c r="AB78" s="271">
        <f t="shared" si="10"/>
        <v>12.266999999999999</v>
      </c>
      <c r="AC78" s="157">
        <f t="shared" si="11"/>
        <v>40</v>
      </c>
      <c r="AD78" s="272">
        <f t="shared" si="12"/>
        <v>423</v>
      </c>
      <c r="AE78" s="272">
        <f t="shared" si="15"/>
        <v>490.67999999999995</v>
      </c>
      <c r="AF78" s="129"/>
    </row>
    <row r="79" spans="1:32">
      <c r="A79" s="252" t="s">
        <v>1393</v>
      </c>
      <c r="B79" s="147" t="s">
        <v>1607</v>
      </c>
      <c r="C79" s="156" t="s">
        <v>1422</v>
      </c>
      <c r="D79" s="148">
        <v>461</v>
      </c>
      <c r="E79" s="149" t="s">
        <v>1431</v>
      </c>
      <c r="F79" s="148"/>
      <c r="G79" s="148"/>
      <c r="H79" s="148">
        <v>24</v>
      </c>
      <c r="I79" s="150" t="str">
        <f t="shared" si="7"/>
        <v xml:space="preserve"> REGISTRO COTIZACION NO EVALUADA: 24</v>
      </c>
      <c r="J79" s="148" t="s">
        <v>1427</v>
      </c>
      <c r="K79" s="329" t="s">
        <v>61</v>
      </c>
      <c r="L79" s="148">
        <v>20</v>
      </c>
      <c r="M79" s="148" t="s">
        <v>9</v>
      </c>
      <c r="N79" s="148" t="s">
        <v>1411</v>
      </c>
      <c r="O79" s="148" t="s">
        <v>105</v>
      </c>
      <c r="P79" s="148">
        <v>20</v>
      </c>
      <c r="Q79" s="151">
        <f t="shared" si="8"/>
        <v>0.15999999999999989</v>
      </c>
      <c r="R79" s="152"/>
      <c r="S79" s="153">
        <v>120</v>
      </c>
      <c r="T79" s="159">
        <v>139.19999999999999</v>
      </c>
      <c r="U79" s="154"/>
      <c r="V79" s="155">
        <v>120</v>
      </c>
      <c r="W79" s="155">
        <v>140</v>
      </c>
      <c r="X79" s="156"/>
      <c r="Y79" s="156" t="s">
        <v>1646</v>
      </c>
      <c r="Z79" s="156" t="s">
        <v>1444</v>
      </c>
      <c r="AA79" s="271">
        <f t="shared" si="9"/>
        <v>6</v>
      </c>
      <c r="AB79" s="271">
        <f t="shared" si="10"/>
        <v>6.9599999999999991</v>
      </c>
      <c r="AC79" s="157">
        <f t="shared" si="11"/>
        <v>20</v>
      </c>
      <c r="AD79" s="272">
        <f t="shared" si="12"/>
        <v>120</v>
      </c>
      <c r="AE79" s="272">
        <f t="shared" ref="AE79:AE87" si="16">AB79*AC79</f>
        <v>139.19999999999999</v>
      </c>
      <c r="AF79" s="332"/>
    </row>
    <row r="80" spans="1:32">
      <c r="A80" s="252" t="s">
        <v>1393</v>
      </c>
      <c r="B80" s="147" t="s">
        <v>1607</v>
      </c>
      <c r="C80" s="156" t="s">
        <v>1422</v>
      </c>
      <c r="D80" s="148">
        <v>461</v>
      </c>
      <c r="E80" s="149" t="s">
        <v>1431</v>
      </c>
      <c r="F80" s="148"/>
      <c r="G80" s="148"/>
      <c r="H80" s="148">
        <v>24</v>
      </c>
      <c r="I80" s="150" t="str">
        <f t="shared" si="7"/>
        <v xml:space="preserve"> REGISTRO COTIZACION NO EVALUADA: 24</v>
      </c>
      <c r="J80" s="148" t="s">
        <v>1439</v>
      </c>
      <c r="K80" s="329" t="s">
        <v>61</v>
      </c>
      <c r="L80" s="148">
        <v>30</v>
      </c>
      <c r="M80" s="148" t="s">
        <v>9</v>
      </c>
      <c r="N80" s="148" t="s">
        <v>1412</v>
      </c>
      <c r="O80" s="148" t="s">
        <v>105</v>
      </c>
      <c r="P80" s="148">
        <v>30</v>
      </c>
      <c r="Q80" s="151">
        <f t="shared" si="8"/>
        <v>0.15999999999999989</v>
      </c>
      <c r="R80" s="152"/>
      <c r="S80" s="153">
        <v>181</v>
      </c>
      <c r="T80" s="159">
        <v>209.95999999999998</v>
      </c>
      <c r="U80" s="154"/>
      <c r="V80" s="155">
        <v>181</v>
      </c>
      <c r="W80" s="155">
        <v>210</v>
      </c>
      <c r="X80" s="156"/>
      <c r="Y80" s="156" t="s">
        <v>1646</v>
      </c>
      <c r="Z80" s="156" t="s">
        <v>1444</v>
      </c>
      <c r="AA80" s="271">
        <f t="shared" si="9"/>
        <v>6.0333333333333332</v>
      </c>
      <c r="AB80" s="271">
        <f t="shared" si="10"/>
        <v>6.9986666666666659</v>
      </c>
      <c r="AC80" s="157">
        <f t="shared" si="11"/>
        <v>30</v>
      </c>
      <c r="AD80" s="272">
        <f t="shared" si="12"/>
        <v>181</v>
      </c>
      <c r="AE80" s="272">
        <f t="shared" si="16"/>
        <v>209.95999999999998</v>
      </c>
      <c r="AF80" s="332"/>
    </row>
    <row r="81" spans="1:32">
      <c r="A81" s="252" t="s">
        <v>1393</v>
      </c>
      <c r="B81" s="147" t="s">
        <v>1607</v>
      </c>
      <c r="C81" s="156" t="s">
        <v>1422</v>
      </c>
      <c r="D81" s="148">
        <v>461</v>
      </c>
      <c r="E81" s="149" t="s">
        <v>1431</v>
      </c>
      <c r="F81" s="148"/>
      <c r="G81" s="148"/>
      <c r="H81" s="148">
        <v>24</v>
      </c>
      <c r="I81" s="150" t="str">
        <f t="shared" si="7"/>
        <v xml:space="preserve"> REGISTRO COTIZACION NO EVALUADA: 24</v>
      </c>
      <c r="J81" s="148" t="s">
        <v>1440</v>
      </c>
      <c r="K81" s="329" t="s">
        <v>61</v>
      </c>
      <c r="L81" s="148">
        <v>60</v>
      </c>
      <c r="M81" s="148" t="s">
        <v>9</v>
      </c>
      <c r="N81" s="148" t="s">
        <v>1415</v>
      </c>
      <c r="O81" s="148" t="s">
        <v>105</v>
      </c>
      <c r="P81" s="148">
        <v>60</v>
      </c>
      <c r="Q81" s="151">
        <f t="shared" si="8"/>
        <v>0.15999999999999989</v>
      </c>
      <c r="R81" s="152"/>
      <c r="S81" s="153">
        <v>344</v>
      </c>
      <c r="T81" s="159">
        <v>399.03999999999996</v>
      </c>
      <c r="U81" s="154"/>
      <c r="V81" s="155">
        <v>344</v>
      </c>
      <c r="W81" s="155">
        <v>400</v>
      </c>
      <c r="X81" s="156"/>
      <c r="Y81" s="156" t="s">
        <v>1646</v>
      </c>
      <c r="Z81" s="156" t="s">
        <v>1444</v>
      </c>
      <c r="AA81" s="271">
        <f t="shared" si="9"/>
        <v>5.7333333333333334</v>
      </c>
      <c r="AB81" s="271">
        <f t="shared" si="10"/>
        <v>6.6506666666666661</v>
      </c>
      <c r="AC81" s="157">
        <f t="shared" si="11"/>
        <v>60</v>
      </c>
      <c r="AD81" s="272">
        <f t="shared" si="12"/>
        <v>344</v>
      </c>
      <c r="AE81" s="272">
        <f t="shared" si="16"/>
        <v>399.03999999999996</v>
      </c>
      <c r="AF81" s="332"/>
    </row>
    <row r="82" spans="1:32">
      <c r="A82" s="252" t="s">
        <v>1393</v>
      </c>
      <c r="B82" s="147" t="s">
        <v>1607</v>
      </c>
      <c r="C82" s="156" t="s">
        <v>1422</v>
      </c>
      <c r="D82" s="148">
        <v>461</v>
      </c>
      <c r="E82" s="149" t="s">
        <v>1431</v>
      </c>
      <c r="F82" s="148"/>
      <c r="G82" s="148"/>
      <c r="H82" s="148">
        <v>25</v>
      </c>
      <c r="I82" s="150" t="str">
        <f t="shared" si="7"/>
        <v xml:space="preserve"> REGISTRO COTIZACION NO EVALUADA: 25</v>
      </c>
      <c r="J82" s="148"/>
      <c r="K82" s="329" t="s">
        <v>64</v>
      </c>
      <c r="L82" s="148">
        <v>30</v>
      </c>
      <c r="M82" s="148" t="s">
        <v>9</v>
      </c>
      <c r="N82" s="148" t="s">
        <v>1412</v>
      </c>
      <c r="O82" s="148" t="s">
        <v>105</v>
      </c>
      <c r="P82" s="148">
        <v>30</v>
      </c>
      <c r="Q82" s="151">
        <f t="shared" si="8"/>
        <v>0.15999999999999989</v>
      </c>
      <c r="R82" s="152"/>
      <c r="S82" s="153">
        <v>129</v>
      </c>
      <c r="T82" s="159">
        <v>149.63999999999999</v>
      </c>
      <c r="U82" s="154"/>
      <c r="V82" s="155">
        <v>129</v>
      </c>
      <c r="W82" s="155">
        <v>150</v>
      </c>
      <c r="X82" s="156"/>
      <c r="Y82" s="156" t="s">
        <v>1646</v>
      </c>
      <c r="Z82" s="156" t="s">
        <v>1444</v>
      </c>
      <c r="AA82" s="271">
        <f t="shared" si="9"/>
        <v>4.3</v>
      </c>
      <c r="AB82" s="271">
        <f t="shared" si="10"/>
        <v>4.9879999999999995</v>
      </c>
      <c r="AC82" s="157">
        <f t="shared" si="11"/>
        <v>30</v>
      </c>
      <c r="AD82" s="272">
        <f t="shared" si="12"/>
        <v>129</v>
      </c>
      <c r="AE82" s="272">
        <f t="shared" si="16"/>
        <v>149.63999999999999</v>
      </c>
      <c r="AF82" s="332"/>
    </row>
    <row r="83" spans="1:32">
      <c r="A83" s="252" t="s">
        <v>1393</v>
      </c>
      <c r="B83" s="147" t="s">
        <v>1607</v>
      </c>
      <c r="C83" s="156" t="s">
        <v>1422</v>
      </c>
      <c r="D83" s="148">
        <v>461</v>
      </c>
      <c r="E83" s="149" t="s">
        <v>1431</v>
      </c>
      <c r="F83" s="148"/>
      <c r="G83" s="148"/>
      <c r="H83" s="148">
        <v>25</v>
      </c>
      <c r="I83" s="150" t="str">
        <f t="shared" si="7"/>
        <v xml:space="preserve"> REGISTRO COTIZACION NO EVALUADA: 25</v>
      </c>
      <c r="J83" s="148"/>
      <c r="K83" s="329" t="s">
        <v>64</v>
      </c>
      <c r="L83" s="148">
        <v>40</v>
      </c>
      <c r="M83" s="148" t="s">
        <v>9</v>
      </c>
      <c r="N83" s="148" t="s">
        <v>1414</v>
      </c>
      <c r="O83" s="148" t="s">
        <v>105</v>
      </c>
      <c r="P83" s="148">
        <v>40</v>
      </c>
      <c r="Q83" s="151">
        <f t="shared" si="8"/>
        <v>0.15999999999999989</v>
      </c>
      <c r="R83" s="152"/>
      <c r="S83" s="153">
        <v>189</v>
      </c>
      <c r="T83" s="159">
        <v>219.23999999999998</v>
      </c>
      <c r="U83" s="154"/>
      <c r="V83" s="155">
        <v>189</v>
      </c>
      <c r="W83" s="155">
        <v>220</v>
      </c>
      <c r="X83" s="156"/>
      <c r="Y83" s="156" t="s">
        <v>1646</v>
      </c>
      <c r="Z83" s="156" t="s">
        <v>1444</v>
      </c>
      <c r="AA83" s="271">
        <f t="shared" si="9"/>
        <v>4.7249999999999996</v>
      </c>
      <c r="AB83" s="271">
        <f t="shared" si="10"/>
        <v>5.4809999999999999</v>
      </c>
      <c r="AC83" s="157">
        <f t="shared" si="11"/>
        <v>40</v>
      </c>
      <c r="AD83" s="272">
        <f t="shared" si="12"/>
        <v>189</v>
      </c>
      <c r="AE83" s="272">
        <f t="shared" si="16"/>
        <v>219.24</v>
      </c>
      <c r="AF83" s="332"/>
    </row>
    <row r="84" spans="1:32">
      <c r="A84" s="252" t="s">
        <v>1393</v>
      </c>
      <c r="B84" s="147" t="s">
        <v>1607</v>
      </c>
      <c r="C84" s="156" t="s">
        <v>1422</v>
      </c>
      <c r="D84" s="148">
        <v>461</v>
      </c>
      <c r="E84" s="149" t="s">
        <v>1431</v>
      </c>
      <c r="F84" s="148"/>
      <c r="G84" s="148"/>
      <c r="H84" s="148">
        <v>25</v>
      </c>
      <c r="I84" s="150" t="str">
        <f t="shared" si="7"/>
        <v xml:space="preserve"> REGISTRO COTIZACION NO EVALUADA: 25</v>
      </c>
      <c r="J84" s="148"/>
      <c r="K84" s="329" t="s">
        <v>64</v>
      </c>
      <c r="L84" s="148">
        <v>60</v>
      </c>
      <c r="M84" s="148" t="s">
        <v>9</v>
      </c>
      <c r="N84" s="148" t="s">
        <v>1415</v>
      </c>
      <c r="O84" s="148" t="s">
        <v>105</v>
      </c>
      <c r="P84" s="148">
        <v>60</v>
      </c>
      <c r="Q84" s="151">
        <f t="shared" si="8"/>
        <v>0.15999999999999989</v>
      </c>
      <c r="R84" s="152"/>
      <c r="S84" s="153">
        <v>362</v>
      </c>
      <c r="T84" s="159">
        <v>419.91999999999996</v>
      </c>
      <c r="U84" s="154"/>
      <c r="V84" s="155">
        <v>362</v>
      </c>
      <c r="W84" s="155">
        <v>420</v>
      </c>
      <c r="X84" s="156"/>
      <c r="Y84" s="156" t="s">
        <v>1646</v>
      </c>
      <c r="Z84" s="156" t="s">
        <v>1444</v>
      </c>
      <c r="AA84" s="271">
        <f t="shared" si="9"/>
        <v>6.0333333333333332</v>
      </c>
      <c r="AB84" s="271">
        <f t="shared" si="10"/>
        <v>6.9986666666666659</v>
      </c>
      <c r="AC84" s="157">
        <f t="shared" si="11"/>
        <v>60</v>
      </c>
      <c r="AD84" s="272">
        <f t="shared" si="12"/>
        <v>362</v>
      </c>
      <c r="AE84" s="272">
        <f t="shared" si="16"/>
        <v>419.91999999999996</v>
      </c>
      <c r="AF84" s="332"/>
    </row>
    <row r="85" spans="1:32" ht="15" customHeight="1">
      <c r="A85" s="252" t="s">
        <v>1393</v>
      </c>
      <c r="B85" s="147" t="s">
        <v>1607</v>
      </c>
      <c r="C85" s="156" t="s">
        <v>1422</v>
      </c>
      <c r="D85" s="148">
        <v>461</v>
      </c>
      <c r="E85" s="149" t="s">
        <v>1431</v>
      </c>
      <c r="F85" s="148"/>
      <c r="G85" s="148"/>
      <c r="H85" s="148">
        <v>28</v>
      </c>
      <c r="I85" s="150" t="str">
        <f t="shared" si="7"/>
        <v xml:space="preserve"> REGISTRO COTIZACION NO EVALUADA: 28</v>
      </c>
      <c r="J85" s="148"/>
      <c r="K85" s="329" t="s">
        <v>67</v>
      </c>
      <c r="L85" s="148">
        <v>30</v>
      </c>
      <c r="M85" s="148" t="s">
        <v>9</v>
      </c>
      <c r="N85" s="148" t="s">
        <v>1412</v>
      </c>
      <c r="O85" s="148" t="s">
        <v>105</v>
      </c>
      <c r="P85" s="148">
        <v>30</v>
      </c>
      <c r="Q85" s="151">
        <f t="shared" si="8"/>
        <v>0.15999999999999989</v>
      </c>
      <c r="R85" s="152"/>
      <c r="S85" s="153">
        <v>129</v>
      </c>
      <c r="T85" s="159">
        <v>149.63999999999999</v>
      </c>
      <c r="U85" s="154"/>
      <c r="V85" s="155">
        <v>129</v>
      </c>
      <c r="W85" s="155">
        <v>150</v>
      </c>
      <c r="X85" s="156"/>
      <c r="Y85" s="156" t="s">
        <v>1646</v>
      </c>
      <c r="Z85" s="156" t="s">
        <v>1444</v>
      </c>
      <c r="AA85" s="271">
        <f t="shared" si="9"/>
        <v>4.3</v>
      </c>
      <c r="AB85" s="271">
        <f t="shared" si="10"/>
        <v>4.9879999999999995</v>
      </c>
      <c r="AC85" s="157">
        <f t="shared" si="11"/>
        <v>30</v>
      </c>
      <c r="AD85" s="272">
        <f t="shared" si="12"/>
        <v>129</v>
      </c>
      <c r="AE85" s="272">
        <f t="shared" si="16"/>
        <v>149.63999999999999</v>
      </c>
      <c r="AF85" s="332"/>
    </row>
    <row r="86" spans="1:32" ht="27">
      <c r="A86" s="252" t="s">
        <v>1393</v>
      </c>
      <c r="B86" s="147" t="s">
        <v>1607</v>
      </c>
      <c r="C86" s="156" t="s">
        <v>1422</v>
      </c>
      <c r="D86" s="148">
        <v>461</v>
      </c>
      <c r="E86" s="149" t="s">
        <v>1431</v>
      </c>
      <c r="F86" s="148"/>
      <c r="G86" s="148"/>
      <c r="H86" s="148">
        <v>28</v>
      </c>
      <c r="I86" s="150" t="str">
        <f t="shared" si="7"/>
        <v xml:space="preserve"> REGISTRO COTIZACION NO EVALUADA: 28</v>
      </c>
      <c r="J86" s="148"/>
      <c r="K86" s="329" t="s">
        <v>67</v>
      </c>
      <c r="L86" s="148">
        <v>40</v>
      </c>
      <c r="M86" s="148" t="s">
        <v>9</v>
      </c>
      <c r="N86" s="148" t="s">
        <v>1414</v>
      </c>
      <c r="O86" s="148" t="s">
        <v>105</v>
      </c>
      <c r="P86" s="148">
        <v>40</v>
      </c>
      <c r="Q86" s="151">
        <f t="shared" si="8"/>
        <v>0.15999999999999989</v>
      </c>
      <c r="R86" s="152"/>
      <c r="S86" s="153">
        <v>189</v>
      </c>
      <c r="T86" s="159">
        <v>219.23999999999998</v>
      </c>
      <c r="U86" s="154"/>
      <c r="V86" s="155">
        <v>189</v>
      </c>
      <c r="W86" s="155">
        <v>220</v>
      </c>
      <c r="X86" s="156"/>
      <c r="Y86" s="156" t="s">
        <v>1646</v>
      </c>
      <c r="Z86" s="156" t="s">
        <v>1444</v>
      </c>
      <c r="AA86" s="271">
        <f t="shared" si="9"/>
        <v>4.7249999999999996</v>
      </c>
      <c r="AB86" s="271">
        <f t="shared" si="10"/>
        <v>5.4809999999999999</v>
      </c>
      <c r="AC86" s="157">
        <f t="shared" si="11"/>
        <v>40</v>
      </c>
      <c r="AD86" s="272">
        <f t="shared" si="12"/>
        <v>189</v>
      </c>
      <c r="AE86" s="272">
        <f t="shared" si="16"/>
        <v>219.24</v>
      </c>
      <c r="AF86" s="332"/>
    </row>
    <row r="87" spans="1:32" ht="27">
      <c r="A87" s="252" t="s">
        <v>1393</v>
      </c>
      <c r="B87" s="147" t="s">
        <v>1607</v>
      </c>
      <c r="C87" s="156" t="s">
        <v>1422</v>
      </c>
      <c r="D87" s="148">
        <v>461</v>
      </c>
      <c r="E87" s="149" t="s">
        <v>1431</v>
      </c>
      <c r="F87" s="148"/>
      <c r="G87" s="148"/>
      <c r="H87" s="148">
        <v>28</v>
      </c>
      <c r="I87" s="150" t="str">
        <f t="shared" si="7"/>
        <v xml:space="preserve"> REGISTRO COTIZACION NO EVALUADA: 28</v>
      </c>
      <c r="J87" s="148"/>
      <c r="K87" s="329" t="s">
        <v>67</v>
      </c>
      <c r="L87" s="148">
        <v>60</v>
      </c>
      <c r="M87" s="148" t="s">
        <v>9</v>
      </c>
      <c r="N87" s="148" t="s">
        <v>1415</v>
      </c>
      <c r="O87" s="148" t="s">
        <v>105</v>
      </c>
      <c r="P87" s="148">
        <v>60</v>
      </c>
      <c r="Q87" s="151">
        <f t="shared" si="8"/>
        <v>0.15999999999999989</v>
      </c>
      <c r="R87" s="152"/>
      <c r="S87" s="153">
        <v>362</v>
      </c>
      <c r="T87" s="159">
        <v>419.91999999999996</v>
      </c>
      <c r="U87" s="154"/>
      <c r="V87" s="155">
        <v>362</v>
      </c>
      <c r="W87" s="155">
        <v>420</v>
      </c>
      <c r="X87" s="156"/>
      <c r="Y87" s="156" t="s">
        <v>1646</v>
      </c>
      <c r="Z87" s="156" t="s">
        <v>1444</v>
      </c>
      <c r="AA87" s="271">
        <f t="shared" si="9"/>
        <v>6.0333333333333332</v>
      </c>
      <c r="AB87" s="271">
        <f t="shared" si="10"/>
        <v>6.9986666666666659</v>
      </c>
      <c r="AC87" s="157">
        <f t="shared" si="11"/>
        <v>60</v>
      </c>
      <c r="AD87" s="272">
        <f t="shared" si="12"/>
        <v>362</v>
      </c>
      <c r="AE87" s="272">
        <f t="shared" si="16"/>
        <v>419.91999999999996</v>
      </c>
      <c r="AF87" s="147"/>
    </row>
    <row r="88" spans="1:32">
      <c r="A88" s="251" t="s">
        <v>1393</v>
      </c>
      <c r="B88" s="147" t="s">
        <v>1607</v>
      </c>
      <c r="C88" s="156" t="s">
        <v>1700</v>
      </c>
      <c r="D88" s="148">
        <v>479</v>
      </c>
      <c r="E88" s="158" t="s">
        <v>1647</v>
      </c>
      <c r="F88" s="148" t="s">
        <v>105</v>
      </c>
      <c r="G88" s="148" t="s">
        <v>1430</v>
      </c>
      <c r="H88" s="148">
        <v>1</v>
      </c>
      <c r="I88" s="150">
        <f t="shared" si="7"/>
        <v>1</v>
      </c>
      <c r="J88" s="148"/>
      <c r="K88" s="329" t="s">
        <v>16</v>
      </c>
      <c r="L88" s="148">
        <v>30</v>
      </c>
      <c r="M88" s="148" t="s">
        <v>9</v>
      </c>
      <c r="N88" s="148" t="s">
        <v>1412</v>
      </c>
      <c r="O88" s="148" t="s">
        <v>105</v>
      </c>
      <c r="P88" s="148">
        <v>30</v>
      </c>
      <c r="Q88" s="151">
        <f t="shared" si="8"/>
        <v>0.05</v>
      </c>
      <c r="R88" s="152" t="s">
        <v>9</v>
      </c>
      <c r="S88" s="153">
        <v>1050</v>
      </c>
      <c r="T88" s="153">
        <v>1102.5</v>
      </c>
      <c r="U88" s="154"/>
      <c r="V88" s="155"/>
      <c r="W88" s="155"/>
      <c r="X88" s="156" t="s">
        <v>1697</v>
      </c>
      <c r="Y88" s="156" t="s">
        <v>1646</v>
      </c>
      <c r="Z88" s="156" t="s">
        <v>1444</v>
      </c>
      <c r="AA88" s="271">
        <f t="shared" si="9"/>
        <v>35</v>
      </c>
      <c r="AB88" s="271">
        <f t="shared" si="10"/>
        <v>36.75</v>
      </c>
      <c r="AC88" s="157">
        <f t="shared" si="11"/>
        <v>30</v>
      </c>
      <c r="AD88" s="272">
        <f t="shared" si="12"/>
        <v>1050</v>
      </c>
      <c r="AE88" s="272">
        <f>AC88*AB88</f>
        <v>1102.5</v>
      </c>
      <c r="AF88" s="129"/>
    </row>
    <row r="89" spans="1:32">
      <c r="A89" s="251" t="s">
        <v>1393</v>
      </c>
      <c r="B89" s="147" t="s">
        <v>1607</v>
      </c>
      <c r="C89" s="156" t="s">
        <v>1700</v>
      </c>
      <c r="D89" s="148">
        <v>479</v>
      </c>
      <c r="E89" s="158" t="s">
        <v>1647</v>
      </c>
      <c r="F89" s="148" t="s">
        <v>105</v>
      </c>
      <c r="G89" s="148" t="s">
        <v>1430</v>
      </c>
      <c r="H89" s="148">
        <v>1</v>
      </c>
      <c r="I89" s="150">
        <f t="shared" ref="I89:I152" si="17">IF(AND(F89="SI",J89&lt;&gt;"",J89&lt;&gt;"NA"),CONCATENATE(H89,"_",J89),IF(F89="SI",H89,CONCATENATE(" REGISTRO COTIZACION NO EVALUADA: ",H89)))</f>
        <v>1</v>
      </c>
      <c r="J89" s="148"/>
      <c r="K89" s="329" t="s">
        <v>16</v>
      </c>
      <c r="L89" s="148">
        <v>40</v>
      </c>
      <c r="M89" s="148" t="s">
        <v>9</v>
      </c>
      <c r="N89" s="148" t="s">
        <v>1414</v>
      </c>
      <c r="O89" s="148" t="s">
        <v>105</v>
      </c>
      <c r="P89" s="148">
        <v>40</v>
      </c>
      <c r="Q89" s="151">
        <f t="shared" ref="Q89:Q152" si="18">(T89-S89)/S89</f>
        <v>0.05</v>
      </c>
      <c r="R89" s="152" t="s">
        <v>9</v>
      </c>
      <c r="S89" s="153">
        <v>1400</v>
      </c>
      <c r="T89" s="153">
        <v>1470</v>
      </c>
      <c r="U89" s="154"/>
      <c r="V89" s="155"/>
      <c r="W89" s="155"/>
      <c r="X89" s="156" t="s">
        <v>1698</v>
      </c>
      <c r="Y89" s="156" t="s">
        <v>1646</v>
      </c>
      <c r="Z89" s="156" t="s">
        <v>1444</v>
      </c>
      <c r="AA89" s="271">
        <f t="shared" ref="AA89:AA152" si="19">S89/P89</f>
        <v>35</v>
      </c>
      <c r="AB89" s="271">
        <f t="shared" ref="AB89:AB152" si="20">T89/P89</f>
        <v>36.75</v>
      </c>
      <c r="AC89" s="157">
        <f t="shared" ref="AC89:AC152" si="21">P89</f>
        <v>40</v>
      </c>
      <c r="AD89" s="272">
        <f t="shared" ref="AD89:AD152" si="22">AA89*AC89</f>
        <v>1400</v>
      </c>
      <c r="AE89" s="272">
        <f>AC89*AB89</f>
        <v>1470</v>
      </c>
      <c r="AF89" s="129"/>
    </row>
    <row r="90" spans="1:32">
      <c r="A90" s="251" t="s">
        <v>1393</v>
      </c>
      <c r="B90" s="147" t="s">
        <v>1607</v>
      </c>
      <c r="C90" s="156" t="s">
        <v>1700</v>
      </c>
      <c r="D90" s="148">
        <v>479</v>
      </c>
      <c r="E90" s="158" t="s">
        <v>1647</v>
      </c>
      <c r="F90" s="148" t="s">
        <v>105</v>
      </c>
      <c r="G90" s="148" t="s">
        <v>1430</v>
      </c>
      <c r="H90" s="148">
        <v>1</v>
      </c>
      <c r="I90" s="150">
        <f t="shared" si="17"/>
        <v>1</v>
      </c>
      <c r="J90" s="148"/>
      <c r="K90" s="329" t="s">
        <v>16</v>
      </c>
      <c r="L90" s="148">
        <v>60</v>
      </c>
      <c r="M90" s="148" t="s">
        <v>9</v>
      </c>
      <c r="N90" s="148" t="s">
        <v>1415</v>
      </c>
      <c r="O90" s="148" t="s">
        <v>105</v>
      </c>
      <c r="P90" s="148">
        <v>60</v>
      </c>
      <c r="Q90" s="151">
        <f t="shared" si="18"/>
        <v>0.05</v>
      </c>
      <c r="R90" s="152" t="s">
        <v>9</v>
      </c>
      <c r="S90" s="153">
        <v>2100</v>
      </c>
      <c r="T90" s="153">
        <v>2205</v>
      </c>
      <c r="U90" s="154"/>
      <c r="V90" s="155"/>
      <c r="W90" s="155"/>
      <c r="X90" s="156" t="s">
        <v>1699</v>
      </c>
      <c r="Y90" s="156" t="s">
        <v>1646</v>
      </c>
      <c r="Z90" s="156" t="s">
        <v>1444</v>
      </c>
      <c r="AA90" s="271">
        <f t="shared" si="19"/>
        <v>35</v>
      </c>
      <c r="AB90" s="271">
        <f t="shared" si="20"/>
        <v>36.75</v>
      </c>
      <c r="AC90" s="157">
        <f t="shared" si="21"/>
        <v>60</v>
      </c>
      <c r="AD90" s="272">
        <f t="shared" si="22"/>
        <v>2100</v>
      </c>
      <c r="AE90" s="272">
        <f>AC90*AB90</f>
        <v>2205</v>
      </c>
      <c r="AF90" s="129"/>
    </row>
    <row r="91" spans="1:32">
      <c r="A91" s="251" t="s">
        <v>1393</v>
      </c>
      <c r="B91" s="147" t="s">
        <v>1607</v>
      </c>
      <c r="C91" s="156" t="s">
        <v>1700</v>
      </c>
      <c r="D91" s="148">
        <v>458</v>
      </c>
      <c r="E91" s="158" t="s">
        <v>1957</v>
      </c>
      <c r="F91" s="148" t="s">
        <v>105</v>
      </c>
      <c r="G91" s="148" t="s">
        <v>1430</v>
      </c>
      <c r="H91" s="148">
        <v>15</v>
      </c>
      <c r="I91" s="150">
        <f t="shared" si="17"/>
        <v>15</v>
      </c>
      <c r="J91" s="148"/>
      <c r="K91" s="329" t="s">
        <v>66</v>
      </c>
      <c r="L91" s="148">
        <v>40</v>
      </c>
      <c r="M91" s="148" t="s">
        <v>9</v>
      </c>
      <c r="N91" s="148">
        <v>40</v>
      </c>
      <c r="O91" s="148" t="s">
        <v>105</v>
      </c>
      <c r="P91" s="148">
        <v>40</v>
      </c>
      <c r="Q91" s="151">
        <f t="shared" si="18"/>
        <v>0.15999999999999986</v>
      </c>
      <c r="R91" s="152"/>
      <c r="S91" s="159">
        <v>495</v>
      </c>
      <c r="T91" s="159">
        <v>574.19999999999993</v>
      </c>
      <c r="U91" s="161"/>
      <c r="V91" s="161"/>
      <c r="W91" s="161"/>
      <c r="X91" s="156" t="s">
        <v>1956</v>
      </c>
      <c r="Y91" s="156" t="s">
        <v>1646</v>
      </c>
      <c r="Z91" s="156" t="s">
        <v>1444</v>
      </c>
      <c r="AA91" s="271">
        <f t="shared" si="19"/>
        <v>12.375</v>
      </c>
      <c r="AB91" s="271">
        <f t="shared" si="20"/>
        <v>14.354999999999999</v>
      </c>
      <c r="AC91" s="129">
        <f t="shared" si="21"/>
        <v>40</v>
      </c>
      <c r="AD91" s="272">
        <f t="shared" si="22"/>
        <v>495</v>
      </c>
      <c r="AE91" s="159">
        <f t="shared" ref="AE91:AE102" si="23">AB91*AC91</f>
        <v>574.19999999999993</v>
      </c>
      <c r="AF91" s="129"/>
    </row>
    <row r="92" spans="1:32">
      <c r="A92" s="251" t="s">
        <v>1393</v>
      </c>
      <c r="B92" s="147" t="s">
        <v>1607</v>
      </c>
      <c r="C92" s="156" t="s">
        <v>1700</v>
      </c>
      <c r="D92" s="148">
        <v>458</v>
      </c>
      <c r="E92" s="158" t="s">
        <v>1957</v>
      </c>
      <c r="F92" s="148" t="s">
        <v>105</v>
      </c>
      <c r="G92" s="148" t="s">
        <v>1430</v>
      </c>
      <c r="H92" s="148">
        <v>15</v>
      </c>
      <c r="I92" s="150">
        <f t="shared" si="17"/>
        <v>15</v>
      </c>
      <c r="J92" s="148"/>
      <c r="K92" s="329" t="s">
        <v>66</v>
      </c>
      <c r="L92" s="148">
        <v>80</v>
      </c>
      <c r="M92" s="148" t="s">
        <v>9</v>
      </c>
      <c r="N92" s="148">
        <v>80</v>
      </c>
      <c r="O92" s="148" t="s">
        <v>105</v>
      </c>
      <c r="P92" s="148">
        <v>80</v>
      </c>
      <c r="Q92" s="151">
        <f t="shared" si="18"/>
        <v>0.16</v>
      </c>
      <c r="R92" s="152"/>
      <c r="S92" s="159">
        <v>925</v>
      </c>
      <c r="T92" s="159">
        <v>1073</v>
      </c>
      <c r="U92" s="161"/>
      <c r="V92" s="161"/>
      <c r="W92" s="161"/>
      <c r="X92" s="156" t="s">
        <v>1956</v>
      </c>
      <c r="Y92" s="156" t="s">
        <v>1646</v>
      </c>
      <c r="Z92" s="156" t="s">
        <v>1444</v>
      </c>
      <c r="AA92" s="271">
        <f t="shared" si="19"/>
        <v>11.5625</v>
      </c>
      <c r="AB92" s="271">
        <f t="shared" si="20"/>
        <v>13.4125</v>
      </c>
      <c r="AC92" s="129">
        <f t="shared" si="21"/>
        <v>80</v>
      </c>
      <c r="AD92" s="272">
        <f t="shared" si="22"/>
        <v>925</v>
      </c>
      <c r="AE92" s="159">
        <f t="shared" si="23"/>
        <v>1073</v>
      </c>
      <c r="AF92" s="129"/>
    </row>
    <row r="93" spans="1:32">
      <c r="A93" s="251" t="s">
        <v>1393</v>
      </c>
      <c r="B93" s="147" t="s">
        <v>1607</v>
      </c>
      <c r="C93" s="156" t="s">
        <v>1700</v>
      </c>
      <c r="D93" s="148">
        <v>458</v>
      </c>
      <c r="E93" s="158" t="s">
        <v>1957</v>
      </c>
      <c r="F93" s="148" t="s">
        <v>105</v>
      </c>
      <c r="G93" s="148" t="s">
        <v>1430</v>
      </c>
      <c r="H93" s="148">
        <v>45</v>
      </c>
      <c r="I93" s="150">
        <f t="shared" si="17"/>
        <v>45</v>
      </c>
      <c r="J93" s="148"/>
      <c r="K93" s="329" t="s">
        <v>10</v>
      </c>
      <c r="L93" s="148">
        <v>20</v>
      </c>
      <c r="M93" s="148" t="s">
        <v>9</v>
      </c>
      <c r="N93" s="148">
        <v>20</v>
      </c>
      <c r="O93" s="148" t="s">
        <v>105</v>
      </c>
      <c r="P93" s="148">
        <v>20</v>
      </c>
      <c r="Q93" s="151">
        <f t="shared" si="18"/>
        <v>0.15999999999999981</v>
      </c>
      <c r="R93" s="152"/>
      <c r="S93" s="159">
        <v>255</v>
      </c>
      <c r="T93" s="159">
        <v>295.79999999999995</v>
      </c>
      <c r="U93" s="161"/>
      <c r="V93" s="161"/>
      <c r="W93" s="161"/>
      <c r="X93" s="156" t="s">
        <v>1956</v>
      </c>
      <c r="Y93" s="156" t="s">
        <v>1646</v>
      </c>
      <c r="Z93" s="156" t="s">
        <v>1444</v>
      </c>
      <c r="AA93" s="271">
        <f t="shared" si="19"/>
        <v>12.75</v>
      </c>
      <c r="AB93" s="271">
        <f t="shared" si="20"/>
        <v>14.789999999999997</v>
      </c>
      <c r="AC93" s="129">
        <f t="shared" si="21"/>
        <v>20</v>
      </c>
      <c r="AD93" s="272">
        <f t="shared" si="22"/>
        <v>255</v>
      </c>
      <c r="AE93" s="159">
        <f t="shared" si="23"/>
        <v>295.79999999999995</v>
      </c>
      <c r="AF93" s="129"/>
    </row>
    <row r="94" spans="1:32">
      <c r="A94" s="251" t="s">
        <v>1393</v>
      </c>
      <c r="B94" s="147" t="s">
        <v>1607</v>
      </c>
      <c r="C94" s="156" t="s">
        <v>1700</v>
      </c>
      <c r="D94" s="148">
        <v>458</v>
      </c>
      <c r="E94" s="158" t="s">
        <v>1957</v>
      </c>
      <c r="F94" s="148" t="s">
        <v>105</v>
      </c>
      <c r="G94" s="148" t="s">
        <v>1430</v>
      </c>
      <c r="H94" s="148">
        <v>45</v>
      </c>
      <c r="I94" s="150">
        <f t="shared" si="17"/>
        <v>45</v>
      </c>
      <c r="J94" s="148"/>
      <c r="K94" s="329" t="s">
        <v>10</v>
      </c>
      <c r="L94" s="148">
        <v>30</v>
      </c>
      <c r="M94" s="148" t="s">
        <v>9</v>
      </c>
      <c r="N94" s="148">
        <v>30</v>
      </c>
      <c r="O94" s="148" t="s">
        <v>105</v>
      </c>
      <c r="P94" s="148">
        <v>30</v>
      </c>
      <c r="Q94" s="151">
        <f t="shared" si="18"/>
        <v>0.15999999999999998</v>
      </c>
      <c r="R94" s="152"/>
      <c r="S94" s="159">
        <v>368</v>
      </c>
      <c r="T94" s="159">
        <v>426.88</v>
      </c>
      <c r="U94" s="161"/>
      <c r="V94" s="161"/>
      <c r="W94" s="161"/>
      <c r="X94" s="156" t="s">
        <v>1956</v>
      </c>
      <c r="Y94" s="156" t="s">
        <v>1646</v>
      </c>
      <c r="Z94" s="156" t="s">
        <v>1444</v>
      </c>
      <c r="AA94" s="271">
        <f t="shared" si="19"/>
        <v>12.266666666666667</v>
      </c>
      <c r="AB94" s="271">
        <f t="shared" si="20"/>
        <v>14.229333333333333</v>
      </c>
      <c r="AC94" s="129">
        <f t="shared" si="21"/>
        <v>30</v>
      </c>
      <c r="AD94" s="272">
        <f t="shared" si="22"/>
        <v>368</v>
      </c>
      <c r="AE94" s="159">
        <f t="shared" si="23"/>
        <v>426.88</v>
      </c>
      <c r="AF94" s="129"/>
    </row>
    <row r="95" spans="1:32">
      <c r="A95" s="251" t="s">
        <v>1393</v>
      </c>
      <c r="B95" s="147" t="s">
        <v>1607</v>
      </c>
      <c r="C95" s="156" t="s">
        <v>1700</v>
      </c>
      <c r="D95" s="148">
        <v>458</v>
      </c>
      <c r="E95" s="158" t="s">
        <v>1957</v>
      </c>
      <c r="F95" s="148" t="s">
        <v>105</v>
      </c>
      <c r="G95" s="148" t="s">
        <v>1430</v>
      </c>
      <c r="H95" s="148">
        <v>45</v>
      </c>
      <c r="I95" s="150">
        <f t="shared" si="17"/>
        <v>45</v>
      </c>
      <c r="J95" s="148"/>
      <c r="K95" s="329" t="s">
        <v>10</v>
      </c>
      <c r="L95" s="148">
        <v>50</v>
      </c>
      <c r="M95" s="148" t="s">
        <v>9</v>
      </c>
      <c r="N95" s="148">
        <v>50</v>
      </c>
      <c r="O95" s="148" t="s">
        <v>105</v>
      </c>
      <c r="P95" s="148">
        <v>50</v>
      </c>
      <c r="Q95" s="151">
        <f t="shared" si="18"/>
        <v>0.15999999999999984</v>
      </c>
      <c r="R95" s="152"/>
      <c r="S95" s="159">
        <v>578</v>
      </c>
      <c r="T95" s="159">
        <v>670.4799999999999</v>
      </c>
      <c r="U95" s="161"/>
      <c r="V95" s="161"/>
      <c r="W95" s="161"/>
      <c r="X95" s="156" t="s">
        <v>1956</v>
      </c>
      <c r="Y95" s="156" t="s">
        <v>1646</v>
      </c>
      <c r="Z95" s="156" t="s">
        <v>1444</v>
      </c>
      <c r="AA95" s="271">
        <f t="shared" si="19"/>
        <v>11.56</v>
      </c>
      <c r="AB95" s="271">
        <f t="shared" si="20"/>
        <v>13.409599999999998</v>
      </c>
      <c r="AC95" s="129">
        <f t="shared" si="21"/>
        <v>50</v>
      </c>
      <c r="AD95" s="272">
        <f t="shared" si="22"/>
        <v>578</v>
      </c>
      <c r="AE95" s="159">
        <f t="shared" si="23"/>
        <v>670.4799999999999</v>
      </c>
      <c r="AF95" s="129"/>
    </row>
    <row r="96" spans="1:32">
      <c r="A96" s="251" t="s">
        <v>1393</v>
      </c>
      <c r="B96" s="147" t="s">
        <v>1607</v>
      </c>
      <c r="C96" s="156" t="s">
        <v>1700</v>
      </c>
      <c r="D96" s="148">
        <v>426</v>
      </c>
      <c r="E96" s="158" t="s">
        <v>1571</v>
      </c>
      <c r="F96" s="148" t="s">
        <v>105</v>
      </c>
      <c r="G96" s="148" t="s">
        <v>1430</v>
      </c>
      <c r="H96" s="148">
        <v>15</v>
      </c>
      <c r="I96" s="150">
        <f t="shared" si="17"/>
        <v>15</v>
      </c>
      <c r="J96" s="148"/>
      <c r="K96" s="329" t="s">
        <v>66</v>
      </c>
      <c r="L96" s="148">
        <v>40</v>
      </c>
      <c r="M96" s="148" t="s">
        <v>9</v>
      </c>
      <c r="N96" s="148">
        <v>55</v>
      </c>
      <c r="O96" s="148" t="s">
        <v>84</v>
      </c>
      <c r="P96" s="148">
        <v>65</v>
      </c>
      <c r="Q96" s="151">
        <f t="shared" si="18"/>
        <v>0.16000000000000011</v>
      </c>
      <c r="R96" s="152" t="s">
        <v>9</v>
      </c>
      <c r="S96" s="159">
        <v>943</v>
      </c>
      <c r="T96" s="159">
        <v>1093.8800000000001</v>
      </c>
      <c r="U96" s="161"/>
      <c r="V96" s="161"/>
      <c r="W96" s="161"/>
      <c r="X96" s="156" t="s">
        <v>1786</v>
      </c>
      <c r="Y96" s="156"/>
      <c r="Z96" s="156" t="s">
        <v>1444</v>
      </c>
      <c r="AA96" s="271">
        <f t="shared" si="19"/>
        <v>14.507692307692308</v>
      </c>
      <c r="AB96" s="271">
        <f t="shared" si="20"/>
        <v>16.828923076923079</v>
      </c>
      <c r="AC96" s="129">
        <f t="shared" si="21"/>
        <v>65</v>
      </c>
      <c r="AD96" s="272">
        <f t="shared" si="22"/>
        <v>943</v>
      </c>
      <c r="AE96" s="159">
        <f t="shared" si="23"/>
        <v>1093.8800000000001</v>
      </c>
      <c r="AF96" s="129"/>
    </row>
    <row r="97" spans="1:32">
      <c r="A97" s="251" t="s">
        <v>1393</v>
      </c>
      <c r="B97" s="147" t="s">
        <v>1607</v>
      </c>
      <c r="C97" s="156" t="s">
        <v>1700</v>
      </c>
      <c r="D97" s="148">
        <v>426</v>
      </c>
      <c r="E97" s="158" t="s">
        <v>1571</v>
      </c>
      <c r="F97" s="148" t="s">
        <v>105</v>
      </c>
      <c r="G97" s="148" t="s">
        <v>1430</v>
      </c>
      <c r="H97" s="148">
        <v>15</v>
      </c>
      <c r="I97" s="150">
        <f t="shared" si="17"/>
        <v>15</v>
      </c>
      <c r="J97" s="148"/>
      <c r="K97" s="329" t="s">
        <v>66</v>
      </c>
      <c r="L97" s="148">
        <v>80</v>
      </c>
      <c r="M97" s="148" t="s">
        <v>9</v>
      </c>
      <c r="N97" s="148">
        <v>65</v>
      </c>
      <c r="O97" s="148" t="s">
        <v>84</v>
      </c>
      <c r="P97" s="148">
        <v>65</v>
      </c>
      <c r="Q97" s="151">
        <f t="shared" si="18"/>
        <v>0.15999999999999998</v>
      </c>
      <c r="R97" s="152" t="s">
        <v>9</v>
      </c>
      <c r="S97" s="159">
        <v>1508</v>
      </c>
      <c r="T97" s="159">
        <v>1749.28</v>
      </c>
      <c r="U97" s="161"/>
      <c r="V97" s="161"/>
      <c r="W97" s="161"/>
      <c r="X97" s="156" t="s">
        <v>1786</v>
      </c>
      <c r="Y97" s="156"/>
      <c r="Z97" s="156" t="s">
        <v>1444</v>
      </c>
      <c r="AA97" s="271">
        <f t="shared" si="19"/>
        <v>23.2</v>
      </c>
      <c r="AB97" s="271">
        <f t="shared" si="20"/>
        <v>26.911999999999999</v>
      </c>
      <c r="AC97" s="129">
        <f t="shared" si="21"/>
        <v>65</v>
      </c>
      <c r="AD97" s="272">
        <f t="shared" si="22"/>
        <v>1508</v>
      </c>
      <c r="AE97" s="159">
        <f t="shared" si="23"/>
        <v>1749.28</v>
      </c>
      <c r="AF97" s="129"/>
    </row>
    <row r="98" spans="1:32">
      <c r="A98" s="251" t="s">
        <v>1393</v>
      </c>
      <c r="B98" s="147" t="s">
        <v>1607</v>
      </c>
      <c r="C98" s="156" t="s">
        <v>1700</v>
      </c>
      <c r="D98" s="148">
        <v>426</v>
      </c>
      <c r="E98" s="158" t="s">
        <v>1571</v>
      </c>
      <c r="F98" s="148" t="s">
        <v>105</v>
      </c>
      <c r="G98" s="148" t="s">
        <v>1430</v>
      </c>
      <c r="H98" s="148">
        <v>21</v>
      </c>
      <c r="I98" s="150">
        <f t="shared" si="17"/>
        <v>21</v>
      </c>
      <c r="J98" s="148"/>
      <c r="K98" s="329" t="s">
        <v>70</v>
      </c>
      <c r="L98" s="148">
        <v>30</v>
      </c>
      <c r="M98" s="148" t="s">
        <v>9</v>
      </c>
      <c r="N98" s="148">
        <v>30</v>
      </c>
      <c r="O98" s="148" t="s">
        <v>105</v>
      </c>
      <c r="P98" s="148">
        <v>60</v>
      </c>
      <c r="Q98" s="151">
        <f t="shared" si="18"/>
        <v>0.16000000000000003</v>
      </c>
      <c r="R98" s="152" t="s">
        <v>9</v>
      </c>
      <c r="S98" s="159">
        <v>1006</v>
      </c>
      <c r="T98" s="159">
        <v>1166.96</v>
      </c>
      <c r="U98" s="161"/>
      <c r="V98" s="161"/>
      <c r="W98" s="161"/>
      <c r="X98" s="156" t="s">
        <v>1787</v>
      </c>
      <c r="Y98" s="156"/>
      <c r="Z98" s="156" t="s">
        <v>1444</v>
      </c>
      <c r="AA98" s="271">
        <f t="shared" si="19"/>
        <v>16.766666666666666</v>
      </c>
      <c r="AB98" s="271">
        <f t="shared" si="20"/>
        <v>19.449333333333335</v>
      </c>
      <c r="AC98" s="129">
        <f t="shared" si="21"/>
        <v>60</v>
      </c>
      <c r="AD98" s="272">
        <f t="shared" si="22"/>
        <v>1006</v>
      </c>
      <c r="AE98" s="159">
        <f t="shared" si="23"/>
        <v>1166.96</v>
      </c>
      <c r="AF98" s="129"/>
    </row>
    <row r="99" spans="1:32">
      <c r="A99" s="251" t="s">
        <v>1393</v>
      </c>
      <c r="B99" s="147" t="s">
        <v>1607</v>
      </c>
      <c r="C99" s="156" t="s">
        <v>1700</v>
      </c>
      <c r="D99" s="148">
        <v>462</v>
      </c>
      <c r="E99" s="158" t="s">
        <v>1571</v>
      </c>
      <c r="F99" s="148" t="s">
        <v>105</v>
      </c>
      <c r="G99" s="148" t="s">
        <v>1430</v>
      </c>
      <c r="H99" s="148">
        <v>21</v>
      </c>
      <c r="I99" s="150">
        <f t="shared" si="17"/>
        <v>21</v>
      </c>
      <c r="J99" s="148"/>
      <c r="K99" s="329" t="s">
        <v>70</v>
      </c>
      <c r="L99" s="148">
        <v>50</v>
      </c>
      <c r="M99" s="148" t="s">
        <v>9</v>
      </c>
      <c r="N99" s="148">
        <v>60</v>
      </c>
      <c r="O99" s="148" t="s">
        <v>105</v>
      </c>
      <c r="P99" s="148">
        <v>30</v>
      </c>
      <c r="Q99" s="303">
        <f t="shared" si="18"/>
        <v>0.15999999999999995</v>
      </c>
      <c r="R99" s="152" t="s">
        <v>9</v>
      </c>
      <c r="S99" s="159">
        <v>354</v>
      </c>
      <c r="T99" s="159">
        <v>410.64</v>
      </c>
      <c r="U99" s="161"/>
      <c r="V99" s="161"/>
      <c r="W99" s="161"/>
      <c r="X99" s="156" t="s">
        <v>1788</v>
      </c>
      <c r="Y99" s="156"/>
      <c r="Z99" s="156" t="s">
        <v>1444</v>
      </c>
      <c r="AA99" s="271">
        <f t="shared" si="19"/>
        <v>11.8</v>
      </c>
      <c r="AB99" s="271">
        <f t="shared" si="20"/>
        <v>13.687999999999999</v>
      </c>
      <c r="AC99" s="129">
        <f t="shared" si="21"/>
        <v>30</v>
      </c>
      <c r="AD99" s="272">
        <f t="shared" si="22"/>
        <v>354</v>
      </c>
      <c r="AE99" s="159">
        <f t="shared" si="23"/>
        <v>410.64</v>
      </c>
      <c r="AF99" s="129"/>
    </row>
    <row r="100" spans="1:32">
      <c r="A100" s="251" t="s">
        <v>1393</v>
      </c>
      <c r="B100" s="147" t="s">
        <v>1607</v>
      </c>
      <c r="C100" s="156" t="s">
        <v>1700</v>
      </c>
      <c r="D100" s="148">
        <v>426</v>
      </c>
      <c r="E100" s="158" t="s">
        <v>1571</v>
      </c>
      <c r="F100" s="148" t="s">
        <v>105</v>
      </c>
      <c r="G100" s="148" t="s">
        <v>1430</v>
      </c>
      <c r="H100" s="148">
        <v>45</v>
      </c>
      <c r="I100" s="150">
        <f t="shared" si="17"/>
        <v>45</v>
      </c>
      <c r="J100" s="148"/>
      <c r="K100" s="329" t="s">
        <v>10</v>
      </c>
      <c r="L100" s="148">
        <v>50</v>
      </c>
      <c r="M100" s="148" t="s">
        <v>9</v>
      </c>
      <c r="N100" s="148">
        <v>55</v>
      </c>
      <c r="O100" s="148" t="s">
        <v>84</v>
      </c>
      <c r="P100" s="148">
        <v>55</v>
      </c>
      <c r="Q100" s="151">
        <f t="shared" si="18"/>
        <v>0.15999999999999998</v>
      </c>
      <c r="R100" s="152" t="s">
        <v>9</v>
      </c>
      <c r="S100" s="159">
        <v>861</v>
      </c>
      <c r="T100" s="159">
        <v>998.76</v>
      </c>
      <c r="U100" s="161"/>
      <c r="V100" s="161"/>
      <c r="W100" s="161"/>
      <c r="X100" s="156" t="s">
        <v>1789</v>
      </c>
      <c r="Y100" s="156"/>
      <c r="Z100" s="156" t="s">
        <v>1444</v>
      </c>
      <c r="AA100" s="271">
        <f t="shared" si="19"/>
        <v>15.654545454545454</v>
      </c>
      <c r="AB100" s="271">
        <f t="shared" si="20"/>
        <v>18.159272727272729</v>
      </c>
      <c r="AC100" s="129">
        <f t="shared" si="21"/>
        <v>55</v>
      </c>
      <c r="AD100" s="272">
        <f t="shared" si="22"/>
        <v>861</v>
      </c>
      <c r="AE100" s="159">
        <f t="shared" si="23"/>
        <v>998.7600000000001</v>
      </c>
      <c r="AF100" s="129"/>
    </row>
    <row r="101" spans="1:32">
      <c r="A101" s="251" t="s">
        <v>1393</v>
      </c>
      <c r="B101" s="147" t="s">
        <v>1607</v>
      </c>
      <c r="C101" s="156" t="s">
        <v>1700</v>
      </c>
      <c r="D101" s="148">
        <v>426</v>
      </c>
      <c r="E101" s="158" t="s">
        <v>1571</v>
      </c>
      <c r="F101" s="148" t="s">
        <v>105</v>
      </c>
      <c r="G101" s="148" t="s">
        <v>1430</v>
      </c>
      <c r="H101" s="148">
        <v>50</v>
      </c>
      <c r="I101" s="150">
        <f t="shared" si="17"/>
        <v>50</v>
      </c>
      <c r="J101" s="148"/>
      <c r="K101" s="329" t="s">
        <v>65</v>
      </c>
      <c r="L101" s="148">
        <v>40</v>
      </c>
      <c r="M101" s="148" t="s">
        <v>9</v>
      </c>
      <c r="N101" s="148">
        <v>50</v>
      </c>
      <c r="O101" s="148" t="s">
        <v>105</v>
      </c>
      <c r="P101" s="148">
        <v>50</v>
      </c>
      <c r="Q101" s="151">
        <f t="shared" si="18"/>
        <v>0.15999999999999995</v>
      </c>
      <c r="R101" s="152" t="s">
        <v>9</v>
      </c>
      <c r="S101" s="159">
        <v>1005</v>
      </c>
      <c r="T101" s="159">
        <v>1165.8</v>
      </c>
      <c r="U101" s="161"/>
      <c r="V101" s="161"/>
      <c r="W101" s="161"/>
      <c r="X101" s="156" t="s">
        <v>1790</v>
      </c>
      <c r="Y101" s="156"/>
      <c r="Z101" s="156" t="s">
        <v>1444</v>
      </c>
      <c r="AA101" s="271">
        <f t="shared" si="19"/>
        <v>20.100000000000001</v>
      </c>
      <c r="AB101" s="271">
        <f t="shared" si="20"/>
        <v>23.315999999999999</v>
      </c>
      <c r="AC101" s="129">
        <f t="shared" si="21"/>
        <v>50</v>
      </c>
      <c r="AD101" s="272">
        <f t="shared" si="22"/>
        <v>1005.0000000000001</v>
      </c>
      <c r="AE101" s="159">
        <f t="shared" si="23"/>
        <v>1165.8</v>
      </c>
      <c r="AF101" s="129"/>
    </row>
    <row r="102" spans="1:32">
      <c r="A102" s="251" t="s">
        <v>1393</v>
      </c>
      <c r="B102" s="147" t="s">
        <v>1607</v>
      </c>
      <c r="C102" s="156" t="s">
        <v>1700</v>
      </c>
      <c r="D102" s="148">
        <v>426</v>
      </c>
      <c r="E102" s="158" t="s">
        <v>1571</v>
      </c>
      <c r="F102" s="148" t="s">
        <v>105</v>
      </c>
      <c r="G102" s="148" t="s">
        <v>1430</v>
      </c>
      <c r="H102" s="148">
        <v>50</v>
      </c>
      <c r="I102" s="150">
        <f t="shared" si="17"/>
        <v>50</v>
      </c>
      <c r="J102" s="148"/>
      <c r="K102" s="329" t="s">
        <v>65</v>
      </c>
      <c r="L102" s="148">
        <v>80</v>
      </c>
      <c r="M102" s="148" t="s">
        <v>9</v>
      </c>
      <c r="N102" s="148">
        <v>95</v>
      </c>
      <c r="O102" s="148" t="s">
        <v>105</v>
      </c>
      <c r="P102" s="148">
        <v>95</v>
      </c>
      <c r="Q102" s="151">
        <f t="shared" si="18"/>
        <v>0.16000000000000006</v>
      </c>
      <c r="R102" s="152" t="s">
        <v>9</v>
      </c>
      <c r="S102" s="159">
        <v>1437</v>
      </c>
      <c r="T102" s="159">
        <v>1666.92</v>
      </c>
      <c r="U102" s="161"/>
      <c r="V102" s="161"/>
      <c r="W102" s="161"/>
      <c r="X102" s="156" t="s">
        <v>1791</v>
      </c>
      <c r="Y102" s="156"/>
      <c r="Z102" s="156" t="s">
        <v>1444</v>
      </c>
      <c r="AA102" s="271">
        <f t="shared" si="19"/>
        <v>15.126315789473685</v>
      </c>
      <c r="AB102" s="271">
        <f t="shared" si="20"/>
        <v>17.546526315789475</v>
      </c>
      <c r="AC102" s="129">
        <f t="shared" si="21"/>
        <v>95</v>
      </c>
      <c r="AD102" s="272">
        <f t="shared" si="22"/>
        <v>1437</v>
      </c>
      <c r="AE102" s="159">
        <f t="shared" si="23"/>
        <v>1666.92</v>
      </c>
      <c r="AF102" s="129"/>
    </row>
    <row r="103" spans="1:32">
      <c r="A103" s="251" t="s">
        <v>1393</v>
      </c>
      <c r="B103" s="147" t="s">
        <v>1607</v>
      </c>
      <c r="C103" s="156" t="s">
        <v>1700</v>
      </c>
      <c r="D103" s="148" t="s">
        <v>1961</v>
      </c>
      <c r="E103" s="158" t="s">
        <v>1962</v>
      </c>
      <c r="F103" s="148" t="s">
        <v>105</v>
      </c>
      <c r="G103" s="148" t="s">
        <v>1430</v>
      </c>
      <c r="H103" s="148">
        <v>24</v>
      </c>
      <c r="I103" s="150" t="str">
        <f t="shared" si="17"/>
        <v>24_A</v>
      </c>
      <c r="J103" s="148" t="s">
        <v>1427</v>
      </c>
      <c r="K103" s="329" t="s">
        <v>61</v>
      </c>
      <c r="L103" s="148">
        <v>20</v>
      </c>
      <c r="M103" s="148" t="s">
        <v>1785</v>
      </c>
      <c r="N103" s="148" t="s">
        <v>1411</v>
      </c>
      <c r="O103" s="148" t="s">
        <v>105</v>
      </c>
      <c r="P103" s="148">
        <v>20</v>
      </c>
      <c r="Q103" s="151">
        <f t="shared" si="18"/>
        <v>0.16</v>
      </c>
      <c r="R103" s="152"/>
      <c r="S103" s="159">
        <v>200</v>
      </c>
      <c r="T103" s="159">
        <v>232</v>
      </c>
      <c r="U103" s="161"/>
      <c r="V103" s="161"/>
      <c r="W103" s="161"/>
      <c r="X103" s="156" t="s">
        <v>1956</v>
      </c>
      <c r="Y103" s="156" t="s">
        <v>1646</v>
      </c>
      <c r="Z103" s="156" t="s">
        <v>1444</v>
      </c>
      <c r="AA103" s="271">
        <f t="shared" si="19"/>
        <v>10</v>
      </c>
      <c r="AB103" s="271">
        <f t="shared" si="20"/>
        <v>11.6</v>
      </c>
      <c r="AC103" s="157">
        <f t="shared" si="21"/>
        <v>20</v>
      </c>
      <c r="AD103" s="272">
        <f t="shared" si="22"/>
        <v>200</v>
      </c>
      <c r="AE103" s="272">
        <f t="shared" ref="AE103:AE120" si="24">AC103*AB103</f>
        <v>232</v>
      </c>
      <c r="AF103" s="129"/>
    </row>
    <row r="104" spans="1:32">
      <c r="A104" s="251" t="s">
        <v>1393</v>
      </c>
      <c r="B104" s="147" t="s">
        <v>1607</v>
      </c>
      <c r="C104" s="156" t="s">
        <v>1700</v>
      </c>
      <c r="D104" s="148" t="s">
        <v>1961</v>
      </c>
      <c r="E104" s="158" t="s">
        <v>1962</v>
      </c>
      <c r="F104" s="148" t="s">
        <v>105</v>
      </c>
      <c r="G104" s="148" t="s">
        <v>1430</v>
      </c>
      <c r="H104" s="148">
        <v>24</v>
      </c>
      <c r="I104" s="150" t="str">
        <f t="shared" si="17"/>
        <v>24_BM</v>
      </c>
      <c r="J104" s="148" t="s">
        <v>1439</v>
      </c>
      <c r="K104" s="329" t="s">
        <v>61</v>
      </c>
      <c r="L104" s="148">
        <v>30</v>
      </c>
      <c r="M104" s="148" t="s">
        <v>1785</v>
      </c>
      <c r="N104" s="148" t="s">
        <v>1412</v>
      </c>
      <c r="O104" s="148" t="s">
        <v>105</v>
      </c>
      <c r="P104" s="148">
        <v>30</v>
      </c>
      <c r="Q104" s="151">
        <f t="shared" si="18"/>
        <v>0.16</v>
      </c>
      <c r="R104" s="152"/>
      <c r="S104" s="159">
        <v>300</v>
      </c>
      <c r="T104" s="159">
        <v>348</v>
      </c>
      <c r="U104" s="161"/>
      <c r="V104" s="161"/>
      <c r="W104" s="161"/>
      <c r="X104" s="156" t="s">
        <v>1956</v>
      </c>
      <c r="Y104" s="156" t="s">
        <v>1646</v>
      </c>
      <c r="Z104" s="156" t="s">
        <v>1444</v>
      </c>
      <c r="AA104" s="271">
        <f t="shared" si="19"/>
        <v>10</v>
      </c>
      <c r="AB104" s="271">
        <f t="shared" si="20"/>
        <v>11.6</v>
      </c>
      <c r="AC104" s="157">
        <f t="shared" si="21"/>
        <v>30</v>
      </c>
      <c r="AD104" s="272">
        <f t="shared" si="22"/>
        <v>300</v>
      </c>
      <c r="AE104" s="272">
        <f t="shared" si="24"/>
        <v>348</v>
      </c>
      <c r="AF104" s="129"/>
    </row>
    <row r="105" spans="1:32">
      <c r="A105" s="251" t="s">
        <v>1393</v>
      </c>
      <c r="B105" s="147" t="s">
        <v>1607</v>
      </c>
      <c r="C105" s="156" t="s">
        <v>1700</v>
      </c>
      <c r="D105" s="148" t="s">
        <v>1961</v>
      </c>
      <c r="E105" s="158" t="s">
        <v>1962</v>
      </c>
      <c r="F105" s="148" t="s">
        <v>105</v>
      </c>
      <c r="G105" s="148" t="s">
        <v>1430</v>
      </c>
      <c r="H105" s="148">
        <v>24</v>
      </c>
      <c r="I105" s="150" t="str">
        <f t="shared" si="17"/>
        <v>24_CH</v>
      </c>
      <c r="J105" s="148" t="s">
        <v>1440</v>
      </c>
      <c r="K105" s="329" t="s">
        <v>61</v>
      </c>
      <c r="L105" s="148">
        <v>60</v>
      </c>
      <c r="M105" s="148" t="s">
        <v>1785</v>
      </c>
      <c r="N105" s="148" t="s">
        <v>1415</v>
      </c>
      <c r="O105" s="148" t="s">
        <v>105</v>
      </c>
      <c r="P105" s="148">
        <v>60</v>
      </c>
      <c r="Q105" s="151">
        <f t="shared" si="18"/>
        <v>0.15999999999999995</v>
      </c>
      <c r="R105" s="152"/>
      <c r="S105" s="159">
        <v>540</v>
      </c>
      <c r="T105" s="159">
        <v>626.4</v>
      </c>
      <c r="U105" s="161"/>
      <c r="V105" s="161"/>
      <c r="W105" s="161"/>
      <c r="X105" s="156" t="s">
        <v>1956</v>
      </c>
      <c r="Y105" s="156" t="s">
        <v>1646</v>
      </c>
      <c r="Z105" s="156" t="s">
        <v>1444</v>
      </c>
      <c r="AA105" s="271">
        <f t="shared" si="19"/>
        <v>9</v>
      </c>
      <c r="AB105" s="271">
        <f t="shared" si="20"/>
        <v>10.44</v>
      </c>
      <c r="AC105" s="157">
        <f t="shared" si="21"/>
        <v>60</v>
      </c>
      <c r="AD105" s="272">
        <f t="shared" si="22"/>
        <v>540</v>
      </c>
      <c r="AE105" s="272">
        <f t="shared" si="24"/>
        <v>626.4</v>
      </c>
      <c r="AF105" s="129"/>
    </row>
    <row r="106" spans="1:32">
      <c r="A106" s="251" t="s">
        <v>1393</v>
      </c>
      <c r="B106" s="147" t="s">
        <v>1607</v>
      </c>
      <c r="C106" s="156" t="s">
        <v>1700</v>
      </c>
      <c r="D106" s="148" t="s">
        <v>1961</v>
      </c>
      <c r="E106" s="158" t="s">
        <v>1962</v>
      </c>
      <c r="F106" s="148" t="s">
        <v>105</v>
      </c>
      <c r="G106" s="148" t="s">
        <v>1430</v>
      </c>
      <c r="H106" s="148">
        <v>25</v>
      </c>
      <c r="I106" s="150">
        <f t="shared" si="17"/>
        <v>25</v>
      </c>
      <c r="J106" s="148"/>
      <c r="K106" s="329" t="s">
        <v>64</v>
      </c>
      <c r="L106" s="148">
        <v>40</v>
      </c>
      <c r="M106" s="148" t="s">
        <v>9</v>
      </c>
      <c r="N106" s="148" t="s">
        <v>1414</v>
      </c>
      <c r="O106" s="148" t="s">
        <v>105</v>
      </c>
      <c r="P106" s="148">
        <v>40</v>
      </c>
      <c r="Q106" s="151">
        <f t="shared" si="18"/>
        <v>0.16</v>
      </c>
      <c r="R106" s="152"/>
      <c r="S106" s="159">
        <v>400</v>
      </c>
      <c r="T106" s="159">
        <v>464</v>
      </c>
      <c r="U106" s="161"/>
      <c r="V106" s="161"/>
      <c r="W106" s="161"/>
      <c r="X106" s="156" t="s">
        <v>1956</v>
      </c>
      <c r="Y106" s="156" t="s">
        <v>1646</v>
      </c>
      <c r="Z106" s="156" t="s">
        <v>1444</v>
      </c>
      <c r="AA106" s="271">
        <f t="shared" si="19"/>
        <v>10</v>
      </c>
      <c r="AB106" s="271">
        <f t="shared" si="20"/>
        <v>11.6</v>
      </c>
      <c r="AC106" s="157">
        <f t="shared" si="21"/>
        <v>40</v>
      </c>
      <c r="AD106" s="272">
        <f t="shared" si="22"/>
        <v>400</v>
      </c>
      <c r="AE106" s="272">
        <f t="shared" si="24"/>
        <v>464</v>
      </c>
      <c r="AF106" s="129"/>
    </row>
    <row r="107" spans="1:32">
      <c r="A107" s="251" t="s">
        <v>1393</v>
      </c>
      <c r="B107" s="147" t="s">
        <v>1607</v>
      </c>
      <c r="C107" s="156" t="s">
        <v>1700</v>
      </c>
      <c r="D107" s="148" t="s">
        <v>1961</v>
      </c>
      <c r="E107" s="158" t="s">
        <v>1962</v>
      </c>
      <c r="F107" s="148" t="s">
        <v>105</v>
      </c>
      <c r="G107" s="148" t="s">
        <v>1430</v>
      </c>
      <c r="H107" s="148">
        <v>25</v>
      </c>
      <c r="I107" s="150">
        <f t="shared" si="17"/>
        <v>25</v>
      </c>
      <c r="J107" s="148"/>
      <c r="K107" s="329" t="s">
        <v>64</v>
      </c>
      <c r="L107" s="148">
        <v>60</v>
      </c>
      <c r="M107" s="148" t="s">
        <v>9</v>
      </c>
      <c r="N107" s="148" t="s">
        <v>1415</v>
      </c>
      <c r="O107" s="148" t="s">
        <v>105</v>
      </c>
      <c r="P107" s="148">
        <v>60</v>
      </c>
      <c r="Q107" s="151">
        <f t="shared" si="18"/>
        <v>0.15999999999999995</v>
      </c>
      <c r="R107" s="152"/>
      <c r="S107" s="159">
        <v>540</v>
      </c>
      <c r="T107" s="159">
        <v>626.4</v>
      </c>
      <c r="U107" s="161"/>
      <c r="V107" s="161"/>
      <c r="W107" s="161"/>
      <c r="X107" s="156" t="s">
        <v>1956</v>
      </c>
      <c r="Y107" s="156" t="s">
        <v>1646</v>
      </c>
      <c r="Z107" s="156" t="s">
        <v>1444</v>
      </c>
      <c r="AA107" s="271">
        <f t="shared" si="19"/>
        <v>9</v>
      </c>
      <c r="AB107" s="271">
        <f t="shared" si="20"/>
        <v>10.44</v>
      </c>
      <c r="AC107" s="157">
        <f t="shared" si="21"/>
        <v>60</v>
      </c>
      <c r="AD107" s="272">
        <f t="shared" si="22"/>
        <v>540</v>
      </c>
      <c r="AE107" s="272">
        <f t="shared" si="24"/>
        <v>626.4</v>
      </c>
      <c r="AF107" s="129"/>
    </row>
    <row r="108" spans="1:32" ht="27">
      <c r="A108" s="251" t="s">
        <v>1393</v>
      </c>
      <c r="B108" s="147" t="s">
        <v>1607</v>
      </c>
      <c r="C108" s="156" t="s">
        <v>1700</v>
      </c>
      <c r="D108" s="148" t="s">
        <v>1961</v>
      </c>
      <c r="E108" s="158" t="s">
        <v>1962</v>
      </c>
      <c r="F108" s="148" t="s">
        <v>105</v>
      </c>
      <c r="G108" s="148" t="s">
        <v>1430</v>
      </c>
      <c r="H108" s="148">
        <v>28</v>
      </c>
      <c r="I108" s="150">
        <f t="shared" si="17"/>
        <v>28</v>
      </c>
      <c r="J108" s="148"/>
      <c r="K108" s="329" t="s">
        <v>67</v>
      </c>
      <c r="L108" s="148">
        <v>30</v>
      </c>
      <c r="M108" s="148" t="s">
        <v>9</v>
      </c>
      <c r="N108" s="148" t="s">
        <v>1412</v>
      </c>
      <c r="O108" s="148" t="s">
        <v>105</v>
      </c>
      <c r="P108" s="148">
        <v>30</v>
      </c>
      <c r="Q108" s="151">
        <f t="shared" si="18"/>
        <v>0.16000000000000003</v>
      </c>
      <c r="R108" s="152"/>
      <c r="S108" s="159">
        <v>330</v>
      </c>
      <c r="T108" s="159">
        <v>382.8</v>
      </c>
      <c r="U108" s="161"/>
      <c r="V108" s="161"/>
      <c r="W108" s="161"/>
      <c r="X108" s="156" t="s">
        <v>1964</v>
      </c>
      <c r="Y108" s="156" t="s">
        <v>1646</v>
      </c>
      <c r="Z108" s="156" t="s">
        <v>1444</v>
      </c>
      <c r="AA108" s="271">
        <f t="shared" si="19"/>
        <v>11</v>
      </c>
      <c r="AB108" s="271">
        <f t="shared" si="20"/>
        <v>12.76</v>
      </c>
      <c r="AC108" s="157">
        <f t="shared" si="21"/>
        <v>30</v>
      </c>
      <c r="AD108" s="272">
        <f t="shared" si="22"/>
        <v>330</v>
      </c>
      <c r="AE108" s="272">
        <f t="shared" si="24"/>
        <v>382.8</v>
      </c>
      <c r="AF108" s="129"/>
    </row>
    <row r="109" spans="1:32" ht="27">
      <c r="A109" s="251" t="s">
        <v>1393</v>
      </c>
      <c r="B109" s="147" t="s">
        <v>1607</v>
      </c>
      <c r="C109" s="156" t="s">
        <v>1700</v>
      </c>
      <c r="D109" s="148" t="s">
        <v>1961</v>
      </c>
      <c r="E109" s="158" t="s">
        <v>1962</v>
      </c>
      <c r="F109" s="148" t="s">
        <v>105</v>
      </c>
      <c r="G109" s="148" t="s">
        <v>1430</v>
      </c>
      <c r="H109" s="148">
        <v>28</v>
      </c>
      <c r="I109" s="150">
        <f t="shared" si="17"/>
        <v>28</v>
      </c>
      <c r="J109" s="148"/>
      <c r="K109" s="329" t="s">
        <v>67</v>
      </c>
      <c r="L109" s="148">
        <v>40</v>
      </c>
      <c r="M109" s="148" t="s">
        <v>1785</v>
      </c>
      <c r="N109" s="148" t="s">
        <v>1414</v>
      </c>
      <c r="O109" s="148" t="s">
        <v>105</v>
      </c>
      <c r="P109" s="148">
        <v>40</v>
      </c>
      <c r="Q109" s="151">
        <f t="shared" si="18"/>
        <v>0.15999999999999995</v>
      </c>
      <c r="R109" s="152"/>
      <c r="S109" s="159">
        <v>440</v>
      </c>
      <c r="T109" s="159">
        <v>510.4</v>
      </c>
      <c r="U109" s="161"/>
      <c r="V109" s="161"/>
      <c r="W109" s="161"/>
      <c r="X109" s="156" t="s">
        <v>1965</v>
      </c>
      <c r="Y109" s="156" t="s">
        <v>1646</v>
      </c>
      <c r="Z109" s="156" t="s">
        <v>1444</v>
      </c>
      <c r="AA109" s="271">
        <f t="shared" si="19"/>
        <v>11</v>
      </c>
      <c r="AB109" s="271">
        <f t="shared" si="20"/>
        <v>12.76</v>
      </c>
      <c r="AC109" s="157">
        <f t="shared" si="21"/>
        <v>40</v>
      </c>
      <c r="AD109" s="272">
        <f t="shared" si="22"/>
        <v>440</v>
      </c>
      <c r="AE109" s="272">
        <f t="shared" si="24"/>
        <v>510.4</v>
      </c>
      <c r="AF109" s="129"/>
    </row>
    <row r="110" spans="1:32" ht="27">
      <c r="A110" s="251" t="s">
        <v>1393</v>
      </c>
      <c r="B110" s="147" t="s">
        <v>1607</v>
      </c>
      <c r="C110" s="156" t="s">
        <v>1700</v>
      </c>
      <c r="D110" s="148" t="s">
        <v>1961</v>
      </c>
      <c r="E110" s="158" t="s">
        <v>1962</v>
      </c>
      <c r="F110" s="148" t="s">
        <v>105</v>
      </c>
      <c r="G110" s="148" t="s">
        <v>1430</v>
      </c>
      <c r="H110" s="148">
        <v>28</v>
      </c>
      <c r="I110" s="150">
        <f t="shared" si="17"/>
        <v>28</v>
      </c>
      <c r="J110" s="148"/>
      <c r="K110" s="329" t="s">
        <v>67</v>
      </c>
      <c r="L110" s="148">
        <v>60</v>
      </c>
      <c r="M110" s="148" t="s">
        <v>1785</v>
      </c>
      <c r="N110" s="148" t="s">
        <v>1415</v>
      </c>
      <c r="O110" s="148" t="s">
        <v>105</v>
      </c>
      <c r="P110" s="148">
        <v>60</v>
      </c>
      <c r="Q110" s="151">
        <f t="shared" si="18"/>
        <v>0.16</v>
      </c>
      <c r="R110" s="152"/>
      <c r="S110" s="159">
        <v>600</v>
      </c>
      <c r="T110" s="159">
        <v>696</v>
      </c>
      <c r="U110" s="161"/>
      <c r="V110" s="161"/>
      <c r="W110" s="161"/>
      <c r="X110" s="156" t="s">
        <v>1965</v>
      </c>
      <c r="Y110" s="156" t="s">
        <v>1646</v>
      </c>
      <c r="Z110" s="156" t="s">
        <v>1444</v>
      </c>
      <c r="AA110" s="271">
        <f t="shared" si="19"/>
        <v>10</v>
      </c>
      <c r="AB110" s="271">
        <f t="shared" si="20"/>
        <v>11.6</v>
      </c>
      <c r="AC110" s="157">
        <f t="shared" si="21"/>
        <v>60</v>
      </c>
      <c r="AD110" s="272">
        <f t="shared" si="22"/>
        <v>600</v>
      </c>
      <c r="AE110" s="272">
        <f t="shared" si="24"/>
        <v>696</v>
      </c>
      <c r="AF110" s="129"/>
    </row>
    <row r="111" spans="1:32">
      <c r="A111" s="251" t="s">
        <v>1393</v>
      </c>
      <c r="B111" s="147" t="s">
        <v>1607</v>
      </c>
      <c r="C111" s="156" t="s">
        <v>1700</v>
      </c>
      <c r="D111" s="148" t="s">
        <v>1961</v>
      </c>
      <c r="E111" s="158" t="s">
        <v>1962</v>
      </c>
      <c r="F111" s="148" t="s">
        <v>105</v>
      </c>
      <c r="G111" s="148" t="s">
        <v>1430</v>
      </c>
      <c r="H111" s="148">
        <v>30</v>
      </c>
      <c r="I111" s="150">
        <f t="shared" si="17"/>
        <v>30</v>
      </c>
      <c r="J111" s="148"/>
      <c r="K111" s="329" t="s">
        <v>63</v>
      </c>
      <c r="L111" s="148">
        <v>24</v>
      </c>
      <c r="M111" s="148" t="s">
        <v>1785</v>
      </c>
      <c r="N111" s="148" t="s">
        <v>1412</v>
      </c>
      <c r="O111" s="148"/>
      <c r="P111" s="148">
        <v>30</v>
      </c>
      <c r="Q111" s="151">
        <f t="shared" si="18"/>
        <v>0.16000000000000003</v>
      </c>
      <c r="R111" s="152"/>
      <c r="S111" s="159">
        <v>330</v>
      </c>
      <c r="T111" s="159">
        <v>382.8</v>
      </c>
      <c r="U111" s="161"/>
      <c r="V111" s="161"/>
      <c r="W111" s="161"/>
      <c r="X111" s="156" t="s">
        <v>1966</v>
      </c>
      <c r="Y111" s="156" t="s">
        <v>1646</v>
      </c>
      <c r="Z111" s="156" t="s">
        <v>1444</v>
      </c>
      <c r="AA111" s="271">
        <f t="shared" si="19"/>
        <v>11</v>
      </c>
      <c r="AB111" s="271">
        <f t="shared" si="20"/>
        <v>12.76</v>
      </c>
      <c r="AC111" s="157">
        <f t="shared" si="21"/>
        <v>30</v>
      </c>
      <c r="AD111" s="272">
        <f t="shared" si="22"/>
        <v>330</v>
      </c>
      <c r="AE111" s="272">
        <f t="shared" si="24"/>
        <v>382.8</v>
      </c>
      <c r="AF111" s="129"/>
    </row>
    <row r="112" spans="1:32">
      <c r="A112" s="251" t="s">
        <v>1393</v>
      </c>
      <c r="B112" s="147" t="s">
        <v>1607</v>
      </c>
      <c r="C112" s="156" t="s">
        <v>1700</v>
      </c>
      <c r="D112" s="148" t="s">
        <v>1961</v>
      </c>
      <c r="E112" s="158" t="s">
        <v>1962</v>
      </c>
      <c r="F112" s="148" t="s">
        <v>105</v>
      </c>
      <c r="G112" s="148" t="s">
        <v>1430</v>
      </c>
      <c r="H112" s="148">
        <v>45</v>
      </c>
      <c r="I112" s="150">
        <f t="shared" si="17"/>
        <v>45</v>
      </c>
      <c r="J112" s="148"/>
      <c r="K112" s="329" t="s">
        <v>10</v>
      </c>
      <c r="L112" s="148">
        <v>20</v>
      </c>
      <c r="M112" s="148" t="s">
        <v>9</v>
      </c>
      <c r="N112" s="148" t="s">
        <v>1411</v>
      </c>
      <c r="O112" s="148"/>
      <c r="P112" s="148">
        <v>20</v>
      </c>
      <c r="Q112" s="151">
        <f t="shared" si="18"/>
        <v>0.15999999999999989</v>
      </c>
      <c r="R112" s="152"/>
      <c r="S112" s="159">
        <v>240</v>
      </c>
      <c r="T112" s="159">
        <v>278.39999999999998</v>
      </c>
      <c r="U112" s="161"/>
      <c r="V112" s="161"/>
      <c r="W112" s="161"/>
      <c r="X112" s="156" t="s">
        <v>1956</v>
      </c>
      <c r="Y112" s="156" t="s">
        <v>1646</v>
      </c>
      <c r="Z112" s="156" t="s">
        <v>1444</v>
      </c>
      <c r="AA112" s="271">
        <f t="shared" si="19"/>
        <v>12</v>
      </c>
      <c r="AB112" s="271">
        <f t="shared" si="20"/>
        <v>13.919999999999998</v>
      </c>
      <c r="AC112" s="157">
        <f t="shared" si="21"/>
        <v>20</v>
      </c>
      <c r="AD112" s="272">
        <f t="shared" si="22"/>
        <v>240</v>
      </c>
      <c r="AE112" s="272">
        <f t="shared" si="24"/>
        <v>278.39999999999998</v>
      </c>
      <c r="AF112" s="129"/>
    </row>
    <row r="113" spans="1:32">
      <c r="A113" s="251" t="s">
        <v>1393</v>
      </c>
      <c r="B113" s="147" t="s">
        <v>1607</v>
      </c>
      <c r="C113" s="156" t="s">
        <v>1700</v>
      </c>
      <c r="D113" s="148" t="s">
        <v>1961</v>
      </c>
      <c r="E113" s="158" t="s">
        <v>1962</v>
      </c>
      <c r="F113" s="148" t="s">
        <v>105</v>
      </c>
      <c r="G113" s="148" t="s">
        <v>1430</v>
      </c>
      <c r="H113" s="148">
        <v>45</v>
      </c>
      <c r="I113" s="150">
        <f t="shared" si="17"/>
        <v>45</v>
      </c>
      <c r="J113" s="148"/>
      <c r="K113" s="329" t="s">
        <v>10</v>
      </c>
      <c r="L113" s="148">
        <v>30</v>
      </c>
      <c r="M113" s="148" t="s">
        <v>9</v>
      </c>
      <c r="N113" s="148" t="s">
        <v>1412</v>
      </c>
      <c r="O113" s="148"/>
      <c r="P113" s="148">
        <v>30</v>
      </c>
      <c r="Q113" s="151">
        <f t="shared" si="18"/>
        <v>0.16000000000000006</v>
      </c>
      <c r="R113" s="152"/>
      <c r="S113" s="159">
        <v>360</v>
      </c>
      <c r="T113" s="159">
        <v>417.6</v>
      </c>
      <c r="U113" s="161"/>
      <c r="V113" s="161"/>
      <c r="W113" s="161"/>
      <c r="X113" s="156" t="s">
        <v>1956</v>
      </c>
      <c r="Y113" s="156" t="s">
        <v>1646</v>
      </c>
      <c r="Z113" s="156" t="s">
        <v>1444</v>
      </c>
      <c r="AA113" s="271">
        <f t="shared" si="19"/>
        <v>12</v>
      </c>
      <c r="AB113" s="271">
        <f t="shared" si="20"/>
        <v>13.92</v>
      </c>
      <c r="AC113" s="157">
        <f t="shared" si="21"/>
        <v>30</v>
      </c>
      <c r="AD113" s="272">
        <f t="shared" si="22"/>
        <v>360</v>
      </c>
      <c r="AE113" s="272">
        <f t="shared" si="24"/>
        <v>417.6</v>
      </c>
      <c r="AF113" s="129"/>
    </row>
    <row r="114" spans="1:32">
      <c r="A114" s="251" t="s">
        <v>1393</v>
      </c>
      <c r="B114" s="147" t="s">
        <v>1607</v>
      </c>
      <c r="C114" s="156" t="s">
        <v>1700</v>
      </c>
      <c r="D114" s="148" t="s">
        <v>1961</v>
      </c>
      <c r="E114" s="158" t="s">
        <v>1962</v>
      </c>
      <c r="F114" s="148" t="s">
        <v>105</v>
      </c>
      <c r="G114" s="148" t="s">
        <v>1430</v>
      </c>
      <c r="H114" s="148">
        <v>45</v>
      </c>
      <c r="I114" s="150">
        <f t="shared" si="17"/>
        <v>45</v>
      </c>
      <c r="J114" s="148"/>
      <c r="K114" s="329" t="s">
        <v>10</v>
      </c>
      <c r="L114" s="148">
        <v>60</v>
      </c>
      <c r="M114" s="148" t="s">
        <v>9</v>
      </c>
      <c r="N114" s="148" t="s">
        <v>1415</v>
      </c>
      <c r="O114" s="148"/>
      <c r="P114" s="148">
        <v>60</v>
      </c>
      <c r="Q114" s="151">
        <f t="shared" si="18"/>
        <v>0.16000000000000003</v>
      </c>
      <c r="R114" s="152"/>
      <c r="S114" s="159">
        <v>660</v>
      </c>
      <c r="T114" s="159">
        <v>765.6</v>
      </c>
      <c r="U114" s="161"/>
      <c r="V114" s="161"/>
      <c r="W114" s="161"/>
      <c r="X114" s="156" t="s">
        <v>1956</v>
      </c>
      <c r="Y114" s="156" t="s">
        <v>1646</v>
      </c>
      <c r="Z114" s="156" t="s">
        <v>1444</v>
      </c>
      <c r="AA114" s="271">
        <f t="shared" si="19"/>
        <v>11</v>
      </c>
      <c r="AB114" s="271">
        <f t="shared" si="20"/>
        <v>12.76</v>
      </c>
      <c r="AC114" s="157">
        <f t="shared" si="21"/>
        <v>60</v>
      </c>
      <c r="AD114" s="272">
        <f t="shared" si="22"/>
        <v>660</v>
      </c>
      <c r="AE114" s="272">
        <f t="shared" si="24"/>
        <v>765.6</v>
      </c>
      <c r="AF114" s="129"/>
    </row>
    <row r="115" spans="1:32">
      <c r="A115" s="251" t="s">
        <v>1393</v>
      </c>
      <c r="B115" s="147" t="s">
        <v>1607</v>
      </c>
      <c r="C115" s="156" t="s">
        <v>1700</v>
      </c>
      <c r="D115" s="148" t="s">
        <v>1961</v>
      </c>
      <c r="E115" s="158" t="s">
        <v>1962</v>
      </c>
      <c r="F115" s="148" t="s">
        <v>105</v>
      </c>
      <c r="G115" s="148" t="s">
        <v>1430</v>
      </c>
      <c r="H115" s="148">
        <v>50</v>
      </c>
      <c r="I115" s="150">
        <f t="shared" si="17"/>
        <v>50</v>
      </c>
      <c r="J115" s="148"/>
      <c r="K115" s="329" t="s">
        <v>65</v>
      </c>
      <c r="L115" s="148">
        <v>30</v>
      </c>
      <c r="M115" s="148" t="s">
        <v>9</v>
      </c>
      <c r="N115" s="148" t="s">
        <v>1412</v>
      </c>
      <c r="O115" s="148"/>
      <c r="P115" s="148">
        <v>30</v>
      </c>
      <c r="Q115" s="151">
        <f t="shared" si="18"/>
        <v>0.16000000000000006</v>
      </c>
      <c r="R115" s="152"/>
      <c r="S115" s="159">
        <v>360</v>
      </c>
      <c r="T115" s="159">
        <v>417.6</v>
      </c>
      <c r="U115" s="161"/>
      <c r="V115" s="161"/>
      <c r="W115" s="161"/>
      <c r="X115" s="156" t="s">
        <v>1956</v>
      </c>
      <c r="Y115" s="156" t="s">
        <v>1646</v>
      </c>
      <c r="Z115" s="156" t="s">
        <v>1444</v>
      </c>
      <c r="AA115" s="271">
        <f t="shared" si="19"/>
        <v>12</v>
      </c>
      <c r="AB115" s="271">
        <f t="shared" si="20"/>
        <v>13.92</v>
      </c>
      <c r="AC115" s="157">
        <f t="shared" si="21"/>
        <v>30</v>
      </c>
      <c r="AD115" s="272">
        <f t="shared" si="22"/>
        <v>360</v>
      </c>
      <c r="AE115" s="272">
        <f t="shared" si="24"/>
        <v>417.6</v>
      </c>
      <c r="AF115" s="129"/>
    </row>
    <row r="116" spans="1:32">
      <c r="A116" s="251" t="s">
        <v>1393</v>
      </c>
      <c r="B116" s="147" t="s">
        <v>1607</v>
      </c>
      <c r="C116" s="156" t="s">
        <v>1700</v>
      </c>
      <c r="D116" s="148" t="s">
        <v>1961</v>
      </c>
      <c r="E116" s="158" t="s">
        <v>1962</v>
      </c>
      <c r="F116" s="148" t="s">
        <v>105</v>
      </c>
      <c r="G116" s="148" t="s">
        <v>1430</v>
      </c>
      <c r="H116" s="148">
        <v>50</v>
      </c>
      <c r="I116" s="150">
        <f t="shared" si="17"/>
        <v>50</v>
      </c>
      <c r="J116" s="148"/>
      <c r="K116" s="329" t="s">
        <v>65</v>
      </c>
      <c r="L116" s="148">
        <v>40</v>
      </c>
      <c r="M116" s="148" t="s">
        <v>9</v>
      </c>
      <c r="N116" s="148" t="s">
        <v>1414</v>
      </c>
      <c r="O116" s="148"/>
      <c r="P116" s="148">
        <v>40</v>
      </c>
      <c r="Q116" s="151">
        <f t="shared" si="18"/>
        <v>0.15999999999999989</v>
      </c>
      <c r="R116" s="152"/>
      <c r="S116" s="159">
        <v>480</v>
      </c>
      <c r="T116" s="159">
        <v>556.79999999999995</v>
      </c>
      <c r="U116" s="161"/>
      <c r="V116" s="161"/>
      <c r="W116" s="161"/>
      <c r="X116" s="156" t="s">
        <v>1956</v>
      </c>
      <c r="Y116" s="156" t="s">
        <v>1646</v>
      </c>
      <c r="Z116" s="156" t="s">
        <v>1444</v>
      </c>
      <c r="AA116" s="271">
        <f t="shared" si="19"/>
        <v>12</v>
      </c>
      <c r="AB116" s="271">
        <f t="shared" si="20"/>
        <v>13.919999999999998</v>
      </c>
      <c r="AC116" s="157">
        <f t="shared" si="21"/>
        <v>40</v>
      </c>
      <c r="AD116" s="272">
        <f t="shared" si="22"/>
        <v>480</v>
      </c>
      <c r="AE116" s="272">
        <f t="shared" si="24"/>
        <v>556.79999999999995</v>
      </c>
      <c r="AF116" s="129"/>
    </row>
    <row r="117" spans="1:32">
      <c r="A117" s="251" t="s">
        <v>1393</v>
      </c>
      <c r="B117" s="147" t="s">
        <v>1607</v>
      </c>
      <c r="C117" s="156" t="s">
        <v>1700</v>
      </c>
      <c r="D117" s="148" t="s">
        <v>1961</v>
      </c>
      <c r="E117" s="158" t="s">
        <v>1962</v>
      </c>
      <c r="F117" s="148" t="s">
        <v>105</v>
      </c>
      <c r="G117" s="148" t="s">
        <v>1430</v>
      </c>
      <c r="H117" s="148">
        <v>50</v>
      </c>
      <c r="I117" s="150">
        <f t="shared" si="17"/>
        <v>50</v>
      </c>
      <c r="J117" s="148"/>
      <c r="K117" s="329" t="s">
        <v>65</v>
      </c>
      <c r="L117" s="148">
        <v>80</v>
      </c>
      <c r="M117" s="148" t="s">
        <v>9</v>
      </c>
      <c r="N117" s="148" t="s">
        <v>1489</v>
      </c>
      <c r="O117" s="148"/>
      <c r="P117" s="148">
        <v>80</v>
      </c>
      <c r="Q117" s="151">
        <f t="shared" si="18"/>
        <v>0.15999999999999995</v>
      </c>
      <c r="R117" s="152"/>
      <c r="S117" s="159">
        <v>880</v>
      </c>
      <c r="T117" s="159">
        <v>1020.8</v>
      </c>
      <c r="U117" s="161"/>
      <c r="V117" s="161"/>
      <c r="W117" s="161"/>
      <c r="X117" s="156" t="s">
        <v>1956</v>
      </c>
      <c r="Y117" s="156" t="s">
        <v>1646</v>
      </c>
      <c r="Z117" s="156" t="s">
        <v>1444</v>
      </c>
      <c r="AA117" s="271">
        <f t="shared" si="19"/>
        <v>11</v>
      </c>
      <c r="AB117" s="271">
        <f t="shared" si="20"/>
        <v>12.76</v>
      </c>
      <c r="AC117" s="157">
        <f t="shared" si="21"/>
        <v>80</v>
      </c>
      <c r="AD117" s="272">
        <f t="shared" si="22"/>
        <v>880</v>
      </c>
      <c r="AE117" s="272">
        <f t="shared" si="24"/>
        <v>1020.8</v>
      </c>
      <c r="AF117" s="129"/>
    </row>
    <row r="118" spans="1:32" ht="27">
      <c r="A118" s="251" t="s">
        <v>1393</v>
      </c>
      <c r="B118" s="147" t="s">
        <v>1607</v>
      </c>
      <c r="C118" s="156" t="s">
        <v>1700</v>
      </c>
      <c r="D118" s="148">
        <v>605</v>
      </c>
      <c r="E118" s="158" t="s">
        <v>1690</v>
      </c>
      <c r="F118" s="148" t="s">
        <v>105</v>
      </c>
      <c r="G118" s="148" t="s">
        <v>1430</v>
      </c>
      <c r="H118" s="148">
        <v>28</v>
      </c>
      <c r="I118" s="150">
        <f t="shared" si="17"/>
        <v>28</v>
      </c>
      <c r="J118" s="148"/>
      <c r="K118" s="329" t="s">
        <v>67</v>
      </c>
      <c r="L118" s="148">
        <v>30</v>
      </c>
      <c r="M118" s="148" t="s">
        <v>9</v>
      </c>
      <c r="N118" s="148" t="s">
        <v>1417</v>
      </c>
      <c r="O118" s="148" t="s">
        <v>105</v>
      </c>
      <c r="P118" s="148">
        <v>30</v>
      </c>
      <c r="Q118" s="151">
        <f t="shared" si="18"/>
        <v>0.15999999999999995</v>
      </c>
      <c r="R118" s="152"/>
      <c r="S118" s="153">
        <v>295</v>
      </c>
      <c r="T118" s="153">
        <v>342.2</v>
      </c>
      <c r="U118" s="154"/>
      <c r="V118" s="155"/>
      <c r="W118" s="155"/>
      <c r="X118" s="156" t="s">
        <v>1696</v>
      </c>
      <c r="Y118" s="156" t="s">
        <v>1423</v>
      </c>
      <c r="Z118" s="156" t="s">
        <v>1444</v>
      </c>
      <c r="AA118" s="271">
        <f t="shared" si="19"/>
        <v>9.8333333333333339</v>
      </c>
      <c r="AB118" s="271">
        <f t="shared" si="20"/>
        <v>11.406666666666666</v>
      </c>
      <c r="AC118" s="157">
        <f t="shared" si="21"/>
        <v>30</v>
      </c>
      <c r="AD118" s="272">
        <f t="shared" si="22"/>
        <v>295</v>
      </c>
      <c r="AE118" s="272">
        <f t="shared" si="24"/>
        <v>342.2</v>
      </c>
      <c r="AF118" s="129"/>
    </row>
    <row r="119" spans="1:32">
      <c r="A119" s="251" t="s">
        <v>1393</v>
      </c>
      <c r="B119" s="147" t="s">
        <v>1607</v>
      </c>
      <c r="C119" s="156" t="s">
        <v>1700</v>
      </c>
      <c r="D119" s="148">
        <v>606</v>
      </c>
      <c r="E119" s="149" t="s">
        <v>1446</v>
      </c>
      <c r="F119" s="148" t="s">
        <v>105</v>
      </c>
      <c r="G119" s="148" t="s">
        <v>1430</v>
      </c>
      <c r="H119" s="148">
        <v>26</v>
      </c>
      <c r="I119" s="150">
        <f t="shared" si="17"/>
        <v>26</v>
      </c>
      <c r="J119" s="148"/>
      <c r="K119" s="329" t="s">
        <v>69</v>
      </c>
      <c r="L119" s="148" t="s">
        <v>1692</v>
      </c>
      <c r="M119" s="148" t="s">
        <v>9</v>
      </c>
      <c r="N119" s="148" t="s">
        <v>1560</v>
      </c>
      <c r="O119" s="148" t="s">
        <v>105</v>
      </c>
      <c r="P119" s="148">
        <v>30</v>
      </c>
      <c r="Q119" s="151">
        <f t="shared" si="18"/>
        <v>0.15999999999999986</v>
      </c>
      <c r="R119" s="152"/>
      <c r="S119" s="153">
        <v>260</v>
      </c>
      <c r="T119" s="153">
        <v>301.59999999999997</v>
      </c>
      <c r="U119" s="154"/>
      <c r="V119" s="155"/>
      <c r="W119" s="155"/>
      <c r="X119" s="156" t="s">
        <v>1694</v>
      </c>
      <c r="Y119" s="156" t="s">
        <v>1423</v>
      </c>
      <c r="Z119" s="156" t="s">
        <v>1444</v>
      </c>
      <c r="AA119" s="271">
        <f t="shared" si="19"/>
        <v>8.6666666666666661</v>
      </c>
      <c r="AB119" s="271">
        <f t="shared" si="20"/>
        <v>10.053333333333333</v>
      </c>
      <c r="AC119" s="157">
        <f t="shared" si="21"/>
        <v>30</v>
      </c>
      <c r="AD119" s="272">
        <f t="shared" si="22"/>
        <v>260</v>
      </c>
      <c r="AE119" s="272">
        <f t="shared" si="24"/>
        <v>301.59999999999997</v>
      </c>
      <c r="AF119" s="129"/>
    </row>
    <row r="120" spans="1:32">
      <c r="A120" s="251" t="s">
        <v>1393</v>
      </c>
      <c r="B120" s="147" t="s">
        <v>1607</v>
      </c>
      <c r="C120" s="156" t="s">
        <v>1700</v>
      </c>
      <c r="D120" s="148">
        <v>418</v>
      </c>
      <c r="E120" s="158" t="s">
        <v>1691</v>
      </c>
      <c r="F120" s="148" t="s">
        <v>105</v>
      </c>
      <c r="G120" s="148" t="s">
        <v>1433</v>
      </c>
      <c r="H120" s="148">
        <v>3</v>
      </c>
      <c r="I120" s="150" t="str">
        <f t="shared" si="17"/>
        <v>3_ABM</v>
      </c>
      <c r="J120" s="148" t="s">
        <v>1438</v>
      </c>
      <c r="K120" s="329" t="s">
        <v>12</v>
      </c>
      <c r="L120" s="148">
        <v>50</v>
      </c>
      <c r="M120" s="148" t="s">
        <v>9</v>
      </c>
      <c r="N120" s="148" t="s">
        <v>1421</v>
      </c>
      <c r="O120" s="148" t="s">
        <v>84</v>
      </c>
      <c r="P120" s="148">
        <v>55</v>
      </c>
      <c r="Q120" s="151">
        <f t="shared" si="18"/>
        <v>0.15999999999999986</v>
      </c>
      <c r="R120" s="152" t="s">
        <v>9</v>
      </c>
      <c r="S120" s="153">
        <v>660</v>
      </c>
      <c r="T120" s="153">
        <v>765.59999999999991</v>
      </c>
      <c r="U120" s="154"/>
      <c r="V120" s="155"/>
      <c r="W120" s="155"/>
      <c r="X120" s="156" t="s">
        <v>1695</v>
      </c>
      <c r="Y120" s="156" t="s">
        <v>1646</v>
      </c>
      <c r="Z120" s="156" t="s">
        <v>1444</v>
      </c>
      <c r="AA120" s="271">
        <f t="shared" si="19"/>
        <v>12</v>
      </c>
      <c r="AB120" s="271">
        <f t="shared" si="20"/>
        <v>13.919999999999998</v>
      </c>
      <c r="AC120" s="157">
        <f t="shared" si="21"/>
        <v>55</v>
      </c>
      <c r="AD120" s="272">
        <f t="shared" si="22"/>
        <v>660</v>
      </c>
      <c r="AE120" s="272">
        <f t="shared" si="24"/>
        <v>765.59999999999991</v>
      </c>
      <c r="AF120" s="129"/>
    </row>
    <row r="121" spans="1:32">
      <c r="A121" s="251" t="s">
        <v>1393</v>
      </c>
      <c r="B121" s="147" t="s">
        <v>1607</v>
      </c>
      <c r="C121" s="156" t="s">
        <v>1700</v>
      </c>
      <c r="D121" s="148">
        <v>408</v>
      </c>
      <c r="E121" s="149" t="s">
        <v>1718</v>
      </c>
      <c r="F121" s="148" t="s">
        <v>105</v>
      </c>
      <c r="G121" s="148" t="s">
        <v>1430</v>
      </c>
      <c r="H121" s="148">
        <v>45</v>
      </c>
      <c r="I121" s="150">
        <f t="shared" si="17"/>
        <v>45</v>
      </c>
      <c r="J121" s="148"/>
      <c r="K121" s="329" t="s">
        <v>10</v>
      </c>
      <c r="L121" s="148">
        <v>20</v>
      </c>
      <c r="M121" s="148" t="s">
        <v>9</v>
      </c>
      <c r="N121" s="148" t="s">
        <v>1411</v>
      </c>
      <c r="O121" s="148" t="s">
        <v>105</v>
      </c>
      <c r="P121" s="148">
        <v>20</v>
      </c>
      <c r="Q121" s="151">
        <f t="shared" si="18"/>
        <v>0.16</v>
      </c>
      <c r="R121" s="152"/>
      <c r="S121" s="159">
        <v>800</v>
      </c>
      <c r="T121" s="159">
        <v>928</v>
      </c>
      <c r="U121" s="161"/>
      <c r="V121" s="161"/>
      <c r="W121" s="161"/>
      <c r="X121" s="156" t="s">
        <v>1711</v>
      </c>
      <c r="Y121" s="156" t="s">
        <v>1646</v>
      </c>
      <c r="Z121" s="156" t="s">
        <v>1444</v>
      </c>
      <c r="AA121" s="271">
        <f t="shared" si="19"/>
        <v>40</v>
      </c>
      <c r="AB121" s="271">
        <f t="shared" si="20"/>
        <v>46.4</v>
      </c>
      <c r="AC121" s="157">
        <f t="shared" si="21"/>
        <v>20</v>
      </c>
      <c r="AD121" s="272">
        <f t="shared" si="22"/>
        <v>800</v>
      </c>
      <c r="AE121" s="272">
        <f t="shared" ref="AE121:AE138" si="25">AB121*AC121</f>
        <v>928</v>
      </c>
      <c r="AF121" s="129"/>
    </row>
    <row r="122" spans="1:32">
      <c r="A122" s="251" t="s">
        <v>1393</v>
      </c>
      <c r="B122" s="147" t="s">
        <v>1607</v>
      </c>
      <c r="C122" s="156" t="s">
        <v>1700</v>
      </c>
      <c r="D122" s="148">
        <v>408</v>
      </c>
      <c r="E122" s="149" t="s">
        <v>1718</v>
      </c>
      <c r="F122" s="148" t="s">
        <v>105</v>
      </c>
      <c r="G122" s="148" t="s">
        <v>1430</v>
      </c>
      <c r="H122" s="148">
        <v>45</v>
      </c>
      <c r="I122" s="150">
        <f t="shared" si="17"/>
        <v>45</v>
      </c>
      <c r="J122" s="148"/>
      <c r="K122" s="329" t="s">
        <v>10</v>
      </c>
      <c r="L122" s="148">
        <v>30</v>
      </c>
      <c r="M122" s="148" t="s">
        <v>9</v>
      </c>
      <c r="N122" s="148" t="s">
        <v>1412</v>
      </c>
      <c r="O122" s="148" t="s">
        <v>105</v>
      </c>
      <c r="P122" s="148">
        <v>30</v>
      </c>
      <c r="Q122" s="151">
        <f t="shared" si="18"/>
        <v>0.16</v>
      </c>
      <c r="R122" s="152"/>
      <c r="S122" s="159">
        <v>1000</v>
      </c>
      <c r="T122" s="159">
        <v>1160</v>
      </c>
      <c r="U122" s="161"/>
      <c r="V122" s="161"/>
      <c r="W122" s="161"/>
      <c r="X122" s="156" t="s">
        <v>1711</v>
      </c>
      <c r="Y122" s="156" t="s">
        <v>1646</v>
      </c>
      <c r="Z122" s="156" t="s">
        <v>1444</v>
      </c>
      <c r="AA122" s="271">
        <f t="shared" si="19"/>
        <v>33.333333333333336</v>
      </c>
      <c r="AB122" s="271">
        <f t="shared" si="20"/>
        <v>38.666666666666664</v>
      </c>
      <c r="AC122" s="157">
        <f t="shared" si="21"/>
        <v>30</v>
      </c>
      <c r="AD122" s="272">
        <f t="shared" si="22"/>
        <v>1000.0000000000001</v>
      </c>
      <c r="AE122" s="272">
        <f t="shared" si="25"/>
        <v>1160</v>
      </c>
      <c r="AF122" s="129"/>
    </row>
    <row r="123" spans="1:32">
      <c r="A123" s="251" t="s">
        <v>1393</v>
      </c>
      <c r="B123" s="147" t="s">
        <v>1607</v>
      </c>
      <c r="C123" s="156" t="s">
        <v>1700</v>
      </c>
      <c r="D123" s="148">
        <v>408</v>
      </c>
      <c r="E123" s="149" t="s">
        <v>1718</v>
      </c>
      <c r="F123" s="148" t="s">
        <v>105</v>
      </c>
      <c r="G123" s="148" t="s">
        <v>1430</v>
      </c>
      <c r="H123" s="148">
        <v>45</v>
      </c>
      <c r="I123" s="150">
        <f t="shared" si="17"/>
        <v>45</v>
      </c>
      <c r="J123" s="148"/>
      <c r="K123" s="329" t="s">
        <v>10</v>
      </c>
      <c r="L123" s="148">
        <v>50</v>
      </c>
      <c r="M123" s="148" t="s">
        <v>9</v>
      </c>
      <c r="N123" s="148" t="s">
        <v>1413</v>
      </c>
      <c r="O123" s="148" t="s">
        <v>105</v>
      </c>
      <c r="P123" s="148">
        <v>50</v>
      </c>
      <c r="Q123" s="151">
        <f t="shared" si="18"/>
        <v>0.16</v>
      </c>
      <c r="R123" s="152"/>
      <c r="S123" s="159">
        <v>1100</v>
      </c>
      <c r="T123" s="159">
        <v>1276</v>
      </c>
      <c r="U123" s="161"/>
      <c r="V123" s="161"/>
      <c r="W123" s="161"/>
      <c r="X123" s="156" t="s">
        <v>1711</v>
      </c>
      <c r="Y123" s="156" t="s">
        <v>1646</v>
      </c>
      <c r="Z123" s="156" t="s">
        <v>1444</v>
      </c>
      <c r="AA123" s="271">
        <f t="shared" si="19"/>
        <v>22</v>
      </c>
      <c r="AB123" s="271">
        <f t="shared" si="20"/>
        <v>25.52</v>
      </c>
      <c r="AC123" s="157">
        <f t="shared" si="21"/>
        <v>50</v>
      </c>
      <c r="AD123" s="272">
        <f t="shared" si="22"/>
        <v>1100</v>
      </c>
      <c r="AE123" s="272">
        <f t="shared" si="25"/>
        <v>1276</v>
      </c>
      <c r="AF123" s="129"/>
    </row>
    <row r="124" spans="1:32">
      <c r="A124" s="251" t="s">
        <v>1393</v>
      </c>
      <c r="B124" s="147" t="s">
        <v>1607</v>
      </c>
      <c r="C124" s="156" t="s">
        <v>1700</v>
      </c>
      <c r="D124" s="148">
        <v>463</v>
      </c>
      <c r="E124" s="158" t="s">
        <v>1784</v>
      </c>
      <c r="F124" s="148" t="s">
        <v>105</v>
      </c>
      <c r="G124" s="148" t="s">
        <v>1430</v>
      </c>
      <c r="H124" s="148">
        <v>15</v>
      </c>
      <c r="I124" s="150">
        <f t="shared" si="17"/>
        <v>15</v>
      </c>
      <c r="J124" s="148"/>
      <c r="K124" s="329" t="s">
        <v>1955</v>
      </c>
      <c r="L124" s="148">
        <v>40</v>
      </c>
      <c r="M124" s="148" t="s">
        <v>9</v>
      </c>
      <c r="N124" s="148">
        <v>40</v>
      </c>
      <c r="O124" s="148" t="s">
        <v>105</v>
      </c>
      <c r="P124" s="148">
        <v>40</v>
      </c>
      <c r="Q124" s="151">
        <f t="shared" si="18"/>
        <v>0.15999999999999986</v>
      </c>
      <c r="R124" s="152"/>
      <c r="S124" s="159">
        <v>479.3</v>
      </c>
      <c r="T124" s="159">
        <v>555.98799999999994</v>
      </c>
      <c r="U124" s="161"/>
      <c r="V124" s="161"/>
      <c r="W124" s="161"/>
      <c r="X124" s="156" t="s">
        <v>1956</v>
      </c>
      <c r="Y124" s="156" t="s">
        <v>1646</v>
      </c>
      <c r="Z124" s="156" t="s">
        <v>1444</v>
      </c>
      <c r="AA124" s="271">
        <f t="shared" si="19"/>
        <v>11.9825</v>
      </c>
      <c r="AB124" s="271">
        <f t="shared" si="20"/>
        <v>13.899699999999999</v>
      </c>
      <c r="AC124" s="129">
        <f t="shared" si="21"/>
        <v>40</v>
      </c>
      <c r="AD124" s="272">
        <f t="shared" si="22"/>
        <v>479.3</v>
      </c>
      <c r="AE124" s="159">
        <f t="shared" si="25"/>
        <v>555.98799999999994</v>
      </c>
      <c r="AF124" s="129"/>
    </row>
    <row r="125" spans="1:32">
      <c r="A125" s="251" t="s">
        <v>1393</v>
      </c>
      <c r="B125" s="147" t="s">
        <v>1607</v>
      </c>
      <c r="C125" s="156" t="s">
        <v>1700</v>
      </c>
      <c r="D125" s="148">
        <v>463</v>
      </c>
      <c r="E125" s="158" t="s">
        <v>1784</v>
      </c>
      <c r="F125" s="148" t="s">
        <v>105</v>
      </c>
      <c r="G125" s="148" t="s">
        <v>1430</v>
      </c>
      <c r="H125" s="148">
        <v>15</v>
      </c>
      <c r="I125" s="150">
        <f t="shared" si="17"/>
        <v>15</v>
      </c>
      <c r="J125" s="148"/>
      <c r="K125" s="329" t="s">
        <v>1955</v>
      </c>
      <c r="L125" s="148">
        <v>80</v>
      </c>
      <c r="M125" s="148" t="s">
        <v>9</v>
      </c>
      <c r="N125" s="148">
        <v>80</v>
      </c>
      <c r="O125" s="148" t="s">
        <v>105</v>
      </c>
      <c r="P125" s="148">
        <v>80</v>
      </c>
      <c r="Q125" s="151">
        <f t="shared" si="18"/>
        <v>0.15999999999999995</v>
      </c>
      <c r="R125" s="152"/>
      <c r="S125" s="159">
        <v>755</v>
      </c>
      <c r="T125" s="159">
        <v>875.8</v>
      </c>
      <c r="U125" s="161"/>
      <c r="V125" s="161"/>
      <c r="W125" s="161"/>
      <c r="X125" s="156" t="s">
        <v>1956</v>
      </c>
      <c r="Y125" s="156" t="s">
        <v>1646</v>
      </c>
      <c r="Z125" s="156" t="s">
        <v>1444</v>
      </c>
      <c r="AA125" s="271">
        <f t="shared" si="19"/>
        <v>9.4375</v>
      </c>
      <c r="AB125" s="271">
        <f t="shared" si="20"/>
        <v>10.9475</v>
      </c>
      <c r="AC125" s="129">
        <f t="shared" si="21"/>
        <v>80</v>
      </c>
      <c r="AD125" s="272">
        <f t="shared" si="22"/>
        <v>755</v>
      </c>
      <c r="AE125" s="159">
        <f t="shared" si="25"/>
        <v>875.8</v>
      </c>
      <c r="AF125" s="129"/>
    </row>
    <row r="126" spans="1:32">
      <c r="A126" s="251" t="s">
        <v>1393</v>
      </c>
      <c r="B126" s="147" t="s">
        <v>1607</v>
      </c>
      <c r="C126" s="156" t="s">
        <v>1700</v>
      </c>
      <c r="D126" s="148">
        <v>463</v>
      </c>
      <c r="E126" s="158" t="s">
        <v>1784</v>
      </c>
      <c r="F126" s="148" t="s">
        <v>105</v>
      </c>
      <c r="G126" s="148" t="s">
        <v>1433</v>
      </c>
      <c r="H126" s="148">
        <v>24</v>
      </c>
      <c r="I126" s="150" t="str">
        <f t="shared" si="17"/>
        <v>24_A</v>
      </c>
      <c r="J126" s="148" t="s">
        <v>1427</v>
      </c>
      <c r="K126" s="329" t="s">
        <v>61</v>
      </c>
      <c r="L126" s="148">
        <v>20</v>
      </c>
      <c r="M126" s="148" t="s">
        <v>9</v>
      </c>
      <c r="N126" s="148">
        <v>20</v>
      </c>
      <c r="O126" s="148" t="s">
        <v>105</v>
      </c>
      <c r="P126" s="148">
        <v>20</v>
      </c>
      <c r="Q126" s="151">
        <f t="shared" si="18"/>
        <v>0.15999999999999992</v>
      </c>
      <c r="R126" s="152"/>
      <c r="S126" s="159">
        <v>231</v>
      </c>
      <c r="T126" s="159">
        <v>267.95999999999998</v>
      </c>
      <c r="U126" s="161"/>
      <c r="V126" s="161"/>
      <c r="W126" s="161"/>
      <c r="X126" s="156" t="s">
        <v>1956</v>
      </c>
      <c r="Y126" s="156" t="s">
        <v>1646</v>
      </c>
      <c r="Z126" s="156" t="s">
        <v>1444</v>
      </c>
      <c r="AA126" s="271">
        <f t="shared" si="19"/>
        <v>11.55</v>
      </c>
      <c r="AB126" s="271">
        <f t="shared" si="20"/>
        <v>13.398</v>
      </c>
      <c r="AC126" s="129">
        <f t="shared" si="21"/>
        <v>20</v>
      </c>
      <c r="AD126" s="272">
        <f t="shared" si="22"/>
        <v>231</v>
      </c>
      <c r="AE126" s="159">
        <f t="shared" si="25"/>
        <v>267.95999999999998</v>
      </c>
      <c r="AF126" s="129"/>
    </row>
    <row r="127" spans="1:32">
      <c r="A127" s="251" t="s">
        <v>1393</v>
      </c>
      <c r="B127" s="147" t="s">
        <v>1607</v>
      </c>
      <c r="C127" s="156" t="s">
        <v>1700</v>
      </c>
      <c r="D127" s="148">
        <v>463</v>
      </c>
      <c r="E127" s="158" t="s">
        <v>1784</v>
      </c>
      <c r="F127" s="148" t="s">
        <v>105</v>
      </c>
      <c r="G127" s="148" t="s">
        <v>1433</v>
      </c>
      <c r="H127" s="148">
        <v>24</v>
      </c>
      <c r="I127" s="150" t="str">
        <f t="shared" si="17"/>
        <v>24_BM</v>
      </c>
      <c r="J127" s="148" t="s">
        <v>1439</v>
      </c>
      <c r="K127" s="329" t="s">
        <v>61</v>
      </c>
      <c r="L127" s="148">
        <v>30</v>
      </c>
      <c r="M127" s="148" t="s">
        <v>9</v>
      </c>
      <c r="N127" s="148">
        <v>30</v>
      </c>
      <c r="O127" s="148" t="s">
        <v>105</v>
      </c>
      <c r="P127" s="148">
        <v>30</v>
      </c>
      <c r="Q127" s="151">
        <f t="shared" si="18"/>
        <v>0.15999999999999984</v>
      </c>
      <c r="R127" s="152"/>
      <c r="S127" s="159">
        <v>258.2</v>
      </c>
      <c r="T127" s="159">
        <v>299.51199999999994</v>
      </c>
      <c r="U127" s="161"/>
      <c r="V127" s="161"/>
      <c r="W127" s="161"/>
      <c r="X127" s="156" t="s">
        <v>1956</v>
      </c>
      <c r="Y127" s="156" t="s">
        <v>1646</v>
      </c>
      <c r="Z127" s="156" t="s">
        <v>1444</v>
      </c>
      <c r="AA127" s="271">
        <f t="shared" si="19"/>
        <v>8.6066666666666656</v>
      </c>
      <c r="AB127" s="271">
        <f t="shared" si="20"/>
        <v>9.9837333333333316</v>
      </c>
      <c r="AC127" s="129">
        <f t="shared" si="21"/>
        <v>30</v>
      </c>
      <c r="AD127" s="272">
        <f t="shared" si="22"/>
        <v>258.2</v>
      </c>
      <c r="AE127" s="159">
        <f t="shared" si="25"/>
        <v>299.51199999999994</v>
      </c>
      <c r="AF127" s="129"/>
    </row>
    <row r="128" spans="1:32">
      <c r="A128" s="251" t="s">
        <v>1393</v>
      </c>
      <c r="B128" s="147" t="s">
        <v>1607</v>
      </c>
      <c r="C128" s="156" t="s">
        <v>1700</v>
      </c>
      <c r="D128" s="148">
        <v>463</v>
      </c>
      <c r="E128" s="158" t="s">
        <v>1784</v>
      </c>
      <c r="F128" s="148" t="s">
        <v>105</v>
      </c>
      <c r="G128" s="148" t="s">
        <v>1433</v>
      </c>
      <c r="H128" s="148">
        <v>24</v>
      </c>
      <c r="I128" s="150" t="str">
        <f t="shared" si="17"/>
        <v>24_CH</v>
      </c>
      <c r="J128" s="148" t="s">
        <v>1440</v>
      </c>
      <c r="K128" s="329" t="s">
        <v>61</v>
      </c>
      <c r="L128" s="148">
        <v>60</v>
      </c>
      <c r="M128" s="148" t="s">
        <v>9</v>
      </c>
      <c r="N128" s="148">
        <v>60</v>
      </c>
      <c r="O128" s="148" t="s">
        <v>105</v>
      </c>
      <c r="P128" s="148">
        <v>60</v>
      </c>
      <c r="Q128" s="151">
        <f t="shared" si="18"/>
        <v>0.15999999999999992</v>
      </c>
      <c r="R128" s="152"/>
      <c r="S128" s="159">
        <v>345.5</v>
      </c>
      <c r="T128" s="159">
        <v>400.78</v>
      </c>
      <c r="U128" s="161"/>
      <c r="V128" s="161"/>
      <c r="W128" s="161"/>
      <c r="X128" s="156" t="s">
        <v>1956</v>
      </c>
      <c r="Y128" s="156" t="s">
        <v>1646</v>
      </c>
      <c r="Z128" s="156" t="s">
        <v>1444</v>
      </c>
      <c r="AA128" s="271">
        <f t="shared" si="19"/>
        <v>5.7583333333333337</v>
      </c>
      <c r="AB128" s="271">
        <f t="shared" si="20"/>
        <v>6.679666666666666</v>
      </c>
      <c r="AC128" s="129">
        <f t="shared" si="21"/>
        <v>60</v>
      </c>
      <c r="AD128" s="272">
        <f t="shared" si="22"/>
        <v>345.5</v>
      </c>
      <c r="AE128" s="159">
        <f t="shared" si="25"/>
        <v>400.78</v>
      </c>
      <c r="AF128" s="129"/>
    </row>
    <row r="129" spans="1:32">
      <c r="A129" s="251" t="s">
        <v>1393</v>
      </c>
      <c r="B129" s="147" t="s">
        <v>1607</v>
      </c>
      <c r="C129" s="156" t="s">
        <v>1700</v>
      </c>
      <c r="D129" s="148">
        <v>463</v>
      </c>
      <c r="E129" s="158" t="s">
        <v>1784</v>
      </c>
      <c r="F129" s="148" t="s">
        <v>105</v>
      </c>
      <c r="G129" s="148" t="s">
        <v>1430</v>
      </c>
      <c r="H129" s="148">
        <v>25</v>
      </c>
      <c r="I129" s="150">
        <f t="shared" si="17"/>
        <v>25</v>
      </c>
      <c r="J129" s="148"/>
      <c r="K129" s="329" t="s">
        <v>64</v>
      </c>
      <c r="L129" s="148">
        <v>30</v>
      </c>
      <c r="M129" s="148" t="s">
        <v>9</v>
      </c>
      <c r="N129" s="148">
        <v>30</v>
      </c>
      <c r="O129" s="148" t="s">
        <v>105</v>
      </c>
      <c r="P129" s="148">
        <v>30</v>
      </c>
      <c r="Q129" s="151">
        <f t="shared" si="18"/>
        <v>0.15999999999999995</v>
      </c>
      <c r="R129" s="152"/>
      <c r="S129" s="159">
        <v>338.3</v>
      </c>
      <c r="T129" s="159">
        <v>392.428</v>
      </c>
      <c r="U129" s="161"/>
      <c r="V129" s="161"/>
      <c r="W129" s="161"/>
      <c r="X129" s="156" t="s">
        <v>1956</v>
      </c>
      <c r="Y129" s="156" t="s">
        <v>1646</v>
      </c>
      <c r="Z129" s="156" t="s">
        <v>1444</v>
      </c>
      <c r="AA129" s="271">
        <f t="shared" si="19"/>
        <v>11.276666666666667</v>
      </c>
      <c r="AB129" s="271">
        <f t="shared" si="20"/>
        <v>13.080933333333332</v>
      </c>
      <c r="AC129" s="129">
        <f t="shared" si="21"/>
        <v>30</v>
      </c>
      <c r="AD129" s="272">
        <f t="shared" si="22"/>
        <v>338.3</v>
      </c>
      <c r="AE129" s="159">
        <f t="shared" si="25"/>
        <v>392.428</v>
      </c>
      <c r="AF129" s="129"/>
    </row>
    <row r="130" spans="1:32">
      <c r="A130" s="251" t="s">
        <v>1393</v>
      </c>
      <c r="B130" s="147" t="s">
        <v>1607</v>
      </c>
      <c r="C130" s="156" t="s">
        <v>1700</v>
      </c>
      <c r="D130" s="148">
        <v>463</v>
      </c>
      <c r="E130" s="158" t="s">
        <v>1784</v>
      </c>
      <c r="F130" s="148" t="s">
        <v>105</v>
      </c>
      <c r="G130" s="148" t="s">
        <v>1430</v>
      </c>
      <c r="H130" s="148">
        <v>25</v>
      </c>
      <c r="I130" s="150">
        <f t="shared" si="17"/>
        <v>25</v>
      </c>
      <c r="J130" s="148"/>
      <c r="K130" s="329" t="s">
        <v>64</v>
      </c>
      <c r="L130" s="148">
        <v>40</v>
      </c>
      <c r="M130" s="148" t="s">
        <v>9</v>
      </c>
      <c r="N130" s="148">
        <v>40</v>
      </c>
      <c r="O130" s="148" t="s">
        <v>105</v>
      </c>
      <c r="P130" s="148">
        <v>40</v>
      </c>
      <c r="Q130" s="151">
        <f t="shared" si="18"/>
        <v>0.15999999999999998</v>
      </c>
      <c r="R130" s="152"/>
      <c r="S130" s="159">
        <v>390.1</v>
      </c>
      <c r="T130" s="159">
        <v>452.51600000000002</v>
      </c>
      <c r="U130" s="161"/>
      <c r="V130" s="161"/>
      <c r="W130" s="161"/>
      <c r="X130" s="156" t="s">
        <v>1956</v>
      </c>
      <c r="Y130" s="156" t="s">
        <v>1646</v>
      </c>
      <c r="Z130" s="156" t="s">
        <v>1444</v>
      </c>
      <c r="AA130" s="271">
        <f t="shared" si="19"/>
        <v>9.7525000000000013</v>
      </c>
      <c r="AB130" s="271">
        <f t="shared" si="20"/>
        <v>11.312900000000001</v>
      </c>
      <c r="AC130" s="129">
        <f t="shared" si="21"/>
        <v>40</v>
      </c>
      <c r="AD130" s="272">
        <f t="shared" si="22"/>
        <v>390.1</v>
      </c>
      <c r="AE130" s="159">
        <f t="shared" si="25"/>
        <v>452.51600000000002</v>
      </c>
      <c r="AF130" s="129"/>
    </row>
    <row r="131" spans="1:32">
      <c r="A131" s="251" t="s">
        <v>1393</v>
      </c>
      <c r="B131" s="147" t="s">
        <v>1607</v>
      </c>
      <c r="C131" s="156" t="s">
        <v>1700</v>
      </c>
      <c r="D131" s="148">
        <v>463</v>
      </c>
      <c r="E131" s="158" t="s">
        <v>1784</v>
      </c>
      <c r="F131" s="148" t="s">
        <v>105</v>
      </c>
      <c r="G131" s="148" t="s">
        <v>1430</v>
      </c>
      <c r="H131" s="148">
        <v>25</v>
      </c>
      <c r="I131" s="150">
        <f t="shared" si="17"/>
        <v>25</v>
      </c>
      <c r="J131" s="148"/>
      <c r="K131" s="329" t="s">
        <v>64</v>
      </c>
      <c r="L131" s="148">
        <v>60</v>
      </c>
      <c r="M131" s="148" t="s">
        <v>9</v>
      </c>
      <c r="N131" s="148">
        <v>60</v>
      </c>
      <c r="O131" s="148" t="s">
        <v>105</v>
      </c>
      <c r="P131" s="148">
        <v>60</v>
      </c>
      <c r="Q131" s="151">
        <f t="shared" si="18"/>
        <v>0.15999999999999986</v>
      </c>
      <c r="R131" s="152"/>
      <c r="S131" s="159">
        <v>501.4</v>
      </c>
      <c r="T131" s="159">
        <v>581.62399999999991</v>
      </c>
      <c r="U131" s="161"/>
      <c r="V131" s="161"/>
      <c r="W131" s="161"/>
      <c r="X131" s="156" t="s">
        <v>1956</v>
      </c>
      <c r="Y131" s="156" t="s">
        <v>1646</v>
      </c>
      <c r="Z131" s="156" t="s">
        <v>1444</v>
      </c>
      <c r="AA131" s="271">
        <f t="shared" si="19"/>
        <v>8.3566666666666656</v>
      </c>
      <c r="AB131" s="271">
        <f t="shared" si="20"/>
        <v>9.6937333333333324</v>
      </c>
      <c r="AC131" s="129">
        <f t="shared" si="21"/>
        <v>60</v>
      </c>
      <c r="AD131" s="272">
        <f t="shared" si="22"/>
        <v>501.39999999999992</v>
      </c>
      <c r="AE131" s="159">
        <f t="shared" si="25"/>
        <v>581.62399999999991</v>
      </c>
      <c r="AF131" s="129"/>
    </row>
    <row r="132" spans="1:32">
      <c r="A132" s="251" t="s">
        <v>1393</v>
      </c>
      <c r="B132" s="147" t="s">
        <v>1607</v>
      </c>
      <c r="C132" s="156" t="s">
        <v>1700</v>
      </c>
      <c r="D132" s="148">
        <v>463</v>
      </c>
      <c r="E132" s="158" t="s">
        <v>1784</v>
      </c>
      <c r="F132" s="148" t="s">
        <v>105</v>
      </c>
      <c r="G132" s="148" t="s">
        <v>1430</v>
      </c>
      <c r="H132" s="148">
        <v>45</v>
      </c>
      <c r="I132" s="150">
        <f t="shared" si="17"/>
        <v>45</v>
      </c>
      <c r="J132" s="148"/>
      <c r="K132" s="329" t="s">
        <v>10</v>
      </c>
      <c r="L132" s="148">
        <v>20</v>
      </c>
      <c r="M132" s="148" t="s">
        <v>9</v>
      </c>
      <c r="N132" s="148">
        <v>20</v>
      </c>
      <c r="O132" s="148" t="s">
        <v>105</v>
      </c>
      <c r="P132" s="148">
        <v>20</v>
      </c>
      <c r="Q132" s="151">
        <f t="shared" si="18"/>
        <v>0.16</v>
      </c>
      <c r="R132" s="152"/>
      <c r="S132" s="159">
        <v>272.10000000000002</v>
      </c>
      <c r="T132" s="159">
        <v>315.63600000000002</v>
      </c>
      <c r="U132" s="161"/>
      <c r="V132" s="161"/>
      <c r="W132" s="161"/>
      <c r="X132" s="156" t="s">
        <v>1956</v>
      </c>
      <c r="Y132" s="156" t="s">
        <v>1646</v>
      </c>
      <c r="Z132" s="156" t="s">
        <v>1444</v>
      </c>
      <c r="AA132" s="271">
        <f t="shared" si="19"/>
        <v>13.605</v>
      </c>
      <c r="AB132" s="271">
        <f t="shared" si="20"/>
        <v>15.7818</v>
      </c>
      <c r="AC132" s="129">
        <f t="shared" si="21"/>
        <v>20</v>
      </c>
      <c r="AD132" s="272">
        <f t="shared" si="22"/>
        <v>272.10000000000002</v>
      </c>
      <c r="AE132" s="159">
        <f t="shared" si="25"/>
        <v>315.63600000000002</v>
      </c>
      <c r="AF132" s="129"/>
    </row>
    <row r="133" spans="1:32">
      <c r="A133" s="251" t="s">
        <v>1393</v>
      </c>
      <c r="B133" s="147" t="s">
        <v>1607</v>
      </c>
      <c r="C133" s="156" t="s">
        <v>1700</v>
      </c>
      <c r="D133" s="148">
        <v>463</v>
      </c>
      <c r="E133" s="158" t="s">
        <v>1784</v>
      </c>
      <c r="F133" s="148" t="s">
        <v>105</v>
      </c>
      <c r="G133" s="148" t="s">
        <v>1430</v>
      </c>
      <c r="H133" s="148">
        <v>45</v>
      </c>
      <c r="I133" s="150">
        <f t="shared" si="17"/>
        <v>45</v>
      </c>
      <c r="J133" s="148"/>
      <c r="K133" s="329" t="s">
        <v>10</v>
      </c>
      <c r="L133" s="148">
        <v>30</v>
      </c>
      <c r="M133" s="148" t="s">
        <v>9</v>
      </c>
      <c r="N133" s="148">
        <v>30</v>
      </c>
      <c r="O133" s="148" t="s">
        <v>105</v>
      </c>
      <c r="P133" s="148">
        <v>30</v>
      </c>
      <c r="Q133" s="151">
        <f t="shared" si="18"/>
        <v>0.15999999999999998</v>
      </c>
      <c r="R133" s="152"/>
      <c r="S133" s="159">
        <v>318.60000000000002</v>
      </c>
      <c r="T133" s="159">
        <v>369.57600000000002</v>
      </c>
      <c r="U133" s="161"/>
      <c r="V133" s="161"/>
      <c r="W133" s="161"/>
      <c r="X133" s="156" t="s">
        <v>1956</v>
      </c>
      <c r="Y133" s="156" t="s">
        <v>1646</v>
      </c>
      <c r="Z133" s="156" t="s">
        <v>1444</v>
      </c>
      <c r="AA133" s="271">
        <f t="shared" si="19"/>
        <v>10.620000000000001</v>
      </c>
      <c r="AB133" s="271">
        <f t="shared" si="20"/>
        <v>12.3192</v>
      </c>
      <c r="AC133" s="129">
        <f t="shared" si="21"/>
        <v>30</v>
      </c>
      <c r="AD133" s="272">
        <f t="shared" si="22"/>
        <v>318.60000000000002</v>
      </c>
      <c r="AE133" s="159">
        <f t="shared" si="25"/>
        <v>369.57600000000002</v>
      </c>
      <c r="AF133" s="129"/>
    </row>
    <row r="134" spans="1:32">
      <c r="A134" s="251" t="s">
        <v>1393</v>
      </c>
      <c r="B134" s="147" t="s">
        <v>1607</v>
      </c>
      <c r="C134" s="156" t="s">
        <v>1700</v>
      </c>
      <c r="D134" s="148">
        <v>463</v>
      </c>
      <c r="E134" s="158" t="s">
        <v>1784</v>
      </c>
      <c r="F134" s="148" t="s">
        <v>105</v>
      </c>
      <c r="G134" s="148" t="s">
        <v>1430</v>
      </c>
      <c r="H134" s="148">
        <v>45</v>
      </c>
      <c r="I134" s="150">
        <f t="shared" si="17"/>
        <v>45</v>
      </c>
      <c r="J134" s="148"/>
      <c r="K134" s="329" t="s">
        <v>10</v>
      </c>
      <c r="L134" s="148">
        <v>50</v>
      </c>
      <c r="M134" s="148" t="s">
        <v>9</v>
      </c>
      <c r="N134" s="148">
        <v>50</v>
      </c>
      <c r="O134" s="148" t="s">
        <v>105</v>
      </c>
      <c r="P134" s="148">
        <v>50</v>
      </c>
      <c r="Q134" s="151">
        <f t="shared" si="18"/>
        <v>0.15999999999999998</v>
      </c>
      <c r="R134" s="152"/>
      <c r="S134" s="159">
        <v>404</v>
      </c>
      <c r="T134" s="159">
        <v>468.64</v>
      </c>
      <c r="U134" s="161"/>
      <c r="V134" s="161"/>
      <c r="W134" s="161"/>
      <c r="X134" s="156" t="s">
        <v>1956</v>
      </c>
      <c r="Y134" s="156" t="s">
        <v>1646</v>
      </c>
      <c r="Z134" s="156" t="s">
        <v>1444</v>
      </c>
      <c r="AA134" s="271">
        <f t="shared" si="19"/>
        <v>8.08</v>
      </c>
      <c r="AB134" s="271">
        <f t="shared" si="20"/>
        <v>9.3727999999999998</v>
      </c>
      <c r="AC134" s="129">
        <f t="shared" si="21"/>
        <v>50</v>
      </c>
      <c r="AD134" s="272">
        <f t="shared" si="22"/>
        <v>404</v>
      </c>
      <c r="AE134" s="159">
        <f t="shared" si="25"/>
        <v>468.64</v>
      </c>
      <c r="AF134" s="129"/>
    </row>
    <row r="135" spans="1:32">
      <c r="A135" s="251" t="s">
        <v>1393</v>
      </c>
      <c r="B135" s="147" t="s">
        <v>1607</v>
      </c>
      <c r="C135" s="156" t="s">
        <v>1700</v>
      </c>
      <c r="D135" s="148">
        <v>463</v>
      </c>
      <c r="E135" s="158" t="s">
        <v>1784</v>
      </c>
      <c r="F135" s="148" t="s">
        <v>105</v>
      </c>
      <c r="G135" s="148" t="s">
        <v>1430</v>
      </c>
      <c r="H135" s="148">
        <v>61</v>
      </c>
      <c r="I135" s="150">
        <f t="shared" si="17"/>
        <v>61</v>
      </c>
      <c r="J135" s="148"/>
      <c r="K135" s="329" t="s">
        <v>13</v>
      </c>
      <c r="L135" s="148">
        <v>20</v>
      </c>
      <c r="M135" s="148" t="s">
        <v>9</v>
      </c>
      <c r="N135" s="148">
        <v>20</v>
      </c>
      <c r="O135" s="148" t="s">
        <v>105</v>
      </c>
      <c r="P135" s="148">
        <v>20</v>
      </c>
      <c r="Q135" s="151">
        <f t="shared" si="18"/>
        <v>0.15999999999999989</v>
      </c>
      <c r="R135" s="152"/>
      <c r="S135" s="159">
        <v>343.7</v>
      </c>
      <c r="T135" s="159">
        <v>398.69199999999995</v>
      </c>
      <c r="U135" s="161"/>
      <c r="V135" s="161"/>
      <c r="W135" s="161"/>
      <c r="X135" s="156" t="s">
        <v>1956</v>
      </c>
      <c r="Y135" s="156" t="s">
        <v>1646</v>
      </c>
      <c r="Z135" s="156" t="s">
        <v>1444</v>
      </c>
      <c r="AA135" s="271">
        <f t="shared" si="19"/>
        <v>17.184999999999999</v>
      </c>
      <c r="AB135" s="271">
        <f t="shared" si="20"/>
        <v>19.934599999999996</v>
      </c>
      <c r="AC135" s="129">
        <f t="shared" si="21"/>
        <v>20</v>
      </c>
      <c r="AD135" s="272">
        <f t="shared" si="22"/>
        <v>343.7</v>
      </c>
      <c r="AE135" s="159">
        <f t="shared" si="25"/>
        <v>398.69199999999989</v>
      </c>
      <c r="AF135" s="129"/>
    </row>
    <row r="136" spans="1:32">
      <c r="A136" s="251" t="s">
        <v>1393</v>
      </c>
      <c r="B136" s="147" t="s">
        <v>1607</v>
      </c>
      <c r="C136" s="156" t="s">
        <v>1700</v>
      </c>
      <c r="D136" s="148">
        <v>463</v>
      </c>
      <c r="E136" s="158" t="s">
        <v>1784</v>
      </c>
      <c r="F136" s="148" t="s">
        <v>105</v>
      </c>
      <c r="G136" s="148" t="s">
        <v>1430</v>
      </c>
      <c r="H136" s="148">
        <v>61</v>
      </c>
      <c r="I136" s="150">
        <f t="shared" si="17"/>
        <v>61</v>
      </c>
      <c r="J136" s="148"/>
      <c r="K136" s="329" t="s">
        <v>13</v>
      </c>
      <c r="L136" s="148">
        <v>30</v>
      </c>
      <c r="M136" s="148" t="s">
        <v>9</v>
      </c>
      <c r="N136" s="148">
        <v>30</v>
      </c>
      <c r="O136" s="148" t="s">
        <v>105</v>
      </c>
      <c r="P136" s="148">
        <v>30</v>
      </c>
      <c r="Q136" s="151">
        <f t="shared" si="18"/>
        <v>0.15999999999999992</v>
      </c>
      <c r="R136" s="152"/>
      <c r="S136" s="159">
        <v>409.4</v>
      </c>
      <c r="T136" s="159">
        <v>474.90399999999994</v>
      </c>
      <c r="U136" s="161"/>
      <c r="V136" s="161"/>
      <c r="W136" s="161"/>
      <c r="X136" s="156" t="s">
        <v>1956</v>
      </c>
      <c r="Y136" s="156" t="s">
        <v>1646</v>
      </c>
      <c r="Z136" s="156" t="s">
        <v>1444</v>
      </c>
      <c r="AA136" s="271">
        <f t="shared" si="19"/>
        <v>13.646666666666667</v>
      </c>
      <c r="AB136" s="271">
        <f t="shared" si="20"/>
        <v>15.830133333333331</v>
      </c>
      <c r="AC136" s="129">
        <f t="shared" si="21"/>
        <v>30</v>
      </c>
      <c r="AD136" s="272">
        <f t="shared" si="22"/>
        <v>409.4</v>
      </c>
      <c r="AE136" s="159">
        <f t="shared" si="25"/>
        <v>474.90399999999994</v>
      </c>
      <c r="AF136" s="129"/>
    </row>
    <row r="137" spans="1:32">
      <c r="A137" s="251" t="s">
        <v>1393</v>
      </c>
      <c r="B137" s="147" t="s">
        <v>1607</v>
      </c>
      <c r="C137" s="156" t="s">
        <v>1700</v>
      </c>
      <c r="D137" s="148">
        <v>463</v>
      </c>
      <c r="E137" s="158" t="s">
        <v>1784</v>
      </c>
      <c r="F137" s="148" t="s">
        <v>105</v>
      </c>
      <c r="G137" s="148" t="s">
        <v>1430</v>
      </c>
      <c r="H137" s="148">
        <v>61</v>
      </c>
      <c r="I137" s="150">
        <f t="shared" si="17"/>
        <v>61</v>
      </c>
      <c r="J137" s="148"/>
      <c r="K137" s="329" t="s">
        <v>13</v>
      </c>
      <c r="L137" s="148">
        <v>70</v>
      </c>
      <c r="M137" s="148" t="s">
        <v>9</v>
      </c>
      <c r="N137" s="148">
        <v>70</v>
      </c>
      <c r="O137" s="148" t="s">
        <v>105</v>
      </c>
      <c r="P137" s="148">
        <v>70</v>
      </c>
      <c r="Q137" s="151">
        <f t="shared" si="18"/>
        <v>0.15999999999999992</v>
      </c>
      <c r="R137" s="152"/>
      <c r="S137" s="159">
        <v>680</v>
      </c>
      <c r="T137" s="159">
        <v>788.8</v>
      </c>
      <c r="U137" s="161"/>
      <c r="V137" s="161"/>
      <c r="W137" s="161"/>
      <c r="X137" s="156" t="s">
        <v>1956</v>
      </c>
      <c r="Y137" s="156" t="s">
        <v>1646</v>
      </c>
      <c r="Z137" s="156" t="s">
        <v>1444</v>
      </c>
      <c r="AA137" s="271">
        <f t="shared" si="19"/>
        <v>9.7142857142857135</v>
      </c>
      <c r="AB137" s="271">
        <f t="shared" si="20"/>
        <v>11.268571428571429</v>
      </c>
      <c r="AC137" s="129">
        <f t="shared" si="21"/>
        <v>70</v>
      </c>
      <c r="AD137" s="272">
        <f t="shared" si="22"/>
        <v>680</v>
      </c>
      <c r="AE137" s="159">
        <f t="shared" si="25"/>
        <v>788.8</v>
      </c>
      <c r="AF137" s="129"/>
    </row>
    <row r="138" spans="1:32">
      <c r="A138" s="251" t="s">
        <v>1393</v>
      </c>
      <c r="B138" s="147" t="s">
        <v>1607</v>
      </c>
      <c r="C138" s="156" t="s">
        <v>1700</v>
      </c>
      <c r="D138" s="148">
        <v>612</v>
      </c>
      <c r="E138" s="158" t="s">
        <v>1784</v>
      </c>
      <c r="F138" s="148" t="s">
        <v>105</v>
      </c>
      <c r="G138" s="148" t="s">
        <v>1430</v>
      </c>
      <c r="H138" s="148">
        <v>62</v>
      </c>
      <c r="I138" s="150">
        <f t="shared" si="17"/>
        <v>62</v>
      </c>
      <c r="J138" s="148"/>
      <c r="K138" s="329" t="s">
        <v>68</v>
      </c>
      <c r="L138" s="148">
        <v>40</v>
      </c>
      <c r="M138" s="148" t="s">
        <v>1785</v>
      </c>
      <c r="N138" s="148" t="s">
        <v>1414</v>
      </c>
      <c r="O138" s="148" t="s">
        <v>105</v>
      </c>
      <c r="P138" s="148">
        <v>40</v>
      </c>
      <c r="Q138" s="151">
        <f t="shared" si="18"/>
        <v>0.15999999999999984</v>
      </c>
      <c r="R138" s="152"/>
      <c r="S138" s="159">
        <v>459.2</v>
      </c>
      <c r="T138" s="159">
        <v>532.67199999999991</v>
      </c>
      <c r="U138" s="161"/>
      <c r="V138" s="161"/>
      <c r="W138" s="161"/>
      <c r="X138" s="156" t="s">
        <v>1703</v>
      </c>
      <c r="Y138" s="156" t="s">
        <v>1423</v>
      </c>
      <c r="Z138" s="156" t="s">
        <v>1444</v>
      </c>
      <c r="AA138" s="271">
        <f t="shared" si="19"/>
        <v>11.48</v>
      </c>
      <c r="AB138" s="271">
        <f t="shared" si="20"/>
        <v>13.316799999999997</v>
      </c>
      <c r="AC138" s="129">
        <f t="shared" si="21"/>
        <v>40</v>
      </c>
      <c r="AD138" s="272">
        <f t="shared" si="22"/>
        <v>459.20000000000005</v>
      </c>
      <c r="AE138" s="159">
        <f t="shared" si="25"/>
        <v>532.67199999999991</v>
      </c>
      <c r="AF138" s="129"/>
    </row>
    <row r="139" spans="1:32">
      <c r="A139" s="251" t="s">
        <v>1393</v>
      </c>
      <c r="B139" s="147" t="s">
        <v>1607</v>
      </c>
      <c r="C139" s="156" t="s">
        <v>1700</v>
      </c>
      <c r="D139" s="148">
        <v>461</v>
      </c>
      <c r="E139" s="158" t="s">
        <v>1967</v>
      </c>
      <c r="F139" s="148" t="s">
        <v>105</v>
      </c>
      <c r="G139" s="148" t="s">
        <v>1430</v>
      </c>
      <c r="H139" s="148">
        <v>15</v>
      </c>
      <c r="I139" s="150">
        <f t="shared" si="17"/>
        <v>15</v>
      </c>
      <c r="J139" s="148"/>
      <c r="K139" s="329" t="s">
        <v>66</v>
      </c>
      <c r="L139" s="148">
        <v>40</v>
      </c>
      <c r="M139" s="148" t="s">
        <v>9</v>
      </c>
      <c r="N139" s="148">
        <v>40</v>
      </c>
      <c r="O139" s="148"/>
      <c r="P139" s="148">
        <v>40</v>
      </c>
      <c r="Q139" s="151">
        <f t="shared" si="18"/>
        <v>0.15999999999999992</v>
      </c>
      <c r="R139" s="152"/>
      <c r="S139" s="159">
        <v>410</v>
      </c>
      <c r="T139" s="159">
        <v>475.59999999999997</v>
      </c>
      <c r="U139" s="161"/>
      <c r="V139" s="161"/>
      <c r="W139" s="161"/>
      <c r="X139" s="156" t="s">
        <v>1963</v>
      </c>
      <c r="Y139" s="156"/>
      <c r="Z139" s="156" t="s">
        <v>1444</v>
      </c>
      <c r="AA139" s="271">
        <f t="shared" si="19"/>
        <v>10.25</v>
      </c>
      <c r="AB139" s="271">
        <f t="shared" si="20"/>
        <v>11.889999999999999</v>
      </c>
      <c r="AC139" s="157">
        <f t="shared" si="21"/>
        <v>40</v>
      </c>
      <c r="AD139" s="272">
        <f t="shared" si="22"/>
        <v>410</v>
      </c>
      <c r="AE139" s="272">
        <f t="shared" ref="AE139:AE160" si="26">AC139*AB139</f>
        <v>475.59999999999997</v>
      </c>
      <c r="AF139" s="129"/>
    </row>
    <row r="140" spans="1:32">
      <c r="A140" s="251" t="s">
        <v>1393</v>
      </c>
      <c r="B140" s="147" t="s">
        <v>1607</v>
      </c>
      <c r="C140" s="156" t="s">
        <v>1700</v>
      </c>
      <c r="D140" s="148">
        <v>461</v>
      </c>
      <c r="E140" s="158" t="s">
        <v>1967</v>
      </c>
      <c r="F140" s="148" t="s">
        <v>105</v>
      </c>
      <c r="G140" s="148" t="s">
        <v>1430</v>
      </c>
      <c r="H140" s="148">
        <v>15</v>
      </c>
      <c r="I140" s="150">
        <f t="shared" si="17"/>
        <v>15</v>
      </c>
      <c r="J140" s="148"/>
      <c r="K140" s="329" t="s">
        <v>66</v>
      </c>
      <c r="L140" s="148">
        <v>80</v>
      </c>
      <c r="M140" s="148" t="s">
        <v>9</v>
      </c>
      <c r="N140" s="148">
        <v>80</v>
      </c>
      <c r="O140" s="148"/>
      <c r="P140" s="148">
        <v>80</v>
      </c>
      <c r="Q140" s="151">
        <f t="shared" si="18"/>
        <v>0.15999999999999992</v>
      </c>
      <c r="R140" s="152"/>
      <c r="S140" s="159">
        <v>820</v>
      </c>
      <c r="T140" s="159">
        <v>951.19999999999993</v>
      </c>
      <c r="U140" s="161"/>
      <c r="V140" s="161"/>
      <c r="W140" s="161"/>
      <c r="X140" s="156" t="s">
        <v>1963</v>
      </c>
      <c r="Y140" s="156"/>
      <c r="Z140" s="156" t="s">
        <v>1444</v>
      </c>
      <c r="AA140" s="271">
        <f t="shared" si="19"/>
        <v>10.25</v>
      </c>
      <c r="AB140" s="271">
        <f t="shared" si="20"/>
        <v>11.889999999999999</v>
      </c>
      <c r="AC140" s="157">
        <f t="shared" si="21"/>
        <v>80</v>
      </c>
      <c r="AD140" s="272">
        <f t="shared" si="22"/>
        <v>820</v>
      </c>
      <c r="AE140" s="272">
        <f t="shared" si="26"/>
        <v>951.19999999999993</v>
      </c>
      <c r="AF140" s="129"/>
    </row>
    <row r="141" spans="1:32">
      <c r="A141" s="251" t="s">
        <v>1393</v>
      </c>
      <c r="B141" s="147" t="s">
        <v>1607</v>
      </c>
      <c r="C141" s="156" t="s">
        <v>1700</v>
      </c>
      <c r="D141" s="148">
        <v>461</v>
      </c>
      <c r="E141" s="158" t="s">
        <v>1967</v>
      </c>
      <c r="F141" s="148" t="s">
        <v>105</v>
      </c>
      <c r="G141" s="148" t="s">
        <v>1430</v>
      </c>
      <c r="H141" s="148">
        <v>24</v>
      </c>
      <c r="I141" s="150" t="str">
        <f t="shared" si="17"/>
        <v>24_A</v>
      </c>
      <c r="J141" s="148" t="s">
        <v>1427</v>
      </c>
      <c r="K141" s="329" t="s">
        <v>61</v>
      </c>
      <c r="L141" s="148">
        <v>20</v>
      </c>
      <c r="M141" s="148" t="s">
        <v>1785</v>
      </c>
      <c r="N141" s="148">
        <v>20</v>
      </c>
      <c r="O141" s="148" t="s">
        <v>105</v>
      </c>
      <c r="P141" s="148">
        <v>20</v>
      </c>
      <c r="Q141" s="151">
        <f t="shared" si="18"/>
        <v>0.16</v>
      </c>
      <c r="R141" s="152"/>
      <c r="S141" s="159">
        <v>150</v>
      </c>
      <c r="T141" s="159">
        <v>174</v>
      </c>
      <c r="U141" s="161"/>
      <c r="V141" s="161"/>
      <c r="W141" s="161"/>
      <c r="X141" s="156" t="s">
        <v>1963</v>
      </c>
      <c r="Y141" s="156"/>
      <c r="Z141" s="156" t="s">
        <v>1444</v>
      </c>
      <c r="AA141" s="271">
        <f t="shared" si="19"/>
        <v>7.5</v>
      </c>
      <c r="AB141" s="271">
        <f t="shared" si="20"/>
        <v>8.6999999999999993</v>
      </c>
      <c r="AC141" s="157">
        <f t="shared" si="21"/>
        <v>20</v>
      </c>
      <c r="AD141" s="272">
        <f t="shared" si="22"/>
        <v>150</v>
      </c>
      <c r="AE141" s="272">
        <f t="shared" si="26"/>
        <v>174</v>
      </c>
      <c r="AF141" s="129"/>
    </row>
    <row r="142" spans="1:32">
      <c r="A142" s="251" t="s">
        <v>1393</v>
      </c>
      <c r="B142" s="147" t="s">
        <v>1607</v>
      </c>
      <c r="C142" s="156" t="s">
        <v>1700</v>
      </c>
      <c r="D142" s="148">
        <v>461</v>
      </c>
      <c r="E142" s="158" t="s">
        <v>1967</v>
      </c>
      <c r="F142" s="148" t="s">
        <v>105</v>
      </c>
      <c r="G142" s="148" t="s">
        <v>1430</v>
      </c>
      <c r="H142" s="148">
        <v>24</v>
      </c>
      <c r="I142" s="150" t="str">
        <f t="shared" si="17"/>
        <v>24_BM</v>
      </c>
      <c r="J142" s="148" t="s">
        <v>1439</v>
      </c>
      <c r="K142" s="329" t="s">
        <v>61</v>
      </c>
      <c r="L142" s="148">
        <v>30</v>
      </c>
      <c r="M142" s="148" t="s">
        <v>1785</v>
      </c>
      <c r="N142" s="148">
        <v>30</v>
      </c>
      <c r="O142" s="148" t="s">
        <v>105</v>
      </c>
      <c r="P142" s="148">
        <v>30</v>
      </c>
      <c r="Q142" s="151">
        <f t="shared" si="18"/>
        <v>0.15999999999999995</v>
      </c>
      <c r="R142" s="152"/>
      <c r="S142" s="159">
        <v>220</v>
      </c>
      <c r="T142" s="159">
        <v>255.2</v>
      </c>
      <c r="U142" s="161"/>
      <c r="V142" s="161"/>
      <c r="W142" s="161"/>
      <c r="X142" s="156" t="s">
        <v>1963</v>
      </c>
      <c r="Y142" s="156"/>
      <c r="Z142" s="156" t="s">
        <v>1444</v>
      </c>
      <c r="AA142" s="271">
        <f t="shared" si="19"/>
        <v>7.333333333333333</v>
      </c>
      <c r="AB142" s="271">
        <f t="shared" si="20"/>
        <v>8.5066666666666659</v>
      </c>
      <c r="AC142" s="157">
        <f t="shared" si="21"/>
        <v>30</v>
      </c>
      <c r="AD142" s="272">
        <f t="shared" si="22"/>
        <v>220</v>
      </c>
      <c r="AE142" s="272">
        <f t="shared" si="26"/>
        <v>255.2</v>
      </c>
      <c r="AF142" s="129"/>
    </row>
    <row r="143" spans="1:32">
      <c r="A143" s="251" t="s">
        <v>1393</v>
      </c>
      <c r="B143" s="147" t="s">
        <v>1607</v>
      </c>
      <c r="C143" s="156" t="s">
        <v>1700</v>
      </c>
      <c r="D143" s="148">
        <v>461</v>
      </c>
      <c r="E143" s="158" t="s">
        <v>1967</v>
      </c>
      <c r="F143" s="148" t="s">
        <v>105</v>
      </c>
      <c r="G143" s="148" t="s">
        <v>1430</v>
      </c>
      <c r="H143" s="148">
        <v>24</v>
      </c>
      <c r="I143" s="150" t="str">
        <f t="shared" si="17"/>
        <v>24_CH</v>
      </c>
      <c r="J143" s="148" t="s">
        <v>1440</v>
      </c>
      <c r="K143" s="329" t="s">
        <v>61</v>
      </c>
      <c r="L143" s="148">
        <v>60</v>
      </c>
      <c r="M143" s="148" t="s">
        <v>1785</v>
      </c>
      <c r="N143" s="148">
        <v>60</v>
      </c>
      <c r="O143" s="148" t="s">
        <v>105</v>
      </c>
      <c r="P143" s="148">
        <v>60</v>
      </c>
      <c r="Q143" s="151">
        <f t="shared" si="18"/>
        <v>0.15999999999999984</v>
      </c>
      <c r="R143" s="152"/>
      <c r="S143" s="159">
        <v>445</v>
      </c>
      <c r="T143" s="159">
        <v>516.19999999999993</v>
      </c>
      <c r="U143" s="161"/>
      <c r="V143" s="161"/>
      <c r="W143" s="161"/>
      <c r="X143" s="156" t="s">
        <v>1963</v>
      </c>
      <c r="Y143" s="156"/>
      <c r="Z143" s="156" t="s">
        <v>1444</v>
      </c>
      <c r="AA143" s="271">
        <f t="shared" si="19"/>
        <v>7.416666666666667</v>
      </c>
      <c r="AB143" s="271">
        <f t="shared" si="20"/>
        <v>8.6033333333333317</v>
      </c>
      <c r="AC143" s="157">
        <f t="shared" si="21"/>
        <v>60</v>
      </c>
      <c r="AD143" s="272">
        <f t="shared" si="22"/>
        <v>445</v>
      </c>
      <c r="AE143" s="272">
        <f t="shared" si="26"/>
        <v>516.19999999999993</v>
      </c>
      <c r="AF143" s="129"/>
    </row>
    <row r="144" spans="1:32">
      <c r="A144" s="251" t="s">
        <v>1393</v>
      </c>
      <c r="B144" s="147" t="s">
        <v>1607</v>
      </c>
      <c r="C144" s="156" t="s">
        <v>1700</v>
      </c>
      <c r="D144" s="148">
        <v>461</v>
      </c>
      <c r="E144" s="158" t="s">
        <v>1967</v>
      </c>
      <c r="F144" s="148" t="s">
        <v>105</v>
      </c>
      <c r="G144" s="148" t="s">
        <v>1430</v>
      </c>
      <c r="H144" s="148">
        <v>25</v>
      </c>
      <c r="I144" s="150">
        <f t="shared" si="17"/>
        <v>25</v>
      </c>
      <c r="J144" s="148"/>
      <c r="K144" s="329" t="s">
        <v>64</v>
      </c>
      <c r="L144" s="148">
        <v>30</v>
      </c>
      <c r="M144" s="148" t="s">
        <v>9</v>
      </c>
      <c r="N144" s="148">
        <v>30</v>
      </c>
      <c r="O144" s="148" t="s">
        <v>105</v>
      </c>
      <c r="P144" s="148">
        <v>30</v>
      </c>
      <c r="Q144" s="151">
        <f t="shared" si="18"/>
        <v>0.15999999999999986</v>
      </c>
      <c r="R144" s="152"/>
      <c r="S144" s="159">
        <v>235</v>
      </c>
      <c r="T144" s="159">
        <v>272.59999999999997</v>
      </c>
      <c r="U144" s="161"/>
      <c r="V144" s="161"/>
      <c r="W144" s="161"/>
      <c r="X144" s="156" t="s">
        <v>1963</v>
      </c>
      <c r="Y144" s="156"/>
      <c r="Z144" s="156" t="s">
        <v>1444</v>
      </c>
      <c r="AA144" s="271">
        <f t="shared" si="19"/>
        <v>7.833333333333333</v>
      </c>
      <c r="AB144" s="271">
        <f t="shared" si="20"/>
        <v>9.086666666666666</v>
      </c>
      <c r="AC144" s="157">
        <f t="shared" si="21"/>
        <v>30</v>
      </c>
      <c r="AD144" s="272">
        <f t="shared" si="22"/>
        <v>235</v>
      </c>
      <c r="AE144" s="272">
        <f t="shared" si="26"/>
        <v>272.59999999999997</v>
      </c>
      <c r="AF144" s="129"/>
    </row>
    <row r="145" spans="1:32">
      <c r="A145" s="251" t="s">
        <v>1393</v>
      </c>
      <c r="B145" s="147" t="s">
        <v>1607</v>
      </c>
      <c r="C145" s="156" t="s">
        <v>1700</v>
      </c>
      <c r="D145" s="148">
        <v>461</v>
      </c>
      <c r="E145" s="158" t="s">
        <v>1967</v>
      </c>
      <c r="F145" s="148" t="s">
        <v>105</v>
      </c>
      <c r="G145" s="148" t="s">
        <v>1430</v>
      </c>
      <c r="H145" s="148">
        <v>25</v>
      </c>
      <c r="I145" s="150">
        <f t="shared" si="17"/>
        <v>25</v>
      </c>
      <c r="J145" s="148"/>
      <c r="K145" s="329" t="s">
        <v>64</v>
      </c>
      <c r="L145" s="148">
        <v>40</v>
      </c>
      <c r="M145" s="148" t="s">
        <v>9</v>
      </c>
      <c r="N145" s="148">
        <v>40</v>
      </c>
      <c r="O145" s="148" t="s">
        <v>105</v>
      </c>
      <c r="P145" s="148">
        <v>40</v>
      </c>
      <c r="Q145" s="151">
        <f t="shared" si="18"/>
        <v>0.15999999999999989</v>
      </c>
      <c r="R145" s="152"/>
      <c r="S145" s="159">
        <v>310</v>
      </c>
      <c r="T145" s="159">
        <v>359.59999999999997</v>
      </c>
      <c r="U145" s="161"/>
      <c r="V145" s="161"/>
      <c r="W145" s="161"/>
      <c r="X145" s="156" t="s">
        <v>1963</v>
      </c>
      <c r="Y145" s="156"/>
      <c r="Z145" s="156" t="s">
        <v>1444</v>
      </c>
      <c r="AA145" s="271">
        <f t="shared" si="19"/>
        <v>7.75</v>
      </c>
      <c r="AB145" s="271">
        <f t="shared" si="20"/>
        <v>8.9899999999999984</v>
      </c>
      <c r="AC145" s="157">
        <f t="shared" si="21"/>
        <v>40</v>
      </c>
      <c r="AD145" s="272">
        <f t="shared" si="22"/>
        <v>310</v>
      </c>
      <c r="AE145" s="272">
        <f t="shared" si="26"/>
        <v>359.59999999999991</v>
      </c>
      <c r="AF145" s="129"/>
    </row>
    <row r="146" spans="1:32">
      <c r="A146" s="251" t="s">
        <v>1393</v>
      </c>
      <c r="B146" s="147" t="s">
        <v>1607</v>
      </c>
      <c r="C146" s="156" t="s">
        <v>1700</v>
      </c>
      <c r="D146" s="148">
        <v>461</v>
      </c>
      <c r="E146" s="158" t="s">
        <v>1967</v>
      </c>
      <c r="F146" s="148" t="s">
        <v>105</v>
      </c>
      <c r="G146" s="148" t="s">
        <v>1430</v>
      </c>
      <c r="H146" s="148">
        <v>25</v>
      </c>
      <c r="I146" s="150">
        <f t="shared" si="17"/>
        <v>25</v>
      </c>
      <c r="J146" s="148"/>
      <c r="K146" s="329" t="s">
        <v>64</v>
      </c>
      <c r="L146" s="148">
        <v>60</v>
      </c>
      <c r="M146" s="148" t="s">
        <v>9</v>
      </c>
      <c r="N146" s="148">
        <v>60</v>
      </c>
      <c r="O146" s="148" t="s">
        <v>105</v>
      </c>
      <c r="P146" s="148">
        <v>60</v>
      </c>
      <c r="Q146" s="151">
        <f t="shared" si="18"/>
        <v>0.15999999999999986</v>
      </c>
      <c r="R146" s="152"/>
      <c r="S146" s="159">
        <v>470</v>
      </c>
      <c r="T146" s="159">
        <v>545.19999999999993</v>
      </c>
      <c r="U146" s="161"/>
      <c r="V146" s="161"/>
      <c r="W146" s="161"/>
      <c r="X146" s="156" t="s">
        <v>1963</v>
      </c>
      <c r="Y146" s="156"/>
      <c r="Z146" s="156" t="s">
        <v>1444</v>
      </c>
      <c r="AA146" s="271">
        <f t="shared" si="19"/>
        <v>7.833333333333333</v>
      </c>
      <c r="AB146" s="271">
        <f t="shared" si="20"/>
        <v>9.086666666666666</v>
      </c>
      <c r="AC146" s="157">
        <f t="shared" si="21"/>
        <v>60</v>
      </c>
      <c r="AD146" s="272">
        <f t="shared" si="22"/>
        <v>470</v>
      </c>
      <c r="AE146" s="272">
        <f t="shared" si="26"/>
        <v>545.19999999999993</v>
      </c>
      <c r="AF146" s="129"/>
    </row>
    <row r="147" spans="1:32" ht="27">
      <c r="A147" s="251" t="s">
        <v>1393</v>
      </c>
      <c r="B147" s="147" t="s">
        <v>1607</v>
      </c>
      <c r="C147" s="156" t="s">
        <v>1700</v>
      </c>
      <c r="D147" s="148">
        <v>461</v>
      </c>
      <c r="E147" s="158" t="s">
        <v>1967</v>
      </c>
      <c r="F147" s="148" t="s">
        <v>105</v>
      </c>
      <c r="G147" s="148" t="s">
        <v>1430</v>
      </c>
      <c r="H147" s="148">
        <v>28</v>
      </c>
      <c r="I147" s="150">
        <f t="shared" si="17"/>
        <v>28</v>
      </c>
      <c r="J147" s="148"/>
      <c r="K147" s="329" t="s">
        <v>67</v>
      </c>
      <c r="L147" s="148">
        <v>30</v>
      </c>
      <c r="M147" s="148" t="s">
        <v>9</v>
      </c>
      <c r="N147" s="148">
        <v>30</v>
      </c>
      <c r="O147" s="148" t="s">
        <v>105</v>
      </c>
      <c r="P147" s="148">
        <v>30</v>
      </c>
      <c r="Q147" s="151">
        <f t="shared" si="18"/>
        <v>0.15999999999999992</v>
      </c>
      <c r="R147" s="152"/>
      <c r="S147" s="159">
        <v>265</v>
      </c>
      <c r="T147" s="159">
        <v>307.39999999999998</v>
      </c>
      <c r="U147" s="161"/>
      <c r="V147" s="161"/>
      <c r="W147" s="161"/>
      <c r="X147" s="156" t="s">
        <v>1963</v>
      </c>
      <c r="Y147" s="156"/>
      <c r="Z147" s="156" t="s">
        <v>1444</v>
      </c>
      <c r="AA147" s="271">
        <f t="shared" si="19"/>
        <v>8.8333333333333339</v>
      </c>
      <c r="AB147" s="271">
        <f t="shared" si="20"/>
        <v>10.246666666666666</v>
      </c>
      <c r="AC147" s="157">
        <f t="shared" si="21"/>
        <v>30</v>
      </c>
      <c r="AD147" s="272">
        <f t="shared" si="22"/>
        <v>265</v>
      </c>
      <c r="AE147" s="272">
        <f t="shared" si="26"/>
        <v>307.39999999999998</v>
      </c>
      <c r="AF147" s="129"/>
    </row>
    <row r="148" spans="1:32" ht="27">
      <c r="A148" s="251" t="s">
        <v>1393</v>
      </c>
      <c r="B148" s="147" t="s">
        <v>1607</v>
      </c>
      <c r="C148" s="156" t="s">
        <v>1700</v>
      </c>
      <c r="D148" s="148">
        <v>461</v>
      </c>
      <c r="E148" s="158" t="s">
        <v>1967</v>
      </c>
      <c r="F148" s="148" t="s">
        <v>105</v>
      </c>
      <c r="G148" s="148" t="s">
        <v>1430</v>
      </c>
      <c r="H148" s="148">
        <v>28</v>
      </c>
      <c r="I148" s="150">
        <f t="shared" si="17"/>
        <v>28</v>
      </c>
      <c r="J148" s="148"/>
      <c r="K148" s="329" t="s">
        <v>67</v>
      </c>
      <c r="L148" s="148">
        <v>40</v>
      </c>
      <c r="M148" s="148" t="s">
        <v>1785</v>
      </c>
      <c r="N148" s="148">
        <v>40</v>
      </c>
      <c r="O148" s="148" t="s">
        <v>105</v>
      </c>
      <c r="P148" s="148">
        <v>40</v>
      </c>
      <c r="Q148" s="151">
        <f t="shared" si="18"/>
        <v>0.16</v>
      </c>
      <c r="R148" s="152"/>
      <c r="S148" s="159">
        <v>350</v>
      </c>
      <c r="T148" s="159">
        <v>406</v>
      </c>
      <c r="U148" s="161"/>
      <c r="V148" s="161"/>
      <c r="W148" s="161"/>
      <c r="X148" s="156" t="s">
        <v>1963</v>
      </c>
      <c r="Y148" s="156"/>
      <c r="Z148" s="156" t="s">
        <v>1444</v>
      </c>
      <c r="AA148" s="271">
        <f t="shared" si="19"/>
        <v>8.75</v>
      </c>
      <c r="AB148" s="271">
        <f t="shared" si="20"/>
        <v>10.15</v>
      </c>
      <c r="AC148" s="157">
        <f t="shared" si="21"/>
        <v>40</v>
      </c>
      <c r="AD148" s="272">
        <f t="shared" si="22"/>
        <v>350</v>
      </c>
      <c r="AE148" s="272">
        <f t="shared" si="26"/>
        <v>406</v>
      </c>
      <c r="AF148" s="129"/>
    </row>
    <row r="149" spans="1:32" ht="27">
      <c r="A149" s="251" t="s">
        <v>1393</v>
      </c>
      <c r="B149" s="147" t="s">
        <v>1607</v>
      </c>
      <c r="C149" s="156" t="s">
        <v>1700</v>
      </c>
      <c r="D149" s="148">
        <v>461</v>
      </c>
      <c r="E149" s="158" t="s">
        <v>1967</v>
      </c>
      <c r="F149" s="148" t="s">
        <v>105</v>
      </c>
      <c r="G149" s="148" t="s">
        <v>1430</v>
      </c>
      <c r="H149" s="148">
        <v>28</v>
      </c>
      <c r="I149" s="150">
        <f t="shared" si="17"/>
        <v>28</v>
      </c>
      <c r="J149" s="148"/>
      <c r="K149" s="329" t="s">
        <v>67</v>
      </c>
      <c r="L149" s="148">
        <v>60</v>
      </c>
      <c r="M149" s="148" t="s">
        <v>1785</v>
      </c>
      <c r="N149" s="148">
        <v>60</v>
      </c>
      <c r="O149" s="148" t="s">
        <v>105</v>
      </c>
      <c r="P149" s="148">
        <v>60</v>
      </c>
      <c r="Q149" s="151">
        <f t="shared" si="18"/>
        <v>0.16</v>
      </c>
      <c r="R149" s="152"/>
      <c r="S149" s="159">
        <v>525</v>
      </c>
      <c r="T149" s="159">
        <v>609</v>
      </c>
      <c r="U149" s="161"/>
      <c r="V149" s="161"/>
      <c r="W149" s="161"/>
      <c r="X149" s="156" t="s">
        <v>1963</v>
      </c>
      <c r="Y149" s="156"/>
      <c r="Z149" s="156" t="s">
        <v>1444</v>
      </c>
      <c r="AA149" s="271">
        <f t="shared" si="19"/>
        <v>8.75</v>
      </c>
      <c r="AB149" s="271">
        <f t="shared" si="20"/>
        <v>10.15</v>
      </c>
      <c r="AC149" s="157">
        <f t="shared" si="21"/>
        <v>60</v>
      </c>
      <c r="AD149" s="272">
        <f t="shared" si="22"/>
        <v>525</v>
      </c>
      <c r="AE149" s="272">
        <f t="shared" si="26"/>
        <v>609</v>
      </c>
      <c r="AF149" s="129"/>
    </row>
    <row r="150" spans="1:32">
      <c r="A150" s="251" t="s">
        <v>1393</v>
      </c>
      <c r="B150" s="147" t="s">
        <v>1607</v>
      </c>
      <c r="C150" s="156" t="s">
        <v>1700</v>
      </c>
      <c r="D150" s="148">
        <v>461</v>
      </c>
      <c r="E150" s="158" t="s">
        <v>1967</v>
      </c>
      <c r="F150" s="148" t="s">
        <v>105</v>
      </c>
      <c r="G150" s="148" t="s">
        <v>1430</v>
      </c>
      <c r="H150" s="148">
        <v>30</v>
      </c>
      <c r="I150" s="150">
        <f t="shared" si="17"/>
        <v>30</v>
      </c>
      <c r="J150" s="148"/>
      <c r="K150" s="329" t="s">
        <v>63</v>
      </c>
      <c r="L150" s="148">
        <v>24</v>
      </c>
      <c r="M150" s="148" t="s">
        <v>1785</v>
      </c>
      <c r="N150" s="148">
        <v>24</v>
      </c>
      <c r="O150" s="148"/>
      <c r="P150" s="148">
        <v>24</v>
      </c>
      <c r="Q150" s="151">
        <f t="shared" si="18"/>
        <v>0.15999999999999989</v>
      </c>
      <c r="R150" s="152"/>
      <c r="S150" s="159">
        <v>180</v>
      </c>
      <c r="T150" s="159">
        <v>208.79999999999998</v>
      </c>
      <c r="U150" s="161"/>
      <c r="V150" s="161"/>
      <c r="W150" s="161"/>
      <c r="X150" s="156" t="s">
        <v>1963</v>
      </c>
      <c r="Y150" s="156"/>
      <c r="Z150" s="156" t="s">
        <v>1444</v>
      </c>
      <c r="AA150" s="271">
        <f t="shared" si="19"/>
        <v>7.5</v>
      </c>
      <c r="AB150" s="271">
        <f t="shared" si="20"/>
        <v>8.6999999999999993</v>
      </c>
      <c r="AC150" s="157">
        <f t="shared" si="21"/>
        <v>24</v>
      </c>
      <c r="AD150" s="272">
        <f t="shared" si="22"/>
        <v>180</v>
      </c>
      <c r="AE150" s="272">
        <f t="shared" si="26"/>
        <v>208.79999999999998</v>
      </c>
      <c r="AF150" s="129"/>
    </row>
    <row r="151" spans="1:32">
      <c r="A151" s="251" t="s">
        <v>1393</v>
      </c>
      <c r="B151" s="147" t="s">
        <v>1607</v>
      </c>
      <c r="C151" s="156" t="s">
        <v>1700</v>
      </c>
      <c r="D151" s="148">
        <v>461</v>
      </c>
      <c r="E151" s="158" t="s">
        <v>1967</v>
      </c>
      <c r="F151" s="148" t="s">
        <v>105</v>
      </c>
      <c r="G151" s="148" t="s">
        <v>1430</v>
      </c>
      <c r="H151" s="148">
        <v>45</v>
      </c>
      <c r="I151" s="150">
        <f t="shared" si="17"/>
        <v>45</v>
      </c>
      <c r="J151" s="148"/>
      <c r="K151" s="329" t="s">
        <v>10</v>
      </c>
      <c r="L151" s="148">
        <v>20</v>
      </c>
      <c r="M151" s="148" t="s">
        <v>1785</v>
      </c>
      <c r="N151" s="148">
        <v>20</v>
      </c>
      <c r="O151" s="148"/>
      <c r="P151" s="148">
        <v>20</v>
      </c>
      <c r="Q151" s="151">
        <f t="shared" si="18"/>
        <v>0.16</v>
      </c>
      <c r="R151" s="152"/>
      <c r="S151" s="159">
        <v>175</v>
      </c>
      <c r="T151" s="159">
        <v>203</v>
      </c>
      <c r="U151" s="161"/>
      <c r="V151" s="161"/>
      <c r="W151" s="161"/>
      <c r="X151" s="156" t="s">
        <v>1963</v>
      </c>
      <c r="Y151" s="156"/>
      <c r="Z151" s="156" t="s">
        <v>1444</v>
      </c>
      <c r="AA151" s="271">
        <f t="shared" si="19"/>
        <v>8.75</v>
      </c>
      <c r="AB151" s="271">
        <f t="shared" si="20"/>
        <v>10.15</v>
      </c>
      <c r="AC151" s="157">
        <f t="shared" si="21"/>
        <v>20</v>
      </c>
      <c r="AD151" s="272">
        <f t="shared" si="22"/>
        <v>175</v>
      </c>
      <c r="AE151" s="272">
        <f t="shared" si="26"/>
        <v>203</v>
      </c>
      <c r="AF151" s="129"/>
    </row>
    <row r="152" spans="1:32">
      <c r="A152" s="251" t="s">
        <v>1393</v>
      </c>
      <c r="B152" s="147" t="s">
        <v>1607</v>
      </c>
      <c r="C152" s="156" t="s">
        <v>1700</v>
      </c>
      <c r="D152" s="148">
        <v>461</v>
      </c>
      <c r="E152" s="158" t="s">
        <v>1967</v>
      </c>
      <c r="F152" s="148" t="s">
        <v>105</v>
      </c>
      <c r="G152" s="148" t="s">
        <v>1430</v>
      </c>
      <c r="H152" s="148">
        <v>45</v>
      </c>
      <c r="I152" s="150">
        <f t="shared" si="17"/>
        <v>45</v>
      </c>
      <c r="J152" s="148"/>
      <c r="K152" s="329" t="s">
        <v>10</v>
      </c>
      <c r="L152" s="148">
        <v>30</v>
      </c>
      <c r="M152" s="148" t="s">
        <v>1785</v>
      </c>
      <c r="N152" s="148">
        <v>30</v>
      </c>
      <c r="O152" s="148"/>
      <c r="P152" s="148">
        <v>30</v>
      </c>
      <c r="Q152" s="151">
        <f t="shared" si="18"/>
        <v>0.15999999999999992</v>
      </c>
      <c r="R152" s="152"/>
      <c r="S152" s="159">
        <v>265</v>
      </c>
      <c r="T152" s="159">
        <v>307.39999999999998</v>
      </c>
      <c r="U152" s="161"/>
      <c r="V152" s="161"/>
      <c r="W152" s="161"/>
      <c r="X152" s="156" t="s">
        <v>1963</v>
      </c>
      <c r="Y152" s="156"/>
      <c r="Z152" s="156" t="s">
        <v>1444</v>
      </c>
      <c r="AA152" s="271">
        <f t="shared" si="19"/>
        <v>8.8333333333333339</v>
      </c>
      <c r="AB152" s="271">
        <f t="shared" si="20"/>
        <v>10.246666666666666</v>
      </c>
      <c r="AC152" s="157">
        <f t="shared" si="21"/>
        <v>30</v>
      </c>
      <c r="AD152" s="272">
        <f t="shared" si="22"/>
        <v>265</v>
      </c>
      <c r="AE152" s="272">
        <f t="shared" si="26"/>
        <v>307.39999999999998</v>
      </c>
      <c r="AF152" s="129"/>
    </row>
    <row r="153" spans="1:32">
      <c r="A153" s="251" t="s">
        <v>1393</v>
      </c>
      <c r="B153" s="147" t="s">
        <v>1607</v>
      </c>
      <c r="C153" s="156" t="s">
        <v>1700</v>
      </c>
      <c r="D153" s="148">
        <v>461</v>
      </c>
      <c r="E153" s="158" t="s">
        <v>1967</v>
      </c>
      <c r="F153" s="148" t="s">
        <v>105</v>
      </c>
      <c r="G153" s="148" t="s">
        <v>1430</v>
      </c>
      <c r="H153" s="148">
        <v>45</v>
      </c>
      <c r="I153" s="150">
        <f t="shared" ref="I153:I210" si="27">IF(AND(F153="SI",J153&lt;&gt;"",J153&lt;&gt;"NA"),CONCATENATE(H153,"_",J153),IF(F153="SI",H153,CONCATENATE(" REGISTRO COTIZACION NO EVALUADA: ",H153)))</f>
        <v>45</v>
      </c>
      <c r="J153" s="148"/>
      <c r="K153" s="329" t="s">
        <v>10</v>
      </c>
      <c r="L153" s="148">
        <v>50</v>
      </c>
      <c r="M153" s="148" t="s">
        <v>1785</v>
      </c>
      <c r="N153" s="148">
        <v>50</v>
      </c>
      <c r="O153" s="148"/>
      <c r="P153" s="148">
        <v>50</v>
      </c>
      <c r="Q153" s="151">
        <f t="shared" ref="Q153:Q210" si="28">(T153-S153)/S153</f>
        <v>0.15999999999999984</v>
      </c>
      <c r="R153" s="152"/>
      <c r="S153" s="159">
        <v>445</v>
      </c>
      <c r="T153" s="159">
        <v>516.19999999999993</v>
      </c>
      <c r="U153" s="161"/>
      <c r="V153" s="161"/>
      <c r="W153" s="161"/>
      <c r="X153" s="156" t="s">
        <v>1963</v>
      </c>
      <c r="Y153" s="156"/>
      <c r="Z153" s="156" t="s">
        <v>1444</v>
      </c>
      <c r="AA153" s="271">
        <f t="shared" ref="AA153:AA210" si="29">S153/P153</f>
        <v>8.9</v>
      </c>
      <c r="AB153" s="271">
        <f t="shared" ref="AB153:AB210" si="30">T153/P153</f>
        <v>10.323999999999998</v>
      </c>
      <c r="AC153" s="157">
        <f t="shared" ref="AC153:AC210" si="31">P153</f>
        <v>50</v>
      </c>
      <c r="AD153" s="272">
        <f t="shared" ref="AD153:AD210" si="32">AA153*AC153</f>
        <v>445</v>
      </c>
      <c r="AE153" s="272">
        <f t="shared" si="26"/>
        <v>516.19999999999993</v>
      </c>
      <c r="AF153" s="129"/>
    </row>
    <row r="154" spans="1:32">
      <c r="A154" s="251" t="s">
        <v>1393</v>
      </c>
      <c r="B154" s="147" t="s">
        <v>1607</v>
      </c>
      <c r="C154" s="156" t="s">
        <v>1700</v>
      </c>
      <c r="D154" s="148">
        <v>461</v>
      </c>
      <c r="E154" s="158" t="s">
        <v>1967</v>
      </c>
      <c r="F154" s="148" t="s">
        <v>105</v>
      </c>
      <c r="G154" s="148" t="s">
        <v>1430</v>
      </c>
      <c r="H154" s="148">
        <v>50</v>
      </c>
      <c r="I154" s="150">
        <f t="shared" si="27"/>
        <v>50</v>
      </c>
      <c r="J154" s="148"/>
      <c r="K154" s="329" t="s">
        <v>65</v>
      </c>
      <c r="L154" s="148">
        <v>30</v>
      </c>
      <c r="M154" s="148" t="s">
        <v>9</v>
      </c>
      <c r="N154" s="148">
        <v>30</v>
      </c>
      <c r="O154" s="148"/>
      <c r="P154" s="148">
        <v>30</v>
      </c>
      <c r="Q154" s="151">
        <f t="shared" si="28"/>
        <v>0.16</v>
      </c>
      <c r="R154" s="152"/>
      <c r="S154" s="159">
        <v>300</v>
      </c>
      <c r="T154" s="159">
        <v>348</v>
      </c>
      <c r="U154" s="161"/>
      <c r="V154" s="161"/>
      <c r="W154" s="161"/>
      <c r="X154" s="156" t="s">
        <v>1963</v>
      </c>
      <c r="Y154" s="156"/>
      <c r="Z154" s="156" t="s">
        <v>1444</v>
      </c>
      <c r="AA154" s="271">
        <f t="shared" si="29"/>
        <v>10</v>
      </c>
      <c r="AB154" s="271">
        <f t="shared" si="30"/>
        <v>11.6</v>
      </c>
      <c r="AC154" s="157">
        <f t="shared" si="31"/>
        <v>30</v>
      </c>
      <c r="AD154" s="272">
        <f t="shared" si="32"/>
        <v>300</v>
      </c>
      <c r="AE154" s="272">
        <f t="shared" si="26"/>
        <v>348</v>
      </c>
      <c r="AF154" s="129"/>
    </row>
    <row r="155" spans="1:32">
      <c r="A155" s="251" t="s">
        <v>1393</v>
      </c>
      <c r="B155" s="147" t="s">
        <v>1607</v>
      </c>
      <c r="C155" s="156" t="s">
        <v>1700</v>
      </c>
      <c r="D155" s="148">
        <v>461</v>
      </c>
      <c r="E155" s="158" t="s">
        <v>1967</v>
      </c>
      <c r="F155" s="148" t="s">
        <v>105</v>
      </c>
      <c r="G155" s="148" t="s">
        <v>1430</v>
      </c>
      <c r="H155" s="148">
        <v>50</v>
      </c>
      <c r="I155" s="150">
        <f t="shared" si="27"/>
        <v>50</v>
      </c>
      <c r="J155" s="148"/>
      <c r="K155" s="329" t="s">
        <v>65</v>
      </c>
      <c r="L155" s="148">
        <v>40</v>
      </c>
      <c r="M155" s="148" t="s">
        <v>9</v>
      </c>
      <c r="N155" s="148">
        <v>40</v>
      </c>
      <c r="O155" s="148"/>
      <c r="P155" s="148">
        <v>40</v>
      </c>
      <c r="Q155" s="151">
        <f t="shared" si="28"/>
        <v>0.15999999999999986</v>
      </c>
      <c r="R155" s="152"/>
      <c r="S155" s="159">
        <v>400</v>
      </c>
      <c r="T155" s="159">
        <v>463.99999999999994</v>
      </c>
      <c r="U155" s="161"/>
      <c r="V155" s="161"/>
      <c r="W155" s="161"/>
      <c r="X155" s="156" t="s">
        <v>1963</v>
      </c>
      <c r="Y155" s="156"/>
      <c r="Z155" s="156" t="s">
        <v>1444</v>
      </c>
      <c r="AA155" s="271">
        <f t="shared" si="29"/>
        <v>10</v>
      </c>
      <c r="AB155" s="271">
        <f t="shared" si="30"/>
        <v>11.599999999999998</v>
      </c>
      <c r="AC155" s="157">
        <f t="shared" si="31"/>
        <v>40</v>
      </c>
      <c r="AD155" s="272">
        <f t="shared" si="32"/>
        <v>400</v>
      </c>
      <c r="AE155" s="272">
        <f t="shared" si="26"/>
        <v>463.99999999999989</v>
      </c>
      <c r="AF155" s="129"/>
    </row>
    <row r="156" spans="1:32">
      <c r="A156" s="251" t="s">
        <v>1393</v>
      </c>
      <c r="B156" s="147" t="s">
        <v>1607</v>
      </c>
      <c r="C156" s="156" t="s">
        <v>1700</v>
      </c>
      <c r="D156" s="148">
        <v>461</v>
      </c>
      <c r="E156" s="158" t="s">
        <v>1967</v>
      </c>
      <c r="F156" s="148" t="s">
        <v>105</v>
      </c>
      <c r="G156" s="148" t="s">
        <v>1430</v>
      </c>
      <c r="H156" s="148">
        <v>50</v>
      </c>
      <c r="I156" s="150">
        <f t="shared" si="27"/>
        <v>50</v>
      </c>
      <c r="J156" s="148"/>
      <c r="K156" s="329" t="s">
        <v>65</v>
      </c>
      <c r="L156" s="148">
        <v>80</v>
      </c>
      <c r="M156" s="148" t="s">
        <v>9</v>
      </c>
      <c r="N156" s="148">
        <v>80</v>
      </c>
      <c r="O156" s="148"/>
      <c r="P156" s="148">
        <v>80</v>
      </c>
      <c r="Q156" s="151">
        <f t="shared" si="28"/>
        <v>0.15999999999999984</v>
      </c>
      <c r="R156" s="152"/>
      <c r="S156" s="159">
        <v>750</v>
      </c>
      <c r="T156" s="159">
        <v>869.99999999999989</v>
      </c>
      <c r="U156" s="161"/>
      <c r="V156" s="161"/>
      <c r="W156" s="161"/>
      <c r="X156" s="156" t="s">
        <v>1963</v>
      </c>
      <c r="Y156" s="156"/>
      <c r="Z156" s="156" t="s">
        <v>1444</v>
      </c>
      <c r="AA156" s="271">
        <f t="shared" si="29"/>
        <v>9.375</v>
      </c>
      <c r="AB156" s="271">
        <f t="shared" si="30"/>
        <v>10.874999999999998</v>
      </c>
      <c r="AC156" s="157">
        <f t="shared" si="31"/>
        <v>80</v>
      </c>
      <c r="AD156" s="272">
        <f t="shared" si="32"/>
        <v>750</v>
      </c>
      <c r="AE156" s="272">
        <f t="shared" si="26"/>
        <v>869.99999999999989</v>
      </c>
      <c r="AF156" s="129"/>
    </row>
    <row r="157" spans="1:32">
      <c r="A157" s="251" t="s">
        <v>1393</v>
      </c>
      <c r="B157" s="147" t="s">
        <v>1607</v>
      </c>
      <c r="C157" s="156" t="s">
        <v>1700</v>
      </c>
      <c r="D157" s="148">
        <v>461</v>
      </c>
      <c r="E157" s="158" t="s">
        <v>1967</v>
      </c>
      <c r="F157" s="148" t="s">
        <v>105</v>
      </c>
      <c r="G157" s="148" t="s">
        <v>1430</v>
      </c>
      <c r="H157" s="148">
        <v>61</v>
      </c>
      <c r="I157" s="150">
        <f t="shared" si="27"/>
        <v>61</v>
      </c>
      <c r="J157" s="148"/>
      <c r="K157" s="329" t="s">
        <v>13</v>
      </c>
      <c r="L157" s="148">
        <v>20</v>
      </c>
      <c r="M157" s="148" t="s">
        <v>1785</v>
      </c>
      <c r="N157" s="148">
        <v>20</v>
      </c>
      <c r="O157" s="148"/>
      <c r="P157" s="148">
        <v>20</v>
      </c>
      <c r="Q157" s="151">
        <f t="shared" si="28"/>
        <v>0.15999999999999998</v>
      </c>
      <c r="R157" s="152"/>
      <c r="S157" s="159">
        <v>210</v>
      </c>
      <c r="T157" s="159">
        <v>243.6</v>
      </c>
      <c r="U157" s="161"/>
      <c r="V157" s="161"/>
      <c r="W157" s="161"/>
      <c r="X157" s="156" t="s">
        <v>1963</v>
      </c>
      <c r="Y157" s="156"/>
      <c r="Z157" s="156" t="s">
        <v>1444</v>
      </c>
      <c r="AA157" s="271">
        <f t="shared" si="29"/>
        <v>10.5</v>
      </c>
      <c r="AB157" s="271">
        <f t="shared" si="30"/>
        <v>12.18</v>
      </c>
      <c r="AC157" s="157">
        <f t="shared" si="31"/>
        <v>20</v>
      </c>
      <c r="AD157" s="272">
        <f t="shared" si="32"/>
        <v>210</v>
      </c>
      <c r="AE157" s="272">
        <f t="shared" si="26"/>
        <v>243.6</v>
      </c>
      <c r="AF157" s="129"/>
    </row>
    <row r="158" spans="1:32">
      <c r="A158" s="251" t="s">
        <v>1393</v>
      </c>
      <c r="B158" s="147" t="s">
        <v>1607</v>
      </c>
      <c r="C158" s="156" t="s">
        <v>1700</v>
      </c>
      <c r="D158" s="148">
        <v>461</v>
      </c>
      <c r="E158" s="158" t="s">
        <v>1967</v>
      </c>
      <c r="F158" s="148" t="s">
        <v>105</v>
      </c>
      <c r="G158" s="148" t="s">
        <v>1430</v>
      </c>
      <c r="H158" s="148">
        <v>61</v>
      </c>
      <c r="I158" s="150">
        <f t="shared" si="27"/>
        <v>61</v>
      </c>
      <c r="J158" s="148"/>
      <c r="K158" s="329" t="s">
        <v>13</v>
      </c>
      <c r="L158" s="148">
        <v>30</v>
      </c>
      <c r="M158" s="148" t="s">
        <v>1785</v>
      </c>
      <c r="N158" s="148">
        <v>30</v>
      </c>
      <c r="O158" s="148"/>
      <c r="P158" s="148">
        <v>30</v>
      </c>
      <c r="Q158" s="151">
        <f t="shared" si="28"/>
        <v>0.15999999999999992</v>
      </c>
      <c r="R158" s="152"/>
      <c r="S158" s="159">
        <v>315</v>
      </c>
      <c r="T158" s="159">
        <v>365.4</v>
      </c>
      <c r="U158" s="161"/>
      <c r="V158" s="161"/>
      <c r="W158" s="161"/>
      <c r="X158" s="156" t="s">
        <v>1963</v>
      </c>
      <c r="Y158" s="156"/>
      <c r="Z158" s="156" t="s">
        <v>1444</v>
      </c>
      <c r="AA158" s="271">
        <f t="shared" si="29"/>
        <v>10.5</v>
      </c>
      <c r="AB158" s="271">
        <f t="shared" si="30"/>
        <v>12.18</v>
      </c>
      <c r="AC158" s="157">
        <f t="shared" si="31"/>
        <v>30</v>
      </c>
      <c r="AD158" s="272">
        <f t="shared" si="32"/>
        <v>315</v>
      </c>
      <c r="AE158" s="272">
        <f t="shared" si="26"/>
        <v>365.4</v>
      </c>
      <c r="AF158" s="129"/>
    </row>
    <row r="159" spans="1:32">
      <c r="A159" s="251" t="s">
        <v>1393</v>
      </c>
      <c r="B159" s="147" t="s">
        <v>1607</v>
      </c>
      <c r="C159" s="156" t="s">
        <v>1700</v>
      </c>
      <c r="D159" s="148">
        <v>461</v>
      </c>
      <c r="E159" s="158" t="s">
        <v>1967</v>
      </c>
      <c r="F159" s="148" t="s">
        <v>105</v>
      </c>
      <c r="G159" s="148" t="s">
        <v>1430</v>
      </c>
      <c r="H159" s="148">
        <v>61</v>
      </c>
      <c r="I159" s="150">
        <f t="shared" si="27"/>
        <v>61</v>
      </c>
      <c r="J159" s="148"/>
      <c r="K159" s="329" t="s">
        <v>13</v>
      </c>
      <c r="L159" s="148">
        <v>70</v>
      </c>
      <c r="M159" s="148" t="s">
        <v>1785</v>
      </c>
      <c r="N159" s="148">
        <v>70</v>
      </c>
      <c r="O159" s="148"/>
      <c r="P159" s="148">
        <v>70</v>
      </c>
      <c r="Q159" s="151">
        <f t="shared" si="28"/>
        <v>0.15999999999999995</v>
      </c>
      <c r="R159" s="152"/>
      <c r="S159" s="159">
        <v>730</v>
      </c>
      <c r="T159" s="159">
        <v>846.8</v>
      </c>
      <c r="U159" s="161"/>
      <c r="V159" s="161"/>
      <c r="W159" s="161"/>
      <c r="X159" s="156" t="s">
        <v>1963</v>
      </c>
      <c r="Y159" s="156"/>
      <c r="Z159" s="156" t="s">
        <v>1444</v>
      </c>
      <c r="AA159" s="271">
        <f t="shared" si="29"/>
        <v>10.428571428571429</v>
      </c>
      <c r="AB159" s="271">
        <f t="shared" si="30"/>
        <v>12.097142857142856</v>
      </c>
      <c r="AC159" s="157">
        <f t="shared" si="31"/>
        <v>70</v>
      </c>
      <c r="AD159" s="272">
        <f t="shared" si="32"/>
        <v>730</v>
      </c>
      <c r="AE159" s="272">
        <f t="shared" si="26"/>
        <v>846.8</v>
      </c>
      <c r="AF159" s="129"/>
    </row>
    <row r="160" spans="1:32">
      <c r="A160" s="251" t="s">
        <v>1393</v>
      </c>
      <c r="B160" s="147" t="s">
        <v>1607</v>
      </c>
      <c r="C160" s="156" t="s">
        <v>1700</v>
      </c>
      <c r="D160" s="148">
        <v>461</v>
      </c>
      <c r="E160" s="158" t="s">
        <v>1967</v>
      </c>
      <c r="F160" s="148" t="s">
        <v>105</v>
      </c>
      <c r="G160" s="148" t="s">
        <v>1430</v>
      </c>
      <c r="H160" s="148">
        <v>62</v>
      </c>
      <c r="I160" s="150">
        <f t="shared" si="27"/>
        <v>62</v>
      </c>
      <c r="J160" s="148"/>
      <c r="K160" s="329" t="s">
        <v>68</v>
      </c>
      <c r="L160" s="148">
        <v>40</v>
      </c>
      <c r="M160" s="148" t="s">
        <v>1785</v>
      </c>
      <c r="N160" s="148">
        <v>40</v>
      </c>
      <c r="O160" s="148"/>
      <c r="P160" s="148">
        <v>40</v>
      </c>
      <c r="Q160" s="151">
        <f t="shared" si="28"/>
        <v>0.15999999999999995</v>
      </c>
      <c r="R160" s="152"/>
      <c r="S160" s="159">
        <v>440</v>
      </c>
      <c r="T160" s="159">
        <v>510.4</v>
      </c>
      <c r="U160" s="161"/>
      <c r="V160" s="161"/>
      <c r="W160" s="161"/>
      <c r="X160" s="156" t="s">
        <v>1963</v>
      </c>
      <c r="Y160" s="156"/>
      <c r="Z160" s="156" t="s">
        <v>1444</v>
      </c>
      <c r="AA160" s="271">
        <f t="shared" si="29"/>
        <v>11</v>
      </c>
      <c r="AB160" s="271">
        <f t="shared" si="30"/>
        <v>12.76</v>
      </c>
      <c r="AC160" s="157">
        <f t="shared" si="31"/>
        <v>40</v>
      </c>
      <c r="AD160" s="272">
        <f t="shared" si="32"/>
        <v>440</v>
      </c>
      <c r="AE160" s="272">
        <f t="shared" si="26"/>
        <v>510.4</v>
      </c>
      <c r="AF160" s="129"/>
    </row>
    <row r="161" spans="1:32" ht="27">
      <c r="A161" s="251" t="s">
        <v>1393</v>
      </c>
      <c r="B161" s="147" t="s">
        <v>1607</v>
      </c>
      <c r="C161" s="156" t="s">
        <v>1700</v>
      </c>
      <c r="D161" s="148">
        <v>613</v>
      </c>
      <c r="E161" s="158" t="s">
        <v>1649</v>
      </c>
      <c r="F161" s="148" t="s">
        <v>105</v>
      </c>
      <c r="G161" s="148" t="s">
        <v>1430</v>
      </c>
      <c r="H161" s="148">
        <v>28</v>
      </c>
      <c r="I161" s="150">
        <f t="shared" si="27"/>
        <v>28</v>
      </c>
      <c r="J161" s="148"/>
      <c r="K161" s="329" t="s">
        <v>67</v>
      </c>
      <c r="L161" s="148">
        <v>30</v>
      </c>
      <c r="M161" s="148" t="s">
        <v>9</v>
      </c>
      <c r="N161" s="148" t="s">
        <v>1478</v>
      </c>
      <c r="O161" s="148" t="s">
        <v>84</v>
      </c>
      <c r="P161" s="148">
        <v>35</v>
      </c>
      <c r="Q161" s="151">
        <f t="shared" si="28"/>
        <v>0.16000000000000006</v>
      </c>
      <c r="R161" s="152"/>
      <c r="S161" s="159">
        <v>394</v>
      </c>
      <c r="T161" s="159">
        <v>457.04</v>
      </c>
      <c r="U161" s="161"/>
      <c r="V161" s="161"/>
      <c r="W161" s="161"/>
      <c r="X161" s="156" t="s">
        <v>1706</v>
      </c>
      <c r="Y161" s="156" t="s">
        <v>1423</v>
      </c>
      <c r="Z161" s="156" t="s">
        <v>1444</v>
      </c>
      <c r="AA161" s="271">
        <f t="shared" si="29"/>
        <v>11.257142857142858</v>
      </c>
      <c r="AB161" s="271">
        <f t="shared" si="30"/>
        <v>13.058285714285715</v>
      </c>
      <c r="AC161" s="157">
        <f t="shared" si="31"/>
        <v>35</v>
      </c>
      <c r="AD161" s="272">
        <f t="shared" si="32"/>
        <v>394.00000000000006</v>
      </c>
      <c r="AE161" s="272">
        <f>AB161*AC161</f>
        <v>457.04</v>
      </c>
      <c r="AF161" s="129"/>
    </row>
    <row r="162" spans="1:32" ht="27">
      <c r="A162" s="251" t="s">
        <v>1393</v>
      </c>
      <c r="B162" s="147" t="s">
        <v>1607</v>
      </c>
      <c r="C162" s="156" t="s">
        <v>1700</v>
      </c>
      <c r="D162" s="148">
        <v>435</v>
      </c>
      <c r="E162" s="158" t="s">
        <v>1447</v>
      </c>
      <c r="F162" s="148" t="s">
        <v>105</v>
      </c>
      <c r="G162" s="148" t="s">
        <v>1430</v>
      </c>
      <c r="H162" s="148">
        <v>28</v>
      </c>
      <c r="I162" s="150">
        <f t="shared" si="27"/>
        <v>28</v>
      </c>
      <c r="J162" s="148"/>
      <c r="K162" s="329" t="s">
        <v>67</v>
      </c>
      <c r="L162" s="148">
        <v>30</v>
      </c>
      <c r="M162" s="148" t="s">
        <v>9</v>
      </c>
      <c r="N162" s="148">
        <v>30</v>
      </c>
      <c r="O162" s="148" t="s">
        <v>105</v>
      </c>
      <c r="P162" s="148">
        <v>30</v>
      </c>
      <c r="Q162" s="151">
        <f t="shared" si="28"/>
        <v>0.15999999999999986</v>
      </c>
      <c r="R162" s="152" t="s">
        <v>9</v>
      </c>
      <c r="S162" s="153">
        <v>409</v>
      </c>
      <c r="T162" s="159">
        <v>474.43999999999994</v>
      </c>
      <c r="U162" s="161"/>
      <c r="V162" s="161">
        <v>409</v>
      </c>
      <c r="W162" s="161">
        <v>474.43999999999994</v>
      </c>
      <c r="X162" s="156" t="s">
        <v>1702</v>
      </c>
      <c r="Y162" s="156" t="s">
        <v>1646</v>
      </c>
      <c r="Z162" s="156" t="s">
        <v>1444</v>
      </c>
      <c r="AA162" s="271">
        <f t="shared" si="29"/>
        <v>13.633333333333333</v>
      </c>
      <c r="AB162" s="271">
        <f t="shared" si="30"/>
        <v>15.814666666666664</v>
      </c>
      <c r="AC162" s="157">
        <f t="shared" si="31"/>
        <v>30</v>
      </c>
      <c r="AD162" s="272">
        <f t="shared" si="32"/>
        <v>409</v>
      </c>
      <c r="AE162" s="272">
        <f t="shared" ref="AE162:AE189" si="33">AC162*AB162</f>
        <v>474.43999999999994</v>
      </c>
      <c r="AF162" s="129"/>
    </row>
    <row r="163" spans="1:32" ht="27">
      <c r="A163" s="251" t="s">
        <v>1393</v>
      </c>
      <c r="B163" s="147" t="s">
        <v>1607</v>
      </c>
      <c r="C163" s="156" t="s">
        <v>1700</v>
      </c>
      <c r="D163" s="148">
        <v>435</v>
      </c>
      <c r="E163" s="158" t="s">
        <v>1447</v>
      </c>
      <c r="F163" s="148" t="s">
        <v>105</v>
      </c>
      <c r="G163" s="148" t="s">
        <v>1430</v>
      </c>
      <c r="H163" s="148">
        <v>28</v>
      </c>
      <c r="I163" s="150">
        <f t="shared" si="27"/>
        <v>28</v>
      </c>
      <c r="J163" s="148"/>
      <c r="K163" s="329" t="s">
        <v>67</v>
      </c>
      <c r="L163" s="148">
        <v>40</v>
      </c>
      <c r="M163" s="148" t="s">
        <v>9</v>
      </c>
      <c r="N163" s="148">
        <v>40</v>
      </c>
      <c r="O163" s="148" t="s">
        <v>105</v>
      </c>
      <c r="P163" s="148">
        <v>40</v>
      </c>
      <c r="Q163" s="151">
        <f t="shared" si="28"/>
        <v>0.15999999999999995</v>
      </c>
      <c r="R163" s="152" t="s">
        <v>9</v>
      </c>
      <c r="S163" s="153">
        <v>533</v>
      </c>
      <c r="T163" s="159">
        <v>618.28</v>
      </c>
      <c r="U163" s="161"/>
      <c r="V163" s="161">
        <v>533</v>
      </c>
      <c r="W163" s="161">
        <v>618.28</v>
      </c>
      <c r="X163" s="156" t="s">
        <v>1702</v>
      </c>
      <c r="Y163" s="156" t="s">
        <v>1646</v>
      </c>
      <c r="Z163" s="156" t="s">
        <v>1444</v>
      </c>
      <c r="AA163" s="271">
        <f t="shared" si="29"/>
        <v>13.324999999999999</v>
      </c>
      <c r="AB163" s="271">
        <f t="shared" si="30"/>
        <v>15.456999999999999</v>
      </c>
      <c r="AC163" s="157">
        <f t="shared" si="31"/>
        <v>40</v>
      </c>
      <c r="AD163" s="272">
        <f t="shared" si="32"/>
        <v>533</v>
      </c>
      <c r="AE163" s="272">
        <f t="shared" si="33"/>
        <v>618.28</v>
      </c>
      <c r="AF163" s="129"/>
    </row>
    <row r="164" spans="1:32" ht="27">
      <c r="A164" s="251" t="s">
        <v>1393</v>
      </c>
      <c r="B164" s="147" t="s">
        <v>1607</v>
      </c>
      <c r="C164" s="156" t="s">
        <v>1700</v>
      </c>
      <c r="D164" s="148">
        <v>435</v>
      </c>
      <c r="E164" s="158" t="s">
        <v>1447</v>
      </c>
      <c r="F164" s="148" t="s">
        <v>105</v>
      </c>
      <c r="G164" s="148" t="s">
        <v>1430</v>
      </c>
      <c r="H164" s="148">
        <v>28</v>
      </c>
      <c r="I164" s="150">
        <f t="shared" si="27"/>
        <v>28</v>
      </c>
      <c r="J164" s="148"/>
      <c r="K164" s="329" t="s">
        <v>67</v>
      </c>
      <c r="L164" s="148">
        <v>60</v>
      </c>
      <c r="M164" s="148" t="s">
        <v>9</v>
      </c>
      <c r="N164" s="148">
        <v>60</v>
      </c>
      <c r="O164" s="148" t="s">
        <v>105</v>
      </c>
      <c r="P164" s="148">
        <v>60</v>
      </c>
      <c r="Q164" s="151">
        <f t="shared" si="28"/>
        <v>0.15999999999999989</v>
      </c>
      <c r="R164" s="152" t="s">
        <v>9</v>
      </c>
      <c r="S164" s="153">
        <v>688</v>
      </c>
      <c r="T164" s="159">
        <v>798.07999999999993</v>
      </c>
      <c r="U164" s="161"/>
      <c r="V164" s="161">
        <v>688</v>
      </c>
      <c r="W164" s="161">
        <v>798.07999999999993</v>
      </c>
      <c r="X164" s="156" t="s">
        <v>1702</v>
      </c>
      <c r="Y164" s="156" t="s">
        <v>1646</v>
      </c>
      <c r="Z164" s="156" t="s">
        <v>1444</v>
      </c>
      <c r="AA164" s="271">
        <f t="shared" si="29"/>
        <v>11.466666666666667</v>
      </c>
      <c r="AB164" s="271">
        <f t="shared" si="30"/>
        <v>13.301333333333332</v>
      </c>
      <c r="AC164" s="157">
        <f t="shared" si="31"/>
        <v>60</v>
      </c>
      <c r="AD164" s="272">
        <f t="shared" si="32"/>
        <v>688</v>
      </c>
      <c r="AE164" s="272">
        <f t="shared" si="33"/>
        <v>798.07999999999993</v>
      </c>
      <c r="AF164" s="129"/>
    </row>
    <row r="165" spans="1:32">
      <c r="A165" s="251" t="s">
        <v>1393</v>
      </c>
      <c r="B165" s="147" t="s">
        <v>1607</v>
      </c>
      <c r="C165" s="156" t="s">
        <v>1700</v>
      </c>
      <c r="D165" s="148">
        <v>435</v>
      </c>
      <c r="E165" s="158" t="s">
        <v>1447</v>
      </c>
      <c r="F165" s="148" t="s">
        <v>105</v>
      </c>
      <c r="G165" s="148" t="s">
        <v>1430</v>
      </c>
      <c r="H165" s="148">
        <v>62</v>
      </c>
      <c r="I165" s="150">
        <f t="shared" si="27"/>
        <v>62</v>
      </c>
      <c r="J165" s="148"/>
      <c r="K165" s="329" t="s">
        <v>68</v>
      </c>
      <c r="L165" s="148">
        <v>40</v>
      </c>
      <c r="M165" s="148" t="s">
        <v>9</v>
      </c>
      <c r="N165" s="148">
        <v>40</v>
      </c>
      <c r="O165" s="148" t="s">
        <v>105</v>
      </c>
      <c r="P165" s="148">
        <v>40</v>
      </c>
      <c r="Q165" s="151">
        <f t="shared" si="28"/>
        <v>0.15999999999999989</v>
      </c>
      <c r="R165" s="152" t="s">
        <v>9</v>
      </c>
      <c r="S165" s="153">
        <v>688</v>
      </c>
      <c r="T165" s="159">
        <v>798.07999999999993</v>
      </c>
      <c r="U165" s="161"/>
      <c r="V165" s="161">
        <v>688</v>
      </c>
      <c r="W165" s="161">
        <v>798.07999999999993</v>
      </c>
      <c r="X165" s="156"/>
      <c r="Y165" s="156" t="s">
        <v>1646</v>
      </c>
      <c r="Z165" s="156" t="s">
        <v>1444</v>
      </c>
      <c r="AA165" s="271">
        <f t="shared" si="29"/>
        <v>17.2</v>
      </c>
      <c r="AB165" s="271">
        <f t="shared" si="30"/>
        <v>19.951999999999998</v>
      </c>
      <c r="AC165" s="157">
        <f t="shared" si="31"/>
        <v>40</v>
      </c>
      <c r="AD165" s="272">
        <f t="shared" si="32"/>
        <v>688</v>
      </c>
      <c r="AE165" s="272">
        <f t="shared" si="33"/>
        <v>798.07999999999993</v>
      </c>
      <c r="AF165" s="129"/>
    </row>
    <row r="166" spans="1:32">
      <c r="A166" s="251" t="s">
        <v>1393</v>
      </c>
      <c r="B166" s="147" t="s">
        <v>1607</v>
      </c>
      <c r="C166" s="156" t="s">
        <v>1700</v>
      </c>
      <c r="D166" s="148">
        <v>438</v>
      </c>
      <c r="E166" s="158" t="s">
        <v>1960</v>
      </c>
      <c r="F166" s="148" t="s">
        <v>105</v>
      </c>
      <c r="G166" s="148" t="s">
        <v>1430</v>
      </c>
      <c r="H166" s="148">
        <v>26</v>
      </c>
      <c r="I166" s="150">
        <f t="shared" si="27"/>
        <v>26</v>
      </c>
      <c r="J166" s="148"/>
      <c r="K166" s="329" t="s">
        <v>69</v>
      </c>
      <c r="L166" s="148">
        <v>25</v>
      </c>
      <c r="M166" s="148" t="s">
        <v>9</v>
      </c>
      <c r="N166" s="148" t="s">
        <v>1693</v>
      </c>
      <c r="O166" s="148" t="s">
        <v>84</v>
      </c>
      <c r="P166" s="148">
        <v>24</v>
      </c>
      <c r="Q166" s="151">
        <f t="shared" si="28"/>
        <v>0.16003927344133531</v>
      </c>
      <c r="R166" s="152"/>
      <c r="S166" s="159">
        <v>122.22</v>
      </c>
      <c r="T166" s="159">
        <v>141.78</v>
      </c>
      <c r="U166" s="161"/>
      <c r="V166" s="161"/>
      <c r="W166" s="161"/>
      <c r="X166" s="156" t="s">
        <v>1963</v>
      </c>
      <c r="Y166" s="156" t="s">
        <v>1646</v>
      </c>
      <c r="Z166" s="156" t="s">
        <v>1444</v>
      </c>
      <c r="AA166" s="271">
        <f t="shared" si="29"/>
        <v>5.0925000000000002</v>
      </c>
      <c r="AB166" s="271">
        <f t="shared" si="30"/>
        <v>5.9074999999999998</v>
      </c>
      <c r="AC166" s="157">
        <f t="shared" si="31"/>
        <v>24</v>
      </c>
      <c r="AD166" s="272">
        <f t="shared" si="32"/>
        <v>122.22</v>
      </c>
      <c r="AE166" s="272">
        <f t="shared" si="33"/>
        <v>141.78</v>
      </c>
      <c r="AF166" s="129"/>
    </row>
    <row r="167" spans="1:32">
      <c r="A167" s="251" t="s">
        <v>1393</v>
      </c>
      <c r="B167" s="147" t="s">
        <v>1607</v>
      </c>
      <c r="C167" s="156" t="s">
        <v>1700</v>
      </c>
      <c r="D167" s="148">
        <v>438</v>
      </c>
      <c r="E167" s="158" t="s">
        <v>1396</v>
      </c>
      <c r="F167" s="148" t="s">
        <v>105</v>
      </c>
      <c r="G167" s="148" t="s">
        <v>1430</v>
      </c>
      <c r="H167" s="148">
        <v>30</v>
      </c>
      <c r="I167" s="150">
        <f t="shared" si="27"/>
        <v>30</v>
      </c>
      <c r="J167" s="148"/>
      <c r="K167" s="329" t="s">
        <v>63</v>
      </c>
      <c r="L167" s="148">
        <v>24</v>
      </c>
      <c r="M167" s="148" t="s">
        <v>9</v>
      </c>
      <c r="N167" s="148" t="s">
        <v>1701</v>
      </c>
      <c r="O167" s="148" t="s">
        <v>105</v>
      </c>
      <c r="P167" s="148">
        <f>27.8*9</f>
        <v>250.20000000000002</v>
      </c>
      <c r="Q167" s="151">
        <f t="shared" si="28"/>
        <v>0.15999999999999992</v>
      </c>
      <c r="R167" s="152"/>
      <c r="S167" s="153">
        <v>2170</v>
      </c>
      <c r="T167" s="159">
        <v>2517.1999999999998</v>
      </c>
      <c r="U167" s="161"/>
      <c r="V167" s="161">
        <v>2170</v>
      </c>
      <c r="W167" s="161">
        <v>2517.1999999999998</v>
      </c>
      <c r="X167" s="156" t="s">
        <v>1705</v>
      </c>
      <c r="Y167" s="156" t="s">
        <v>1646</v>
      </c>
      <c r="Z167" s="156" t="s">
        <v>1444</v>
      </c>
      <c r="AA167" s="271">
        <f t="shared" si="29"/>
        <v>8.6730615507593924</v>
      </c>
      <c r="AB167" s="271">
        <f t="shared" si="30"/>
        <v>10.060751398880894</v>
      </c>
      <c r="AC167" s="157">
        <f t="shared" si="31"/>
        <v>250.20000000000002</v>
      </c>
      <c r="AD167" s="272">
        <f t="shared" si="32"/>
        <v>2170</v>
      </c>
      <c r="AE167" s="272">
        <f t="shared" si="33"/>
        <v>2517.1999999999998</v>
      </c>
      <c r="AF167" s="129"/>
    </row>
    <row r="168" spans="1:32">
      <c r="A168" s="251" t="s">
        <v>1393</v>
      </c>
      <c r="B168" s="147" t="s">
        <v>1607</v>
      </c>
      <c r="C168" s="156" t="s">
        <v>1700</v>
      </c>
      <c r="D168" s="148">
        <v>670</v>
      </c>
      <c r="E168" s="149" t="s">
        <v>1397</v>
      </c>
      <c r="F168" s="148" t="s">
        <v>105</v>
      </c>
      <c r="G168" s="148" t="s">
        <v>1430</v>
      </c>
      <c r="H168" s="148">
        <v>62</v>
      </c>
      <c r="I168" s="150">
        <f t="shared" si="27"/>
        <v>62</v>
      </c>
      <c r="J168" s="148"/>
      <c r="K168" s="329" t="s">
        <v>68</v>
      </c>
      <c r="L168" s="148" t="s">
        <v>1403</v>
      </c>
      <c r="M168" s="148" t="s">
        <v>9</v>
      </c>
      <c r="N168" s="148" t="s">
        <v>1418</v>
      </c>
      <c r="O168" s="148" t="s">
        <v>105</v>
      </c>
      <c r="P168" s="148">
        <v>40</v>
      </c>
      <c r="Q168" s="151">
        <f t="shared" si="28"/>
        <v>0.15999999999999989</v>
      </c>
      <c r="R168" s="152"/>
      <c r="S168" s="159">
        <v>480</v>
      </c>
      <c r="T168" s="159">
        <v>556.79999999999995</v>
      </c>
      <c r="U168" s="161"/>
      <c r="V168" s="161"/>
      <c r="W168" s="161"/>
      <c r="X168" s="156" t="s">
        <v>1706</v>
      </c>
      <c r="Y168" s="156" t="s">
        <v>1423</v>
      </c>
      <c r="Z168" s="156" t="s">
        <v>1444</v>
      </c>
      <c r="AA168" s="271">
        <f t="shared" si="29"/>
        <v>12</v>
      </c>
      <c r="AB168" s="271">
        <f t="shared" si="30"/>
        <v>13.919999999999998</v>
      </c>
      <c r="AC168" s="157">
        <f t="shared" si="31"/>
        <v>40</v>
      </c>
      <c r="AD168" s="272">
        <f t="shared" si="32"/>
        <v>480</v>
      </c>
      <c r="AE168" s="272">
        <f t="shared" si="33"/>
        <v>556.79999999999995</v>
      </c>
      <c r="AF168" s="129"/>
    </row>
    <row r="169" spans="1:32">
      <c r="A169" s="251" t="s">
        <v>1393</v>
      </c>
      <c r="B169" s="147" t="s">
        <v>1607</v>
      </c>
      <c r="C169" s="156" t="s">
        <v>1700</v>
      </c>
      <c r="D169" s="148">
        <v>402</v>
      </c>
      <c r="E169" s="158" t="s">
        <v>1704</v>
      </c>
      <c r="F169" s="148" t="s">
        <v>105</v>
      </c>
      <c r="G169" s="148" t="s">
        <v>1430</v>
      </c>
      <c r="H169" s="148">
        <v>15</v>
      </c>
      <c r="I169" s="150">
        <f t="shared" si="27"/>
        <v>15</v>
      </c>
      <c r="J169" s="148"/>
      <c r="K169" s="329" t="s">
        <v>66</v>
      </c>
      <c r="L169" s="148">
        <v>40</v>
      </c>
      <c r="M169" s="148" t="s">
        <v>9</v>
      </c>
      <c r="N169" s="148">
        <v>40</v>
      </c>
      <c r="O169" s="148" t="s">
        <v>105</v>
      </c>
      <c r="P169" s="148">
        <v>40</v>
      </c>
      <c r="Q169" s="151">
        <f t="shared" si="28"/>
        <v>0.15999999999999995</v>
      </c>
      <c r="R169" s="152" t="s">
        <v>9</v>
      </c>
      <c r="S169" s="153">
        <v>440</v>
      </c>
      <c r="T169" s="159">
        <v>510.4</v>
      </c>
      <c r="U169" s="161"/>
      <c r="V169" s="161">
        <v>440</v>
      </c>
      <c r="W169" s="161">
        <v>510.4</v>
      </c>
      <c r="X169" s="156" t="s">
        <v>1702</v>
      </c>
      <c r="Y169" s="156" t="s">
        <v>1646</v>
      </c>
      <c r="Z169" s="156" t="s">
        <v>1444</v>
      </c>
      <c r="AA169" s="271">
        <f t="shared" si="29"/>
        <v>11</v>
      </c>
      <c r="AB169" s="271">
        <f t="shared" si="30"/>
        <v>12.76</v>
      </c>
      <c r="AC169" s="157">
        <f t="shared" si="31"/>
        <v>40</v>
      </c>
      <c r="AD169" s="272">
        <f t="shared" si="32"/>
        <v>440</v>
      </c>
      <c r="AE169" s="272">
        <f t="shared" si="33"/>
        <v>510.4</v>
      </c>
      <c r="AF169" s="129"/>
    </row>
    <row r="170" spans="1:32">
      <c r="A170" s="251" t="s">
        <v>1393</v>
      </c>
      <c r="B170" s="147" t="s">
        <v>1607</v>
      </c>
      <c r="C170" s="156" t="s">
        <v>1700</v>
      </c>
      <c r="D170" s="148">
        <v>402</v>
      </c>
      <c r="E170" s="158" t="s">
        <v>1704</v>
      </c>
      <c r="F170" s="148" t="s">
        <v>105</v>
      </c>
      <c r="G170" s="148" t="s">
        <v>1430</v>
      </c>
      <c r="H170" s="148">
        <v>15</v>
      </c>
      <c r="I170" s="150">
        <f t="shared" si="27"/>
        <v>15</v>
      </c>
      <c r="J170" s="148"/>
      <c r="K170" s="329" t="s">
        <v>66</v>
      </c>
      <c r="L170" s="148">
        <v>80</v>
      </c>
      <c r="M170" s="148" t="s">
        <v>9</v>
      </c>
      <c r="N170" s="148">
        <v>80</v>
      </c>
      <c r="O170" s="148" t="s">
        <v>105</v>
      </c>
      <c r="P170" s="148">
        <v>80</v>
      </c>
      <c r="Q170" s="151">
        <f t="shared" si="28"/>
        <v>0.15999999999999995</v>
      </c>
      <c r="R170" s="152" t="s">
        <v>9</v>
      </c>
      <c r="S170" s="153">
        <v>880</v>
      </c>
      <c r="T170" s="159">
        <v>1020.8</v>
      </c>
      <c r="U170" s="161"/>
      <c r="V170" s="161">
        <v>880</v>
      </c>
      <c r="W170" s="161">
        <v>1020.8</v>
      </c>
      <c r="X170" s="156" t="s">
        <v>1702</v>
      </c>
      <c r="Y170" s="156" t="s">
        <v>1646</v>
      </c>
      <c r="Z170" s="156" t="s">
        <v>1444</v>
      </c>
      <c r="AA170" s="271">
        <f t="shared" si="29"/>
        <v>11</v>
      </c>
      <c r="AB170" s="271">
        <f t="shared" si="30"/>
        <v>12.76</v>
      </c>
      <c r="AC170" s="157">
        <f t="shared" si="31"/>
        <v>80</v>
      </c>
      <c r="AD170" s="272">
        <f t="shared" si="32"/>
        <v>880</v>
      </c>
      <c r="AE170" s="272">
        <f t="shared" si="33"/>
        <v>1020.8</v>
      </c>
      <c r="AF170" s="129"/>
    </row>
    <row r="171" spans="1:32">
      <c r="A171" s="251" t="s">
        <v>1393</v>
      </c>
      <c r="B171" s="147" t="s">
        <v>1607</v>
      </c>
      <c r="C171" s="156" t="s">
        <v>1700</v>
      </c>
      <c r="D171" s="148">
        <v>402</v>
      </c>
      <c r="E171" s="158" t="s">
        <v>1704</v>
      </c>
      <c r="F171" s="148" t="s">
        <v>105</v>
      </c>
      <c r="G171" s="148" t="s">
        <v>1433</v>
      </c>
      <c r="H171" s="148">
        <v>24</v>
      </c>
      <c r="I171" s="150" t="str">
        <f t="shared" si="27"/>
        <v>24_A</v>
      </c>
      <c r="J171" s="148" t="s">
        <v>1427</v>
      </c>
      <c r="K171" s="329" t="s">
        <v>61</v>
      </c>
      <c r="L171" s="148">
        <v>20</v>
      </c>
      <c r="M171" s="148" t="s">
        <v>9</v>
      </c>
      <c r="N171" s="148">
        <v>20</v>
      </c>
      <c r="O171" s="148" t="s">
        <v>105</v>
      </c>
      <c r="P171" s="148">
        <v>20</v>
      </c>
      <c r="Q171" s="151">
        <f t="shared" si="28"/>
        <v>0.15999999999999984</v>
      </c>
      <c r="R171" s="152" t="s">
        <v>9</v>
      </c>
      <c r="S171" s="153">
        <v>114</v>
      </c>
      <c r="T171" s="159">
        <v>132.23999999999998</v>
      </c>
      <c r="U171" s="161"/>
      <c r="V171" s="161">
        <v>114</v>
      </c>
      <c r="W171" s="161">
        <v>132.23999999999998</v>
      </c>
      <c r="X171" s="156" t="s">
        <v>1702</v>
      </c>
      <c r="Y171" s="156" t="s">
        <v>1646</v>
      </c>
      <c r="Z171" s="156" t="s">
        <v>1444</v>
      </c>
      <c r="AA171" s="271">
        <f t="shared" si="29"/>
        <v>5.7</v>
      </c>
      <c r="AB171" s="271">
        <f t="shared" si="30"/>
        <v>6.6119999999999992</v>
      </c>
      <c r="AC171" s="157">
        <f t="shared" si="31"/>
        <v>20</v>
      </c>
      <c r="AD171" s="272">
        <f t="shared" si="32"/>
        <v>114</v>
      </c>
      <c r="AE171" s="272">
        <f t="shared" si="33"/>
        <v>132.23999999999998</v>
      </c>
      <c r="AF171" s="129"/>
    </row>
    <row r="172" spans="1:32">
      <c r="A172" s="251" t="s">
        <v>1393</v>
      </c>
      <c r="B172" s="147" t="s">
        <v>1607</v>
      </c>
      <c r="C172" s="156" t="s">
        <v>1700</v>
      </c>
      <c r="D172" s="148">
        <v>402</v>
      </c>
      <c r="E172" s="158" t="s">
        <v>1704</v>
      </c>
      <c r="F172" s="148" t="s">
        <v>105</v>
      </c>
      <c r="G172" s="148" t="s">
        <v>1433</v>
      </c>
      <c r="H172" s="148">
        <v>24</v>
      </c>
      <c r="I172" s="150" t="str">
        <f t="shared" si="27"/>
        <v>24_BM</v>
      </c>
      <c r="J172" s="148" t="s">
        <v>1439</v>
      </c>
      <c r="K172" s="329" t="s">
        <v>61</v>
      </c>
      <c r="L172" s="148">
        <v>30</v>
      </c>
      <c r="M172" s="148" t="s">
        <v>9</v>
      </c>
      <c r="N172" s="148">
        <v>30</v>
      </c>
      <c r="O172" s="148" t="s">
        <v>105</v>
      </c>
      <c r="P172" s="148">
        <v>30</v>
      </c>
      <c r="Q172" s="151">
        <f t="shared" si="28"/>
        <v>0.15999999999999992</v>
      </c>
      <c r="R172" s="152" t="s">
        <v>9</v>
      </c>
      <c r="S172" s="153">
        <v>171</v>
      </c>
      <c r="T172" s="159">
        <v>198.35999999999999</v>
      </c>
      <c r="U172" s="161"/>
      <c r="V172" s="161">
        <v>171</v>
      </c>
      <c r="W172" s="161">
        <v>198.35999999999999</v>
      </c>
      <c r="X172" s="156" t="s">
        <v>1702</v>
      </c>
      <c r="Y172" s="156" t="s">
        <v>1646</v>
      </c>
      <c r="Z172" s="156" t="s">
        <v>1444</v>
      </c>
      <c r="AA172" s="271">
        <f t="shared" si="29"/>
        <v>5.7</v>
      </c>
      <c r="AB172" s="271">
        <f t="shared" si="30"/>
        <v>6.6119999999999992</v>
      </c>
      <c r="AC172" s="157">
        <f t="shared" si="31"/>
        <v>30</v>
      </c>
      <c r="AD172" s="272">
        <f t="shared" si="32"/>
        <v>171</v>
      </c>
      <c r="AE172" s="272">
        <f t="shared" si="33"/>
        <v>198.35999999999999</v>
      </c>
      <c r="AF172" s="129"/>
    </row>
    <row r="173" spans="1:32">
      <c r="A173" s="251" t="s">
        <v>1393</v>
      </c>
      <c r="B173" s="147" t="s">
        <v>1607</v>
      </c>
      <c r="C173" s="156" t="s">
        <v>1700</v>
      </c>
      <c r="D173" s="148">
        <v>402</v>
      </c>
      <c r="E173" s="158" t="s">
        <v>1704</v>
      </c>
      <c r="F173" s="148" t="s">
        <v>105</v>
      </c>
      <c r="G173" s="148" t="s">
        <v>1433</v>
      </c>
      <c r="H173" s="148">
        <v>24</v>
      </c>
      <c r="I173" s="150" t="str">
        <f t="shared" si="27"/>
        <v>24_CH</v>
      </c>
      <c r="J173" s="148" t="s">
        <v>1440</v>
      </c>
      <c r="K173" s="329" t="s">
        <v>61</v>
      </c>
      <c r="L173" s="148">
        <v>60</v>
      </c>
      <c r="M173" s="148" t="s">
        <v>9</v>
      </c>
      <c r="N173" s="148">
        <v>60</v>
      </c>
      <c r="O173" s="148" t="s">
        <v>105</v>
      </c>
      <c r="P173" s="148">
        <v>60</v>
      </c>
      <c r="Q173" s="151">
        <f t="shared" si="28"/>
        <v>0.15999999999999992</v>
      </c>
      <c r="R173" s="152" t="s">
        <v>9</v>
      </c>
      <c r="S173" s="153">
        <v>342</v>
      </c>
      <c r="T173" s="159">
        <v>396.71999999999997</v>
      </c>
      <c r="U173" s="161"/>
      <c r="V173" s="161">
        <v>342</v>
      </c>
      <c r="W173" s="161">
        <v>396.71999999999997</v>
      </c>
      <c r="X173" s="156" t="s">
        <v>1702</v>
      </c>
      <c r="Y173" s="156" t="s">
        <v>1646</v>
      </c>
      <c r="Z173" s="156" t="s">
        <v>1444</v>
      </c>
      <c r="AA173" s="271">
        <f t="shared" si="29"/>
        <v>5.7</v>
      </c>
      <c r="AB173" s="271">
        <f t="shared" si="30"/>
        <v>6.6119999999999992</v>
      </c>
      <c r="AC173" s="157">
        <f t="shared" si="31"/>
        <v>60</v>
      </c>
      <c r="AD173" s="272">
        <f t="shared" si="32"/>
        <v>342</v>
      </c>
      <c r="AE173" s="272">
        <f t="shared" si="33"/>
        <v>396.71999999999997</v>
      </c>
      <c r="AF173" s="129"/>
    </row>
    <row r="174" spans="1:32">
      <c r="A174" s="251" t="s">
        <v>1393</v>
      </c>
      <c r="B174" s="147" t="s">
        <v>1607</v>
      </c>
      <c r="C174" s="156" t="s">
        <v>1700</v>
      </c>
      <c r="D174" s="148">
        <v>402</v>
      </c>
      <c r="E174" s="158" t="s">
        <v>1704</v>
      </c>
      <c r="F174" s="148" t="s">
        <v>105</v>
      </c>
      <c r="G174" s="148" t="s">
        <v>1430</v>
      </c>
      <c r="H174" s="148">
        <v>25</v>
      </c>
      <c r="I174" s="150">
        <f t="shared" si="27"/>
        <v>25</v>
      </c>
      <c r="J174" s="148"/>
      <c r="K174" s="329" t="s">
        <v>64</v>
      </c>
      <c r="L174" s="148">
        <v>30</v>
      </c>
      <c r="M174" s="148" t="s">
        <v>9</v>
      </c>
      <c r="N174" s="148">
        <v>30</v>
      </c>
      <c r="O174" s="148" t="s">
        <v>105</v>
      </c>
      <c r="P174" s="148">
        <v>30</v>
      </c>
      <c r="Q174" s="151">
        <f t="shared" si="28"/>
        <v>0.15999999999999992</v>
      </c>
      <c r="R174" s="152" t="s">
        <v>9</v>
      </c>
      <c r="S174" s="153">
        <v>171</v>
      </c>
      <c r="T174" s="159">
        <v>198.35999999999999</v>
      </c>
      <c r="U174" s="161"/>
      <c r="V174" s="161">
        <v>171</v>
      </c>
      <c r="W174" s="161">
        <v>198.35999999999999</v>
      </c>
      <c r="X174" s="156" t="s">
        <v>1702</v>
      </c>
      <c r="Y174" s="156" t="s">
        <v>1646</v>
      </c>
      <c r="Z174" s="156" t="s">
        <v>1444</v>
      </c>
      <c r="AA174" s="271">
        <f t="shared" si="29"/>
        <v>5.7</v>
      </c>
      <c r="AB174" s="271">
        <f t="shared" si="30"/>
        <v>6.6119999999999992</v>
      </c>
      <c r="AC174" s="157">
        <f t="shared" si="31"/>
        <v>30</v>
      </c>
      <c r="AD174" s="272">
        <f t="shared" si="32"/>
        <v>171</v>
      </c>
      <c r="AE174" s="272">
        <f t="shared" si="33"/>
        <v>198.35999999999999</v>
      </c>
      <c r="AF174" s="129"/>
    </row>
    <row r="175" spans="1:32">
      <c r="A175" s="251" t="s">
        <v>1393</v>
      </c>
      <c r="B175" s="147" t="s">
        <v>1607</v>
      </c>
      <c r="C175" s="156" t="s">
        <v>1700</v>
      </c>
      <c r="D175" s="148">
        <v>402</v>
      </c>
      <c r="E175" s="158" t="s">
        <v>1704</v>
      </c>
      <c r="F175" s="148" t="s">
        <v>105</v>
      </c>
      <c r="G175" s="148" t="s">
        <v>1430</v>
      </c>
      <c r="H175" s="148">
        <v>25</v>
      </c>
      <c r="I175" s="150">
        <f t="shared" si="27"/>
        <v>25</v>
      </c>
      <c r="J175" s="148"/>
      <c r="K175" s="329" t="s">
        <v>64</v>
      </c>
      <c r="L175" s="148">
        <v>40</v>
      </c>
      <c r="M175" s="148" t="s">
        <v>9</v>
      </c>
      <c r="N175" s="148">
        <v>40</v>
      </c>
      <c r="O175" s="148" t="s">
        <v>105</v>
      </c>
      <c r="P175" s="148">
        <v>40</v>
      </c>
      <c r="Q175" s="151">
        <f t="shared" si="28"/>
        <v>0.15999999999999984</v>
      </c>
      <c r="R175" s="152" t="s">
        <v>9</v>
      </c>
      <c r="S175" s="153">
        <v>228</v>
      </c>
      <c r="T175" s="159">
        <v>264.47999999999996</v>
      </c>
      <c r="U175" s="161"/>
      <c r="V175" s="161">
        <v>228</v>
      </c>
      <c r="W175" s="161">
        <v>264.47999999999996</v>
      </c>
      <c r="X175" s="156" t="s">
        <v>1702</v>
      </c>
      <c r="Y175" s="156" t="s">
        <v>1646</v>
      </c>
      <c r="Z175" s="156" t="s">
        <v>1444</v>
      </c>
      <c r="AA175" s="271">
        <f t="shared" si="29"/>
        <v>5.7</v>
      </c>
      <c r="AB175" s="271">
        <f t="shared" si="30"/>
        <v>6.6119999999999992</v>
      </c>
      <c r="AC175" s="157">
        <f t="shared" si="31"/>
        <v>40</v>
      </c>
      <c r="AD175" s="272">
        <f t="shared" si="32"/>
        <v>228</v>
      </c>
      <c r="AE175" s="272">
        <f t="shared" si="33"/>
        <v>264.47999999999996</v>
      </c>
      <c r="AF175" s="129"/>
    </row>
    <row r="176" spans="1:32">
      <c r="A176" s="251" t="s">
        <v>1393</v>
      </c>
      <c r="B176" s="147" t="s">
        <v>1607</v>
      </c>
      <c r="C176" s="156" t="s">
        <v>1700</v>
      </c>
      <c r="D176" s="148">
        <v>402</v>
      </c>
      <c r="E176" s="158" t="s">
        <v>1704</v>
      </c>
      <c r="F176" s="148" t="s">
        <v>105</v>
      </c>
      <c r="G176" s="148" t="s">
        <v>1430</v>
      </c>
      <c r="H176" s="148">
        <v>25</v>
      </c>
      <c r="I176" s="150">
        <f t="shared" si="27"/>
        <v>25</v>
      </c>
      <c r="J176" s="148"/>
      <c r="K176" s="329" t="s">
        <v>64</v>
      </c>
      <c r="L176" s="148">
        <v>60</v>
      </c>
      <c r="M176" s="148" t="s">
        <v>9</v>
      </c>
      <c r="N176" s="148">
        <v>60</v>
      </c>
      <c r="O176" s="148" t="s">
        <v>105</v>
      </c>
      <c r="P176" s="148">
        <v>60</v>
      </c>
      <c r="Q176" s="151">
        <f t="shared" si="28"/>
        <v>0.15999999999999992</v>
      </c>
      <c r="R176" s="152" t="s">
        <v>9</v>
      </c>
      <c r="S176" s="153">
        <v>342</v>
      </c>
      <c r="T176" s="159">
        <v>396.71999999999997</v>
      </c>
      <c r="U176" s="161"/>
      <c r="V176" s="161">
        <v>342</v>
      </c>
      <c r="W176" s="161">
        <v>396.71999999999997</v>
      </c>
      <c r="X176" s="156" t="s">
        <v>1702</v>
      </c>
      <c r="Y176" s="156" t="s">
        <v>1646</v>
      </c>
      <c r="Z176" s="156" t="s">
        <v>1444</v>
      </c>
      <c r="AA176" s="271">
        <f t="shared" si="29"/>
        <v>5.7</v>
      </c>
      <c r="AB176" s="271">
        <f t="shared" si="30"/>
        <v>6.6119999999999992</v>
      </c>
      <c r="AC176" s="157">
        <f t="shared" si="31"/>
        <v>60</v>
      </c>
      <c r="AD176" s="272">
        <f t="shared" si="32"/>
        <v>342</v>
      </c>
      <c r="AE176" s="272">
        <f t="shared" si="33"/>
        <v>396.71999999999997</v>
      </c>
      <c r="AF176" s="129"/>
    </row>
    <row r="177" spans="1:32" ht="27">
      <c r="A177" s="251" t="s">
        <v>1393</v>
      </c>
      <c r="B177" s="147" t="s">
        <v>1607</v>
      </c>
      <c r="C177" s="156" t="s">
        <v>1700</v>
      </c>
      <c r="D177" s="148">
        <v>402</v>
      </c>
      <c r="E177" s="158" t="s">
        <v>1704</v>
      </c>
      <c r="F177" s="148" t="s">
        <v>105</v>
      </c>
      <c r="G177" s="148" t="s">
        <v>1430</v>
      </c>
      <c r="H177" s="148">
        <v>28</v>
      </c>
      <c r="I177" s="150">
        <f t="shared" si="27"/>
        <v>28</v>
      </c>
      <c r="J177" s="148"/>
      <c r="K177" s="329" t="s">
        <v>67</v>
      </c>
      <c r="L177" s="148">
        <v>30</v>
      </c>
      <c r="M177" s="148" t="s">
        <v>9</v>
      </c>
      <c r="N177" s="148">
        <v>30</v>
      </c>
      <c r="O177" s="148" t="s">
        <v>105</v>
      </c>
      <c r="P177" s="148">
        <v>30</v>
      </c>
      <c r="Q177" s="151">
        <f t="shared" si="28"/>
        <v>0.15999999999999998</v>
      </c>
      <c r="R177" s="152" t="s">
        <v>9</v>
      </c>
      <c r="S177" s="153">
        <v>201</v>
      </c>
      <c r="T177" s="159">
        <v>233.16</v>
      </c>
      <c r="U177" s="161"/>
      <c r="V177" s="161">
        <v>201</v>
      </c>
      <c r="W177" s="161">
        <v>233.16</v>
      </c>
      <c r="X177" s="156" t="s">
        <v>1702</v>
      </c>
      <c r="Y177" s="156" t="s">
        <v>1646</v>
      </c>
      <c r="Z177" s="156" t="s">
        <v>1444</v>
      </c>
      <c r="AA177" s="271">
        <f t="shared" si="29"/>
        <v>6.7</v>
      </c>
      <c r="AB177" s="271">
        <f t="shared" si="30"/>
        <v>7.7720000000000002</v>
      </c>
      <c r="AC177" s="157">
        <f t="shared" si="31"/>
        <v>30</v>
      </c>
      <c r="AD177" s="272">
        <f t="shared" si="32"/>
        <v>201</v>
      </c>
      <c r="AE177" s="272">
        <f t="shared" si="33"/>
        <v>233.16</v>
      </c>
      <c r="AF177" s="129"/>
    </row>
    <row r="178" spans="1:32" ht="27">
      <c r="A178" s="251" t="s">
        <v>1393</v>
      </c>
      <c r="B178" s="147" t="s">
        <v>1607</v>
      </c>
      <c r="C178" s="156" t="s">
        <v>1700</v>
      </c>
      <c r="D178" s="148">
        <v>402</v>
      </c>
      <c r="E178" s="158" t="s">
        <v>1704</v>
      </c>
      <c r="F178" s="148" t="s">
        <v>105</v>
      </c>
      <c r="G178" s="148" t="s">
        <v>1430</v>
      </c>
      <c r="H178" s="148">
        <v>28</v>
      </c>
      <c r="I178" s="150">
        <f t="shared" si="27"/>
        <v>28</v>
      </c>
      <c r="J178" s="148"/>
      <c r="K178" s="329" t="s">
        <v>67</v>
      </c>
      <c r="L178" s="148">
        <v>40</v>
      </c>
      <c r="M178" s="148" t="s">
        <v>9</v>
      </c>
      <c r="N178" s="148">
        <v>40</v>
      </c>
      <c r="O178" s="148" t="s">
        <v>105</v>
      </c>
      <c r="P178" s="148">
        <v>40</v>
      </c>
      <c r="Q178" s="151">
        <f t="shared" si="28"/>
        <v>0.15999999999999998</v>
      </c>
      <c r="R178" s="152" t="s">
        <v>9</v>
      </c>
      <c r="S178" s="153">
        <v>268</v>
      </c>
      <c r="T178" s="159">
        <v>310.88</v>
      </c>
      <c r="U178" s="161"/>
      <c r="V178" s="161">
        <v>268</v>
      </c>
      <c r="W178" s="161">
        <v>310.88</v>
      </c>
      <c r="X178" s="156" t="s">
        <v>1702</v>
      </c>
      <c r="Y178" s="156" t="s">
        <v>1646</v>
      </c>
      <c r="Z178" s="156" t="s">
        <v>1444</v>
      </c>
      <c r="AA178" s="271">
        <f t="shared" si="29"/>
        <v>6.7</v>
      </c>
      <c r="AB178" s="271">
        <f t="shared" si="30"/>
        <v>7.7720000000000002</v>
      </c>
      <c r="AC178" s="157">
        <f t="shared" si="31"/>
        <v>40</v>
      </c>
      <c r="AD178" s="272">
        <f t="shared" si="32"/>
        <v>268</v>
      </c>
      <c r="AE178" s="272">
        <f t="shared" si="33"/>
        <v>310.88</v>
      </c>
      <c r="AF178" s="129"/>
    </row>
    <row r="179" spans="1:32" ht="27">
      <c r="A179" s="251" t="s">
        <v>1393</v>
      </c>
      <c r="B179" s="147" t="s">
        <v>1607</v>
      </c>
      <c r="C179" s="156" t="s">
        <v>1700</v>
      </c>
      <c r="D179" s="148">
        <v>402</v>
      </c>
      <c r="E179" s="158" t="s">
        <v>1704</v>
      </c>
      <c r="F179" s="148" t="s">
        <v>105</v>
      </c>
      <c r="G179" s="148" t="s">
        <v>1430</v>
      </c>
      <c r="H179" s="148">
        <v>28</v>
      </c>
      <c r="I179" s="150">
        <f t="shared" si="27"/>
        <v>28</v>
      </c>
      <c r="J179" s="148"/>
      <c r="K179" s="329" t="s">
        <v>67</v>
      </c>
      <c r="L179" s="148">
        <v>60</v>
      </c>
      <c r="M179" s="148" t="s">
        <v>9</v>
      </c>
      <c r="N179" s="148"/>
      <c r="O179" s="148" t="s">
        <v>105</v>
      </c>
      <c r="P179" s="148">
        <v>60</v>
      </c>
      <c r="Q179" s="151">
        <f t="shared" si="28"/>
        <v>0.15999999999999998</v>
      </c>
      <c r="R179" s="152" t="s">
        <v>9</v>
      </c>
      <c r="S179" s="153">
        <v>402</v>
      </c>
      <c r="T179" s="159">
        <v>466.32</v>
      </c>
      <c r="U179" s="161"/>
      <c r="V179" s="161">
        <v>402</v>
      </c>
      <c r="W179" s="161">
        <v>466.32</v>
      </c>
      <c r="X179" s="156" t="s">
        <v>1702</v>
      </c>
      <c r="Y179" s="156" t="s">
        <v>1646</v>
      </c>
      <c r="Z179" s="156" t="s">
        <v>1444</v>
      </c>
      <c r="AA179" s="271">
        <f t="shared" si="29"/>
        <v>6.7</v>
      </c>
      <c r="AB179" s="271">
        <f t="shared" si="30"/>
        <v>7.7720000000000002</v>
      </c>
      <c r="AC179" s="157">
        <f t="shared" si="31"/>
        <v>60</v>
      </c>
      <c r="AD179" s="272">
        <f t="shared" si="32"/>
        <v>402</v>
      </c>
      <c r="AE179" s="272">
        <f t="shared" si="33"/>
        <v>466.32</v>
      </c>
      <c r="AF179" s="129"/>
    </row>
    <row r="180" spans="1:32">
      <c r="A180" s="251" t="s">
        <v>1393</v>
      </c>
      <c r="B180" s="147" t="s">
        <v>1607</v>
      </c>
      <c r="C180" s="156" t="s">
        <v>1700</v>
      </c>
      <c r="D180" s="148">
        <v>402</v>
      </c>
      <c r="E180" s="158" t="s">
        <v>1704</v>
      </c>
      <c r="F180" s="148" t="s">
        <v>105</v>
      </c>
      <c r="G180" s="148" t="s">
        <v>1430</v>
      </c>
      <c r="H180" s="148">
        <v>45</v>
      </c>
      <c r="I180" s="150">
        <f t="shared" si="27"/>
        <v>45</v>
      </c>
      <c r="J180" s="148"/>
      <c r="K180" s="329" t="s">
        <v>10</v>
      </c>
      <c r="L180" s="148">
        <v>20</v>
      </c>
      <c r="M180" s="148" t="s">
        <v>9</v>
      </c>
      <c r="N180" s="148">
        <v>20</v>
      </c>
      <c r="O180" s="148" t="s">
        <v>105</v>
      </c>
      <c r="P180" s="148">
        <v>20</v>
      </c>
      <c r="Q180" s="151">
        <f t="shared" si="28"/>
        <v>0.15999999999999984</v>
      </c>
      <c r="R180" s="152" t="s">
        <v>9</v>
      </c>
      <c r="S180" s="153">
        <v>140</v>
      </c>
      <c r="T180" s="159">
        <v>162.39999999999998</v>
      </c>
      <c r="U180" s="161"/>
      <c r="V180" s="161">
        <v>140</v>
      </c>
      <c r="W180" s="161">
        <v>162.39999999999998</v>
      </c>
      <c r="X180" s="156" t="s">
        <v>1702</v>
      </c>
      <c r="Y180" s="156" t="s">
        <v>1646</v>
      </c>
      <c r="Z180" s="156" t="s">
        <v>1444</v>
      </c>
      <c r="AA180" s="271">
        <f t="shared" si="29"/>
        <v>7</v>
      </c>
      <c r="AB180" s="271">
        <f t="shared" si="30"/>
        <v>8.1199999999999992</v>
      </c>
      <c r="AC180" s="157">
        <f t="shared" si="31"/>
        <v>20</v>
      </c>
      <c r="AD180" s="272">
        <f t="shared" si="32"/>
        <v>140</v>
      </c>
      <c r="AE180" s="272">
        <f t="shared" si="33"/>
        <v>162.39999999999998</v>
      </c>
      <c r="AF180" s="129"/>
    </row>
    <row r="181" spans="1:32">
      <c r="A181" s="251" t="s">
        <v>1393</v>
      </c>
      <c r="B181" s="147" t="s">
        <v>1607</v>
      </c>
      <c r="C181" s="156" t="s">
        <v>1700</v>
      </c>
      <c r="D181" s="148">
        <v>402</v>
      </c>
      <c r="E181" s="158" t="s">
        <v>1704</v>
      </c>
      <c r="F181" s="148" t="s">
        <v>105</v>
      </c>
      <c r="G181" s="148" t="s">
        <v>1430</v>
      </c>
      <c r="H181" s="148">
        <v>45</v>
      </c>
      <c r="I181" s="150">
        <f t="shared" si="27"/>
        <v>45</v>
      </c>
      <c r="J181" s="148"/>
      <c r="K181" s="329" t="s">
        <v>10</v>
      </c>
      <c r="L181" s="148">
        <v>30</v>
      </c>
      <c r="M181" s="148" t="s">
        <v>9</v>
      </c>
      <c r="N181" s="148">
        <v>30</v>
      </c>
      <c r="O181" s="148" t="s">
        <v>105</v>
      </c>
      <c r="P181" s="148">
        <v>30</v>
      </c>
      <c r="Q181" s="151">
        <f t="shared" si="28"/>
        <v>0.15999999999999998</v>
      </c>
      <c r="R181" s="152" t="s">
        <v>9</v>
      </c>
      <c r="S181" s="153">
        <v>210</v>
      </c>
      <c r="T181" s="159">
        <v>243.6</v>
      </c>
      <c r="U181" s="161"/>
      <c r="V181" s="161">
        <v>210</v>
      </c>
      <c r="W181" s="161">
        <v>243.6</v>
      </c>
      <c r="X181" s="156" t="s">
        <v>1702</v>
      </c>
      <c r="Y181" s="156" t="s">
        <v>1646</v>
      </c>
      <c r="Z181" s="156" t="s">
        <v>1444</v>
      </c>
      <c r="AA181" s="271">
        <f t="shared" si="29"/>
        <v>7</v>
      </c>
      <c r="AB181" s="271">
        <f t="shared" si="30"/>
        <v>8.1199999999999992</v>
      </c>
      <c r="AC181" s="157">
        <f t="shared" si="31"/>
        <v>30</v>
      </c>
      <c r="AD181" s="272">
        <f t="shared" si="32"/>
        <v>210</v>
      </c>
      <c r="AE181" s="272">
        <f t="shared" si="33"/>
        <v>243.59999999999997</v>
      </c>
      <c r="AF181" s="129"/>
    </row>
    <row r="182" spans="1:32">
      <c r="A182" s="251" t="s">
        <v>1393</v>
      </c>
      <c r="B182" s="147" t="s">
        <v>1607</v>
      </c>
      <c r="C182" s="156" t="s">
        <v>1700</v>
      </c>
      <c r="D182" s="148">
        <v>402</v>
      </c>
      <c r="E182" s="158" t="s">
        <v>1704</v>
      </c>
      <c r="F182" s="148" t="s">
        <v>105</v>
      </c>
      <c r="G182" s="148" t="s">
        <v>1430</v>
      </c>
      <c r="H182" s="148">
        <v>45</v>
      </c>
      <c r="I182" s="150">
        <f t="shared" si="27"/>
        <v>45</v>
      </c>
      <c r="J182" s="148"/>
      <c r="K182" s="329" t="s">
        <v>10</v>
      </c>
      <c r="L182" s="148">
        <v>50</v>
      </c>
      <c r="M182" s="148" t="s">
        <v>9</v>
      </c>
      <c r="N182" s="148">
        <v>50</v>
      </c>
      <c r="O182" s="148" t="s">
        <v>105</v>
      </c>
      <c r="P182" s="148">
        <v>50</v>
      </c>
      <c r="Q182" s="151">
        <f t="shared" si="28"/>
        <v>0.16</v>
      </c>
      <c r="R182" s="152" t="s">
        <v>9</v>
      </c>
      <c r="S182" s="153">
        <v>350</v>
      </c>
      <c r="T182" s="159">
        <v>406</v>
      </c>
      <c r="U182" s="161"/>
      <c r="V182" s="161">
        <v>350</v>
      </c>
      <c r="W182" s="161">
        <v>406</v>
      </c>
      <c r="X182" s="156" t="s">
        <v>1702</v>
      </c>
      <c r="Y182" s="156" t="s">
        <v>1646</v>
      </c>
      <c r="Z182" s="156" t="s">
        <v>1444</v>
      </c>
      <c r="AA182" s="271">
        <f t="shared" si="29"/>
        <v>7</v>
      </c>
      <c r="AB182" s="271">
        <f t="shared" si="30"/>
        <v>8.1199999999999992</v>
      </c>
      <c r="AC182" s="157">
        <f t="shared" si="31"/>
        <v>50</v>
      </c>
      <c r="AD182" s="272">
        <f t="shared" si="32"/>
        <v>350</v>
      </c>
      <c r="AE182" s="272">
        <f t="shared" si="33"/>
        <v>405.99999999999994</v>
      </c>
      <c r="AF182" s="129"/>
    </row>
    <row r="183" spans="1:32">
      <c r="A183" s="251" t="s">
        <v>1393</v>
      </c>
      <c r="B183" s="147" t="s">
        <v>1607</v>
      </c>
      <c r="C183" s="156" t="s">
        <v>1700</v>
      </c>
      <c r="D183" s="148">
        <v>402</v>
      </c>
      <c r="E183" s="158" t="s">
        <v>1704</v>
      </c>
      <c r="F183" s="148" t="s">
        <v>105</v>
      </c>
      <c r="G183" s="148" t="s">
        <v>1430</v>
      </c>
      <c r="H183" s="148">
        <v>50</v>
      </c>
      <c r="I183" s="150">
        <f t="shared" si="27"/>
        <v>50</v>
      </c>
      <c r="J183" s="148"/>
      <c r="K183" s="329" t="s">
        <v>65</v>
      </c>
      <c r="L183" s="148">
        <v>30</v>
      </c>
      <c r="M183" s="148" t="s">
        <v>9</v>
      </c>
      <c r="N183" s="148">
        <v>30</v>
      </c>
      <c r="O183" s="148" t="s">
        <v>105</v>
      </c>
      <c r="P183" s="148">
        <v>30</v>
      </c>
      <c r="Q183" s="151">
        <f t="shared" si="28"/>
        <v>0.15999999999999989</v>
      </c>
      <c r="R183" s="152" t="s">
        <v>9</v>
      </c>
      <c r="S183" s="153">
        <v>240</v>
      </c>
      <c r="T183" s="159">
        <v>278.39999999999998</v>
      </c>
      <c r="U183" s="161"/>
      <c r="V183" s="161">
        <v>240</v>
      </c>
      <c r="W183" s="161">
        <v>278.39999999999998</v>
      </c>
      <c r="X183" s="156" t="s">
        <v>1702</v>
      </c>
      <c r="Y183" s="156" t="s">
        <v>1646</v>
      </c>
      <c r="Z183" s="156" t="s">
        <v>1444</v>
      </c>
      <c r="AA183" s="271">
        <f t="shared" si="29"/>
        <v>8</v>
      </c>
      <c r="AB183" s="271">
        <f t="shared" si="30"/>
        <v>9.2799999999999994</v>
      </c>
      <c r="AC183" s="157">
        <f t="shared" si="31"/>
        <v>30</v>
      </c>
      <c r="AD183" s="272">
        <f t="shared" si="32"/>
        <v>240</v>
      </c>
      <c r="AE183" s="272">
        <f t="shared" si="33"/>
        <v>278.39999999999998</v>
      </c>
      <c r="AF183" s="129"/>
    </row>
    <row r="184" spans="1:32">
      <c r="A184" s="251" t="s">
        <v>1393</v>
      </c>
      <c r="B184" s="147" t="s">
        <v>1607</v>
      </c>
      <c r="C184" s="156" t="s">
        <v>1700</v>
      </c>
      <c r="D184" s="148">
        <v>402</v>
      </c>
      <c r="E184" s="158" t="s">
        <v>1704</v>
      </c>
      <c r="F184" s="148" t="s">
        <v>105</v>
      </c>
      <c r="G184" s="148" t="s">
        <v>1430</v>
      </c>
      <c r="H184" s="148">
        <v>50</v>
      </c>
      <c r="I184" s="150">
        <f t="shared" si="27"/>
        <v>50</v>
      </c>
      <c r="J184" s="148"/>
      <c r="K184" s="329" t="s">
        <v>65</v>
      </c>
      <c r="L184" s="148">
        <v>40</v>
      </c>
      <c r="M184" s="148" t="s">
        <v>9</v>
      </c>
      <c r="N184" s="148">
        <v>40</v>
      </c>
      <c r="O184" s="148" t="s">
        <v>105</v>
      </c>
      <c r="P184" s="148">
        <v>40</v>
      </c>
      <c r="Q184" s="151">
        <f t="shared" si="28"/>
        <v>0.15999999999999998</v>
      </c>
      <c r="R184" s="152" t="s">
        <v>9</v>
      </c>
      <c r="S184" s="153">
        <v>320</v>
      </c>
      <c r="T184" s="159">
        <v>371.2</v>
      </c>
      <c r="U184" s="161"/>
      <c r="V184" s="161">
        <v>320</v>
      </c>
      <c r="W184" s="161">
        <v>371.2</v>
      </c>
      <c r="X184" s="156" t="s">
        <v>1702</v>
      </c>
      <c r="Y184" s="156" t="s">
        <v>1646</v>
      </c>
      <c r="Z184" s="156" t="s">
        <v>1444</v>
      </c>
      <c r="AA184" s="271">
        <f t="shared" si="29"/>
        <v>8</v>
      </c>
      <c r="AB184" s="271">
        <f t="shared" si="30"/>
        <v>9.2799999999999994</v>
      </c>
      <c r="AC184" s="157">
        <f t="shared" si="31"/>
        <v>40</v>
      </c>
      <c r="AD184" s="272">
        <f t="shared" si="32"/>
        <v>320</v>
      </c>
      <c r="AE184" s="272">
        <f t="shared" si="33"/>
        <v>371.2</v>
      </c>
      <c r="AF184" s="129"/>
    </row>
    <row r="185" spans="1:32">
      <c r="A185" s="251" t="s">
        <v>1393</v>
      </c>
      <c r="B185" s="147" t="s">
        <v>1607</v>
      </c>
      <c r="C185" s="156" t="s">
        <v>1700</v>
      </c>
      <c r="D185" s="148">
        <v>402</v>
      </c>
      <c r="E185" s="158" t="s">
        <v>1704</v>
      </c>
      <c r="F185" s="148" t="s">
        <v>105</v>
      </c>
      <c r="G185" s="148" t="s">
        <v>1430</v>
      </c>
      <c r="H185" s="148">
        <v>50</v>
      </c>
      <c r="I185" s="150">
        <f t="shared" si="27"/>
        <v>50</v>
      </c>
      <c r="J185" s="148"/>
      <c r="K185" s="329" t="s">
        <v>65</v>
      </c>
      <c r="L185" s="148">
        <v>80</v>
      </c>
      <c r="M185" s="148" t="s">
        <v>9</v>
      </c>
      <c r="N185" s="148">
        <v>80</v>
      </c>
      <c r="O185" s="148" t="s">
        <v>105</v>
      </c>
      <c r="P185" s="148">
        <v>80</v>
      </c>
      <c r="Q185" s="151">
        <f t="shared" si="28"/>
        <v>0.15999999999999998</v>
      </c>
      <c r="R185" s="152" t="s">
        <v>9</v>
      </c>
      <c r="S185" s="153">
        <v>640</v>
      </c>
      <c r="T185" s="159">
        <v>742.4</v>
      </c>
      <c r="U185" s="161"/>
      <c r="V185" s="161">
        <v>640</v>
      </c>
      <c r="W185" s="161">
        <v>742.4</v>
      </c>
      <c r="X185" s="156" t="s">
        <v>1702</v>
      </c>
      <c r="Y185" s="156" t="s">
        <v>1646</v>
      </c>
      <c r="Z185" s="156" t="s">
        <v>1444</v>
      </c>
      <c r="AA185" s="271">
        <f t="shared" si="29"/>
        <v>8</v>
      </c>
      <c r="AB185" s="271">
        <f t="shared" si="30"/>
        <v>9.2799999999999994</v>
      </c>
      <c r="AC185" s="157">
        <f t="shared" si="31"/>
        <v>80</v>
      </c>
      <c r="AD185" s="272">
        <f t="shared" si="32"/>
        <v>640</v>
      </c>
      <c r="AE185" s="272">
        <f t="shared" si="33"/>
        <v>742.4</v>
      </c>
      <c r="AF185" s="129"/>
    </row>
    <row r="186" spans="1:32">
      <c r="A186" s="251" t="s">
        <v>1393</v>
      </c>
      <c r="B186" s="147" t="s">
        <v>1607</v>
      </c>
      <c r="C186" s="156" t="s">
        <v>1700</v>
      </c>
      <c r="D186" s="148">
        <v>402</v>
      </c>
      <c r="E186" s="158" t="s">
        <v>1704</v>
      </c>
      <c r="F186" s="148" t="s">
        <v>105</v>
      </c>
      <c r="G186" s="148" t="s">
        <v>1430</v>
      </c>
      <c r="H186" s="148">
        <v>61</v>
      </c>
      <c r="I186" s="150">
        <f t="shared" si="27"/>
        <v>61</v>
      </c>
      <c r="J186" s="148"/>
      <c r="K186" s="329" t="s">
        <v>13</v>
      </c>
      <c r="L186" s="148">
        <v>20</v>
      </c>
      <c r="M186" s="148" t="s">
        <v>9</v>
      </c>
      <c r="N186" s="148">
        <v>20</v>
      </c>
      <c r="O186" s="148" t="s">
        <v>105</v>
      </c>
      <c r="P186" s="148">
        <v>20</v>
      </c>
      <c r="Q186" s="151">
        <f t="shared" si="28"/>
        <v>0.15999999999999986</v>
      </c>
      <c r="R186" s="152" t="s">
        <v>9</v>
      </c>
      <c r="S186" s="153">
        <v>208</v>
      </c>
      <c r="T186" s="159">
        <v>241.27999999999997</v>
      </c>
      <c r="U186" s="161"/>
      <c r="V186" s="161">
        <v>208</v>
      </c>
      <c r="W186" s="161">
        <v>241.27999999999997</v>
      </c>
      <c r="X186" s="156" t="s">
        <v>1702</v>
      </c>
      <c r="Y186" s="156" t="s">
        <v>1646</v>
      </c>
      <c r="Z186" s="156" t="s">
        <v>1444</v>
      </c>
      <c r="AA186" s="271">
        <f t="shared" si="29"/>
        <v>10.4</v>
      </c>
      <c r="AB186" s="271">
        <f t="shared" si="30"/>
        <v>12.063999999999998</v>
      </c>
      <c r="AC186" s="157">
        <f t="shared" si="31"/>
        <v>20</v>
      </c>
      <c r="AD186" s="272">
        <f t="shared" si="32"/>
        <v>208</v>
      </c>
      <c r="AE186" s="272">
        <f t="shared" si="33"/>
        <v>241.27999999999997</v>
      </c>
      <c r="AF186" s="129"/>
    </row>
    <row r="187" spans="1:32">
      <c r="A187" s="251" t="s">
        <v>1393</v>
      </c>
      <c r="B187" s="147" t="s">
        <v>1607</v>
      </c>
      <c r="C187" s="156" t="s">
        <v>1700</v>
      </c>
      <c r="D187" s="148">
        <v>402</v>
      </c>
      <c r="E187" s="158" t="s">
        <v>1704</v>
      </c>
      <c r="F187" s="148" t="s">
        <v>105</v>
      </c>
      <c r="G187" s="148" t="s">
        <v>1430</v>
      </c>
      <c r="H187" s="148">
        <v>61</v>
      </c>
      <c r="I187" s="150">
        <f t="shared" si="27"/>
        <v>61</v>
      </c>
      <c r="J187" s="148"/>
      <c r="K187" s="329" t="s">
        <v>13</v>
      </c>
      <c r="L187" s="148">
        <v>30</v>
      </c>
      <c r="M187" s="148" t="s">
        <v>9</v>
      </c>
      <c r="N187" s="148">
        <v>30</v>
      </c>
      <c r="O187" s="148" t="s">
        <v>105</v>
      </c>
      <c r="P187" s="148">
        <v>30</v>
      </c>
      <c r="Q187" s="151">
        <f t="shared" si="28"/>
        <v>0.15999999999999986</v>
      </c>
      <c r="R187" s="152" t="s">
        <v>9</v>
      </c>
      <c r="S187" s="153">
        <v>312</v>
      </c>
      <c r="T187" s="159">
        <v>361.91999999999996</v>
      </c>
      <c r="U187" s="161"/>
      <c r="V187" s="161">
        <v>312</v>
      </c>
      <c r="W187" s="161">
        <v>361.91999999999996</v>
      </c>
      <c r="X187" s="156" t="s">
        <v>1702</v>
      </c>
      <c r="Y187" s="156" t="s">
        <v>1646</v>
      </c>
      <c r="Z187" s="156" t="s">
        <v>1444</v>
      </c>
      <c r="AA187" s="271">
        <f t="shared" si="29"/>
        <v>10.4</v>
      </c>
      <c r="AB187" s="271">
        <f t="shared" si="30"/>
        <v>12.063999999999998</v>
      </c>
      <c r="AC187" s="157">
        <f t="shared" si="31"/>
        <v>30</v>
      </c>
      <c r="AD187" s="272">
        <f t="shared" si="32"/>
        <v>312</v>
      </c>
      <c r="AE187" s="272">
        <f t="shared" si="33"/>
        <v>361.91999999999996</v>
      </c>
      <c r="AF187" s="129"/>
    </row>
    <row r="188" spans="1:32">
      <c r="A188" s="251" t="s">
        <v>1393</v>
      </c>
      <c r="B188" s="147" t="s">
        <v>1607</v>
      </c>
      <c r="C188" s="156" t="s">
        <v>1700</v>
      </c>
      <c r="D188" s="148">
        <v>402</v>
      </c>
      <c r="E188" s="158" t="s">
        <v>1704</v>
      </c>
      <c r="F188" s="148" t="s">
        <v>105</v>
      </c>
      <c r="G188" s="148" t="s">
        <v>1430</v>
      </c>
      <c r="H188" s="148">
        <v>61</v>
      </c>
      <c r="I188" s="150">
        <f t="shared" si="27"/>
        <v>61</v>
      </c>
      <c r="J188" s="148"/>
      <c r="K188" s="329" t="s">
        <v>13</v>
      </c>
      <c r="L188" s="148">
        <v>70</v>
      </c>
      <c r="M188" s="148" t="s">
        <v>9</v>
      </c>
      <c r="N188" s="148">
        <v>70</v>
      </c>
      <c r="O188" s="148" t="s">
        <v>105</v>
      </c>
      <c r="P188" s="148">
        <v>70</v>
      </c>
      <c r="Q188" s="151">
        <f t="shared" si="28"/>
        <v>0.15999999999999986</v>
      </c>
      <c r="R188" s="152" t="s">
        <v>9</v>
      </c>
      <c r="S188" s="153">
        <v>728</v>
      </c>
      <c r="T188" s="159">
        <v>844.4799999999999</v>
      </c>
      <c r="U188" s="161"/>
      <c r="V188" s="161">
        <v>728</v>
      </c>
      <c r="W188" s="161">
        <v>844.4799999999999</v>
      </c>
      <c r="X188" s="156" t="s">
        <v>1702</v>
      </c>
      <c r="Y188" s="156" t="s">
        <v>1646</v>
      </c>
      <c r="Z188" s="156" t="s">
        <v>1444</v>
      </c>
      <c r="AA188" s="271">
        <f t="shared" si="29"/>
        <v>10.4</v>
      </c>
      <c r="AB188" s="271">
        <f t="shared" si="30"/>
        <v>12.063999999999998</v>
      </c>
      <c r="AC188" s="157">
        <f t="shared" si="31"/>
        <v>70</v>
      </c>
      <c r="AD188" s="272">
        <f t="shared" si="32"/>
        <v>728</v>
      </c>
      <c r="AE188" s="272">
        <f t="shared" si="33"/>
        <v>844.4799999999999</v>
      </c>
      <c r="AF188" s="129"/>
    </row>
    <row r="189" spans="1:32">
      <c r="A189" s="251" t="s">
        <v>1393</v>
      </c>
      <c r="B189" s="147" t="s">
        <v>1607</v>
      </c>
      <c r="C189" s="156" t="s">
        <v>1700</v>
      </c>
      <c r="D189" s="148">
        <v>402</v>
      </c>
      <c r="E189" s="158" t="s">
        <v>1704</v>
      </c>
      <c r="F189" s="148" t="s">
        <v>105</v>
      </c>
      <c r="G189" s="148" t="s">
        <v>1430</v>
      </c>
      <c r="H189" s="148">
        <v>62</v>
      </c>
      <c r="I189" s="150">
        <f t="shared" si="27"/>
        <v>62</v>
      </c>
      <c r="J189" s="148"/>
      <c r="K189" s="329" t="s">
        <v>68</v>
      </c>
      <c r="L189" s="148">
        <v>40</v>
      </c>
      <c r="M189" s="148" t="s">
        <v>9</v>
      </c>
      <c r="N189" s="148">
        <v>40</v>
      </c>
      <c r="O189" s="148" t="s">
        <v>105</v>
      </c>
      <c r="P189" s="148">
        <v>40</v>
      </c>
      <c r="Q189" s="151">
        <f t="shared" si="28"/>
        <v>0.15999999999999984</v>
      </c>
      <c r="R189" s="152" t="s">
        <v>9</v>
      </c>
      <c r="S189" s="153">
        <v>560</v>
      </c>
      <c r="T189" s="159">
        <v>649.59999999999991</v>
      </c>
      <c r="U189" s="161"/>
      <c r="V189" s="161">
        <v>560</v>
      </c>
      <c r="W189" s="161">
        <v>649.59999999999991</v>
      </c>
      <c r="X189" s="156" t="s">
        <v>1702</v>
      </c>
      <c r="Y189" s="156" t="s">
        <v>1646</v>
      </c>
      <c r="Z189" s="156" t="s">
        <v>1444</v>
      </c>
      <c r="AA189" s="271">
        <f t="shared" si="29"/>
        <v>14</v>
      </c>
      <c r="AB189" s="271">
        <f t="shared" si="30"/>
        <v>16.239999999999998</v>
      </c>
      <c r="AC189" s="157">
        <f t="shared" si="31"/>
        <v>40</v>
      </c>
      <c r="AD189" s="272">
        <f t="shared" si="32"/>
        <v>560</v>
      </c>
      <c r="AE189" s="272">
        <f t="shared" si="33"/>
        <v>649.59999999999991</v>
      </c>
      <c r="AF189" s="129"/>
    </row>
    <row r="190" spans="1:32">
      <c r="A190" s="251" t="s">
        <v>1393</v>
      </c>
      <c r="B190" s="147" t="s">
        <v>1607</v>
      </c>
      <c r="C190" s="156" t="s">
        <v>1700</v>
      </c>
      <c r="D190" s="148">
        <v>425</v>
      </c>
      <c r="E190" s="158" t="s">
        <v>1448</v>
      </c>
      <c r="F190" s="148" t="s">
        <v>105</v>
      </c>
      <c r="G190" s="148" t="s">
        <v>1430</v>
      </c>
      <c r="H190" s="148">
        <v>1</v>
      </c>
      <c r="I190" s="150">
        <f t="shared" si="27"/>
        <v>1</v>
      </c>
      <c r="J190" s="148"/>
      <c r="K190" s="329" t="s">
        <v>16</v>
      </c>
      <c r="L190" s="148">
        <v>30</v>
      </c>
      <c r="M190" s="148" t="s">
        <v>9</v>
      </c>
      <c r="N190" s="148" t="s">
        <v>1412</v>
      </c>
      <c r="O190" s="148" t="s">
        <v>105</v>
      </c>
      <c r="P190" s="148">
        <v>30</v>
      </c>
      <c r="Q190" s="151">
        <f t="shared" si="28"/>
        <v>5.0000000000000086E-2</v>
      </c>
      <c r="R190" s="152"/>
      <c r="S190" s="159">
        <v>1048</v>
      </c>
      <c r="T190" s="159">
        <v>1100.4000000000001</v>
      </c>
      <c r="U190" s="161"/>
      <c r="V190" s="161"/>
      <c r="W190" s="161"/>
      <c r="X190" s="156" t="s">
        <v>1712</v>
      </c>
      <c r="Y190" s="156" t="s">
        <v>1646</v>
      </c>
      <c r="Z190" s="156" t="s">
        <v>1444</v>
      </c>
      <c r="AA190" s="271">
        <f t="shared" si="29"/>
        <v>34.93333333333333</v>
      </c>
      <c r="AB190" s="271">
        <f t="shared" si="30"/>
        <v>36.68</v>
      </c>
      <c r="AC190" s="157">
        <f t="shared" si="31"/>
        <v>30</v>
      </c>
      <c r="AD190" s="272">
        <f t="shared" si="32"/>
        <v>1048</v>
      </c>
      <c r="AE190" s="272">
        <f t="shared" ref="AE190:AE199" si="34">AB190*AC190</f>
        <v>1100.4000000000001</v>
      </c>
      <c r="AF190" s="129"/>
    </row>
    <row r="191" spans="1:32">
      <c r="A191" s="251" t="s">
        <v>1393</v>
      </c>
      <c r="B191" s="147" t="s">
        <v>1607</v>
      </c>
      <c r="C191" s="156" t="s">
        <v>1700</v>
      </c>
      <c r="D191" s="148">
        <v>425</v>
      </c>
      <c r="E191" s="158" t="s">
        <v>1448</v>
      </c>
      <c r="F191" s="148" t="s">
        <v>105</v>
      </c>
      <c r="G191" s="148" t="s">
        <v>1430</v>
      </c>
      <c r="H191" s="148">
        <v>1</v>
      </c>
      <c r="I191" s="150">
        <f t="shared" si="27"/>
        <v>1</v>
      </c>
      <c r="J191" s="148"/>
      <c r="K191" s="329" t="s">
        <v>16</v>
      </c>
      <c r="L191" s="148">
        <v>60</v>
      </c>
      <c r="M191" s="148" t="s">
        <v>9</v>
      </c>
      <c r="N191" s="148" t="s">
        <v>1420</v>
      </c>
      <c r="O191" s="148" t="s">
        <v>84</v>
      </c>
      <c r="P191" s="148">
        <v>100</v>
      </c>
      <c r="Q191" s="151">
        <f t="shared" si="28"/>
        <v>4.9999999999999954E-2</v>
      </c>
      <c r="R191" s="152"/>
      <c r="S191" s="159">
        <v>3714</v>
      </c>
      <c r="T191" s="159">
        <v>3899.7</v>
      </c>
      <c r="U191" s="161"/>
      <c r="V191" s="161"/>
      <c r="W191" s="161"/>
      <c r="X191" s="156" t="s">
        <v>1713</v>
      </c>
      <c r="Y191" s="156" t="s">
        <v>1646</v>
      </c>
      <c r="Z191" s="156" t="s">
        <v>1444</v>
      </c>
      <c r="AA191" s="271">
        <f t="shared" si="29"/>
        <v>37.14</v>
      </c>
      <c r="AB191" s="271">
        <f t="shared" si="30"/>
        <v>38.997</v>
      </c>
      <c r="AC191" s="157">
        <f t="shared" si="31"/>
        <v>100</v>
      </c>
      <c r="AD191" s="272">
        <f t="shared" si="32"/>
        <v>3714</v>
      </c>
      <c r="AE191" s="272">
        <f t="shared" si="34"/>
        <v>3899.7</v>
      </c>
      <c r="AF191" s="129"/>
    </row>
    <row r="192" spans="1:32">
      <c r="A192" s="251" t="s">
        <v>1393</v>
      </c>
      <c r="B192" s="147" t="s">
        <v>1607</v>
      </c>
      <c r="C192" s="156" t="s">
        <v>1700</v>
      </c>
      <c r="D192" s="148">
        <v>425</v>
      </c>
      <c r="E192" s="158" t="s">
        <v>1448</v>
      </c>
      <c r="F192" s="148" t="s">
        <v>105</v>
      </c>
      <c r="G192" s="148" t="s">
        <v>1430</v>
      </c>
      <c r="H192" s="148">
        <v>15</v>
      </c>
      <c r="I192" s="150">
        <f t="shared" si="27"/>
        <v>15</v>
      </c>
      <c r="J192" s="148"/>
      <c r="K192" s="329" t="s">
        <v>66</v>
      </c>
      <c r="L192" s="148">
        <v>40</v>
      </c>
      <c r="M192" s="148" t="s">
        <v>9</v>
      </c>
      <c r="N192" s="148" t="s">
        <v>1563</v>
      </c>
      <c r="O192" s="148" t="s">
        <v>84</v>
      </c>
      <c r="P192" s="148">
        <v>65</v>
      </c>
      <c r="Q192" s="151">
        <f t="shared" si="28"/>
        <v>0.16</v>
      </c>
      <c r="R192" s="152"/>
      <c r="S192" s="159">
        <v>1164</v>
      </c>
      <c r="T192" s="159">
        <v>1350.24</v>
      </c>
      <c r="U192" s="161"/>
      <c r="V192" s="161"/>
      <c r="W192" s="161"/>
      <c r="X192" s="156" t="s">
        <v>1714</v>
      </c>
      <c r="Y192" s="156" t="s">
        <v>1646</v>
      </c>
      <c r="Z192" s="156" t="s">
        <v>1444</v>
      </c>
      <c r="AA192" s="271">
        <f t="shared" si="29"/>
        <v>17.907692307692308</v>
      </c>
      <c r="AB192" s="271">
        <f t="shared" si="30"/>
        <v>20.772923076923078</v>
      </c>
      <c r="AC192" s="157">
        <f t="shared" si="31"/>
        <v>65</v>
      </c>
      <c r="AD192" s="272">
        <f t="shared" si="32"/>
        <v>1164</v>
      </c>
      <c r="AE192" s="272">
        <f t="shared" si="34"/>
        <v>1350.24</v>
      </c>
      <c r="AF192" s="129"/>
    </row>
    <row r="193" spans="1:32">
      <c r="A193" s="251" t="s">
        <v>1393</v>
      </c>
      <c r="B193" s="147" t="s">
        <v>1607</v>
      </c>
      <c r="C193" s="156" t="s">
        <v>1700</v>
      </c>
      <c r="D193" s="148">
        <v>425</v>
      </c>
      <c r="E193" s="158" t="s">
        <v>1448</v>
      </c>
      <c r="F193" s="148" t="s">
        <v>105</v>
      </c>
      <c r="G193" s="148" t="s">
        <v>1430</v>
      </c>
      <c r="H193" s="148">
        <v>21</v>
      </c>
      <c r="I193" s="150">
        <f t="shared" si="27"/>
        <v>21</v>
      </c>
      <c r="J193" s="148"/>
      <c r="K193" s="329" t="s">
        <v>70</v>
      </c>
      <c r="L193" s="148">
        <v>50</v>
      </c>
      <c r="M193" s="148" t="s">
        <v>9</v>
      </c>
      <c r="N193" s="148" t="s">
        <v>1613</v>
      </c>
      <c r="O193" s="148" t="s">
        <v>105</v>
      </c>
      <c r="P193" s="148">
        <v>54</v>
      </c>
      <c r="Q193" s="151">
        <f t="shared" si="28"/>
        <v>0.16</v>
      </c>
      <c r="R193" s="152"/>
      <c r="S193" s="159">
        <v>1664</v>
      </c>
      <c r="T193" s="159">
        <v>1930.24</v>
      </c>
      <c r="U193" s="161"/>
      <c r="V193" s="161"/>
      <c r="W193" s="161"/>
      <c r="X193" s="156" t="s">
        <v>1714</v>
      </c>
      <c r="Y193" s="156" t="s">
        <v>1646</v>
      </c>
      <c r="Z193" s="156" t="s">
        <v>1444</v>
      </c>
      <c r="AA193" s="271">
        <f t="shared" si="29"/>
        <v>30.814814814814813</v>
      </c>
      <c r="AB193" s="271">
        <f t="shared" si="30"/>
        <v>35.745185185185186</v>
      </c>
      <c r="AC193" s="157">
        <f t="shared" si="31"/>
        <v>54</v>
      </c>
      <c r="AD193" s="272">
        <f t="shared" si="32"/>
        <v>1664</v>
      </c>
      <c r="AE193" s="272">
        <f t="shared" si="34"/>
        <v>1930.24</v>
      </c>
      <c r="AF193" s="129"/>
    </row>
    <row r="194" spans="1:32">
      <c r="A194" s="251" t="s">
        <v>1393</v>
      </c>
      <c r="B194" s="147" t="s">
        <v>1607</v>
      </c>
      <c r="C194" s="156" t="s">
        <v>1700</v>
      </c>
      <c r="D194" s="148">
        <v>425</v>
      </c>
      <c r="E194" s="158" t="s">
        <v>1448</v>
      </c>
      <c r="F194" s="148" t="s">
        <v>105</v>
      </c>
      <c r="G194" s="148" t="s">
        <v>1433</v>
      </c>
      <c r="H194" s="148">
        <v>24</v>
      </c>
      <c r="I194" s="150" t="str">
        <f t="shared" si="27"/>
        <v>24_A</v>
      </c>
      <c r="J194" s="148" t="s">
        <v>1427</v>
      </c>
      <c r="K194" s="329" t="s">
        <v>61</v>
      </c>
      <c r="L194" s="148">
        <v>20</v>
      </c>
      <c r="M194" s="148" t="s">
        <v>9</v>
      </c>
      <c r="N194" s="148" t="s">
        <v>1708</v>
      </c>
      <c r="O194" s="148" t="s">
        <v>84</v>
      </c>
      <c r="P194" s="148">
        <v>22</v>
      </c>
      <c r="Q194" s="151">
        <f t="shared" si="28"/>
        <v>0.16000000000000009</v>
      </c>
      <c r="R194" s="152"/>
      <c r="S194" s="159">
        <v>114</v>
      </c>
      <c r="T194" s="159">
        <v>132.24</v>
      </c>
      <c r="U194" s="161"/>
      <c r="V194" s="161"/>
      <c r="W194" s="161"/>
      <c r="X194" s="156" t="s">
        <v>1715</v>
      </c>
      <c r="Y194" s="156" t="s">
        <v>1646</v>
      </c>
      <c r="Z194" s="156" t="s">
        <v>1444</v>
      </c>
      <c r="AA194" s="271">
        <f t="shared" si="29"/>
        <v>5.1818181818181817</v>
      </c>
      <c r="AB194" s="271">
        <f t="shared" si="30"/>
        <v>6.0109090909090916</v>
      </c>
      <c r="AC194" s="157">
        <f t="shared" si="31"/>
        <v>22</v>
      </c>
      <c r="AD194" s="272">
        <f t="shared" si="32"/>
        <v>114</v>
      </c>
      <c r="AE194" s="272">
        <f t="shared" si="34"/>
        <v>132.24</v>
      </c>
      <c r="AF194" s="129"/>
    </row>
    <row r="195" spans="1:32">
      <c r="A195" s="251" t="s">
        <v>1393</v>
      </c>
      <c r="B195" s="147" t="s">
        <v>1607</v>
      </c>
      <c r="C195" s="156" t="s">
        <v>1700</v>
      </c>
      <c r="D195" s="148">
        <v>425</v>
      </c>
      <c r="E195" s="158" t="s">
        <v>1448</v>
      </c>
      <c r="F195" s="148" t="s">
        <v>105</v>
      </c>
      <c r="G195" s="148" t="s">
        <v>1430</v>
      </c>
      <c r="H195" s="148">
        <v>45</v>
      </c>
      <c r="I195" s="150">
        <f t="shared" si="27"/>
        <v>45</v>
      </c>
      <c r="J195" s="148"/>
      <c r="K195" s="329" t="s">
        <v>10</v>
      </c>
      <c r="L195" s="148">
        <v>50</v>
      </c>
      <c r="M195" s="148" t="s">
        <v>9</v>
      </c>
      <c r="N195" s="148" t="s">
        <v>1709</v>
      </c>
      <c r="O195" s="148" t="s">
        <v>105</v>
      </c>
      <c r="P195" s="148">
        <v>63</v>
      </c>
      <c r="Q195" s="151">
        <f t="shared" si="28"/>
        <v>0.15999999999999995</v>
      </c>
      <c r="R195" s="152"/>
      <c r="S195" s="159">
        <v>819</v>
      </c>
      <c r="T195" s="159">
        <v>950.04</v>
      </c>
      <c r="U195" s="161"/>
      <c r="V195" s="161"/>
      <c r="W195" s="161"/>
      <c r="X195" s="156" t="s">
        <v>1715</v>
      </c>
      <c r="Y195" s="156" t="s">
        <v>1646</v>
      </c>
      <c r="Z195" s="156" t="s">
        <v>1444</v>
      </c>
      <c r="AA195" s="271">
        <f t="shared" si="29"/>
        <v>13</v>
      </c>
      <c r="AB195" s="271">
        <f t="shared" si="30"/>
        <v>15.08</v>
      </c>
      <c r="AC195" s="157">
        <f t="shared" si="31"/>
        <v>63</v>
      </c>
      <c r="AD195" s="272">
        <f t="shared" si="32"/>
        <v>819</v>
      </c>
      <c r="AE195" s="272">
        <f t="shared" si="34"/>
        <v>950.04</v>
      </c>
      <c r="AF195" s="129"/>
    </row>
    <row r="196" spans="1:32">
      <c r="A196" s="251" t="s">
        <v>1393</v>
      </c>
      <c r="B196" s="147" t="s">
        <v>1607</v>
      </c>
      <c r="C196" s="156" t="s">
        <v>1700</v>
      </c>
      <c r="D196" s="148">
        <v>425</v>
      </c>
      <c r="E196" s="158" t="s">
        <v>1448</v>
      </c>
      <c r="F196" s="148" t="s">
        <v>105</v>
      </c>
      <c r="G196" s="148" t="s">
        <v>1430</v>
      </c>
      <c r="H196" s="148">
        <v>50</v>
      </c>
      <c r="I196" s="150">
        <f t="shared" si="27"/>
        <v>50</v>
      </c>
      <c r="J196" s="148"/>
      <c r="K196" s="329" t="s">
        <v>65</v>
      </c>
      <c r="L196" s="148">
        <v>30</v>
      </c>
      <c r="M196" s="148" t="s">
        <v>9</v>
      </c>
      <c r="N196" s="148" t="s">
        <v>1710</v>
      </c>
      <c r="O196" s="148" t="s">
        <v>105</v>
      </c>
      <c r="P196" s="148">
        <v>37</v>
      </c>
      <c r="Q196" s="151">
        <f t="shared" si="28"/>
        <v>0.16000000000000003</v>
      </c>
      <c r="R196" s="152"/>
      <c r="S196" s="159">
        <v>414</v>
      </c>
      <c r="T196" s="159">
        <v>480.24</v>
      </c>
      <c r="U196" s="161"/>
      <c r="V196" s="161"/>
      <c r="W196" s="161"/>
      <c r="X196" s="156" t="s">
        <v>1716</v>
      </c>
      <c r="Y196" s="156" t="s">
        <v>1646</v>
      </c>
      <c r="Z196" s="156" t="s">
        <v>1444</v>
      </c>
      <c r="AA196" s="271">
        <f t="shared" si="29"/>
        <v>11.189189189189189</v>
      </c>
      <c r="AB196" s="271">
        <f t="shared" si="30"/>
        <v>12.979459459459459</v>
      </c>
      <c r="AC196" s="157">
        <f t="shared" si="31"/>
        <v>37</v>
      </c>
      <c r="AD196" s="272">
        <f t="shared" si="32"/>
        <v>414</v>
      </c>
      <c r="AE196" s="272">
        <f t="shared" si="34"/>
        <v>480.24</v>
      </c>
      <c r="AF196" s="129"/>
    </row>
    <row r="197" spans="1:32">
      <c r="A197" s="251" t="s">
        <v>1393</v>
      </c>
      <c r="B197" s="147" t="s">
        <v>1607</v>
      </c>
      <c r="C197" s="156" t="s">
        <v>1700</v>
      </c>
      <c r="D197" s="148">
        <v>425</v>
      </c>
      <c r="E197" s="158" t="s">
        <v>1448</v>
      </c>
      <c r="F197" s="148" t="s">
        <v>105</v>
      </c>
      <c r="G197" s="148" t="s">
        <v>1430</v>
      </c>
      <c r="H197" s="148">
        <v>61</v>
      </c>
      <c r="I197" s="150">
        <f t="shared" si="27"/>
        <v>61</v>
      </c>
      <c r="J197" s="148"/>
      <c r="K197" s="329" t="s">
        <v>13</v>
      </c>
      <c r="L197" s="148">
        <v>20</v>
      </c>
      <c r="M197" s="148" t="s">
        <v>9</v>
      </c>
      <c r="N197" s="148" t="s">
        <v>1411</v>
      </c>
      <c r="O197" s="148" t="s">
        <v>105</v>
      </c>
      <c r="P197" s="148">
        <v>20</v>
      </c>
      <c r="Q197" s="151">
        <f t="shared" si="28"/>
        <v>0.15999999999999992</v>
      </c>
      <c r="R197" s="152"/>
      <c r="S197" s="159">
        <v>272</v>
      </c>
      <c r="T197" s="159">
        <v>315.52</v>
      </c>
      <c r="U197" s="161"/>
      <c r="V197" s="161"/>
      <c r="W197" s="161"/>
      <c r="X197" s="156" t="s">
        <v>1717</v>
      </c>
      <c r="Y197" s="156" t="s">
        <v>1646</v>
      </c>
      <c r="Z197" s="156" t="s">
        <v>1444</v>
      </c>
      <c r="AA197" s="271">
        <f t="shared" si="29"/>
        <v>13.6</v>
      </c>
      <c r="AB197" s="271">
        <f t="shared" si="30"/>
        <v>15.776</v>
      </c>
      <c r="AC197" s="157">
        <f t="shared" si="31"/>
        <v>20</v>
      </c>
      <c r="AD197" s="272">
        <f t="shared" si="32"/>
        <v>272</v>
      </c>
      <c r="AE197" s="272">
        <f t="shared" si="34"/>
        <v>315.52</v>
      </c>
      <c r="AF197" s="129"/>
    </row>
    <row r="198" spans="1:32">
      <c r="A198" s="251" t="s">
        <v>1393</v>
      </c>
      <c r="B198" s="147" t="s">
        <v>1607</v>
      </c>
      <c r="C198" s="156" t="s">
        <v>1700</v>
      </c>
      <c r="D198" s="148">
        <v>425</v>
      </c>
      <c r="E198" s="158" t="s">
        <v>1448</v>
      </c>
      <c r="F198" s="148" t="s">
        <v>105</v>
      </c>
      <c r="G198" s="148" t="s">
        <v>1430</v>
      </c>
      <c r="H198" s="148">
        <v>61</v>
      </c>
      <c r="I198" s="150">
        <f t="shared" si="27"/>
        <v>61</v>
      </c>
      <c r="J198" s="148"/>
      <c r="K198" s="329" t="s">
        <v>13</v>
      </c>
      <c r="L198" s="148">
        <v>70</v>
      </c>
      <c r="M198" s="148" t="s">
        <v>9</v>
      </c>
      <c r="N198" s="148" t="s">
        <v>1401</v>
      </c>
      <c r="O198" s="148" t="s">
        <v>105</v>
      </c>
      <c r="P198" s="148">
        <v>70</v>
      </c>
      <c r="Q198" s="151">
        <f t="shared" si="28"/>
        <v>0.15999999999999992</v>
      </c>
      <c r="R198" s="152"/>
      <c r="S198" s="159">
        <v>888</v>
      </c>
      <c r="T198" s="159">
        <v>1030.08</v>
      </c>
      <c r="U198" s="161"/>
      <c r="V198" s="161"/>
      <c r="W198" s="161"/>
      <c r="X198" s="156" t="s">
        <v>1717</v>
      </c>
      <c r="Y198" s="156" t="s">
        <v>1646</v>
      </c>
      <c r="Z198" s="156" t="s">
        <v>1444</v>
      </c>
      <c r="AA198" s="271">
        <f t="shared" si="29"/>
        <v>12.685714285714285</v>
      </c>
      <c r="AB198" s="271">
        <f t="shared" si="30"/>
        <v>14.71542857142857</v>
      </c>
      <c r="AC198" s="157">
        <f t="shared" si="31"/>
        <v>70</v>
      </c>
      <c r="AD198" s="272">
        <f t="shared" si="32"/>
        <v>888</v>
      </c>
      <c r="AE198" s="272">
        <f t="shared" si="34"/>
        <v>1030.08</v>
      </c>
      <c r="AF198" s="129"/>
    </row>
    <row r="199" spans="1:32">
      <c r="A199" s="251" t="s">
        <v>1393</v>
      </c>
      <c r="B199" s="147" t="s">
        <v>1607</v>
      </c>
      <c r="C199" s="156" t="s">
        <v>1700</v>
      </c>
      <c r="D199" s="148">
        <v>425</v>
      </c>
      <c r="E199" s="158" t="s">
        <v>1448</v>
      </c>
      <c r="F199" s="148" t="s">
        <v>105</v>
      </c>
      <c r="G199" s="148" t="s">
        <v>1430</v>
      </c>
      <c r="H199" s="148">
        <v>62</v>
      </c>
      <c r="I199" s="150">
        <f t="shared" si="27"/>
        <v>62</v>
      </c>
      <c r="J199" s="148"/>
      <c r="K199" s="329" t="s">
        <v>68</v>
      </c>
      <c r="L199" s="148">
        <v>40</v>
      </c>
      <c r="M199" s="148" t="s">
        <v>9</v>
      </c>
      <c r="N199" s="148" t="s">
        <v>1414</v>
      </c>
      <c r="O199" s="148" t="s">
        <v>105</v>
      </c>
      <c r="P199" s="148">
        <v>40</v>
      </c>
      <c r="Q199" s="151">
        <f t="shared" si="28"/>
        <v>0.16000000000000006</v>
      </c>
      <c r="R199" s="152"/>
      <c r="S199" s="159">
        <v>392</v>
      </c>
      <c r="T199" s="159">
        <v>454.72</v>
      </c>
      <c r="U199" s="161"/>
      <c r="V199" s="161"/>
      <c r="W199" s="161"/>
      <c r="X199" s="156" t="s">
        <v>1717</v>
      </c>
      <c r="Y199" s="156" t="s">
        <v>1646</v>
      </c>
      <c r="Z199" s="156" t="s">
        <v>1444</v>
      </c>
      <c r="AA199" s="271">
        <f t="shared" si="29"/>
        <v>9.8000000000000007</v>
      </c>
      <c r="AB199" s="271">
        <f t="shared" si="30"/>
        <v>11.368</v>
      </c>
      <c r="AC199" s="157">
        <f t="shared" si="31"/>
        <v>40</v>
      </c>
      <c r="AD199" s="272">
        <f t="shared" si="32"/>
        <v>392</v>
      </c>
      <c r="AE199" s="272">
        <f t="shared" si="34"/>
        <v>454.72</v>
      </c>
      <c r="AF199" s="129"/>
    </row>
    <row r="200" spans="1:32" ht="27">
      <c r="A200" s="251" t="s">
        <v>1393</v>
      </c>
      <c r="B200" s="147" t="s">
        <v>1607</v>
      </c>
      <c r="C200" s="156" t="s">
        <v>1700</v>
      </c>
      <c r="D200" s="148">
        <v>617</v>
      </c>
      <c r="E200" s="158" t="s">
        <v>1707</v>
      </c>
      <c r="F200" s="148" t="s">
        <v>105</v>
      </c>
      <c r="G200" s="148" t="s">
        <v>1430</v>
      </c>
      <c r="H200" s="148">
        <v>28</v>
      </c>
      <c r="I200" s="150">
        <f t="shared" si="27"/>
        <v>28</v>
      </c>
      <c r="J200" s="148"/>
      <c r="K200" s="329" t="s">
        <v>67</v>
      </c>
      <c r="L200" s="148">
        <v>60</v>
      </c>
      <c r="M200" s="148" t="s">
        <v>9</v>
      </c>
      <c r="N200" s="148" t="s">
        <v>1415</v>
      </c>
      <c r="O200" s="148" t="s">
        <v>105</v>
      </c>
      <c r="P200" s="148">
        <v>60</v>
      </c>
      <c r="Q200" s="151">
        <f t="shared" si="28"/>
        <v>0.15999810963271016</v>
      </c>
      <c r="R200" s="152"/>
      <c r="S200" s="153">
        <v>2327.59</v>
      </c>
      <c r="T200" s="159">
        <v>2700</v>
      </c>
      <c r="U200" s="161"/>
      <c r="V200" s="161"/>
      <c r="W200" s="161"/>
      <c r="X200" s="156" t="s">
        <v>1706</v>
      </c>
      <c r="Y200" s="156" t="s">
        <v>1423</v>
      </c>
      <c r="Z200" s="156" t="s">
        <v>1444</v>
      </c>
      <c r="AA200" s="271">
        <f t="shared" si="29"/>
        <v>38.793166666666671</v>
      </c>
      <c r="AB200" s="271">
        <f t="shared" si="30"/>
        <v>45</v>
      </c>
      <c r="AC200" s="157">
        <f t="shared" si="31"/>
        <v>60</v>
      </c>
      <c r="AD200" s="272">
        <f t="shared" si="32"/>
        <v>2327.59</v>
      </c>
      <c r="AE200" s="272">
        <f t="shared" ref="AE200:AE210" si="35">AC200*AB200</f>
        <v>2700</v>
      </c>
      <c r="AF200" s="129"/>
    </row>
    <row r="201" spans="1:32">
      <c r="A201" s="251" t="s">
        <v>1393</v>
      </c>
      <c r="B201" s="147" t="s">
        <v>1607</v>
      </c>
      <c r="C201" s="156" t="s">
        <v>1700</v>
      </c>
      <c r="D201" s="148">
        <v>461</v>
      </c>
      <c r="E201" s="158" t="s">
        <v>1431</v>
      </c>
      <c r="F201" s="148" t="s">
        <v>105</v>
      </c>
      <c r="G201" s="148" t="s">
        <v>1433</v>
      </c>
      <c r="H201" s="148">
        <v>24</v>
      </c>
      <c r="I201" s="150" t="str">
        <f t="shared" si="27"/>
        <v>24_A</v>
      </c>
      <c r="J201" s="148" t="s">
        <v>1427</v>
      </c>
      <c r="K201" s="329" t="s">
        <v>61</v>
      </c>
      <c r="L201" s="148">
        <v>20</v>
      </c>
      <c r="M201" s="148" t="s">
        <v>9</v>
      </c>
      <c r="N201" s="148" t="s">
        <v>1411</v>
      </c>
      <c r="O201" s="148" t="s">
        <v>105</v>
      </c>
      <c r="P201" s="148">
        <v>20</v>
      </c>
      <c r="Q201" s="151">
        <f t="shared" si="28"/>
        <v>0.15999999999999989</v>
      </c>
      <c r="R201" s="152"/>
      <c r="S201" s="153">
        <v>120</v>
      </c>
      <c r="T201" s="153">
        <v>139.19999999999999</v>
      </c>
      <c r="U201" s="154"/>
      <c r="V201" s="155"/>
      <c r="W201" s="155"/>
      <c r="X201" s="156" t="s">
        <v>1694</v>
      </c>
      <c r="Y201" s="156" t="s">
        <v>1646</v>
      </c>
      <c r="Z201" s="156" t="s">
        <v>1444</v>
      </c>
      <c r="AA201" s="271">
        <f t="shared" si="29"/>
        <v>6</v>
      </c>
      <c r="AB201" s="271">
        <f t="shared" si="30"/>
        <v>6.9599999999999991</v>
      </c>
      <c r="AC201" s="157">
        <f t="shared" si="31"/>
        <v>20</v>
      </c>
      <c r="AD201" s="272">
        <f t="shared" si="32"/>
        <v>120</v>
      </c>
      <c r="AE201" s="272">
        <f t="shared" si="35"/>
        <v>139.19999999999999</v>
      </c>
      <c r="AF201" s="129"/>
    </row>
    <row r="202" spans="1:32">
      <c r="A202" s="251" t="s">
        <v>1393</v>
      </c>
      <c r="B202" s="147" t="s">
        <v>1607</v>
      </c>
      <c r="C202" s="156" t="s">
        <v>1700</v>
      </c>
      <c r="D202" s="148">
        <v>461</v>
      </c>
      <c r="E202" s="158" t="s">
        <v>1431</v>
      </c>
      <c r="F202" s="148" t="s">
        <v>105</v>
      </c>
      <c r="G202" s="148" t="s">
        <v>1433</v>
      </c>
      <c r="H202" s="148">
        <v>24</v>
      </c>
      <c r="I202" s="150" t="str">
        <f t="shared" si="27"/>
        <v>24_BM</v>
      </c>
      <c r="J202" s="148" t="s">
        <v>1439</v>
      </c>
      <c r="K202" s="329" t="s">
        <v>61</v>
      </c>
      <c r="L202" s="148">
        <v>30</v>
      </c>
      <c r="M202" s="148" t="s">
        <v>9</v>
      </c>
      <c r="N202" s="148" t="s">
        <v>1412</v>
      </c>
      <c r="O202" s="148" t="s">
        <v>105</v>
      </c>
      <c r="P202" s="148">
        <v>30</v>
      </c>
      <c r="Q202" s="151">
        <f t="shared" si="28"/>
        <v>0.15999999999999989</v>
      </c>
      <c r="R202" s="152"/>
      <c r="S202" s="153">
        <v>181</v>
      </c>
      <c r="T202" s="153">
        <v>209.95999999999998</v>
      </c>
      <c r="U202" s="154"/>
      <c r="V202" s="155"/>
      <c r="W202" s="155"/>
      <c r="X202" s="156" t="s">
        <v>1694</v>
      </c>
      <c r="Y202" s="156" t="s">
        <v>1646</v>
      </c>
      <c r="Z202" s="156" t="s">
        <v>1444</v>
      </c>
      <c r="AA202" s="271">
        <f t="shared" si="29"/>
        <v>6.0333333333333332</v>
      </c>
      <c r="AB202" s="271">
        <f t="shared" si="30"/>
        <v>6.9986666666666659</v>
      </c>
      <c r="AC202" s="157">
        <f t="shared" si="31"/>
        <v>30</v>
      </c>
      <c r="AD202" s="272">
        <f t="shared" si="32"/>
        <v>181</v>
      </c>
      <c r="AE202" s="272">
        <f t="shared" si="35"/>
        <v>209.95999999999998</v>
      </c>
      <c r="AF202" s="129"/>
    </row>
    <row r="203" spans="1:32">
      <c r="A203" s="251" t="s">
        <v>1393</v>
      </c>
      <c r="B203" s="147" t="s">
        <v>1607</v>
      </c>
      <c r="C203" s="156" t="s">
        <v>1700</v>
      </c>
      <c r="D203" s="148">
        <v>461</v>
      </c>
      <c r="E203" s="158" t="s">
        <v>1431</v>
      </c>
      <c r="F203" s="148" t="s">
        <v>105</v>
      </c>
      <c r="G203" s="148" t="s">
        <v>1433</v>
      </c>
      <c r="H203" s="148">
        <v>24</v>
      </c>
      <c r="I203" s="150" t="str">
        <f t="shared" si="27"/>
        <v>24_CH</v>
      </c>
      <c r="J203" s="148" t="s">
        <v>1440</v>
      </c>
      <c r="K203" s="329" t="s">
        <v>61</v>
      </c>
      <c r="L203" s="148">
        <v>60</v>
      </c>
      <c r="M203" s="148" t="s">
        <v>9</v>
      </c>
      <c r="N203" s="148" t="s">
        <v>1415</v>
      </c>
      <c r="O203" s="148" t="s">
        <v>105</v>
      </c>
      <c r="P203" s="148">
        <v>60</v>
      </c>
      <c r="Q203" s="151">
        <f t="shared" si="28"/>
        <v>0.15999999999999989</v>
      </c>
      <c r="R203" s="152"/>
      <c r="S203" s="153">
        <v>344</v>
      </c>
      <c r="T203" s="153">
        <v>399.03999999999996</v>
      </c>
      <c r="U203" s="154"/>
      <c r="V203" s="155"/>
      <c r="W203" s="155"/>
      <c r="X203" s="156" t="s">
        <v>1694</v>
      </c>
      <c r="Y203" s="156" t="s">
        <v>1646</v>
      </c>
      <c r="Z203" s="156" t="s">
        <v>1444</v>
      </c>
      <c r="AA203" s="271">
        <f t="shared" si="29"/>
        <v>5.7333333333333334</v>
      </c>
      <c r="AB203" s="271">
        <f t="shared" si="30"/>
        <v>6.6506666666666661</v>
      </c>
      <c r="AC203" s="157">
        <f t="shared" si="31"/>
        <v>60</v>
      </c>
      <c r="AD203" s="272">
        <f t="shared" si="32"/>
        <v>344</v>
      </c>
      <c r="AE203" s="272">
        <f t="shared" si="35"/>
        <v>399.03999999999996</v>
      </c>
      <c r="AF203" s="129"/>
    </row>
    <row r="204" spans="1:32">
      <c r="A204" s="251" t="s">
        <v>1393</v>
      </c>
      <c r="B204" s="147" t="s">
        <v>1607</v>
      </c>
      <c r="C204" s="156" t="s">
        <v>1700</v>
      </c>
      <c r="D204" s="148">
        <v>461</v>
      </c>
      <c r="E204" s="158" t="s">
        <v>1431</v>
      </c>
      <c r="F204" s="148" t="s">
        <v>105</v>
      </c>
      <c r="G204" s="148" t="s">
        <v>1430</v>
      </c>
      <c r="H204" s="148">
        <v>25</v>
      </c>
      <c r="I204" s="150">
        <f t="shared" si="27"/>
        <v>25</v>
      </c>
      <c r="J204" s="148"/>
      <c r="K204" s="329" t="s">
        <v>64</v>
      </c>
      <c r="L204" s="148">
        <v>30</v>
      </c>
      <c r="M204" s="148" t="s">
        <v>9</v>
      </c>
      <c r="N204" s="148" t="s">
        <v>1412</v>
      </c>
      <c r="O204" s="148" t="s">
        <v>105</v>
      </c>
      <c r="P204" s="148">
        <v>30</v>
      </c>
      <c r="Q204" s="151">
        <f t="shared" si="28"/>
        <v>0.15999999999999989</v>
      </c>
      <c r="R204" s="152"/>
      <c r="S204" s="153">
        <v>129</v>
      </c>
      <c r="T204" s="153">
        <v>149.63999999999999</v>
      </c>
      <c r="U204" s="154"/>
      <c r="V204" s="155"/>
      <c r="W204" s="155"/>
      <c r="X204" s="156" t="s">
        <v>1694</v>
      </c>
      <c r="Y204" s="156" t="s">
        <v>1646</v>
      </c>
      <c r="Z204" s="156" t="s">
        <v>1444</v>
      </c>
      <c r="AA204" s="271">
        <f t="shared" si="29"/>
        <v>4.3</v>
      </c>
      <c r="AB204" s="271">
        <f t="shared" si="30"/>
        <v>4.9879999999999995</v>
      </c>
      <c r="AC204" s="157">
        <f t="shared" si="31"/>
        <v>30</v>
      </c>
      <c r="AD204" s="272">
        <f t="shared" si="32"/>
        <v>129</v>
      </c>
      <c r="AE204" s="272">
        <f t="shared" si="35"/>
        <v>149.63999999999999</v>
      </c>
      <c r="AF204" s="129"/>
    </row>
    <row r="205" spans="1:32">
      <c r="A205" s="251" t="s">
        <v>1393</v>
      </c>
      <c r="B205" s="147" t="s">
        <v>1607</v>
      </c>
      <c r="C205" s="156" t="s">
        <v>1700</v>
      </c>
      <c r="D205" s="148">
        <v>461</v>
      </c>
      <c r="E205" s="158" t="s">
        <v>1431</v>
      </c>
      <c r="F205" s="148" t="s">
        <v>105</v>
      </c>
      <c r="G205" s="148" t="s">
        <v>1430</v>
      </c>
      <c r="H205" s="148">
        <v>25</v>
      </c>
      <c r="I205" s="150">
        <f t="shared" si="27"/>
        <v>25</v>
      </c>
      <c r="J205" s="148"/>
      <c r="K205" s="329" t="s">
        <v>64</v>
      </c>
      <c r="L205" s="148">
        <v>40</v>
      </c>
      <c r="M205" s="148" t="s">
        <v>9</v>
      </c>
      <c r="N205" s="148" t="s">
        <v>1414</v>
      </c>
      <c r="O205" s="148" t="s">
        <v>105</v>
      </c>
      <c r="P205" s="148">
        <v>40</v>
      </c>
      <c r="Q205" s="151">
        <f t="shared" si="28"/>
        <v>0.15999999999999989</v>
      </c>
      <c r="R205" s="152"/>
      <c r="S205" s="153">
        <v>189</v>
      </c>
      <c r="T205" s="153">
        <v>219.23999999999998</v>
      </c>
      <c r="U205" s="154"/>
      <c r="V205" s="155"/>
      <c r="W205" s="155"/>
      <c r="X205" s="156" t="s">
        <v>1694</v>
      </c>
      <c r="Y205" s="156" t="s">
        <v>1646</v>
      </c>
      <c r="Z205" s="156" t="s">
        <v>1444</v>
      </c>
      <c r="AA205" s="271">
        <f t="shared" si="29"/>
        <v>4.7249999999999996</v>
      </c>
      <c r="AB205" s="271">
        <f t="shared" si="30"/>
        <v>5.4809999999999999</v>
      </c>
      <c r="AC205" s="157">
        <f t="shared" si="31"/>
        <v>40</v>
      </c>
      <c r="AD205" s="272">
        <f t="shared" si="32"/>
        <v>189</v>
      </c>
      <c r="AE205" s="272">
        <f t="shared" si="35"/>
        <v>219.24</v>
      </c>
      <c r="AF205" s="129"/>
    </row>
    <row r="206" spans="1:32">
      <c r="A206" s="251" t="s">
        <v>1393</v>
      </c>
      <c r="B206" s="147" t="s">
        <v>1607</v>
      </c>
      <c r="C206" s="156" t="s">
        <v>1700</v>
      </c>
      <c r="D206" s="148">
        <v>461</v>
      </c>
      <c r="E206" s="158" t="s">
        <v>1431</v>
      </c>
      <c r="F206" s="148" t="s">
        <v>105</v>
      </c>
      <c r="G206" s="148" t="s">
        <v>1430</v>
      </c>
      <c r="H206" s="148">
        <v>25</v>
      </c>
      <c r="I206" s="150">
        <f t="shared" si="27"/>
        <v>25</v>
      </c>
      <c r="J206" s="148"/>
      <c r="K206" s="329" t="s">
        <v>64</v>
      </c>
      <c r="L206" s="148">
        <v>60</v>
      </c>
      <c r="M206" s="148" t="s">
        <v>9</v>
      </c>
      <c r="N206" s="148" t="s">
        <v>1415</v>
      </c>
      <c r="O206" s="148" t="s">
        <v>105</v>
      </c>
      <c r="P206" s="148">
        <v>60</v>
      </c>
      <c r="Q206" s="151">
        <f t="shared" si="28"/>
        <v>0.15999999999999989</v>
      </c>
      <c r="R206" s="152"/>
      <c r="S206" s="153">
        <v>362</v>
      </c>
      <c r="T206" s="153">
        <v>419.91999999999996</v>
      </c>
      <c r="U206" s="154"/>
      <c r="V206" s="155"/>
      <c r="W206" s="155"/>
      <c r="X206" s="156" t="s">
        <v>1694</v>
      </c>
      <c r="Y206" s="156" t="s">
        <v>1646</v>
      </c>
      <c r="Z206" s="156" t="s">
        <v>1444</v>
      </c>
      <c r="AA206" s="271">
        <f t="shared" si="29"/>
        <v>6.0333333333333332</v>
      </c>
      <c r="AB206" s="271">
        <f t="shared" si="30"/>
        <v>6.9986666666666659</v>
      </c>
      <c r="AC206" s="157">
        <f t="shared" si="31"/>
        <v>60</v>
      </c>
      <c r="AD206" s="272">
        <f t="shared" si="32"/>
        <v>362</v>
      </c>
      <c r="AE206" s="272">
        <f t="shared" si="35"/>
        <v>419.91999999999996</v>
      </c>
      <c r="AF206" s="129"/>
    </row>
    <row r="207" spans="1:32" ht="27">
      <c r="A207" s="251" t="s">
        <v>1393</v>
      </c>
      <c r="B207" s="147" t="s">
        <v>1607</v>
      </c>
      <c r="C207" s="156" t="s">
        <v>1700</v>
      </c>
      <c r="D207" s="148">
        <v>461</v>
      </c>
      <c r="E207" s="158" t="s">
        <v>1431</v>
      </c>
      <c r="F207" s="148" t="s">
        <v>105</v>
      </c>
      <c r="G207" s="148" t="s">
        <v>1430</v>
      </c>
      <c r="H207" s="148">
        <v>28</v>
      </c>
      <c r="I207" s="150">
        <f t="shared" si="27"/>
        <v>28</v>
      </c>
      <c r="J207" s="148"/>
      <c r="K207" s="329" t="s">
        <v>67</v>
      </c>
      <c r="L207" s="148">
        <v>30</v>
      </c>
      <c r="M207" s="148" t="s">
        <v>9</v>
      </c>
      <c r="N207" s="148" t="s">
        <v>1412</v>
      </c>
      <c r="O207" s="148" t="s">
        <v>105</v>
      </c>
      <c r="P207" s="148">
        <v>30</v>
      </c>
      <c r="Q207" s="151">
        <f t="shared" si="28"/>
        <v>0.15999999999999989</v>
      </c>
      <c r="R207" s="152"/>
      <c r="S207" s="153">
        <v>129</v>
      </c>
      <c r="T207" s="153">
        <v>149.63999999999999</v>
      </c>
      <c r="U207" s="154"/>
      <c r="V207" s="155"/>
      <c r="W207" s="155"/>
      <c r="X207" s="156" t="s">
        <v>1694</v>
      </c>
      <c r="Y207" s="156" t="s">
        <v>1646</v>
      </c>
      <c r="Z207" s="156" t="s">
        <v>1444</v>
      </c>
      <c r="AA207" s="271">
        <f t="shared" si="29"/>
        <v>4.3</v>
      </c>
      <c r="AB207" s="271">
        <f t="shared" si="30"/>
        <v>4.9879999999999995</v>
      </c>
      <c r="AC207" s="157">
        <f t="shared" si="31"/>
        <v>30</v>
      </c>
      <c r="AD207" s="272">
        <f t="shared" si="32"/>
        <v>129</v>
      </c>
      <c r="AE207" s="272">
        <f t="shared" si="35"/>
        <v>149.63999999999999</v>
      </c>
      <c r="AF207" s="129"/>
    </row>
    <row r="208" spans="1:32" ht="27">
      <c r="A208" s="251" t="s">
        <v>1393</v>
      </c>
      <c r="B208" s="147" t="s">
        <v>1607</v>
      </c>
      <c r="C208" s="156" t="s">
        <v>1700</v>
      </c>
      <c r="D208" s="148">
        <v>461</v>
      </c>
      <c r="E208" s="158" t="s">
        <v>1431</v>
      </c>
      <c r="F208" s="148" t="s">
        <v>105</v>
      </c>
      <c r="G208" s="148" t="s">
        <v>1430</v>
      </c>
      <c r="H208" s="148">
        <v>28</v>
      </c>
      <c r="I208" s="150">
        <f t="shared" si="27"/>
        <v>28</v>
      </c>
      <c r="J208" s="148"/>
      <c r="K208" s="329" t="s">
        <v>67</v>
      </c>
      <c r="L208" s="148">
        <v>40</v>
      </c>
      <c r="M208" s="148" t="s">
        <v>9</v>
      </c>
      <c r="N208" s="148" t="s">
        <v>1414</v>
      </c>
      <c r="O208" s="148" t="s">
        <v>105</v>
      </c>
      <c r="P208" s="148">
        <v>40</v>
      </c>
      <c r="Q208" s="151">
        <f t="shared" si="28"/>
        <v>0.15999999999999989</v>
      </c>
      <c r="R208" s="152"/>
      <c r="S208" s="153">
        <v>189</v>
      </c>
      <c r="T208" s="153">
        <v>219.23999999999998</v>
      </c>
      <c r="U208" s="154"/>
      <c r="V208" s="155"/>
      <c r="W208" s="155"/>
      <c r="X208" s="156" t="s">
        <v>1694</v>
      </c>
      <c r="Y208" s="156" t="s">
        <v>1646</v>
      </c>
      <c r="Z208" s="156" t="s">
        <v>1444</v>
      </c>
      <c r="AA208" s="271">
        <f t="shared" si="29"/>
        <v>4.7249999999999996</v>
      </c>
      <c r="AB208" s="271">
        <f t="shared" si="30"/>
        <v>5.4809999999999999</v>
      </c>
      <c r="AC208" s="157">
        <f t="shared" si="31"/>
        <v>40</v>
      </c>
      <c r="AD208" s="272">
        <f t="shared" si="32"/>
        <v>189</v>
      </c>
      <c r="AE208" s="272">
        <f t="shared" si="35"/>
        <v>219.24</v>
      </c>
      <c r="AF208" s="129"/>
    </row>
    <row r="209" spans="1:32" ht="27">
      <c r="A209" s="251" t="s">
        <v>1393</v>
      </c>
      <c r="B209" s="147" t="s">
        <v>1607</v>
      </c>
      <c r="C209" s="156" t="s">
        <v>1700</v>
      </c>
      <c r="D209" s="148">
        <v>461</v>
      </c>
      <c r="E209" s="158" t="s">
        <v>1431</v>
      </c>
      <c r="F209" s="148" t="s">
        <v>105</v>
      </c>
      <c r="G209" s="148" t="s">
        <v>1430</v>
      </c>
      <c r="H209" s="148">
        <v>28</v>
      </c>
      <c r="I209" s="150">
        <f t="shared" si="27"/>
        <v>28</v>
      </c>
      <c r="J209" s="148"/>
      <c r="K209" s="329" t="s">
        <v>67</v>
      </c>
      <c r="L209" s="148">
        <v>60</v>
      </c>
      <c r="M209" s="148" t="s">
        <v>9</v>
      </c>
      <c r="N209" s="148" t="s">
        <v>1415</v>
      </c>
      <c r="O209" s="148" t="s">
        <v>105</v>
      </c>
      <c r="P209" s="148">
        <v>60</v>
      </c>
      <c r="Q209" s="151">
        <f t="shared" si="28"/>
        <v>0.15999999999999989</v>
      </c>
      <c r="R209" s="152"/>
      <c r="S209" s="153">
        <v>362</v>
      </c>
      <c r="T209" s="153">
        <v>419.91999999999996</v>
      </c>
      <c r="U209" s="154"/>
      <c r="V209" s="155"/>
      <c r="W209" s="155"/>
      <c r="X209" s="156" t="s">
        <v>1694</v>
      </c>
      <c r="Y209" s="156" t="s">
        <v>1646</v>
      </c>
      <c r="Z209" s="156" t="s">
        <v>1444</v>
      </c>
      <c r="AA209" s="271">
        <f t="shared" si="29"/>
        <v>6.0333333333333332</v>
      </c>
      <c r="AB209" s="271">
        <f t="shared" si="30"/>
        <v>6.9986666666666659</v>
      </c>
      <c r="AC209" s="157">
        <f t="shared" si="31"/>
        <v>60</v>
      </c>
      <c r="AD209" s="272">
        <f t="shared" si="32"/>
        <v>362</v>
      </c>
      <c r="AE209" s="272">
        <f t="shared" si="35"/>
        <v>419.91999999999996</v>
      </c>
      <c r="AF209" s="129"/>
    </row>
    <row r="210" spans="1:32">
      <c r="A210" s="251" t="s">
        <v>1393</v>
      </c>
      <c r="B210" s="147" t="s">
        <v>1607</v>
      </c>
      <c r="C210" s="156" t="s">
        <v>1700</v>
      </c>
      <c r="D210" s="148">
        <v>461</v>
      </c>
      <c r="E210" s="158" t="s">
        <v>1431</v>
      </c>
      <c r="F210" s="148" t="s">
        <v>105</v>
      </c>
      <c r="G210" s="148" t="s">
        <v>1430</v>
      </c>
      <c r="H210" s="148">
        <v>30</v>
      </c>
      <c r="I210" s="150">
        <f t="shared" si="27"/>
        <v>30</v>
      </c>
      <c r="J210" s="148"/>
      <c r="K210" s="329" t="s">
        <v>63</v>
      </c>
      <c r="L210" s="148">
        <v>24</v>
      </c>
      <c r="M210" s="148" t="s">
        <v>9</v>
      </c>
      <c r="N210" s="148" t="s">
        <v>1693</v>
      </c>
      <c r="O210" s="148" t="s">
        <v>105</v>
      </c>
      <c r="P210" s="148">
        <v>24</v>
      </c>
      <c r="Q210" s="151">
        <f t="shared" si="28"/>
        <v>0.15999999999999998</v>
      </c>
      <c r="R210" s="152"/>
      <c r="S210" s="153">
        <v>168</v>
      </c>
      <c r="T210" s="153">
        <v>194.88</v>
      </c>
      <c r="U210" s="154"/>
      <c r="V210" s="155"/>
      <c r="W210" s="155"/>
      <c r="X210" s="156" t="s">
        <v>1694</v>
      </c>
      <c r="Y210" s="156" t="s">
        <v>1646</v>
      </c>
      <c r="Z210" s="156" t="s">
        <v>1444</v>
      </c>
      <c r="AA210" s="271">
        <f t="shared" si="29"/>
        <v>7</v>
      </c>
      <c r="AB210" s="271">
        <f t="shared" si="30"/>
        <v>8.1199999999999992</v>
      </c>
      <c r="AC210" s="157">
        <f t="shared" si="31"/>
        <v>24</v>
      </c>
      <c r="AD210" s="272">
        <f t="shared" si="32"/>
        <v>168</v>
      </c>
      <c r="AE210" s="272">
        <f t="shared" si="35"/>
        <v>194.88</v>
      </c>
      <c r="AF210" s="129"/>
    </row>
    <row r="211" spans="1:32" hidden="1"/>
    <row r="212" spans="1:32" hidden="1"/>
    <row r="213" spans="1:32" hidden="1"/>
    <row r="214" spans="1:32" hidden="1"/>
    <row r="215" spans="1:32" hidden="1"/>
    <row r="216" spans="1:32" hidden="1"/>
    <row r="217" spans="1:32" hidden="1"/>
    <row r="218" spans="1:32" hidden="1"/>
    <row r="219" spans="1:32" hidden="1"/>
    <row r="220" spans="1:32" hidden="1"/>
    <row r="221" spans="1:32" hidden="1"/>
    <row r="222" spans="1:32" hidden="1"/>
    <row r="223" spans="1:32" hidden="1"/>
    <row r="224" spans="1:32" hidden="1"/>
    <row r="225" hidden="1"/>
    <row r="226" hidden="1"/>
    <row r="227" hidden="1"/>
    <row r="228" hidden="1"/>
    <row r="229" hidden="1"/>
    <row r="230" hidden="1"/>
    <row r="231" hidden="1"/>
    <row r="232" hidden="1"/>
    <row r="233" hidden="1"/>
    <row r="234" hidden="1"/>
    <row r="235" hidden="1"/>
    <row r="236" hidden="1"/>
    <row r="237" hidden="1"/>
    <row r="238" hidden="1"/>
    <row r="239" hidden="1"/>
    <row r="240" hidden="1"/>
    <row r="241" hidden="1"/>
    <row r="242" hidden="1"/>
    <row r="243" hidden="1"/>
    <row r="244" hidden="1"/>
    <row r="245" hidden="1"/>
    <row r="246" hidden="1"/>
    <row r="247" hidden="1"/>
    <row r="248" hidden="1"/>
    <row r="249" hidden="1"/>
    <row r="250" hidden="1"/>
    <row r="251" hidden="1"/>
    <row r="252" hidden="1"/>
    <row r="253" hidden="1"/>
    <row r="254" hidden="1"/>
    <row r="255" hidden="1"/>
    <row r="256" hidden="1"/>
    <row r="257"/>
    <row r="258"/>
    <row r="259"/>
    <row r="260"/>
    <row r="261"/>
    <row r="262"/>
    <row r="263"/>
    <row r="264"/>
    <row r="265"/>
    <row r="266"/>
    <row r="267"/>
    <row r="268"/>
    <row r="269"/>
    <row r="270"/>
    <row r="271"/>
    <row r="272"/>
    <row r="273"/>
    <row r="274"/>
    <row r="275"/>
    <row r="276"/>
    <row r="277"/>
    <row r="278"/>
    <row r="279"/>
    <row r="280"/>
    <row r="281"/>
    <row r="282"/>
    <row r="283"/>
    <row r="284"/>
    <row r="285"/>
    <row r="286"/>
    <row r="287"/>
    <row r="288"/>
    <row r="289"/>
    <row r="290"/>
    <row r="291"/>
    <row r="292"/>
    <row r="293"/>
    <row r="294"/>
    <row r="295"/>
    <row r="296"/>
    <row r="297"/>
    <row r="298"/>
    <row r="299"/>
    <row r="300"/>
    <row r="301"/>
    <row r="302"/>
    <row r="303"/>
    <row r="304"/>
    <row r="305"/>
    <row r="306"/>
    <row r="307"/>
    <row r="308"/>
    <row r="309"/>
    <row r="310"/>
    <row r="311"/>
    <row r="312"/>
    <row r="313"/>
    <row r="314"/>
    <row r="315"/>
    <row r="316"/>
    <row r="317"/>
    <row r="318"/>
    <row r="319"/>
    <row r="320"/>
    <row r="321"/>
    <row r="322"/>
    <row r="323"/>
    <row r="324"/>
    <row r="325"/>
    <row r="326"/>
    <row r="327"/>
    <row r="328"/>
    <row r="329"/>
    <row r="330"/>
    <row r="331"/>
    <row r="332"/>
    <row r="333"/>
    <row r="334"/>
    <row r="335"/>
    <row r="336"/>
    <row r="337"/>
    <row r="338"/>
    <row r="339"/>
    <row r="340"/>
    <row r="341"/>
    <row r="342"/>
    <row r="343"/>
    <row r="344"/>
    <row r="345"/>
    <row r="346"/>
    <row r="347"/>
    <row r="348"/>
    <row r="349"/>
    <row r="350"/>
    <row r="351"/>
    <row r="352"/>
    <row r="353"/>
    <row r="354"/>
    <row r="355"/>
    <row r="356"/>
    <row r="357"/>
    <row r="358"/>
    <row r="359"/>
    <row r="360"/>
    <row r="361"/>
    <row r="362"/>
    <row r="363"/>
    <row r="364"/>
    <row r="365"/>
    <row r="366"/>
    <row r="367"/>
    <row r="368"/>
    <row r="369"/>
    <row r="370"/>
    <row r="371"/>
    <row r="372"/>
    <row r="373"/>
    <row r="374"/>
    <row r="375"/>
    <row r="376"/>
    <row r="377"/>
    <row r="378"/>
    <row r="379"/>
    <row r="380"/>
    <row r="381"/>
    <row r="382"/>
    <row r="383"/>
    <row r="384"/>
    <row r="385"/>
    <row r="386"/>
    <row r="387"/>
    <row r="388"/>
    <row r="389"/>
    <row r="390"/>
    <row r="391"/>
    <row r="392"/>
    <row r="393"/>
    <row r="394"/>
    <row r="395"/>
    <row r="396"/>
    <row r="397"/>
    <row r="398"/>
    <row r="399"/>
    <row r="400"/>
    <row r="401"/>
    <row r="402"/>
    <row r="403"/>
    <row r="404"/>
    <row r="405"/>
    <row r="406"/>
    <row r="407"/>
    <row r="408"/>
    <row r="409"/>
    <row r="410"/>
    <row r="411"/>
    <row r="412"/>
    <row r="413"/>
    <row r="414"/>
    <row r="415"/>
    <row r="416"/>
    <row r="417"/>
    <row r="418"/>
    <row r="419"/>
    <row r="420"/>
    <row r="421"/>
    <row r="422"/>
    <row r="423"/>
    <row r="424"/>
    <row r="425"/>
    <row r="426"/>
    <row r="427"/>
    <row r="428"/>
    <row r="429"/>
    <row r="430"/>
    <row r="431"/>
    <row r="432"/>
    <row r="433"/>
    <row r="434"/>
    <row r="435"/>
    <row r="436"/>
    <row r="437"/>
    <row r="438"/>
    <row r="439"/>
    <row r="440"/>
    <row r="441"/>
    <row r="442"/>
    <row r="443"/>
    <row r="444"/>
    <row r="445"/>
    <row r="446"/>
    <row r="447"/>
    <row r="448"/>
    <row r="449"/>
    <row r="450"/>
    <row r="451"/>
    <row r="452"/>
    <row r="453"/>
    <row r="454"/>
    <row r="455"/>
    <row r="456"/>
    <row r="457"/>
    <row r="458"/>
    <row r="459"/>
    <row r="460"/>
    <row r="461"/>
    <row r="462"/>
    <row r="463"/>
    <row r="464"/>
    <row r="465"/>
    <row r="466"/>
    <row r="467"/>
    <row r="468"/>
    <row r="469"/>
    <row r="470"/>
    <row r="471"/>
    <row r="472"/>
    <row r="473"/>
    <row r="474"/>
    <row r="475"/>
    <row r="476"/>
    <row r="477"/>
    <row r="478"/>
    <row r="479"/>
    <row r="480"/>
    <row r="481"/>
    <row r="482"/>
    <row r="483"/>
    <row r="484"/>
    <row r="485"/>
    <row r="486"/>
    <row r="487"/>
    <row r="488"/>
    <row r="489"/>
    <row r="490"/>
    <row r="491"/>
    <row r="492"/>
    <row r="493"/>
    <row r="494"/>
    <row r="495"/>
    <row r="496"/>
    <row r="497"/>
    <row r="498"/>
    <row r="499"/>
    <row r="500"/>
    <row r="501"/>
    <row r="502"/>
    <row r="503"/>
    <row r="504"/>
    <row r="505"/>
    <row r="506"/>
    <row r="507"/>
    <row r="508"/>
    <row r="509"/>
    <row r="510"/>
    <row r="511"/>
    <row r="512"/>
    <row r="513"/>
    <row r="514"/>
    <row r="515"/>
    <row r="516"/>
    <row r="517"/>
    <row r="518"/>
    <row r="519"/>
    <row r="520"/>
    <row r="521"/>
    <row r="522"/>
    <row r="523"/>
    <row r="524"/>
    <row r="525"/>
    <row r="526"/>
    <row r="527"/>
    <row r="528"/>
    <row r="529"/>
    <row r="530"/>
    <row r="531"/>
    <row r="532"/>
    <row r="533"/>
    <row r="534"/>
    <row r="535"/>
    <row r="536"/>
    <row r="537"/>
    <row r="538"/>
    <row r="539"/>
    <row r="540"/>
    <row r="541"/>
    <row r="542"/>
    <row r="543"/>
    <row r="544"/>
    <row r="545"/>
    <row r="546"/>
    <row r="547"/>
    <row r="548"/>
    <row r="549"/>
    <row r="550"/>
    <row r="551"/>
    <row r="552"/>
    <row r="553"/>
    <row r="554"/>
    <row r="555"/>
    <row r="556"/>
    <row r="557"/>
    <row r="558"/>
    <row r="559"/>
    <row r="560"/>
    <row r="561"/>
    <row r="562"/>
    <row r="563"/>
    <row r="564"/>
    <row r="565"/>
    <row r="566"/>
    <row r="567"/>
    <row r="568"/>
    <row r="569"/>
    <row r="570"/>
    <row r="571"/>
    <row r="572"/>
    <row r="573"/>
    <row r="574"/>
    <row r="575"/>
    <row r="576"/>
    <row r="577"/>
    <row r="578"/>
    <row r="579"/>
    <row r="580"/>
    <row r="581"/>
    <row r="582"/>
    <row r="583"/>
    <row r="584"/>
    <row r="585"/>
    <row r="586"/>
    <row r="587"/>
    <row r="588"/>
    <row r="589"/>
    <row r="590"/>
    <row r="591"/>
    <row r="592"/>
    <row r="593"/>
    <row r="594"/>
    <row r="595"/>
    <row r="596"/>
    <row r="597"/>
    <row r="598"/>
    <row r="599"/>
    <row r="600"/>
    <row r="601"/>
    <row r="602"/>
    <row r="603"/>
    <row r="604"/>
    <row r="605"/>
    <row r="606"/>
    <row r="607"/>
    <row r="608"/>
    <row r="609"/>
    <row r="610"/>
    <row r="611"/>
    <row r="612"/>
    <row r="613"/>
    <row r="614"/>
    <row r="615"/>
    <row r="616"/>
    <row r="617"/>
    <row r="618"/>
    <row r="619"/>
    <row r="620"/>
    <row r="621"/>
    <row r="622"/>
    <row r="623"/>
    <row r="624"/>
    <row r="625"/>
    <row r="626"/>
    <row r="627"/>
    <row r="628"/>
    <row r="629"/>
    <row r="630"/>
    <row r="631"/>
    <row r="632"/>
    <row r="633"/>
    <row r="634"/>
    <row r="635"/>
    <row r="636"/>
    <row r="637"/>
    <row r="638"/>
    <row r="639"/>
    <row r="640"/>
    <row r="641"/>
    <row r="642"/>
    <row r="643"/>
    <row r="644"/>
    <row r="645"/>
    <row r="646"/>
    <row r="647"/>
    <row r="648"/>
    <row r="649"/>
    <row r="650"/>
    <row r="651"/>
    <row r="652"/>
    <row r="653"/>
    <row r="654"/>
    <row r="655"/>
    <row r="656"/>
    <row r="657"/>
    <row r="658"/>
    <row r="659"/>
    <row r="660"/>
    <row r="661"/>
    <row r="662"/>
    <row r="663"/>
    <row r="664"/>
    <row r="665"/>
    <row r="666"/>
    <row r="667"/>
    <row r="668"/>
    <row r="669"/>
    <row r="670"/>
    <row r="671"/>
    <row r="672"/>
    <row r="673"/>
    <row r="674"/>
    <row r="675"/>
    <row r="676"/>
    <row r="677"/>
    <row r="678"/>
    <row r="679"/>
    <row r="680"/>
    <row r="681"/>
    <row r="682"/>
    <row r="683"/>
    <row r="684"/>
    <row r="685"/>
    <row r="686"/>
    <row r="687"/>
    <row r="688"/>
    <row r="689"/>
    <row r="690"/>
    <row r="691"/>
    <row r="692"/>
    <row r="693"/>
    <row r="694"/>
    <row r="695"/>
    <row r="696"/>
    <row r="697"/>
    <row r="698"/>
    <row r="699"/>
    <row r="700"/>
    <row r="701"/>
    <row r="702"/>
    <row r="703"/>
    <row r="704"/>
    <row r="705"/>
    <row r="706"/>
    <row r="707"/>
    <row r="708"/>
    <row r="709"/>
    <row r="710"/>
    <row r="711"/>
    <row r="712"/>
    <row r="713"/>
    <row r="714"/>
    <row r="715"/>
    <row r="716"/>
    <row r="717"/>
    <row r="718"/>
    <row r="719"/>
    <row r="720"/>
    <row r="721"/>
    <row r="722"/>
    <row r="723"/>
    <row r="724"/>
    <row r="725"/>
    <row r="726"/>
    <row r="727"/>
    <row r="728"/>
    <row r="729"/>
    <row r="730"/>
    <row r="731"/>
    <row r="732"/>
    <row r="733"/>
    <row r="734"/>
    <row r="735"/>
    <row r="736"/>
    <row r="737"/>
    <row r="738"/>
    <row r="739"/>
    <row r="740"/>
    <row r="741"/>
    <row r="742"/>
    <row r="743"/>
    <row r="744"/>
    <row r="745"/>
    <row r="746"/>
    <row r="747"/>
    <row r="748"/>
    <row r="749"/>
    <row r="750"/>
    <row r="751"/>
    <row r="752"/>
    <row r="753"/>
    <row r="754"/>
    <row r="755"/>
    <row r="756"/>
    <row r="757"/>
    <row r="758"/>
    <row r="759"/>
    <row r="760"/>
    <row r="761"/>
    <row r="762"/>
    <row r="763"/>
    <row r="764"/>
    <row r="765"/>
    <row r="766"/>
    <row r="767"/>
    <row r="768"/>
    <row r="769"/>
    <row r="770"/>
    <row r="771"/>
    <row r="772"/>
    <row r="773"/>
    <row r="774"/>
    <row r="775"/>
    <row r="776"/>
    <row r="777"/>
    <row r="778"/>
    <row r="779"/>
    <row r="780"/>
    <row r="781"/>
    <row r="782"/>
    <row r="783"/>
    <row r="784"/>
    <row r="785"/>
    <row r="786"/>
    <row r="787"/>
    <row r="788"/>
    <row r="789"/>
    <row r="790"/>
    <row r="791"/>
    <row r="792"/>
    <row r="793"/>
    <row r="794"/>
    <row r="795"/>
    <row r="796"/>
    <row r="797"/>
    <row r="798"/>
    <row r="799"/>
    <row r="800"/>
    <row r="801"/>
    <row r="802"/>
    <row r="803"/>
    <row r="804"/>
    <row r="805"/>
    <row r="806"/>
    <row r="807"/>
    <row r="808"/>
    <row r="809"/>
    <row r="810"/>
    <row r="811"/>
    <row r="812"/>
    <row r="813"/>
    <row r="814"/>
    <row r="815"/>
    <row r="816"/>
    <row r="817"/>
    <row r="818"/>
    <row r="819"/>
    <row r="820"/>
    <row r="821"/>
    <row r="822"/>
    <row r="823"/>
    <row r="824"/>
    <row r="825"/>
    <row r="826"/>
    <row r="827"/>
    <row r="828"/>
    <row r="829"/>
    <row r="830"/>
    <row r="831"/>
    <row r="832"/>
    <row r="833"/>
    <row r="834"/>
    <row r="835"/>
    <row r="836"/>
    <row r="837"/>
    <row r="838"/>
    <row r="839"/>
    <row r="840"/>
    <row r="841"/>
    <row r="842"/>
    <row r="843"/>
    <row r="844"/>
    <row r="845"/>
    <row r="846"/>
    <row r="847"/>
    <row r="848"/>
    <row r="849"/>
    <row r="850"/>
    <row r="851"/>
    <row r="852"/>
    <row r="853"/>
    <row r="854"/>
    <row r="855"/>
    <row r="856"/>
    <row r="857"/>
    <row r="858"/>
    <row r="859"/>
    <row r="860"/>
    <row r="861"/>
    <row r="862"/>
    <row r="863"/>
    <row r="864"/>
    <row r="865"/>
    <row r="866"/>
    <row r="867"/>
    <row r="868"/>
    <row r="869"/>
    <row r="870"/>
    <row r="871"/>
    <row r="872"/>
    <row r="873"/>
    <row r="874"/>
    <row r="875"/>
    <row r="876"/>
    <row r="877"/>
    <row r="878"/>
    <row r="879"/>
    <row r="880"/>
    <row r="881"/>
    <row r="882"/>
    <row r="883"/>
    <row r="884"/>
    <row r="885"/>
    <row r="886"/>
    <row r="887"/>
    <row r="888"/>
    <row r="889"/>
    <row r="890"/>
    <row r="891"/>
    <row r="892"/>
    <row r="893"/>
    <row r="894"/>
    <row r="895"/>
    <row r="896"/>
    <row r="897"/>
    <row r="898"/>
    <row r="899"/>
    <row r="900"/>
    <row r="901"/>
    <row r="902"/>
    <row r="903"/>
    <row r="904"/>
    <row r="905"/>
    <row r="906"/>
    <row r="907"/>
    <row r="908"/>
    <row r="909"/>
    <row r="910"/>
    <row r="911"/>
    <row r="912"/>
    <row r="913"/>
    <row r="914"/>
    <row r="915"/>
    <row r="916"/>
    <row r="917"/>
    <row r="918"/>
    <row r="919"/>
    <row r="920"/>
    <row r="921"/>
    <row r="922"/>
    <row r="923"/>
    <row r="924"/>
    <row r="925"/>
    <row r="926"/>
    <row r="927"/>
    <row r="928"/>
    <row r="929"/>
    <row r="930"/>
    <row r="931"/>
    <row r="932"/>
    <row r="933"/>
    <row r="934"/>
    <row r="935"/>
    <row r="936"/>
    <row r="937"/>
    <row r="938"/>
    <row r="939"/>
    <row r="940"/>
    <row r="941"/>
    <row r="942"/>
    <row r="943"/>
    <row r="944"/>
    <row r="945"/>
    <row r="946"/>
    <row r="947"/>
    <row r="948"/>
    <row r="949"/>
    <row r="950"/>
    <row r="951"/>
    <row r="952"/>
    <row r="953"/>
    <row r="954"/>
    <row r="955"/>
    <row r="956"/>
    <row r="957"/>
    <row r="958"/>
    <row r="959"/>
    <row r="960"/>
    <row r="961"/>
    <row r="962"/>
    <row r="963"/>
    <row r="964"/>
    <row r="965"/>
    <row r="966"/>
    <row r="967"/>
    <row r="968"/>
    <row r="969"/>
    <row r="970"/>
    <row r="971"/>
    <row r="972"/>
    <row r="973"/>
    <row r="974"/>
    <row r="975"/>
    <row r="976"/>
    <row r="977"/>
    <row r="978"/>
    <row r="979"/>
    <row r="980"/>
    <row r="981"/>
    <row r="982"/>
    <row r="983"/>
    <row r="984"/>
    <row r="985"/>
    <row r="986"/>
    <row r="987"/>
    <row r="988"/>
    <row r="989"/>
    <row r="990"/>
    <row r="991"/>
    <row r="992"/>
    <row r="993"/>
    <row r="994"/>
    <row r="995"/>
    <row r="996"/>
    <row r="997"/>
    <row r="998"/>
    <row r="999"/>
    <row r="1000"/>
    <row r="1001"/>
    <row r="1002"/>
    <row r="1003"/>
    <row r="1004"/>
    <row r="1005"/>
    <row r="1006"/>
    <row r="1007"/>
    <row r="1008"/>
    <row r="1009"/>
    <row r="1010"/>
    <row r="1011"/>
    <row r="1012"/>
    <row r="1013"/>
    <row r="1014"/>
    <row r="1015"/>
    <row r="1016"/>
    <row r="1017"/>
    <row r="1018"/>
    <row r="1019"/>
    <row r="1020"/>
    <row r="1021"/>
    <row r="1022"/>
    <row r="1023"/>
    <row r="1024"/>
    <row r="1025"/>
    <row r="1026"/>
    <row r="1027"/>
    <row r="1028"/>
    <row r="1029"/>
    <row r="1030"/>
    <row r="1031"/>
    <row r="1032"/>
    <row r="1033"/>
    <row r="1034"/>
    <row r="1035"/>
    <row r="1036"/>
    <row r="1037"/>
    <row r="1038"/>
    <row r="1039"/>
    <row r="1040"/>
    <row r="1041"/>
    <row r="1042"/>
    <row r="1043"/>
    <row r="1044"/>
    <row r="1045"/>
    <row r="1046"/>
    <row r="1047"/>
    <row r="1048"/>
    <row r="1049"/>
    <row r="1050"/>
    <row r="1051"/>
    <row r="1052"/>
    <row r="1053"/>
    <row r="1054"/>
    <row r="1055"/>
    <row r="1056"/>
    <row r="1057"/>
    <row r="1058"/>
    <row r="1059"/>
    <row r="1060"/>
    <row r="1061"/>
    <row r="1062"/>
    <row r="1063"/>
    <row r="1064"/>
    <row r="1065"/>
    <row r="1066"/>
    <row r="1067"/>
    <row r="1068"/>
    <row r="1069"/>
    <row r="1070"/>
    <row r="1071"/>
    <row r="1072"/>
    <row r="1073"/>
    <row r="1074"/>
    <row r="1075"/>
    <row r="1076"/>
    <row r="1077"/>
    <row r="1078"/>
    <row r="1079"/>
    <row r="1080"/>
    <row r="1081"/>
    <row r="1082"/>
    <row r="1083"/>
    <row r="1084"/>
    <row r="1085"/>
    <row r="1086"/>
    <row r="1087"/>
    <row r="1088"/>
    <row r="1089"/>
    <row r="1090"/>
    <row r="1091"/>
    <row r="1092"/>
    <row r="1093"/>
    <row r="1094"/>
    <row r="1095"/>
    <row r="1096"/>
    <row r="1097"/>
    <row r="1098"/>
    <row r="1099"/>
    <row r="1100"/>
    <row r="1101"/>
    <row r="1102"/>
    <row r="1103"/>
    <row r="1104"/>
    <row r="1105"/>
    <row r="1106"/>
    <row r="1107"/>
    <row r="1108"/>
    <row r="1109"/>
    <row r="1110"/>
    <row r="1111"/>
    <row r="1112"/>
    <row r="1113"/>
    <row r="1114"/>
    <row r="1115"/>
    <row r="1116"/>
    <row r="1117"/>
    <row r="1118"/>
    <row r="1119"/>
    <row r="1120"/>
    <row r="1121"/>
    <row r="1122"/>
    <row r="1123"/>
    <row r="1124"/>
    <row r="1125"/>
    <row r="1126"/>
    <row r="1127"/>
    <row r="1128"/>
    <row r="1129"/>
    <row r="1130"/>
    <row r="1131"/>
    <row r="1132"/>
    <row r="1133"/>
    <row r="1134"/>
    <row r="1135"/>
    <row r="1136"/>
    <row r="1137"/>
    <row r="1138"/>
    <row r="1139"/>
    <row r="1140"/>
    <row r="1141"/>
    <row r="1142"/>
    <row r="1143"/>
    <row r="1144"/>
    <row r="1145"/>
    <row r="1146"/>
    <row r="1147"/>
    <row r="1148"/>
    <row r="1149"/>
    <row r="1150"/>
    <row r="1151"/>
    <row r="1152"/>
    <row r="1153"/>
    <row r="1154"/>
    <row r="1155"/>
    <row r="1156"/>
    <row r="1157"/>
    <row r="1158"/>
    <row r="1159"/>
    <row r="1160"/>
    <row r="1161"/>
    <row r="1162"/>
    <row r="1163"/>
    <row r="1164"/>
    <row r="1165"/>
    <row r="1166"/>
    <row r="1167"/>
    <row r="1168"/>
    <row r="1169"/>
    <row r="1170"/>
    <row r="1171"/>
    <row r="1172"/>
    <row r="1173"/>
    <row r="1174"/>
    <row r="1175"/>
    <row r="1176"/>
    <row r="1177"/>
    <row r="1178"/>
    <row r="1179"/>
    <row r="1180"/>
    <row r="1181"/>
    <row r="1182"/>
    <row r="1183"/>
    <row r="1184"/>
    <row r="1185"/>
    <row r="1186"/>
    <row r="1187"/>
    <row r="1188"/>
    <row r="1189"/>
    <row r="1190"/>
    <row r="1191"/>
    <row r="1192"/>
    <row r="1193"/>
    <row r="1194"/>
    <row r="1195"/>
    <row r="1196"/>
    <row r="1197"/>
    <row r="1198"/>
    <row r="1199"/>
    <row r="1200"/>
    <row r="1201"/>
    <row r="1202"/>
    <row r="1203"/>
    <row r="1204"/>
    <row r="1205"/>
    <row r="1206"/>
    <row r="1207"/>
    <row r="1208"/>
    <row r="1209"/>
    <row r="1210"/>
    <row r="1211"/>
    <row r="1212"/>
    <row r="1213"/>
    <row r="1214"/>
    <row r="1215"/>
    <row r="1216"/>
    <row r="1217"/>
    <row r="1218"/>
    <row r="1219"/>
    <row r="1220"/>
    <row r="1221"/>
    <row r="1222"/>
    <row r="1223"/>
    <row r="1224"/>
    <row r="1225"/>
    <row r="1226"/>
    <row r="1227"/>
    <row r="1228"/>
    <row r="1229"/>
    <row r="1230"/>
    <row r="1231"/>
    <row r="1232"/>
    <row r="1233"/>
    <row r="1234"/>
    <row r="1235"/>
    <row r="1236"/>
    <row r="1237"/>
    <row r="1238"/>
    <row r="1239"/>
    <row r="1240"/>
    <row r="1241"/>
    <row r="1242"/>
    <row r="1243"/>
    <row r="1244"/>
    <row r="1245"/>
    <row r="1246"/>
    <row r="1247"/>
    <row r="1248"/>
    <row r="1249"/>
    <row r="1250"/>
    <row r="1251"/>
    <row r="1252"/>
    <row r="1253"/>
    <row r="1254"/>
    <row r="1255"/>
    <row r="1256"/>
    <row r="1257"/>
    <row r="1258"/>
    <row r="1259"/>
    <row r="1260"/>
    <row r="1261"/>
    <row r="1262"/>
    <row r="1263"/>
    <row r="1264"/>
    <row r="1265"/>
    <row r="1266"/>
    <row r="1267"/>
    <row r="1268"/>
    <row r="1269"/>
    <row r="1270"/>
    <row r="1271"/>
    <row r="1272"/>
    <row r="1273"/>
    <row r="1274"/>
    <row r="1275"/>
    <row r="1276"/>
    <row r="1277"/>
    <row r="1278"/>
    <row r="1279"/>
    <row r="1280"/>
    <row r="1281"/>
    <row r="1282"/>
    <row r="1283"/>
    <row r="1284"/>
    <row r="1285"/>
    <row r="1286"/>
    <row r="1287"/>
    <row r="1288"/>
    <row r="1289"/>
    <row r="1290"/>
    <row r="1291"/>
    <row r="1292"/>
    <row r="1293"/>
    <row r="1294"/>
    <row r="1295"/>
    <row r="1296"/>
    <row r="1297"/>
    <row r="1298"/>
    <row r="1299"/>
    <row r="1300"/>
    <row r="1301"/>
    <row r="1302"/>
    <row r="1303"/>
    <row r="1304"/>
    <row r="1305"/>
    <row r="1306"/>
    <row r="1307"/>
    <row r="1308"/>
    <row r="1309"/>
    <row r="1310"/>
    <row r="1311"/>
    <row r="1312"/>
    <row r="1313"/>
    <row r="1314"/>
    <row r="1315"/>
    <row r="1316"/>
    <row r="1317"/>
    <row r="1318"/>
    <row r="1319"/>
    <row r="1320"/>
    <row r="1321"/>
    <row r="1322"/>
    <row r="1323"/>
    <row r="1324"/>
    <row r="1325"/>
    <row r="1326"/>
    <row r="1327"/>
    <row r="1328"/>
    <row r="1329"/>
    <row r="1330"/>
    <row r="1331"/>
    <row r="1332"/>
    <row r="1333"/>
    <row r="1334"/>
    <row r="1335"/>
    <row r="1336"/>
    <row r="1337"/>
    <row r="1338"/>
    <row r="1339"/>
    <row r="1340"/>
    <row r="1341"/>
    <row r="1342"/>
    <row r="1343"/>
    <row r="1344"/>
    <row r="1345"/>
    <row r="1346"/>
    <row r="1347"/>
    <row r="1348"/>
    <row r="1349"/>
    <row r="1350"/>
    <row r="1351"/>
    <row r="1352"/>
    <row r="1353"/>
    <row r="1354"/>
    <row r="1355"/>
    <row r="1356"/>
    <row r="1357"/>
    <row r="1358"/>
    <row r="1359"/>
    <row r="1360"/>
    <row r="1361"/>
    <row r="1362"/>
    <row r="1363"/>
    <row r="1364"/>
    <row r="1365"/>
    <row r="1366"/>
    <row r="1367"/>
    <row r="1368"/>
    <row r="1369"/>
    <row r="1370"/>
    <row r="1371"/>
    <row r="1372"/>
    <row r="1373"/>
    <row r="1374"/>
    <row r="1375"/>
    <row r="1376"/>
    <row r="1377"/>
    <row r="1378"/>
    <row r="1379"/>
    <row r="1380"/>
    <row r="1381"/>
    <row r="1382"/>
    <row r="1383"/>
    <row r="1384"/>
    <row r="1385"/>
    <row r="1386"/>
    <row r="1387"/>
    <row r="1388"/>
    <row r="1389"/>
    <row r="1390"/>
    <row r="1391"/>
    <row r="1392"/>
    <row r="1393"/>
    <row r="1394"/>
    <row r="1395"/>
    <row r="1396"/>
    <row r="1397"/>
    <row r="1398"/>
    <row r="1399"/>
    <row r="1400"/>
    <row r="1401"/>
    <row r="1402"/>
    <row r="1403"/>
    <row r="1404"/>
    <row r="1405"/>
    <row r="1406"/>
    <row r="1407"/>
    <row r="1408"/>
    <row r="1409"/>
    <row r="1410"/>
    <row r="1411"/>
    <row r="1412"/>
    <row r="1413"/>
    <row r="1414"/>
    <row r="1415"/>
    <row r="1416"/>
    <row r="1417"/>
    <row r="1418"/>
    <row r="1419"/>
    <row r="1420"/>
    <row r="1421"/>
    <row r="1422"/>
    <row r="1423"/>
    <row r="1424"/>
    <row r="1425"/>
    <row r="1426"/>
    <row r="1427"/>
    <row r="1428"/>
    <row r="1429"/>
    <row r="1430"/>
    <row r="1431"/>
    <row r="1432"/>
    <row r="1433"/>
    <row r="1434"/>
    <row r="1435"/>
    <row r="1436"/>
    <row r="1437"/>
    <row r="1438"/>
    <row r="1439"/>
    <row r="1440"/>
    <row r="1441"/>
    <row r="1442"/>
    <row r="1443"/>
    <row r="1444"/>
    <row r="1445"/>
    <row r="1446"/>
    <row r="1447"/>
    <row r="1448"/>
    <row r="1449"/>
    <row r="1450"/>
    <row r="1451"/>
    <row r="1452"/>
    <row r="1453"/>
    <row r="1454"/>
    <row r="1455"/>
    <row r="1456"/>
    <row r="1457"/>
    <row r="1458"/>
    <row r="1459"/>
    <row r="1460"/>
    <row r="1461"/>
    <row r="1462"/>
    <row r="1463"/>
    <row r="1464"/>
    <row r="1465"/>
    <row r="1466"/>
    <row r="1467"/>
    <row r="1468"/>
    <row r="1469"/>
    <row r="1470"/>
    <row r="1471"/>
    <row r="1472"/>
    <row r="1473"/>
    <row r="1474"/>
    <row r="1475"/>
    <row r="1476"/>
    <row r="1477"/>
    <row r="1478"/>
    <row r="1479"/>
    <row r="1480"/>
    <row r="1481"/>
    <row r="1482"/>
    <row r="1483"/>
    <row r="1484"/>
    <row r="1485"/>
    <row r="1486"/>
    <row r="1487"/>
    <row r="1488"/>
    <row r="1489"/>
    <row r="1490"/>
    <row r="1491"/>
    <row r="1492"/>
    <row r="1493"/>
    <row r="1494"/>
    <row r="1495"/>
    <row r="1496"/>
    <row r="1497"/>
    <row r="1498"/>
    <row r="1499"/>
    <row r="1500"/>
    <row r="1501"/>
    <row r="1502"/>
    <row r="1503"/>
    <row r="1504"/>
    <row r="1505"/>
    <row r="1506"/>
    <row r="1507"/>
    <row r="1508"/>
    <row r="1509"/>
    <row r="1510"/>
    <row r="1511"/>
    <row r="1512"/>
    <row r="1513"/>
    <row r="1514"/>
    <row r="1515"/>
    <row r="1516"/>
    <row r="1517"/>
    <row r="1518"/>
    <row r="1519"/>
    <row r="1520"/>
    <row r="1521"/>
    <row r="1522"/>
    <row r="1523"/>
    <row r="1524"/>
    <row r="1525"/>
    <row r="1526"/>
    <row r="1527"/>
    <row r="1528"/>
    <row r="1529"/>
    <row r="1530"/>
    <row r="1531"/>
    <row r="1532"/>
    <row r="1533"/>
    <row r="1534"/>
    <row r="1535"/>
    <row r="1536"/>
    <row r="1537"/>
    <row r="1538"/>
    <row r="1539"/>
    <row r="1540"/>
    <row r="1541"/>
    <row r="1542"/>
    <row r="1543"/>
    <row r="1544"/>
    <row r="1545"/>
    <row r="1546"/>
    <row r="1547"/>
    <row r="1548"/>
    <row r="1549"/>
    <row r="1550"/>
    <row r="1551"/>
    <row r="1552"/>
    <row r="1553"/>
    <row r="1554"/>
    <row r="1555"/>
    <row r="1556"/>
    <row r="1557"/>
    <row r="1558"/>
    <row r="1559"/>
    <row r="1560"/>
    <row r="1561"/>
    <row r="1562"/>
    <row r="1563"/>
    <row r="1564"/>
    <row r="1565"/>
    <row r="1566"/>
    <row r="1567"/>
    <row r="1568"/>
    <row r="1569"/>
    <row r="1570"/>
    <row r="1571"/>
    <row r="1572"/>
    <row r="1573"/>
    <row r="1574"/>
    <row r="1575"/>
    <row r="1576"/>
    <row r="1577"/>
    <row r="1578"/>
    <row r="1579"/>
    <row r="1580"/>
    <row r="1581"/>
    <row r="1582"/>
    <row r="1583"/>
    <row r="1584"/>
    <row r="1585"/>
    <row r="1586"/>
    <row r="1587"/>
    <row r="1588"/>
    <row r="1589"/>
    <row r="1590"/>
    <row r="1591"/>
    <row r="1592"/>
    <row r="1593"/>
    <row r="1594"/>
    <row r="1595"/>
    <row r="1596"/>
    <row r="1597"/>
    <row r="1598"/>
    <row r="1599"/>
    <row r="1600"/>
    <row r="1601"/>
    <row r="1602"/>
    <row r="1603"/>
    <row r="1604"/>
    <row r="1605"/>
    <row r="1606"/>
    <row r="1607"/>
    <row r="1608"/>
    <row r="1609"/>
    <row r="1610"/>
    <row r="1611"/>
    <row r="1612"/>
    <row r="1613"/>
    <row r="1614"/>
    <row r="1615"/>
    <row r="1616"/>
    <row r="1617"/>
    <row r="1618"/>
    <row r="1619"/>
    <row r="1620"/>
    <row r="1621"/>
    <row r="1622"/>
    <row r="1623"/>
    <row r="1624"/>
    <row r="1625"/>
    <row r="1626"/>
    <row r="1627"/>
    <row r="1628"/>
    <row r="1629"/>
    <row r="1630"/>
    <row r="1631"/>
    <row r="1632"/>
    <row r="1633"/>
    <row r="1634"/>
    <row r="1635"/>
    <row r="1636"/>
    <row r="1637"/>
    <row r="1638"/>
    <row r="1639"/>
    <row r="1640"/>
    <row r="1641"/>
    <row r="1642"/>
    <row r="1643"/>
    <row r="1644"/>
    <row r="1645"/>
    <row r="1646"/>
    <row r="1647"/>
    <row r="1648"/>
    <row r="1649"/>
    <row r="1650"/>
    <row r="1651"/>
    <row r="1652"/>
    <row r="1653"/>
    <row r="1654"/>
    <row r="1655"/>
    <row r="1656"/>
    <row r="1657"/>
    <row r="1658"/>
    <row r="1659"/>
    <row r="1660"/>
    <row r="1661"/>
    <row r="1662"/>
    <row r="1663"/>
    <row r="1664"/>
    <row r="1665"/>
    <row r="1666"/>
    <row r="1667"/>
    <row r="1668"/>
    <row r="1669"/>
    <row r="1670"/>
    <row r="1671"/>
    <row r="1672"/>
    <row r="1673"/>
    <row r="1674"/>
    <row r="1675"/>
    <row r="1676"/>
    <row r="1677"/>
    <row r="1678"/>
    <row r="1679"/>
    <row r="1680"/>
    <row r="1681"/>
    <row r="1682"/>
    <row r="1683"/>
    <row r="1684"/>
    <row r="1685"/>
    <row r="1686"/>
    <row r="1687"/>
    <row r="1688"/>
    <row r="1689"/>
    <row r="1690"/>
    <row r="1691"/>
    <row r="1692"/>
    <row r="1693"/>
    <row r="1694"/>
    <row r="1695"/>
    <row r="1696"/>
    <row r="1697"/>
    <row r="1698"/>
    <row r="1699"/>
    <row r="1700"/>
    <row r="1701"/>
    <row r="1702"/>
    <row r="1703"/>
    <row r="1704"/>
    <row r="1705"/>
    <row r="1706"/>
    <row r="1707"/>
    <row r="1708"/>
    <row r="1709"/>
    <row r="1710"/>
    <row r="1711"/>
    <row r="1712"/>
    <row r="1713"/>
    <row r="1714"/>
    <row r="1715"/>
    <row r="1716"/>
    <row r="1717"/>
    <row r="1718"/>
    <row r="1719"/>
    <row r="1720"/>
    <row r="1721"/>
    <row r="1722"/>
    <row r="1723"/>
    <row r="1724"/>
    <row r="1725"/>
    <row r="1726"/>
    <row r="1727"/>
    <row r="1728"/>
    <row r="1729"/>
    <row r="1730"/>
    <row r="1731"/>
    <row r="1732"/>
    <row r="1733"/>
    <row r="1734"/>
    <row r="1735"/>
    <row r="1736"/>
    <row r="1737"/>
    <row r="1738"/>
    <row r="1739"/>
    <row r="1740"/>
    <row r="1741"/>
    <row r="1742"/>
    <row r="1743"/>
    <row r="1744"/>
    <row r="1745"/>
    <row r="1746"/>
    <row r="1747"/>
    <row r="1748"/>
    <row r="1749"/>
    <row r="1750"/>
    <row r="1751"/>
    <row r="1752"/>
    <row r="1753"/>
    <row r="1754"/>
    <row r="1755"/>
    <row r="1756"/>
    <row r="1757"/>
    <row r="1758"/>
    <row r="1759"/>
    <row r="1760"/>
    <row r="1761"/>
    <row r="1762"/>
    <row r="1763"/>
    <row r="1764"/>
    <row r="1765"/>
    <row r="1766"/>
    <row r="1767"/>
    <row r="1768"/>
    <row r="1769"/>
    <row r="1770"/>
    <row r="1771"/>
    <row r="1772"/>
    <row r="1773"/>
    <row r="1774"/>
    <row r="1775"/>
    <row r="1776"/>
    <row r="1777"/>
    <row r="1778"/>
    <row r="1779"/>
    <row r="1780"/>
    <row r="1781"/>
    <row r="1782"/>
    <row r="1783"/>
    <row r="1784"/>
    <row r="1785"/>
    <row r="1786"/>
    <row r="1787"/>
    <row r="1788"/>
    <row r="1789"/>
    <row r="1790"/>
    <row r="1791"/>
    <row r="1792"/>
    <row r="1793"/>
    <row r="1794"/>
    <row r="1795"/>
    <row r="1796"/>
    <row r="1797"/>
    <row r="1798"/>
    <row r="1799"/>
    <row r="1800"/>
    <row r="1801"/>
    <row r="1802"/>
    <row r="1803"/>
    <row r="1804"/>
    <row r="1805"/>
    <row r="1806"/>
    <row r="1807"/>
    <row r="1808"/>
    <row r="1809"/>
    <row r="1810"/>
    <row r="1811"/>
    <row r="1812"/>
    <row r="1813"/>
    <row r="1814"/>
    <row r="1815"/>
    <row r="1816"/>
    <row r="1817"/>
    <row r="1818"/>
    <row r="1819"/>
    <row r="1820"/>
    <row r="1821"/>
    <row r="1822"/>
    <row r="1823"/>
    <row r="1824"/>
    <row r="1825"/>
    <row r="1826"/>
    <row r="1827"/>
    <row r="1828"/>
    <row r="1829"/>
    <row r="1830"/>
    <row r="1831"/>
    <row r="1832"/>
    <row r="1833"/>
    <row r="1834"/>
    <row r="1835"/>
    <row r="1836"/>
    <row r="1837"/>
    <row r="1838"/>
    <row r="1839"/>
    <row r="1840"/>
    <row r="1841"/>
    <row r="1842"/>
    <row r="1843"/>
    <row r="1844"/>
    <row r="1845"/>
    <row r="1846"/>
    <row r="1847"/>
    <row r="1848"/>
    <row r="1849"/>
    <row r="1850"/>
    <row r="1851"/>
    <row r="1852"/>
    <row r="1853"/>
    <row r="1854"/>
    <row r="1855"/>
    <row r="1856"/>
    <row r="1857"/>
    <row r="1858"/>
    <row r="1859"/>
    <row r="1860"/>
    <row r="1861"/>
    <row r="1862"/>
    <row r="1863"/>
    <row r="1864"/>
    <row r="1865"/>
    <row r="1866"/>
    <row r="1867"/>
    <row r="1868"/>
    <row r="1869"/>
    <row r="1870"/>
    <row r="1871"/>
    <row r="1872"/>
    <row r="1873"/>
    <row r="1874"/>
    <row r="1875"/>
    <row r="1876"/>
    <row r="1877"/>
    <row r="1878"/>
    <row r="1879"/>
    <row r="1880"/>
    <row r="1881"/>
    <row r="1882"/>
    <row r="1883"/>
    <row r="1884"/>
    <row r="1885"/>
    <row r="1886"/>
    <row r="1887"/>
    <row r="1888"/>
    <row r="1889"/>
    <row r="1890"/>
    <row r="1891"/>
    <row r="1892"/>
    <row r="1893"/>
    <row r="1894"/>
    <row r="1895"/>
    <row r="1896"/>
    <row r="1897"/>
    <row r="1898"/>
    <row r="1899"/>
    <row r="1900"/>
    <row r="1901"/>
    <row r="1902"/>
    <row r="1903"/>
    <row r="1904"/>
    <row r="1905"/>
    <row r="1906"/>
    <row r="1907"/>
    <row r="1908"/>
    <row r="1909"/>
    <row r="1910"/>
    <row r="1911"/>
    <row r="1912"/>
    <row r="1913"/>
    <row r="1914"/>
    <row r="1915"/>
    <row r="1916"/>
    <row r="1917"/>
    <row r="1918"/>
    <row r="1919"/>
    <row r="1920"/>
    <row r="1921"/>
    <row r="1922"/>
    <row r="1923"/>
    <row r="1924"/>
    <row r="1925"/>
    <row r="1926"/>
    <row r="1927"/>
    <row r="1928"/>
    <row r="1929"/>
    <row r="1930"/>
    <row r="1931"/>
    <row r="1932"/>
    <row r="1933"/>
    <row r="1934"/>
    <row r="1935"/>
    <row r="1936"/>
    <row r="1937"/>
    <row r="1938"/>
    <row r="1939"/>
    <row r="1940"/>
    <row r="1941"/>
    <row r="1942"/>
    <row r="1943"/>
    <row r="1944"/>
    <row r="1945"/>
    <row r="1946"/>
    <row r="1947"/>
    <row r="1948"/>
    <row r="1949"/>
    <row r="1950"/>
    <row r="1951"/>
    <row r="1952"/>
    <row r="1953"/>
    <row r="1954"/>
    <row r="1955"/>
    <row r="1956"/>
    <row r="1957"/>
    <row r="1958"/>
    <row r="1959"/>
    <row r="1960"/>
    <row r="1961"/>
    <row r="1962"/>
    <row r="1963"/>
    <row r="1964"/>
    <row r="1965"/>
    <row r="1966"/>
    <row r="1967"/>
    <row r="1968"/>
    <row r="1969"/>
    <row r="1970"/>
    <row r="1971"/>
    <row r="1972"/>
    <row r="1973"/>
    <row r="1974"/>
    <row r="1975"/>
    <row r="1976"/>
    <row r="1977"/>
    <row r="1978"/>
    <row r="1979"/>
    <row r="1980"/>
    <row r="1981"/>
    <row r="1982"/>
    <row r="1983"/>
    <row r="1984"/>
    <row r="1985"/>
    <row r="1986"/>
    <row r="1987"/>
    <row r="1988"/>
    <row r="1989"/>
    <row r="1990"/>
    <row r="1991"/>
    <row r="1992"/>
    <row r="1993"/>
    <row r="1994"/>
    <row r="1995"/>
    <row r="1996"/>
    <row r="1997"/>
    <row r="1998"/>
    <row r="1999"/>
    <row r="2000"/>
    <row r="2001"/>
    <row r="2002"/>
    <row r="2003"/>
    <row r="2004"/>
    <row r="2005"/>
    <row r="2006"/>
    <row r="2007"/>
    <row r="2008"/>
    <row r="2009"/>
    <row r="2010"/>
    <row r="2011"/>
    <row r="2012"/>
    <row r="2013"/>
    <row r="2014"/>
    <row r="2015"/>
    <row r="2016"/>
    <row r="2017"/>
    <row r="2018"/>
    <row r="2019"/>
    <row r="2020"/>
    <row r="2021"/>
    <row r="2022"/>
    <row r="2023"/>
    <row r="2024"/>
    <row r="2025"/>
    <row r="2026"/>
    <row r="2027"/>
    <row r="2028"/>
    <row r="2029"/>
    <row r="2030"/>
    <row r="2031"/>
    <row r="2032"/>
    <row r="2033"/>
    <row r="2034"/>
    <row r="2035"/>
    <row r="2036"/>
    <row r="2037"/>
    <row r="2038"/>
    <row r="2039"/>
    <row r="2040"/>
    <row r="2041"/>
    <row r="2042"/>
    <row r="2043"/>
    <row r="2044"/>
    <row r="2045"/>
    <row r="2046"/>
    <row r="2047"/>
    <row r="2048"/>
    <row r="2049"/>
    <row r="2050"/>
    <row r="2051"/>
    <row r="2052"/>
    <row r="2053"/>
    <row r="2054"/>
    <row r="2055"/>
    <row r="2056"/>
    <row r="2057"/>
    <row r="2058"/>
    <row r="2059"/>
    <row r="2060"/>
    <row r="2061"/>
    <row r="2062"/>
    <row r="2063"/>
    <row r="2064"/>
    <row r="2065"/>
    <row r="2066"/>
    <row r="2067"/>
    <row r="2068"/>
    <row r="2069"/>
    <row r="2070"/>
    <row r="2071"/>
    <row r="2072"/>
    <row r="2073"/>
    <row r="2074"/>
    <row r="2075"/>
    <row r="2076"/>
    <row r="2077"/>
    <row r="2078"/>
    <row r="2079"/>
    <row r="2080"/>
    <row r="2081"/>
    <row r="2082"/>
    <row r="2083"/>
    <row r="2084"/>
    <row r="2085"/>
    <row r="2086"/>
    <row r="2087"/>
    <row r="2088"/>
    <row r="2089"/>
    <row r="2090"/>
    <row r="2091"/>
    <row r="2092"/>
    <row r="2093"/>
    <row r="2094"/>
    <row r="2095"/>
    <row r="2096"/>
    <row r="2097"/>
    <row r="2098"/>
    <row r="2099"/>
    <row r="2100"/>
    <row r="2101"/>
    <row r="2102"/>
    <row r="2103"/>
    <row r="2104"/>
    <row r="2105"/>
    <row r="2106"/>
    <row r="2107"/>
    <row r="2108"/>
    <row r="2109"/>
    <row r="2110"/>
    <row r="2111"/>
    <row r="2112"/>
    <row r="2113"/>
    <row r="2114"/>
    <row r="2115"/>
    <row r="2116"/>
    <row r="2117"/>
    <row r="2118"/>
    <row r="2119"/>
    <row r="2120"/>
    <row r="2121"/>
    <row r="2122"/>
    <row r="2123"/>
    <row r="2124"/>
    <row r="2125"/>
    <row r="2126"/>
    <row r="2127"/>
    <row r="2128"/>
    <row r="2129"/>
    <row r="2130"/>
    <row r="2131"/>
    <row r="2132"/>
    <row r="2133"/>
    <row r="2134"/>
    <row r="2135"/>
    <row r="2136"/>
    <row r="2137"/>
    <row r="2138"/>
    <row r="2139"/>
    <row r="2140"/>
    <row r="2141"/>
    <row r="2142"/>
    <row r="2143"/>
    <row r="2144"/>
    <row r="2145"/>
    <row r="2146"/>
    <row r="2147"/>
    <row r="2148"/>
    <row r="2149"/>
    <row r="2150"/>
    <row r="2151"/>
    <row r="2152"/>
    <row r="2153"/>
    <row r="2154"/>
    <row r="2155"/>
    <row r="2156"/>
    <row r="2157"/>
    <row r="2158"/>
    <row r="2159"/>
    <row r="2160"/>
    <row r="2161"/>
    <row r="2162"/>
    <row r="2163"/>
    <row r="2164"/>
    <row r="2165"/>
    <row r="2166"/>
    <row r="2167"/>
    <row r="2168"/>
    <row r="2169"/>
    <row r="2170"/>
    <row r="2171"/>
    <row r="2172"/>
    <row r="2173"/>
    <row r="2174"/>
    <row r="2175"/>
    <row r="2176"/>
    <row r="2177"/>
    <row r="2178"/>
    <row r="2179"/>
    <row r="2180"/>
    <row r="2181"/>
    <row r="2182"/>
    <row r="2183"/>
    <row r="2184"/>
    <row r="2185"/>
    <row r="2186"/>
    <row r="2187"/>
    <row r="2188"/>
    <row r="2189"/>
    <row r="2190"/>
    <row r="2191"/>
    <row r="2192"/>
    <row r="2193"/>
    <row r="2194"/>
    <row r="2195"/>
    <row r="2196"/>
    <row r="2197"/>
    <row r="2198"/>
    <row r="2199"/>
    <row r="2200"/>
    <row r="2201"/>
    <row r="2202"/>
    <row r="2203"/>
    <row r="2204"/>
    <row r="2205"/>
    <row r="2206"/>
    <row r="2207"/>
    <row r="2208"/>
    <row r="2209"/>
    <row r="2210"/>
    <row r="2211"/>
    <row r="2212"/>
    <row r="2213"/>
    <row r="2214"/>
    <row r="2215"/>
    <row r="2216"/>
    <row r="2217"/>
    <row r="2218"/>
    <row r="2219"/>
    <row r="2220"/>
    <row r="2221"/>
    <row r="2222"/>
    <row r="2223"/>
    <row r="2224"/>
    <row r="2225"/>
    <row r="2226"/>
    <row r="2227"/>
    <row r="2228"/>
    <row r="2229"/>
    <row r="2230"/>
    <row r="2231"/>
    <row r="2232"/>
    <row r="2233"/>
    <row r="2234"/>
    <row r="2235"/>
    <row r="2236"/>
    <row r="2237"/>
    <row r="2238"/>
    <row r="2239"/>
    <row r="2240"/>
    <row r="2241"/>
    <row r="2242"/>
    <row r="2243"/>
    <row r="2244"/>
    <row r="2245"/>
    <row r="2246"/>
    <row r="2247"/>
    <row r="2248"/>
    <row r="2249"/>
    <row r="2250"/>
    <row r="2251"/>
    <row r="2252"/>
    <row r="2253"/>
    <row r="2254"/>
    <row r="2255"/>
    <row r="2256"/>
    <row r="2257"/>
    <row r="2258"/>
    <row r="2259"/>
    <row r="2260"/>
    <row r="2261"/>
    <row r="2262"/>
    <row r="2263"/>
    <row r="2264"/>
    <row r="2265"/>
    <row r="2266"/>
    <row r="2267"/>
    <row r="2268"/>
    <row r="2269"/>
    <row r="2270"/>
    <row r="2271"/>
    <row r="2272"/>
    <row r="2273"/>
    <row r="2274"/>
    <row r="2275"/>
    <row r="2276"/>
    <row r="2277"/>
    <row r="2278"/>
    <row r="2279"/>
    <row r="2280"/>
    <row r="2281"/>
    <row r="2282"/>
    <row r="2283"/>
    <row r="2284"/>
    <row r="2285"/>
    <row r="2286"/>
    <row r="2287"/>
    <row r="2288"/>
    <row r="2289"/>
    <row r="2290"/>
    <row r="2291"/>
    <row r="2292"/>
    <row r="2293"/>
    <row r="2294"/>
    <row r="2295"/>
    <row r="2296"/>
    <row r="2297"/>
    <row r="2298"/>
    <row r="2299"/>
    <row r="2300"/>
    <row r="2301"/>
    <row r="2302"/>
    <row r="2303"/>
    <row r="2304"/>
    <row r="2305"/>
    <row r="2306"/>
    <row r="2307"/>
    <row r="2308"/>
    <row r="2309"/>
    <row r="2310"/>
    <row r="2311"/>
    <row r="2312"/>
    <row r="2313"/>
    <row r="2314"/>
    <row r="2315"/>
    <row r="2316"/>
    <row r="2317"/>
    <row r="2318"/>
    <row r="2319"/>
    <row r="2320"/>
    <row r="2321"/>
    <row r="2322"/>
    <row r="2323"/>
    <row r="2324"/>
    <row r="2325"/>
    <row r="2326"/>
    <row r="2327"/>
    <row r="2328"/>
    <row r="2329"/>
    <row r="2330"/>
    <row r="2331"/>
    <row r="2332"/>
    <row r="2333"/>
    <row r="2334"/>
    <row r="2335"/>
    <row r="2336"/>
    <row r="2337"/>
    <row r="2338"/>
    <row r="2339"/>
    <row r="2340"/>
    <row r="2341"/>
    <row r="2342"/>
    <row r="2343"/>
    <row r="2344"/>
    <row r="2345"/>
    <row r="2346"/>
    <row r="2347"/>
    <row r="2348"/>
    <row r="2349"/>
    <row r="2350"/>
    <row r="2351"/>
    <row r="2352"/>
    <row r="2353"/>
    <row r="2354"/>
    <row r="2355"/>
    <row r="2356"/>
    <row r="2357"/>
    <row r="2358"/>
    <row r="2359"/>
    <row r="2360"/>
    <row r="2361"/>
    <row r="2362"/>
    <row r="2363"/>
    <row r="2364"/>
    <row r="2365"/>
    <row r="2366"/>
    <row r="2367"/>
    <row r="2368"/>
    <row r="2369"/>
    <row r="2370"/>
    <row r="2371"/>
    <row r="2372"/>
    <row r="2373"/>
    <row r="2374"/>
    <row r="2375"/>
    <row r="2376"/>
    <row r="2377"/>
    <row r="2378"/>
    <row r="2379"/>
    <row r="2380"/>
    <row r="2381"/>
    <row r="2382"/>
    <row r="2383"/>
    <row r="2384"/>
    <row r="2385"/>
    <row r="2386"/>
    <row r="2387"/>
    <row r="2388"/>
    <row r="2389"/>
    <row r="2390"/>
    <row r="2391"/>
    <row r="2392"/>
    <row r="2393"/>
    <row r="2394"/>
    <row r="2395"/>
    <row r="2396"/>
    <row r="2397"/>
    <row r="2398"/>
    <row r="2399"/>
    <row r="2400"/>
    <row r="2401"/>
    <row r="2402"/>
    <row r="2403"/>
    <row r="2404"/>
    <row r="2405"/>
    <row r="2406"/>
    <row r="2407"/>
    <row r="2408"/>
    <row r="2409"/>
    <row r="2410"/>
    <row r="2411"/>
    <row r="2412"/>
    <row r="2413"/>
    <row r="2414"/>
  </sheetData>
  <autoFilter ref="A14:AF210">
    <sortState ref="A15:AF1760">
      <sortCondition ref="B15:B1760"/>
    </sortState>
  </autoFilter>
  <sortState ref="A15:AF2355">
    <sortCondition ref="B15:B2355"/>
    <sortCondition ref="C15:C2355"/>
    <sortCondition ref="E15:E2355"/>
  </sortState>
  <mergeCells count="9">
    <mergeCell ref="D2:E2"/>
    <mergeCell ref="A3:Q3"/>
    <mergeCell ref="A4:Q4"/>
    <mergeCell ref="A6:Q6"/>
    <mergeCell ref="U12:W12"/>
    <mergeCell ref="R12:T12"/>
    <mergeCell ref="R2:S2"/>
    <mergeCell ref="A7:Q7"/>
    <mergeCell ref="A5:Q5"/>
  </mergeCells>
  <hyperlinks>
    <hyperlink ref="D2:E2" location="'INDICE_ MODELO'!C86" display="Ir a Indice"/>
  </hyperlinks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1"/>
  <dimension ref="A1:AO1032"/>
  <sheetViews>
    <sheetView zoomScale="85" zoomScaleNormal="85" workbookViewId="0"/>
  </sheetViews>
  <sheetFormatPr baseColWidth="10" defaultColWidth="0" defaultRowHeight="15" zeroHeight="1"/>
  <cols>
    <col min="1" max="1" width="27.85546875" customWidth="1"/>
    <col min="2" max="2" width="26.140625" customWidth="1"/>
    <col min="3" max="3" width="11.42578125" customWidth="1"/>
    <col min="4" max="4" width="14.85546875" customWidth="1"/>
    <col min="5" max="5" width="60.5703125" customWidth="1"/>
    <col min="6" max="6" width="6.42578125" customWidth="1"/>
    <col min="7" max="7" width="24.140625" customWidth="1"/>
    <col min="8" max="8" width="17" style="225" customWidth="1"/>
    <col min="9" max="11" width="15.28515625" customWidth="1"/>
    <col min="12" max="12" width="15.28515625" style="225" customWidth="1"/>
    <col min="13" max="13" width="15.28515625" customWidth="1"/>
    <col min="14" max="14" width="15.28515625" style="225" customWidth="1"/>
    <col min="15" max="15" width="15.28515625" customWidth="1"/>
    <col min="16" max="16" width="15.28515625" style="225" customWidth="1"/>
    <col min="17" max="17" width="15.28515625" customWidth="1"/>
    <col min="18" max="18" width="16" style="225" customWidth="1"/>
    <col min="19" max="19" width="15.28515625" customWidth="1"/>
    <col min="20" max="20" width="15.28515625" style="225" customWidth="1"/>
    <col min="21" max="21" width="15.28515625" customWidth="1"/>
    <col min="22" max="22" width="15.28515625" style="225" customWidth="1"/>
    <col min="23" max="23" width="15.28515625" customWidth="1"/>
    <col min="24" max="24" width="15.28515625" style="225" customWidth="1"/>
    <col min="25" max="25" width="15.28515625" customWidth="1"/>
    <col min="26" max="26" width="15.28515625" style="225" customWidth="1"/>
    <col min="27" max="27" width="15.28515625" customWidth="1"/>
    <col min="28" max="28" width="15.28515625" style="225" customWidth="1"/>
    <col min="29" max="29" width="15.28515625" customWidth="1"/>
    <col min="30" max="30" width="29.140625" hidden="1" customWidth="1"/>
    <col min="31" max="32" width="29.42578125" style="225" hidden="1" customWidth="1"/>
    <col min="33" max="33" width="29.140625" hidden="1" customWidth="1"/>
    <col min="34" max="34" width="24.85546875" style="225" hidden="1" customWidth="1"/>
    <col min="35" max="35" width="24.28515625" hidden="1" customWidth="1"/>
    <col min="36" max="36" width="24.28515625" style="225" hidden="1" customWidth="1"/>
    <col min="37" max="37" width="29.140625" hidden="1" customWidth="1"/>
    <col min="38" max="40" width="29.140625" style="225" hidden="1" customWidth="1"/>
    <col min="41" max="41" width="29.140625" hidden="1" customWidth="1"/>
    <col min="42" max="16384" width="11.42578125" hidden="1"/>
  </cols>
  <sheetData>
    <row r="1" spans="1:41" ht="15.75">
      <c r="A1" s="212"/>
      <c r="B1" s="213"/>
      <c r="C1" s="213"/>
      <c r="D1" s="213"/>
      <c r="E1" s="213"/>
      <c r="F1" s="213"/>
      <c r="G1" s="213"/>
      <c r="H1" s="213"/>
      <c r="I1" s="213"/>
      <c r="J1" s="213"/>
      <c r="K1" s="213"/>
      <c r="L1" s="213"/>
      <c r="M1" s="213"/>
      <c r="N1" s="213"/>
      <c r="O1" s="213"/>
      <c r="P1" s="213"/>
      <c r="Q1" s="213"/>
      <c r="R1" s="213"/>
      <c r="S1" s="214"/>
      <c r="T1" s="214"/>
      <c r="U1" s="214"/>
      <c r="V1" s="214"/>
      <c r="W1" s="214"/>
      <c r="X1" s="214"/>
      <c r="Y1" s="214"/>
      <c r="Z1" s="214"/>
      <c r="AA1" s="214"/>
      <c r="AB1" s="214"/>
      <c r="AC1" s="217"/>
      <c r="AD1" s="37"/>
      <c r="AE1" s="72"/>
      <c r="AF1" s="72"/>
      <c r="AG1" s="37"/>
      <c r="AH1" s="72"/>
      <c r="AI1" s="72"/>
      <c r="AJ1" s="72"/>
      <c r="AK1" s="37"/>
      <c r="AL1" s="72"/>
      <c r="AM1" s="72"/>
      <c r="AN1" s="72"/>
      <c r="AO1" s="40"/>
    </row>
    <row r="2" spans="1:41" ht="20.25">
      <c r="A2" s="215"/>
      <c r="B2" s="86"/>
      <c r="C2" s="86"/>
      <c r="D2" s="474" t="s">
        <v>1971</v>
      </c>
      <c r="E2" s="474"/>
      <c r="F2" s="86"/>
      <c r="G2" s="86"/>
      <c r="H2" s="86"/>
      <c r="I2" s="86"/>
      <c r="J2" s="86"/>
      <c r="K2" s="86"/>
      <c r="L2" s="86"/>
      <c r="M2" s="86"/>
      <c r="N2" s="86"/>
      <c r="O2" s="86"/>
      <c r="P2" s="86"/>
      <c r="Q2" s="86"/>
      <c r="R2" s="86"/>
      <c r="S2" s="82"/>
      <c r="T2" s="82"/>
      <c r="U2" s="82"/>
      <c r="V2" s="82"/>
      <c r="W2" s="82"/>
      <c r="X2" s="82"/>
      <c r="Y2" s="82"/>
      <c r="Z2" s="82"/>
      <c r="AA2" s="82"/>
      <c r="AB2" s="82"/>
      <c r="AC2" s="218"/>
      <c r="AD2" s="71" t="s">
        <v>1460</v>
      </c>
      <c r="AE2" s="82"/>
      <c r="AF2" s="82"/>
      <c r="AG2" s="12"/>
      <c r="AH2" s="82"/>
      <c r="AI2" s="71"/>
      <c r="AJ2" s="82"/>
      <c r="AK2" s="12"/>
      <c r="AL2" s="82"/>
      <c r="AM2" s="82"/>
      <c r="AN2" s="82"/>
      <c r="AO2" s="41"/>
    </row>
    <row r="3" spans="1:41" ht="20.25" customHeight="1">
      <c r="A3" s="519" t="s">
        <v>1968</v>
      </c>
      <c r="B3" s="520"/>
      <c r="C3" s="520"/>
      <c r="D3" s="520"/>
      <c r="E3" s="520"/>
      <c r="F3" s="520"/>
      <c r="G3" s="520"/>
      <c r="H3" s="520"/>
      <c r="I3" s="520"/>
      <c r="J3" s="520"/>
      <c r="K3" s="520"/>
      <c r="L3" s="520"/>
      <c r="M3" s="520"/>
      <c r="N3" s="520"/>
      <c r="O3" s="520"/>
      <c r="P3" s="520"/>
      <c r="Q3" s="520"/>
      <c r="R3" s="520"/>
      <c r="S3" s="520"/>
      <c r="T3" s="520"/>
      <c r="U3" s="520"/>
      <c r="V3" s="520"/>
      <c r="W3" s="520"/>
      <c r="X3" s="520"/>
      <c r="Y3" s="520"/>
      <c r="Z3" s="520"/>
      <c r="AA3" s="520"/>
      <c r="AB3" s="520"/>
      <c r="AC3" s="521"/>
      <c r="AD3" s="71" t="s">
        <v>1461</v>
      </c>
      <c r="AE3" s="82"/>
      <c r="AF3" s="82"/>
      <c r="AG3" s="57"/>
      <c r="AH3" s="234"/>
      <c r="AI3" s="76"/>
      <c r="AJ3" s="234"/>
      <c r="AK3" s="57"/>
      <c r="AL3" s="234"/>
      <c r="AM3" s="234"/>
      <c r="AN3" s="234"/>
      <c r="AO3" s="58"/>
    </row>
    <row r="4" spans="1:41" ht="20.25" customHeight="1">
      <c r="A4" s="519" t="s">
        <v>1969</v>
      </c>
      <c r="B4" s="520"/>
      <c r="C4" s="520"/>
      <c r="D4" s="520"/>
      <c r="E4" s="520"/>
      <c r="F4" s="520"/>
      <c r="G4" s="520"/>
      <c r="H4" s="520"/>
      <c r="I4" s="520"/>
      <c r="J4" s="520"/>
      <c r="K4" s="520"/>
      <c r="L4" s="520"/>
      <c r="M4" s="520"/>
      <c r="N4" s="520"/>
      <c r="O4" s="520"/>
      <c r="P4" s="520"/>
      <c r="Q4" s="520"/>
      <c r="R4" s="520"/>
      <c r="S4" s="520"/>
      <c r="T4" s="520"/>
      <c r="U4" s="520"/>
      <c r="V4" s="520"/>
      <c r="W4" s="520"/>
      <c r="X4" s="520"/>
      <c r="Y4" s="520"/>
      <c r="Z4" s="520"/>
      <c r="AA4" s="520"/>
      <c r="AB4" s="520"/>
      <c r="AC4" s="521"/>
      <c r="AD4" s="71" t="s">
        <v>1463</v>
      </c>
      <c r="AE4" s="82"/>
      <c r="AF4" s="82"/>
      <c r="AG4" s="57"/>
      <c r="AH4" s="234"/>
      <c r="AI4" s="76"/>
      <c r="AJ4" s="234"/>
      <c r="AK4" s="57"/>
      <c r="AL4" s="234"/>
      <c r="AM4" s="234"/>
      <c r="AN4" s="234"/>
      <c r="AO4" s="58"/>
    </row>
    <row r="5" spans="1:41" ht="20.25" customHeight="1">
      <c r="A5" s="519" t="s">
        <v>1970</v>
      </c>
      <c r="B5" s="520"/>
      <c r="C5" s="520"/>
      <c r="D5" s="520"/>
      <c r="E5" s="520"/>
      <c r="F5" s="520"/>
      <c r="G5" s="520"/>
      <c r="H5" s="520"/>
      <c r="I5" s="520"/>
      <c r="J5" s="520"/>
      <c r="K5" s="520"/>
      <c r="L5" s="520"/>
      <c r="M5" s="520"/>
      <c r="N5" s="520"/>
      <c r="O5" s="520"/>
      <c r="P5" s="520"/>
      <c r="Q5" s="520"/>
      <c r="R5" s="520"/>
      <c r="S5" s="520"/>
      <c r="T5" s="520"/>
      <c r="U5" s="520"/>
      <c r="V5" s="520"/>
      <c r="W5" s="520"/>
      <c r="X5" s="520"/>
      <c r="Y5" s="520"/>
      <c r="Z5" s="520"/>
      <c r="AA5" s="520"/>
      <c r="AB5" s="520"/>
      <c r="AC5" s="521"/>
      <c r="AD5" s="71" t="s">
        <v>1462</v>
      </c>
      <c r="AE5" s="82"/>
      <c r="AF5" s="82"/>
      <c r="AG5" s="62"/>
      <c r="AH5" s="62"/>
      <c r="AI5" s="62"/>
      <c r="AJ5" s="62"/>
      <c r="AK5" s="62"/>
      <c r="AL5" s="62"/>
      <c r="AM5" s="62"/>
      <c r="AN5" s="62"/>
      <c r="AO5" s="63"/>
    </row>
    <row r="6" spans="1:41" s="225" customFormat="1" ht="9" customHeight="1">
      <c r="A6" s="237"/>
      <c r="B6" s="238"/>
      <c r="C6" s="238"/>
      <c r="D6" s="238"/>
      <c r="E6" s="238"/>
      <c r="F6" s="238"/>
      <c r="G6" s="238"/>
      <c r="H6" s="238"/>
      <c r="I6" s="238"/>
      <c r="J6" s="238"/>
      <c r="K6" s="238"/>
      <c r="L6" s="238"/>
      <c r="M6" s="238"/>
      <c r="N6" s="238"/>
      <c r="O6" s="238"/>
      <c r="P6" s="238"/>
      <c r="Q6" s="238"/>
      <c r="R6" s="238"/>
      <c r="S6" s="238"/>
      <c r="T6" s="238"/>
      <c r="U6" s="238"/>
      <c r="V6" s="238"/>
      <c r="W6" s="238"/>
      <c r="X6" s="238"/>
      <c r="Y6" s="238"/>
      <c r="Z6" s="238"/>
      <c r="AA6" s="238"/>
      <c r="AB6" s="238"/>
      <c r="AC6" s="239"/>
      <c r="AD6" s="82" t="s">
        <v>1464</v>
      </c>
      <c r="AE6" s="82"/>
      <c r="AF6" s="82"/>
      <c r="AG6" s="62"/>
      <c r="AH6" s="62"/>
      <c r="AI6" s="62"/>
      <c r="AJ6" s="62"/>
      <c r="AK6" s="62"/>
      <c r="AL6" s="62"/>
      <c r="AM6" s="62"/>
      <c r="AN6" s="62"/>
      <c r="AO6" s="63"/>
    </row>
    <row r="7" spans="1:41" ht="20.25">
      <c r="A7" s="519" t="s">
        <v>1378</v>
      </c>
      <c r="B7" s="520"/>
      <c r="C7" s="520"/>
      <c r="D7" s="520"/>
      <c r="E7" s="520"/>
      <c r="F7" s="520"/>
      <c r="G7" s="520"/>
      <c r="H7" s="520"/>
      <c r="I7" s="520"/>
      <c r="J7" s="520"/>
      <c r="K7" s="520"/>
      <c r="L7" s="520"/>
      <c r="M7" s="520"/>
      <c r="N7" s="520"/>
      <c r="O7" s="520"/>
      <c r="P7" s="520"/>
      <c r="Q7" s="520"/>
      <c r="R7" s="520"/>
      <c r="S7" s="520"/>
      <c r="T7" s="520"/>
      <c r="U7" s="520"/>
      <c r="V7" s="520"/>
      <c r="W7" s="520"/>
      <c r="X7" s="520"/>
      <c r="Y7" s="520"/>
      <c r="Z7" s="520"/>
      <c r="AA7" s="520"/>
      <c r="AB7" s="520"/>
      <c r="AC7" s="521"/>
      <c r="AD7" s="82" t="s">
        <v>1465</v>
      </c>
      <c r="AE7" s="82"/>
      <c r="AF7" s="82"/>
      <c r="AG7" s="57"/>
      <c r="AH7" s="234"/>
      <c r="AI7" s="76"/>
      <c r="AJ7" s="234"/>
      <c r="AK7" s="57"/>
      <c r="AL7" s="234"/>
      <c r="AM7" s="234"/>
      <c r="AN7" s="234"/>
      <c r="AO7" s="58"/>
    </row>
    <row r="8" spans="1:41" ht="20.25" hidden="1" customHeight="1">
      <c r="A8" s="219"/>
      <c r="B8" s="234"/>
      <c r="C8" s="216"/>
      <c r="H8"/>
      <c r="L8"/>
      <c r="N8"/>
      <c r="P8"/>
      <c r="R8"/>
      <c r="S8" s="234"/>
      <c r="T8" s="234"/>
      <c r="U8" s="234"/>
      <c r="V8" s="234"/>
      <c r="W8" s="234"/>
      <c r="X8" s="234"/>
      <c r="Y8" s="234"/>
      <c r="Z8" s="234"/>
      <c r="AA8" s="234"/>
      <c r="AB8" s="234"/>
      <c r="AC8" s="220"/>
      <c r="AD8" s="82" t="s">
        <v>1954</v>
      </c>
      <c r="AE8" s="82"/>
      <c r="AF8" s="82"/>
      <c r="AG8" s="57"/>
      <c r="AH8" s="234"/>
      <c r="AI8" s="76"/>
      <c r="AJ8" s="234"/>
      <c r="AK8" s="48"/>
      <c r="AL8" s="234"/>
      <c r="AM8" s="234"/>
      <c r="AN8" s="234"/>
      <c r="AO8" s="49"/>
    </row>
    <row r="9" spans="1:41" ht="18.75" hidden="1" customHeight="1">
      <c r="A9" s="219"/>
      <c r="B9" s="234"/>
      <c r="C9" s="80"/>
      <c r="H9"/>
      <c r="L9"/>
      <c r="N9"/>
      <c r="P9"/>
      <c r="R9"/>
      <c r="S9" s="53"/>
      <c r="T9" s="53"/>
      <c r="U9" s="53"/>
      <c r="V9" s="53"/>
      <c r="W9" s="53"/>
      <c r="X9" s="53"/>
      <c r="Y9" s="53"/>
      <c r="Z9" s="53"/>
      <c r="AA9" s="234"/>
      <c r="AB9" s="234"/>
      <c r="AC9" s="220"/>
      <c r="AD9" s="71"/>
      <c r="AE9" s="82"/>
      <c r="AF9" s="82"/>
      <c r="AG9" s="78"/>
      <c r="AH9" s="234"/>
      <c r="AI9" s="78"/>
      <c r="AJ9" s="234"/>
      <c r="AK9" s="78"/>
      <c r="AL9" s="234"/>
      <c r="AM9" s="234"/>
      <c r="AN9" s="234"/>
      <c r="AO9" s="79"/>
    </row>
    <row r="10" spans="1:41" ht="20.25" hidden="1" customHeight="1">
      <c r="A10" s="219"/>
      <c r="B10" s="234"/>
      <c r="C10" s="80"/>
      <c r="H10"/>
      <c r="L10"/>
      <c r="N10"/>
      <c r="P10"/>
      <c r="R10"/>
      <c r="S10" s="53"/>
      <c r="T10" s="53"/>
      <c r="U10" s="53"/>
      <c r="V10" s="53"/>
      <c r="W10" s="53"/>
      <c r="X10" s="53"/>
      <c r="Y10" s="53"/>
      <c r="Z10" s="53"/>
      <c r="AA10" s="234"/>
      <c r="AB10" s="234"/>
      <c r="AC10" s="220"/>
      <c r="AD10" s="82"/>
      <c r="AE10" s="82"/>
      <c r="AF10" s="82"/>
      <c r="AG10" s="87"/>
      <c r="AH10" s="234"/>
      <c r="AI10" s="87"/>
      <c r="AJ10" s="234"/>
      <c r="AK10" s="87"/>
      <c r="AL10" s="234"/>
      <c r="AM10" s="234"/>
      <c r="AN10" s="234"/>
      <c r="AO10" s="88"/>
    </row>
    <row r="11" spans="1:41" ht="20.25" hidden="1" customHeight="1">
      <c r="A11" s="219"/>
      <c r="B11" s="234"/>
      <c r="C11" s="80"/>
      <c r="H11"/>
      <c r="L11"/>
      <c r="N11"/>
      <c r="P11"/>
      <c r="R11"/>
      <c r="S11" s="53"/>
      <c r="T11" s="53"/>
      <c r="U11" s="53"/>
      <c r="V11" s="53"/>
      <c r="W11" s="53"/>
      <c r="X11" s="53"/>
      <c r="Y11" s="53"/>
      <c r="Z11" s="53"/>
      <c r="AA11" s="234"/>
      <c r="AB11" s="234"/>
      <c r="AC11" s="220"/>
      <c r="AD11" s="82" t="s">
        <v>1985</v>
      </c>
      <c r="AE11" s="82"/>
      <c r="AF11" s="82"/>
      <c r="AG11" s="87"/>
      <c r="AH11" s="234"/>
      <c r="AI11" s="87"/>
      <c r="AJ11" s="234"/>
      <c r="AK11" s="87"/>
      <c r="AL11" s="234"/>
      <c r="AM11" s="234"/>
      <c r="AN11" s="234"/>
      <c r="AO11" s="88"/>
    </row>
    <row r="12" spans="1:41" ht="20.25" hidden="1" customHeight="1">
      <c r="A12" s="219"/>
      <c r="B12" s="234"/>
      <c r="C12" s="80"/>
      <c r="H12"/>
      <c r="L12"/>
      <c r="N12"/>
      <c r="P12"/>
      <c r="R12"/>
      <c r="S12" s="53"/>
      <c r="T12" s="53"/>
      <c r="U12" s="53"/>
      <c r="V12" s="53"/>
      <c r="W12" s="53"/>
      <c r="X12" s="53"/>
      <c r="Y12" s="53"/>
      <c r="Z12" s="53"/>
      <c r="AA12" s="234"/>
      <c r="AB12" s="234"/>
      <c r="AC12" s="220"/>
      <c r="AD12" s="82" t="s">
        <v>1643</v>
      </c>
      <c r="AE12" s="82"/>
      <c r="AF12" s="82"/>
      <c r="AG12" s="87"/>
      <c r="AH12" s="234"/>
      <c r="AI12" s="87"/>
      <c r="AJ12" s="234"/>
      <c r="AK12" s="87"/>
      <c r="AL12" s="234"/>
      <c r="AM12" s="234"/>
      <c r="AN12" s="234"/>
      <c r="AO12" s="88"/>
    </row>
    <row r="13" spans="1:41" ht="20.25" hidden="1" customHeight="1">
      <c r="A13" s="219"/>
      <c r="B13" s="234"/>
      <c r="C13" s="80"/>
      <c r="H13"/>
      <c r="L13"/>
      <c r="N13"/>
      <c r="P13"/>
      <c r="R13"/>
      <c r="S13" s="53"/>
      <c r="T13" s="53"/>
      <c r="U13" s="53"/>
      <c r="V13" s="53"/>
      <c r="W13" s="53"/>
      <c r="X13" s="53"/>
      <c r="Y13" s="53"/>
      <c r="Z13" s="53"/>
      <c r="AA13" s="234"/>
      <c r="AB13" s="234"/>
      <c r="AC13" s="220"/>
      <c r="AD13" s="82"/>
      <c r="AE13" s="82"/>
      <c r="AF13" s="82"/>
      <c r="AG13" s="87"/>
      <c r="AH13" s="234"/>
      <c r="AI13" s="87"/>
      <c r="AJ13" s="234"/>
      <c r="AK13" s="87"/>
      <c r="AL13" s="234"/>
      <c r="AM13" s="234"/>
      <c r="AN13" s="234"/>
      <c r="AO13" s="88"/>
    </row>
    <row r="14" spans="1:41" ht="20.25" hidden="1" customHeight="1">
      <c r="A14" s="219"/>
      <c r="B14" s="234"/>
      <c r="C14" s="80"/>
      <c r="H14"/>
      <c r="L14"/>
      <c r="N14"/>
      <c r="P14"/>
      <c r="R14"/>
      <c r="S14" s="53"/>
      <c r="T14" s="53"/>
      <c r="U14" s="53"/>
      <c r="V14" s="53"/>
      <c r="W14" s="53"/>
      <c r="X14" s="53"/>
      <c r="Y14" s="53"/>
      <c r="Z14" s="53"/>
      <c r="AA14" s="234"/>
      <c r="AB14" s="234"/>
      <c r="AC14" s="220"/>
      <c r="AD14" s="82"/>
      <c r="AE14" s="82"/>
      <c r="AF14" s="82"/>
      <c r="AG14" s="87"/>
      <c r="AH14" s="234"/>
      <c r="AI14" s="87"/>
      <c r="AJ14" s="234"/>
      <c r="AK14" s="87"/>
      <c r="AL14" s="234"/>
      <c r="AM14" s="234"/>
      <c r="AN14" s="234"/>
      <c r="AO14" s="88"/>
    </row>
    <row r="15" spans="1:41" ht="20.25" hidden="1" customHeight="1">
      <c r="A15" s="219"/>
      <c r="B15" s="234"/>
      <c r="C15" s="80"/>
      <c r="H15"/>
      <c r="L15"/>
      <c r="N15"/>
      <c r="P15"/>
      <c r="R15"/>
      <c r="S15" s="53"/>
      <c r="T15" s="53"/>
      <c r="U15" s="53"/>
      <c r="V15" s="53"/>
      <c r="W15" s="53"/>
      <c r="X15" s="53"/>
      <c r="Y15" s="53"/>
      <c r="Z15" s="53"/>
      <c r="AA15" s="234"/>
      <c r="AB15" s="234"/>
      <c r="AC15" s="220"/>
      <c r="AD15" s="82"/>
      <c r="AE15" s="82"/>
      <c r="AF15" s="82"/>
      <c r="AG15" s="87"/>
      <c r="AH15" s="234"/>
      <c r="AI15" s="87"/>
      <c r="AJ15" s="234"/>
      <c r="AK15" s="87"/>
      <c r="AL15" s="234"/>
      <c r="AM15" s="234"/>
      <c r="AN15" s="234"/>
      <c r="AO15" s="88"/>
    </row>
    <row r="16" spans="1:41" ht="20.25" hidden="1" customHeight="1">
      <c r="A16" s="219"/>
      <c r="B16" s="234"/>
      <c r="C16" s="80"/>
      <c r="H16"/>
      <c r="L16"/>
      <c r="N16"/>
      <c r="P16"/>
      <c r="R16"/>
      <c r="S16" s="53"/>
      <c r="T16" s="53"/>
      <c r="U16" s="234"/>
      <c r="V16" s="234"/>
      <c r="W16" s="234"/>
      <c r="X16" s="234"/>
      <c r="Y16" s="234"/>
      <c r="Z16" s="234"/>
      <c r="AA16" s="234"/>
      <c r="AB16" s="234"/>
      <c r="AC16" s="220"/>
      <c r="AD16" s="82"/>
      <c r="AE16" s="82"/>
      <c r="AF16" s="82"/>
      <c r="AG16" s="234"/>
      <c r="AH16" s="234"/>
      <c r="AI16" s="234"/>
      <c r="AJ16" s="234"/>
      <c r="AK16" s="234"/>
      <c r="AL16" s="234"/>
      <c r="AM16" s="234"/>
      <c r="AN16" s="234"/>
      <c r="AO16" s="88"/>
    </row>
    <row r="17" spans="1:41" ht="18.75" hidden="1" customHeight="1">
      <c r="A17" s="219"/>
      <c r="B17" s="234"/>
      <c r="C17" s="80"/>
      <c r="H17"/>
      <c r="L17"/>
      <c r="N17"/>
      <c r="P17"/>
      <c r="R17"/>
      <c r="S17" s="53"/>
      <c r="T17" s="53"/>
      <c r="U17" s="53"/>
      <c r="V17" s="53"/>
      <c r="W17" s="53"/>
      <c r="X17" s="53"/>
      <c r="Y17" s="53"/>
      <c r="Z17" s="53"/>
      <c r="AA17" s="234"/>
      <c r="AB17" s="234"/>
      <c r="AC17" s="220"/>
      <c r="AD17" s="82"/>
      <c r="AE17" s="82"/>
      <c r="AF17" s="82"/>
      <c r="AG17" s="234"/>
      <c r="AH17" s="234"/>
      <c r="AI17" s="234"/>
      <c r="AJ17" s="234"/>
      <c r="AK17" s="234"/>
      <c r="AL17" s="234"/>
      <c r="AM17" s="234"/>
      <c r="AN17" s="234"/>
      <c r="AO17" s="88"/>
    </row>
    <row r="18" spans="1:41" ht="20.25" hidden="1" customHeight="1">
      <c r="A18" s="219"/>
      <c r="B18" s="234"/>
      <c r="C18" s="80"/>
      <c r="H18"/>
      <c r="L18"/>
      <c r="N18"/>
      <c r="P18"/>
      <c r="R18"/>
      <c r="S18" s="310"/>
      <c r="T18" s="528"/>
      <c r="U18" s="529"/>
      <c r="V18" s="529"/>
      <c r="W18" s="53"/>
      <c r="X18" s="53"/>
      <c r="Y18" s="53"/>
      <c r="Z18" s="53"/>
      <c r="AA18" s="234"/>
      <c r="AB18" s="234"/>
      <c r="AC18" s="220"/>
      <c r="AD18" s="82"/>
      <c r="AE18" s="82"/>
      <c r="AF18" s="82"/>
      <c r="AG18" s="234"/>
      <c r="AH18" s="234"/>
      <c r="AI18" s="234"/>
      <c r="AJ18" s="234"/>
      <c r="AK18" s="234"/>
      <c r="AL18" s="234"/>
      <c r="AM18" s="234"/>
      <c r="AN18" s="234"/>
      <c r="AO18" s="88"/>
    </row>
    <row r="19" spans="1:41" ht="20.25" hidden="1" customHeight="1">
      <c r="A19" s="219"/>
      <c r="B19" s="234"/>
      <c r="C19" s="80"/>
      <c r="H19"/>
      <c r="L19"/>
      <c r="N19"/>
      <c r="P19"/>
      <c r="R19"/>
      <c r="S19" s="311"/>
      <c r="T19" s="528"/>
      <c r="U19" s="528"/>
      <c r="V19" s="528"/>
      <c r="W19" s="53"/>
      <c r="X19" s="53"/>
      <c r="Y19" s="53"/>
      <c r="Z19" s="53"/>
      <c r="AA19" s="234"/>
      <c r="AB19" s="234"/>
      <c r="AC19" s="220"/>
      <c r="AD19" s="82"/>
      <c r="AE19" s="82"/>
      <c r="AF19" s="82"/>
      <c r="AG19" s="234"/>
      <c r="AH19" s="234"/>
      <c r="AI19" s="234"/>
      <c r="AJ19" s="234"/>
      <c r="AK19" s="234"/>
      <c r="AL19" s="234"/>
      <c r="AM19" s="234"/>
      <c r="AN19" s="234"/>
      <c r="AO19" s="88"/>
    </row>
    <row r="20" spans="1:41" ht="20.25" hidden="1" customHeight="1">
      <c r="A20" s="219"/>
      <c r="B20" s="234"/>
      <c r="C20" s="80"/>
      <c r="H20"/>
      <c r="L20"/>
      <c r="N20"/>
      <c r="P20"/>
      <c r="R20"/>
      <c r="S20" s="311"/>
      <c r="T20" s="53"/>
      <c r="U20" s="53"/>
      <c r="V20" s="53"/>
      <c r="W20" s="53"/>
      <c r="X20" s="53"/>
      <c r="Y20" s="53"/>
      <c r="Z20" s="53"/>
      <c r="AA20" s="234"/>
      <c r="AB20" s="234"/>
      <c r="AC20" s="220"/>
      <c r="AD20" s="82"/>
      <c r="AE20" s="82"/>
      <c r="AF20" s="82"/>
      <c r="AG20" s="234"/>
      <c r="AH20" s="234"/>
      <c r="AI20" s="234"/>
      <c r="AJ20" s="234"/>
      <c r="AK20" s="234"/>
      <c r="AL20" s="234"/>
      <c r="AM20" s="234"/>
      <c r="AN20" s="234"/>
      <c r="AO20" s="88"/>
    </row>
    <row r="21" spans="1:41" ht="20.25" hidden="1" customHeight="1">
      <c r="A21" s="219"/>
      <c r="B21" s="234"/>
      <c r="C21" s="80"/>
      <c r="H21"/>
      <c r="L21"/>
      <c r="N21"/>
      <c r="P21"/>
      <c r="R21"/>
      <c r="S21" s="311"/>
      <c r="T21" s="53"/>
      <c r="U21" s="53"/>
      <c r="V21" s="53"/>
      <c r="W21" s="53"/>
      <c r="X21" s="53"/>
      <c r="Y21" s="53"/>
      <c r="Z21" s="53"/>
      <c r="AA21" s="234"/>
      <c r="AB21" s="234"/>
      <c r="AC21" s="220"/>
      <c r="AD21" s="82"/>
      <c r="AE21" s="82"/>
      <c r="AF21" s="82"/>
      <c r="AG21" s="234"/>
      <c r="AH21" s="234"/>
      <c r="AI21" s="234"/>
      <c r="AJ21" s="234"/>
      <c r="AK21" s="234"/>
      <c r="AL21" s="234"/>
      <c r="AM21" s="234"/>
      <c r="AN21" s="234"/>
      <c r="AO21" s="88"/>
    </row>
    <row r="22" spans="1:41" ht="18.75" customHeight="1">
      <c r="A22" s="219"/>
      <c r="B22" s="234"/>
      <c r="C22" s="80"/>
      <c r="D22" s="296"/>
      <c r="E22" s="296"/>
      <c r="F22" s="296"/>
      <c r="G22" s="266"/>
      <c r="H22" s="266"/>
      <c r="I22" s="231"/>
      <c r="J22" s="231"/>
      <c r="K22" s="232"/>
      <c r="L22" s="232"/>
      <c r="M22" s="232"/>
      <c r="N22" s="232"/>
      <c r="O22" s="232"/>
      <c r="P22" s="232"/>
      <c r="Q22" s="312"/>
      <c r="R22" s="312"/>
      <c r="S22" s="115"/>
      <c r="T22" s="115"/>
      <c r="U22" s="233"/>
      <c r="V22" s="233"/>
      <c r="W22" s="233"/>
      <c r="X22" s="233"/>
      <c r="Y22" s="233"/>
      <c r="Z22" s="233"/>
      <c r="AA22" s="234"/>
      <c r="AB22" s="234"/>
      <c r="AC22" s="220"/>
      <c r="AD22" s="82"/>
      <c r="AE22" s="82"/>
      <c r="AF22" s="82"/>
      <c r="AG22" s="234"/>
      <c r="AH22" s="234"/>
      <c r="AI22" s="234"/>
      <c r="AJ22" s="234"/>
      <c r="AK22" s="234"/>
      <c r="AL22" s="234"/>
      <c r="AM22" s="234"/>
      <c r="AN22" s="234"/>
      <c r="AO22" s="88"/>
    </row>
    <row r="23" spans="1:41" ht="18.75" customHeight="1">
      <c r="A23" s="219"/>
      <c r="B23" s="234"/>
      <c r="C23" s="80"/>
      <c r="D23" s="522" t="s">
        <v>1983</v>
      </c>
      <c r="E23" s="522"/>
      <c r="F23" s="522"/>
      <c r="G23" s="266"/>
      <c r="H23" s="266"/>
      <c r="I23" s="216"/>
      <c r="J23" s="231"/>
      <c r="K23" s="232"/>
      <c r="L23" s="232"/>
      <c r="M23" s="528"/>
      <c r="N23" s="529"/>
      <c r="O23" s="529"/>
      <c r="P23" s="232"/>
      <c r="Q23" s="312"/>
      <c r="R23" s="312"/>
      <c r="S23" s="115"/>
      <c r="T23" s="115"/>
      <c r="U23" s="233"/>
      <c r="V23" s="233"/>
      <c r="W23" s="233"/>
      <c r="X23" s="233"/>
      <c r="Y23" s="233"/>
      <c r="Z23" s="233"/>
      <c r="AA23" s="234"/>
      <c r="AB23" s="234"/>
      <c r="AC23" s="220"/>
      <c r="AD23" s="82"/>
      <c r="AE23" s="82"/>
      <c r="AF23" s="82"/>
      <c r="AG23" s="234"/>
      <c r="AH23" s="234"/>
      <c r="AI23" s="234"/>
      <c r="AJ23" s="234"/>
      <c r="AK23" s="234"/>
      <c r="AL23" s="234"/>
      <c r="AM23" s="234"/>
      <c r="AN23" s="234"/>
      <c r="AO23" s="88"/>
    </row>
    <row r="24" spans="1:41" ht="18.75" customHeight="1">
      <c r="A24" s="219"/>
      <c r="B24" s="234"/>
      <c r="C24" s="80"/>
      <c r="D24" s="522" t="s">
        <v>1643</v>
      </c>
      <c r="E24" s="522"/>
      <c r="F24" s="522"/>
      <c r="G24" s="266"/>
      <c r="H24" s="266"/>
      <c r="I24" s="231"/>
      <c r="J24" s="231"/>
      <c r="K24" s="232"/>
      <c r="L24" s="232"/>
      <c r="M24" s="530"/>
      <c r="N24" s="529"/>
      <c r="O24" s="529"/>
      <c r="P24" s="232"/>
      <c r="Q24" s="312"/>
      <c r="R24" s="312"/>
      <c r="S24" s="115"/>
      <c r="T24" s="115"/>
      <c r="U24" s="233"/>
      <c r="V24" s="233"/>
      <c r="W24" s="233"/>
      <c r="X24" s="233"/>
      <c r="Y24" s="233"/>
      <c r="Z24" s="233"/>
      <c r="AA24" s="234"/>
      <c r="AB24" s="234"/>
      <c r="AC24" s="220"/>
      <c r="AD24" s="82"/>
      <c r="AE24" s="82"/>
      <c r="AF24" s="82"/>
      <c r="AG24" s="234"/>
      <c r="AH24" s="234"/>
      <c r="AI24" s="234"/>
      <c r="AJ24" s="234"/>
      <c r="AK24" s="234"/>
      <c r="AL24" s="234"/>
      <c r="AM24" s="234"/>
      <c r="AN24" s="234"/>
      <c r="AO24" s="88"/>
    </row>
    <row r="25" spans="1:41" ht="18.75" customHeight="1">
      <c r="A25" s="219"/>
      <c r="B25" s="234"/>
      <c r="C25" s="80"/>
      <c r="D25" s="265"/>
      <c r="E25" s="265"/>
      <c r="F25" s="265"/>
      <c r="G25" s="266"/>
      <c r="H25" s="266"/>
      <c r="I25" s="231"/>
      <c r="J25" s="231"/>
      <c r="K25" s="232"/>
      <c r="L25" s="232"/>
      <c r="M25" s="528"/>
      <c r="N25" s="529"/>
      <c r="O25" s="529"/>
      <c r="P25" s="232"/>
      <c r="Q25" s="310"/>
      <c r="R25" s="310"/>
      <c r="S25" s="115"/>
      <c r="T25" s="115"/>
      <c r="U25" s="233"/>
      <c r="V25" s="233"/>
      <c r="W25" s="233"/>
      <c r="X25" s="233"/>
      <c r="Y25" s="233"/>
      <c r="Z25" s="233"/>
      <c r="AA25" s="234"/>
      <c r="AB25" s="234"/>
      <c r="AC25" s="220"/>
      <c r="AD25" s="82"/>
      <c r="AE25" s="82"/>
      <c r="AF25" s="82"/>
      <c r="AG25" s="234"/>
      <c r="AH25" s="234"/>
      <c r="AI25" s="234"/>
      <c r="AJ25" s="234"/>
      <c r="AK25" s="234"/>
      <c r="AL25" s="234"/>
      <c r="AM25" s="234"/>
      <c r="AN25" s="234"/>
      <c r="AO25" s="88"/>
    </row>
    <row r="26" spans="1:41" ht="18.75" customHeight="1">
      <c r="A26" s="219"/>
      <c r="B26" s="234"/>
      <c r="C26" s="240" t="s">
        <v>1469</v>
      </c>
      <c r="D26" s="234"/>
      <c r="E26" s="234"/>
      <c r="F26" s="234"/>
      <c r="G26" s="266"/>
      <c r="H26" s="266"/>
      <c r="I26" s="231"/>
      <c r="J26" s="231"/>
      <c r="K26" s="232"/>
      <c r="L26" s="232"/>
      <c r="M26" s="529"/>
      <c r="N26" s="529"/>
      <c r="O26" s="529"/>
      <c r="P26" s="232"/>
      <c r="Q26" s="115"/>
      <c r="R26" s="115"/>
      <c r="S26" s="115"/>
      <c r="T26" s="115"/>
      <c r="U26" s="233"/>
      <c r="V26" s="233"/>
      <c r="W26" s="233"/>
      <c r="X26" s="233"/>
      <c r="Y26" s="233"/>
      <c r="Z26" s="233"/>
      <c r="AA26" s="234"/>
      <c r="AB26" s="234"/>
      <c r="AC26" s="220"/>
      <c r="AD26" s="82"/>
      <c r="AE26" s="82"/>
      <c r="AF26" s="82"/>
      <c r="AG26" s="89"/>
      <c r="AH26" s="234"/>
      <c r="AI26" s="89"/>
      <c r="AJ26" s="234"/>
      <c r="AK26" s="89"/>
      <c r="AL26" s="234"/>
      <c r="AM26" s="234"/>
      <c r="AN26" s="234"/>
      <c r="AO26" s="88"/>
    </row>
    <row r="27" spans="1:41" ht="18.75" thickBot="1">
      <c r="A27" s="221"/>
      <c r="B27" s="222"/>
      <c r="C27" s="222"/>
      <c r="D27" s="222"/>
      <c r="E27" s="222"/>
      <c r="F27" s="222"/>
      <c r="G27" s="517" t="s">
        <v>1719</v>
      </c>
      <c r="H27" s="517"/>
      <c r="I27" s="517"/>
      <c r="J27" s="517"/>
      <c r="K27" s="222"/>
      <c r="L27" s="518" t="s">
        <v>1724</v>
      </c>
      <c r="M27" s="518"/>
      <c r="N27" s="524" t="s">
        <v>1748</v>
      </c>
      <c r="O27" s="524"/>
      <c r="P27" s="526" t="s">
        <v>1749</v>
      </c>
      <c r="Q27" s="526"/>
      <c r="R27" s="527" t="s">
        <v>1725</v>
      </c>
      <c r="S27" s="527"/>
      <c r="T27" s="525" t="s">
        <v>1734</v>
      </c>
      <c r="U27" s="525"/>
      <c r="V27" s="523" t="s">
        <v>1735</v>
      </c>
      <c r="W27" s="523"/>
      <c r="X27" s="533" t="s">
        <v>1752</v>
      </c>
      <c r="Y27" s="533"/>
      <c r="Z27" s="531" t="s">
        <v>1757</v>
      </c>
      <c r="AA27" s="531"/>
      <c r="AB27" s="531" t="s">
        <v>1758</v>
      </c>
      <c r="AC27" s="532"/>
      <c r="AD27" s="57"/>
      <c r="AE27" s="234"/>
      <c r="AF27" s="234"/>
      <c r="AG27" s="57"/>
      <c r="AH27" s="234"/>
      <c r="AI27" s="76"/>
      <c r="AJ27" s="234"/>
      <c r="AK27" s="57"/>
      <c r="AL27" s="234"/>
      <c r="AM27" s="234"/>
      <c r="AN27" s="234"/>
      <c r="AO27" s="58"/>
    </row>
    <row r="28" spans="1:41" ht="5.25" customHeight="1">
      <c r="A28" s="43"/>
      <c r="B28" s="75"/>
      <c r="C28" s="75"/>
      <c r="D28" s="43"/>
      <c r="E28" s="43"/>
      <c r="F28" s="43"/>
      <c r="G28" s="75"/>
      <c r="H28" s="75"/>
      <c r="I28" s="75"/>
      <c r="J28" s="75"/>
      <c r="K28" s="43"/>
      <c r="L28" s="75"/>
      <c r="M28" s="43"/>
      <c r="N28" s="75"/>
      <c r="O28" s="43"/>
      <c r="P28" s="75"/>
      <c r="Q28" s="43"/>
      <c r="R28" s="75"/>
      <c r="S28" s="43"/>
      <c r="T28" s="75"/>
      <c r="U28" s="75"/>
      <c r="V28" s="75"/>
      <c r="W28" s="43"/>
      <c r="X28" s="75"/>
      <c r="Y28" s="75"/>
      <c r="Z28" s="75"/>
      <c r="AA28" s="43"/>
      <c r="AB28" s="75"/>
      <c r="AC28" s="43"/>
      <c r="AD28" s="43"/>
      <c r="AE28" s="75"/>
      <c r="AF28" s="75"/>
      <c r="AG28" s="43"/>
      <c r="AH28" s="75"/>
      <c r="AI28" s="75"/>
      <c r="AJ28" s="75"/>
      <c r="AK28" s="43"/>
      <c r="AL28" s="75"/>
      <c r="AM28" s="75"/>
      <c r="AN28" s="75"/>
      <c r="AO28" s="43"/>
    </row>
    <row r="29" spans="1:41" ht="39.75" customHeight="1">
      <c r="A29" s="130" t="s">
        <v>1982</v>
      </c>
      <c r="B29" s="130" t="s">
        <v>1975</v>
      </c>
      <c r="C29" s="130" t="s">
        <v>1379</v>
      </c>
      <c r="D29" s="130" t="s">
        <v>1652</v>
      </c>
      <c r="E29" s="131" t="s">
        <v>1390</v>
      </c>
      <c r="F29" s="132" t="s">
        <v>1389</v>
      </c>
      <c r="G29" s="268" t="s">
        <v>1459</v>
      </c>
      <c r="H29" s="268" t="s">
        <v>1739</v>
      </c>
      <c r="I29" s="268" t="s">
        <v>1738</v>
      </c>
      <c r="J29" s="268" t="s">
        <v>1736</v>
      </c>
      <c r="K29" s="132" t="s">
        <v>1737</v>
      </c>
      <c r="L29" s="276" t="s">
        <v>1740</v>
      </c>
      <c r="M29" s="276" t="s">
        <v>1741</v>
      </c>
      <c r="N29" s="279" t="s">
        <v>1742</v>
      </c>
      <c r="O29" s="279" t="s">
        <v>1743</v>
      </c>
      <c r="P29" s="288" t="s">
        <v>1751</v>
      </c>
      <c r="Q29" s="288" t="s">
        <v>1750</v>
      </c>
      <c r="R29" s="273" t="s">
        <v>1726</v>
      </c>
      <c r="S29" s="273" t="s">
        <v>1727</v>
      </c>
      <c r="T29" s="281" t="s">
        <v>1745</v>
      </c>
      <c r="U29" s="281" t="s">
        <v>1744</v>
      </c>
      <c r="V29" s="285" t="s">
        <v>1747</v>
      </c>
      <c r="W29" s="285" t="s">
        <v>1746</v>
      </c>
      <c r="X29" s="294" t="s">
        <v>1958</v>
      </c>
      <c r="Y29" s="294" t="s">
        <v>1959</v>
      </c>
      <c r="Z29" s="132" t="s">
        <v>1753</v>
      </c>
      <c r="AA29" s="132" t="s">
        <v>1754</v>
      </c>
      <c r="AB29" s="132" t="s">
        <v>1755</v>
      </c>
      <c r="AC29" s="132" t="s">
        <v>1756</v>
      </c>
      <c r="AD29" s="132" t="s">
        <v>1728</v>
      </c>
      <c r="AE29" s="132" t="s">
        <v>1729</v>
      </c>
      <c r="AF29" s="132" t="s">
        <v>1732</v>
      </c>
      <c r="AG29" s="132" t="s">
        <v>1730</v>
      </c>
      <c r="AH29" s="132" t="s">
        <v>1733</v>
      </c>
      <c r="AI29" s="132" t="s">
        <v>1731</v>
      </c>
      <c r="AJ29" s="132" t="s">
        <v>1759</v>
      </c>
      <c r="AK29" s="132" t="s">
        <v>1760</v>
      </c>
      <c r="AL29" s="132" t="s">
        <v>1952</v>
      </c>
      <c r="AM29" s="132" t="s">
        <v>1953</v>
      </c>
      <c r="AN29" s="132" t="s">
        <v>1762</v>
      </c>
      <c r="AO29" s="132" t="s">
        <v>1761</v>
      </c>
    </row>
    <row r="30" spans="1:41" ht="15.75">
      <c r="A30" s="133" t="s">
        <v>1393</v>
      </c>
      <c r="B30" s="241" t="s">
        <v>1607</v>
      </c>
      <c r="C30" s="134">
        <v>1</v>
      </c>
      <c r="D30" s="135">
        <v>1</v>
      </c>
      <c r="E30" s="324" t="s">
        <v>16</v>
      </c>
      <c r="F30" s="135">
        <f t="shared" ref="F30:F43" si="0">COUNTIF(COT_CODIGO_ALIMENTOS,D30)</f>
        <v>9</v>
      </c>
      <c r="G30" s="314" t="s">
        <v>1464</v>
      </c>
      <c r="H30" s="315">
        <f t="shared" ref="H30:H43" si="1">IF($G30=$AD$2,L30,IF($G30=$AD$3,R30,IF($G30=$AD$4,T30,IF($G30=$AD$5,V30,IF($G30=$AD$6,Z30,IF($G30=$AD$7,AB30,IF($G30=$AD$8,X30,0)))))))</f>
        <v>24</v>
      </c>
      <c r="I30" s="315">
        <f t="shared" ref="I30:I43" si="2">IF($G30=$AD$2,M30,IF($G30=$AD$3,S30,IF($G30=$AD$4,U30,IF($G30=$AD$5,W30,IF($G30=$AD$6,AA30,IF($G30=$AD$7,AC30,IF($G30=$AD$8,Y30,0)))))))</f>
        <v>25.2</v>
      </c>
      <c r="J30" s="316" t="s">
        <v>1837</v>
      </c>
      <c r="K30" s="135" t="str">
        <f t="shared" ref="K30:K43" si="3">VLOOKUP(D30,COT_ALIMENTOS,5,FALSE)</f>
        <v>gr</v>
      </c>
      <c r="L30" s="292">
        <f t="shared" ref="L30:L43" si="4">AVERAGEIF(COT_CODIGO_ALIMENTOS,D30,COT_VALOR_UNITARIO_SINIVA)</f>
        <v>32.971430395913153</v>
      </c>
      <c r="M30" s="292">
        <f t="shared" ref="M30:M43" si="5">AVERAGEIF(COT_CODIGO_ALIMENTOS,D30,COT_VALOR_UNITARIO_CONIVA)</f>
        <v>34.620001915708812</v>
      </c>
      <c r="N30" s="293">
        <f t="shared" ref="N30:N43" si="6">AF30</f>
        <v>6.8863092440240266</v>
      </c>
      <c r="O30" s="293">
        <f t="shared" ref="O30:O43" si="7">AG30</f>
        <v>7.2306247062252131</v>
      </c>
      <c r="P30" s="289">
        <f t="shared" ref="P30:P43" si="8">IF(N30=0,"NA",N30/L30)</f>
        <v>0.20885685459608064</v>
      </c>
      <c r="Q30" s="289">
        <f t="shared" ref="Q30:Q43" si="9">IF(O30=0,"NA",O30/M30)</f>
        <v>0.20885685459608019</v>
      </c>
      <c r="R30" s="275">
        <f t="shared" ref="R30:R43" si="10">POWER(AD30,1/F30)</f>
        <v>32.32045052146686</v>
      </c>
      <c r="S30" s="275">
        <f t="shared" ref="S30:S43" si="11">POWER(AE30,1/F30)</f>
        <v>33.936473047540204</v>
      </c>
      <c r="T30" s="282">
        <f t="shared" ref="T30:T43" si="12">AH30</f>
        <v>35</v>
      </c>
      <c r="U30" s="282">
        <f t="shared" ref="U30:U43" si="13">AI30</f>
        <v>36.75</v>
      </c>
      <c r="V30" s="291">
        <f t="shared" ref="V30:V43" si="14">SUMIF(COT_CODIGO_ALIMENTOS,D30,COT_VALORES_PONDERADOS_SINIVA)/SUMIF(COT_CODIGO_ALIMENTOS,D30,COT_FACTOR_PROMEDIO_PONDERADO)</f>
        <v>36.498714202220931</v>
      </c>
      <c r="W30" s="291">
        <f t="shared" ref="W30:W43" si="15">SUMIF(COT_CODIGO_ALIMENTOS,D30,COT_VALORES_PONDERADOS_CONIVA)/SUMIF(COT_CODIGO_ALIMENTOS,D30,COT_FACTOR_PROMEDIO_PONDERADO)</f>
        <v>38.323649912331973</v>
      </c>
      <c r="X30" s="309">
        <f t="shared" ref="X30:X43" si="16">IF(ISERROR(AL30),"NA",AL30)</f>
        <v>25.291666666666664</v>
      </c>
      <c r="Y30" s="309">
        <f t="shared" ref="Y30:Y43" si="17">IF(ISERROR(AM30),"NA",AM30)</f>
        <v>26.556249999999999</v>
      </c>
      <c r="Z30" s="297">
        <f t="shared" ref="Z30:Z43" si="18">AJ30</f>
        <v>24</v>
      </c>
      <c r="AA30" s="297">
        <f t="shared" ref="AA30:AA43" si="19">AK30</f>
        <v>25.2</v>
      </c>
      <c r="AB30" s="297">
        <f t="shared" ref="AB30:AB43" si="20">AN30</f>
        <v>45.08620689655173</v>
      </c>
      <c r="AC30" s="297">
        <f t="shared" ref="AC30:AC43" si="21">AO30</f>
        <v>47.340517241379324</v>
      </c>
      <c r="AD30" s="254">
        <f t="array" ref="AD30">PRODUCT((IF(COT_CODIGO_ALIMENTOS=D30,COT_VALOR_UNITARIO_SINIVA,1)))</f>
        <v>38485457424007.758</v>
      </c>
      <c r="AE30" s="254">
        <f t="array" ref="AE30">PRODUCT((IF(COT_CODIGO_ALIMENTOS=D30,COT_VALOR_UNITARIO_CONIVA,1)))</f>
        <v>59703576006703.086</v>
      </c>
      <c r="AF30" s="254">
        <f t="array" ref="AF30">IFERROR(STDEV(IF(COT_CODIGO_ALIMENTOS=D30,COT_VALOR_UNITARIO_SINIVA,"")),0)</f>
        <v>6.8863092440240266</v>
      </c>
      <c r="AG30" s="254">
        <f t="array" ref="AG30">IFERROR(STDEV(IF(COT_CODIGO_ALIMENTOS=D30,COT_VALOR_UNITARIO_CONIVA,"")),0)</f>
        <v>7.2306247062252131</v>
      </c>
      <c r="AH30" s="254">
        <f t="array" ref="AH30">MEDIAN(IF(COT_CODIGO_ALIMENTOS=D30,COT_VALOR_UNITARIO_SINIVA,""))</f>
        <v>35</v>
      </c>
      <c r="AI30" s="254">
        <f t="array" ref="AI30">MEDIAN(IF(COT_CODIGO_ALIMENTOS=D30,COT_VALOR_UNITARIO_CONIVA,""))</f>
        <v>36.75</v>
      </c>
      <c r="AJ30" s="254">
        <f t="array" ref="AJ30">MIN((IF(COT_CODIGO_ALIMENTOS=D30,COT_VALOR_UNITARIO_SINIVA,"")))</f>
        <v>24</v>
      </c>
      <c r="AK30" s="254">
        <f t="array" ref="AK30">MIN((IF(COT_CODIGO_ALIMENTOS=D30,COT_VALOR_UNITARIO_CONIVA,"")))</f>
        <v>25.2</v>
      </c>
      <c r="AL30" s="254">
        <f t="array" ref="AL30">_xlfn.QUARTILE.EXC(IF(COT_CODIGO_ALIMENTOS=D30,COT_VALOR_UNITARIO_SINIVA,""),1)</f>
        <v>25.291666666666664</v>
      </c>
      <c r="AM30" s="254">
        <f t="array" ref="AM30">_xlfn.QUARTILE.EXC(IF(COT_CODIGO_ALIMENTOS=D30,COT_VALOR_UNITARIO_CONIVA,""),1)</f>
        <v>26.556249999999999</v>
      </c>
      <c r="AN30" s="254">
        <f t="array" ref="AN30">MAX((IF(COT_CODIGO_ALIMENTOS=D30,COT_VALOR_UNITARIO_SINIVA,"")))</f>
        <v>45.08620689655173</v>
      </c>
      <c r="AO30" s="254">
        <f t="array" ref="AO30">MAX((IF(COT_CODIGO_ALIMENTOS=D30,COT_VALOR_UNITARIO_CONIVA,"")))</f>
        <v>47.340517241379324</v>
      </c>
    </row>
    <row r="31" spans="1:41" ht="15.75">
      <c r="A31" s="133" t="s">
        <v>1393</v>
      </c>
      <c r="B31" s="241" t="s">
        <v>1607</v>
      </c>
      <c r="C31" s="135">
        <v>3</v>
      </c>
      <c r="D31" s="135" t="s">
        <v>1493</v>
      </c>
      <c r="E31" s="324" t="s">
        <v>12</v>
      </c>
      <c r="F31" s="135">
        <f t="shared" si="0"/>
        <v>4</v>
      </c>
      <c r="G31" s="314" t="s">
        <v>1464</v>
      </c>
      <c r="H31" s="315">
        <f t="shared" si="1"/>
        <v>9</v>
      </c>
      <c r="I31" s="315">
        <f t="shared" si="2"/>
        <v>10.44</v>
      </c>
      <c r="J31" s="316" t="s">
        <v>1837</v>
      </c>
      <c r="K31" s="135" t="str">
        <f t="shared" si="3"/>
        <v>gr</v>
      </c>
      <c r="L31" s="292">
        <f t="shared" si="4"/>
        <v>11.943965517241379</v>
      </c>
      <c r="M31" s="292">
        <f t="shared" si="5"/>
        <v>13.855</v>
      </c>
      <c r="N31" s="293">
        <f t="shared" si="6"/>
        <v>2.9713046641256957</v>
      </c>
      <c r="O31" s="293">
        <f t="shared" si="7"/>
        <v>3.4467134103857977</v>
      </c>
      <c r="P31" s="289">
        <f t="shared" si="8"/>
        <v>0.24877036523896118</v>
      </c>
      <c r="Q31" s="289">
        <f t="shared" si="9"/>
        <v>0.24877036523896048</v>
      </c>
      <c r="R31" s="275">
        <f t="shared" si="10"/>
        <v>11.681508799988238</v>
      </c>
      <c r="S31" s="275">
        <f t="shared" si="11"/>
        <v>13.550550207986355</v>
      </c>
      <c r="T31" s="282">
        <f t="shared" si="12"/>
        <v>11.387931034482758</v>
      </c>
      <c r="U31" s="282">
        <f t="shared" si="13"/>
        <v>13.209999999999999</v>
      </c>
      <c r="V31" s="291">
        <f t="shared" si="14"/>
        <v>12.005305039787798</v>
      </c>
      <c r="W31" s="291">
        <f t="shared" si="15"/>
        <v>13.926153846153845</v>
      </c>
      <c r="X31" s="309">
        <f t="shared" si="16"/>
        <v>9.443965517241379</v>
      </c>
      <c r="Y31" s="309">
        <f t="shared" si="17"/>
        <v>10.955</v>
      </c>
      <c r="Z31" s="297">
        <f t="shared" si="18"/>
        <v>9</v>
      </c>
      <c r="AA31" s="297">
        <f t="shared" si="19"/>
        <v>10.44</v>
      </c>
      <c r="AB31" s="297">
        <f t="shared" si="20"/>
        <v>16</v>
      </c>
      <c r="AC31" s="297">
        <f t="shared" si="21"/>
        <v>18.559999999999999</v>
      </c>
      <c r="AD31" s="254">
        <f t="array" ref="AD31">PRODUCT((IF(COT_CODIGO_ALIMENTOS=D31,COT_VALOR_UNITARIO_SINIVA,1)))</f>
        <v>18620.689655172417</v>
      </c>
      <c r="AE31" s="254">
        <f t="array" ref="AE31">PRODUCT((IF(COT_CODIGO_ALIMENTOS=D31,COT_VALOR_UNITARIO_CONIVA,1)))</f>
        <v>33715.353599999988</v>
      </c>
      <c r="AF31" s="254">
        <f t="array" ref="AF31">IFERROR(STDEV(IF(COT_CODIGO_ALIMENTOS=D31,COT_VALOR_UNITARIO_SINIVA,"")),0)</f>
        <v>2.9713046641256957</v>
      </c>
      <c r="AG31" s="254">
        <f t="array" ref="AG31">IFERROR(STDEV(IF(COT_CODIGO_ALIMENTOS=D31,COT_VALOR_UNITARIO_CONIVA,"")),0)</f>
        <v>3.4467134103857977</v>
      </c>
      <c r="AH31" s="254">
        <f t="array" ref="AH31">MEDIAN(IF(COT_CODIGO_ALIMENTOS=D31,COT_VALOR_UNITARIO_SINIVA,""))</f>
        <v>11.387931034482758</v>
      </c>
      <c r="AI31" s="254">
        <f t="array" ref="AI31">MEDIAN(IF(COT_CODIGO_ALIMENTOS=D31,COT_VALOR_UNITARIO_CONIVA,""))</f>
        <v>13.209999999999999</v>
      </c>
      <c r="AJ31" s="254">
        <f t="array" ref="AJ31">MIN((IF(COT_CODIGO_ALIMENTOS=D31,COT_VALOR_UNITARIO_SINIVA,"")))</f>
        <v>9</v>
      </c>
      <c r="AK31" s="254">
        <f t="array" ref="AK31">MIN((IF(COT_CODIGO_ALIMENTOS=D31,COT_VALOR_UNITARIO_CONIVA,"")))</f>
        <v>10.44</v>
      </c>
      <c r="AL31" s="254">
        <f t="array" ref="AL31">_xlfn.QUARTILE.EXC(IF(COT_CODIGO_ALIMENTOS=D31,COT_VALOR_UNITARIO_SINIVA,""),1)</f>
        <v>9.443965517241379</v>
      </c>
      <c r="AM31" s="254">
        <f t="array" ref="AM31">_xlfn.QUARTILE.EXC(IF(COT_CODIGO_ALIMENTOS=D31,COT_VALOR_UNITARIO_CONIVA,""),1)</f>
        <v>10.955</v>
      </c>
      <c r="AN31" s="254">
        <f t="array" ref="AN31">MAX((IF(COT_CODIGO_ALIMENTOS=D31,COT_VALOR_UNITARIO_SINIVA,"")))</f>
        <v>16</v>
      </c>
      <c r="AO31" s="254">
        <f t="array" ref="AO31">MAX((IF(COT_CODIGO_ALIMENTOS=D31,COT_VALOR_UNITARIO_CONIVA,"")))</f>
        <v>18.559999999999999</v>
      </c>
    </row>
    <row r="32" spans="1:41" ht="15.75">
      <c r="A32" s="133" t="s">
        <v>1393</v>
      </c>
      <c r="B32" s="241" t="s">
        <v>1607</v>
      </c>
      <c r="C32" s="135">
        <v>3</v>
      </c>
      <c r="D32" s="135" t="s">
        <v>1494</v>
      </c>
      <c r="E32" s="324" t="s">
        <v>12</v>
      </c>
      <c r="F32" s="135">
        <f t="shared" si="0"/>
        <v>3</v>
      </c>
      <c r="G32" s="314" t="s">
        <v>1464</v>
      </c>
      <c r="H32" s="315">
        <f t="shared" si="1"/>
        <v>8.5</v>
      </c>
      <c r="I32" s="315">
        <f t="shared" si="2"/>
        <v>9.86</v>
      </c>
      <c r="J32" s="316" t="s">
        <v>1837</v>
      </c>
      <c r="K32" s="135" t="str">
        <f t="shared" si="3"/>
        <v>gr</v>
      </c>
      <c r="L32" s="292">
        <f t="shared" si="4"/>
        <v>16.335796387520528</v>
      </c>
      <c r="M32" s="292">
        <f t="shared" si="5"/>
        <v>18.949523809523807</v>
      </c>
      <c r="N32" s="293">
        <f t="shared" si="6"/>
        <v>8.0089759870302561</v>
      </c>
      <c r="O32" s="293">
        <f t="shared" si="7"/>
        <v>9.290412144955102</v>
      </c>
      <c r="P32" s="289">
        <f t="shared" si="8"/>
        <v>0.49027153602064888</v>
      </c>
      <c r="Q32" s="289">
        <f t="shared" si="9"/>
        <v>0.49027153602064927</v>
      </c>
      <c r="R32" s="275">
        <f t="shared" si="10"/>
        <v>14.937525230513247</v>
      </c>
      <c r="S32" s="275">
        <f t="shared" si="11"/>
        <v>17.327529267395356</v>
      </c>
      <c r="T32" s="282">
        <f t="shared" si="12"/>
        <v>16</v>
      </c>
      <c r="U32" s="282">
        <f t="shared" si="13"/>
        <v>18.559999999999999</v>
      </c>
      <c r="V32" s="291">
        <f t="shared" si="14"/>
        <v>15.980509745127438</v>
      </c>
      <c r="W32" s="291">
        <f t="shared" si="15"/>
        <v>18.537391304347828</v>
      </c>
      <c r="X32" s="309">
        <f t="shared" si="16"/>
        <v>8.5</v>
      </c>
      <c r="Y32" s="309">
        <f t="shared" si="17"/>
        <v>9.86</v>
      </c>
      <c r="Z32" s="297">
        <f t="shared" si="18"/>
        <v>8.5</v>
      </c>
      <c r="AA32" s="297">
        <f t="shared" si="19"/>
        <v>9.86</v>
      </c>
      <c r="AB32" s="297">
        <f t="shared" si="20"/>
        <v>24.507389162561577</v>
      </c>
      <c r="AC32" s="297">
        <f t="shared" si="21"/>
        <v>28.428571428571427</v>
      </c>
      <c r="AD32" s="254">
        <f t="array" ref="AD32">PRODUCT((IF(COT_CODIGO_ALIMENTOS=D32,COT_VALOR_UNITARIO_SINIVA,1)))</f>
        <v>3333.0049261083745</v>
      </c>
      <c r="AE32" s="254">
        <f t="array" ref="AE32">PRODUCT((IF(COT_CODIGO_ALIMENTOS=D32,COT_VALOR_UNITARIO_CONIVA,1)))</f>
        <v>5202.4740571428556</v>
      </c>
      <c r="AF32" s="254">
        <f t="array" ref="AF32">IFERROR(STDEV(IF(COT_CODIGO_ALIMENTOS=D32,COT_VALOR_UNITARIO_SINIVA,"")),0)</f>
        <v>8.0089759870302561</v>
      </c>
      <c r="AG32" s="254">
        <f t="array" ref="AG32">IFERROR(STDEV(IF(COT_CODIGO_ALIMENTOS=D32,COT_VALOR_UNITARIO_CONIVA,"")),0)</f>
        <v>9.290412144955102</v>
      </c>
      <c r="AH32" s="254">
        <f t="array" ref="AH32">MEDIAN(IF(COT_CODIGO_ALIMENTOS=D32,COT_VALOR_UNITARIO_SINIVA,""))</f>
        <v>16</v>
      </c>
      <c r="AI32" s="254">
        <f t="array" ref="AI32">MEDIAN(IF(COT_CODIGO_ALIMENTOS=D32,COT_VALOR_UNITARIO_CONIVA,""))</f>
        <v>18.559999999999999</v>
      </c>
      <c r="AJ32" s="254">
        <f t="array" ref="AJ32">MIN((IF(COT_CODIGO_ALIMENTOS=D32,COT_VALOR_UNITARIO_SINIVA,"")))</f>
        <v>8.5</v>
      </c>
      <c r="AK32" s="254">
        <f t="array" ref="AK32">MIN((IF(COT_CODIGO_ALIMENTOS=D32,COT_VALOR_UNITARIO_CONIVA,"")))</f>
        <v>9.86</v>
      </c>
      <c r="AL32" s="254">
        <f t="array" ref="AL32">_xlfn.QUARTILE.EXC(IF(COT_CODIGO_ALIMENTOS=D32,COT_VALOR_UNITARIO_SINIVA,""),1)</f>
        <v>8.5</v>
      </c>
      <c r="AM32" s="254">
        <f t="array" ref="AM32">_xlfn.QUARTILE.EXC(IF(COT_CODIGO_ALIMENTOS=D32,COT_VALOR_UNITARIO_CONIVA,""),1)</f>
        <v>9.86</v>
      </c>
      <c r="AN32" s="254">
        <f t="array" ref="AN32">MAX((IF(COT_CODIGO_ALIMENTOS=D32,COT_VALOR_UNITARIO_SINIVA,"")))</f>
        <v>24.507389162561577</v>
      </c>
      <c r="AO32" s="254">
        <f t="array" ref="AO32">MAX((IF(COT_CODIGO_ALIMENTOS=D32,COT_VALOR_UNITARIO_CONIVA,"")))</f>
        <v>28.428571428571427</v>
      </c>
    </row>
    <row r="33" spans="1:41" ht="15.75">
      <c r="A33" s="133" t="s">
        <v>1393</v>
      </c>
      <c r="B33" s="241" t="s">
        <v>1607</v>
      </c>
      <c r="C33" s="135">
        <v>15</v>
      </c>
      <c r="D33" s="135">
        <v>15</v>
      </c>
      <c r="E33" s="324" t="s">
        <v>66</v>
      </c>
      <c r="F33" s="135">
        <f t="shared" si="0"/>
        <v>13</v>
      </c>
      <c r="G33" s="314" t="s">
        <v>1463</v>
      </c>
      <c r="H33" s="315">
        <f t="shared" si="1"/>
        <v>11.9825</v>
      </c>
      <c r="I33" s="315">
        <f t="shared" si="2"/>
        <v>13.899699999999999</v>
      </c>
      <c r="J33" s="316" t="s">
        <v>1837</v>
      </c>
      <c r="K33" s="135" t="str">
        <f t="shared" si="3"/>
        <v>gr</v>
      </c>
      <c r="L33" s="292">
        <f t="shared" si="4"/>
        <v>15.163948683942055</v>
      </c>
      <c r="M33" s="292">
        <f t="shared" si="5"/>
        <v>17.590180473372776</v>
      </c>
      <c r="N33" s="293">
        <f t="shared" si="6"/>
        <v>6.4042331529031191</v>
      </c>
      <c r="O33" s="293">
        <f t="shared" si="7"/>
        <v>7.4289104573676346</v>
      </c>
      <c r="P33" s="289">
        <f t="shared" si="8"/>
        <v>0.42233281623307761</v>
      </c>
      <c r="Q33" s="289">
        <f t="shared" si="9"/>
        <v>0.42233281623307872</v>
      </c>
      <c r="R33" s="275">
        <f t="shared" si="10"/>
        <v>14.126181705543173</v>
      </c>
      <c r="S33" s="275">
        <f t="shared" si="11"/>
        <v>16.386370778430077</v>
      </c>
      <c r="T33" s="282">
        <f t="shared" si="12"/>
        <v>11.9825</v>
      </c>
      <c r="U33" s="282">
        <f t="shared" si="13"/>
        <v>13.899699999999999</v>
      </c>
      <c r="V33" s="291">
        <f t="shared" si="14"/>
        <v>15.312516598843438</v>
      </c>
      <c r="W33" s="291">
        <f t="shared" si="15"/>
        <v>17.762519254658383</v>
      </c>
      <c r="X33" s="309">
        <f t="shared" si="16"/>
        <v>10.625</v>
      </c>
      <c r="Y33" s="309">
        <f t="shared" si="17"/>
        <v>12.324999999999999</v>
      </c>
      <c r="Z33" s="297">
        <f t="shared" si="18"/>
        <v>9.4375</v>
      </c>
      <c r="AA33" s="297">
        <f t="shared" si="19"/>
        <v>10.9475</v>
      </c>
      <c r="AB33" s="297">
        <f t="shared" si="20"/>
        <v>27.478448275862071</v>
      </c>
      <c r="AC33" s="297">
        <f t="shared" si="21"/>
        <v>31.875</v>
      </c>
      <c r="AD33" s="254">
        <f t="array" ref="AD33">PRODUCT((IF(COT_CODIGO_ALIMENTOS=D33,COT_VALOR_UNITARIO_SINIVA,1)))</f>
        <v>891912494476351.12</v>
      </c>
      <c r="AE33" s="254">
        <f t="array" ref="AE33">PRODUCT((IF(COT_CODIGO_ALIMENTOS=D33,COT_VALOR_UNITARIO_CONIVA,1)))</f>
        <v>6141523355944267</v>
      </c>
      <c r="AF33" s="254">
        <f t="array" ref="AF33">IFERROR(STDEV(IF(COT_CODIGO_ALIMENTOS=D33,COT_VALOR_UNITARIO_SINIVA,"")),0)</f>
        <v>6.4042331529031191</v>
      </c>
      <c r="AG33" s="254">
        <f t="array" ref="AG33">IFERROR(STDEV(IF(COT_CODIGO_ALIMENTOS=D33,COT_VALOR_UNITARIO_CONIVA,"")),0)</f>
        <v>7.4289104573676346</v>
      </c>
      <c r="AH33" s="254">
        <f t="array" ref="AH33">MEDIAN(IF(COT_CODIGO_ALIMENTOS=D33,COT_VALOR_UNITARIO_SINIVA,""))</f>
        <v>11.9825</v>
      </c>
      <c r="AI33" s="254">
        <f t="array" ref="AI33">MEDIAN(IF(COT_CODIGO_ALIMENTOS=D33,COT_VALOR_UNITARIO_CONIVA,""))</f>
        <v>13.899699999999999</v>
      </c>
      <c r="AJ33" s="254">
        <f t="array" ref="AJ33">MIN((IF(COT_CODIGO_ALIMENTOS=D33,COT_VALOR_UNITARIO_SINIVA,"")))</f>
        <v>9.4375</v>
      </c>
      <c r="AK33" s="254">
        <f t="array" ref="AK33">MIN((IF(COT_CODIGO_ALIMENTOS=D33,COT_VALOR_UNITARIO_CONIVA,"")))</f>
        <v>10.9475</v>
      </c>
      <c r="AL33" s="254">
        <f t="array" ref="AL33">_xlfn.QUARTILE.EXC(IF(COT_CODIGO_ALIMENTOS=D33,COT_VALOR_UNITARIO_SINIVA,""),1)</f>
        <v>10.625</v>
      </c>
      <c r="AM33" s="254">
        <f t="array" ref="AM33">_xlfn.QUARTILE.EXC(IF(COT_CODIGO_ALIMENTOS=D33,COT_VALOR_UNITARIO_CONIVA,""),1)</f>
        <v>12.324999999999999</v>
      </c>
      <c r="AN33" s="254">
        <f t="array" ref="AN33">MAX((IF(COT_CODIGO_ALIMENTOS=D33,COT_VALOR_UNITARIO_SINIVA,"")))</f>
        <v>27.478448275862071</v>
      </c>
      <c r="AO33" s="254">
        <f t="array" ref="AO33">MAX((IF(COT_CODIGO_ALIMENTOS=D33,COT_VALOR_UNITARIO_CONIVA,"")))</f>
        <v>31.875</v>
      </c>
    </row>
    <row r="34" spans="1:41" ht="30">
      <c r="A34" s="133" t="s">
        <v>1393</v>
      </c>
      <c r="B34" s="241" t="s">
        <v>1607</v>
      </c>
      <c r="C34" s="135">
        <v>21</v>
      </c>
      <c r="D34" s="135">
        <v>21</v>
      </c>
      <c r="E34" s="324" t="s">
        <v>70</v>
      </c>
      <c r="F34" s="135">
        <f t="shared" si="0"/>
        <v>5</v>
      </c>
      <c r="G34" s="314" t="s">
        <v>1954</v>
      </c>
      <c r="H34" s="315">
        <f t="shared" si="1"/>
        <v>14.283333333333333</v>
      </c>
      <c r="I34" s="315">
        <f t="shared" si="2"/>
        <v>16.568666666666665</v>
      </c>
      <c r="J34" s="316" t="s">
        <v>1837</v>
      </c>
      <c r="K34" s="135" t="str">
        <f t="shared" si="3"/>
        <v>gr</v>
      </c>
      <c r="L34" s="292">
        <f t="shared" si="4"/>
        <v>24.276296296296294</v>
      </c>
      <c r="M34" s="292">
        <f t="shared" si="5"/>
        <v>28.160503703703704</v>
      </c>
      <c r="N34" s="293">
        <f t="shared" si="6"/>
        <v>11.260784984344962</v>
      </c>
      <c r="O34" s="293">
        <f t="shared" si="7"/>
        <v>13.062510581840149</v>
      </c>
      <c r="P34" s="289">
        <f t="shared" si="8"/>
        <v>0.46385926612960976</v>
      </c>
      <c r="Q34" s="289">
        <f t="shared" si="9"/>
        <v>0.46385926612960948</v>
      </c>
      <c r="R34" s="275">
        <f t="shared" si="10"/>
        <v>22.177582035324402</v>
      </c>
      <c r="S34" s="275">
        <f t="shared" si="11"/>
        <v>25.725995160976304</v>
      </c>
      <c r="T34" s="282">
        <f t="shared" si="12"/>
        <v>22</v>
      </c>
      <c r="U34" s="282">
        <f t="shared" si="13"/>
        <v>25.52</v>
      </c>
      <c r="V34" s="291">
        <f t="shared" si="14"/>
        <v>23.009345794392523</v>
      </c>
      <c r="W34" s="291">
        <f t="shared" si="15"/>
        <v>26.690841121495328</v>
      </c>
      <c r="X34" s="309">
        <f t="shared" si="16"/>
        <v>14.283333333333333</v>
      </c>
      <c r="Y34" s="309">
        <f t="shared" si="17"/>
        <v>16.568666666666665</v>
      </c>
      <c r="Z34" s="297">
        <f t="shared" si="18"/>
        <v>11.8</v>
      </c>
      <c r="AA34" s="297">
        <f t="shared" si="19"/>
        <v>13.687999999999999</v>
      </c>
      <c r="AB34" s="297">
        <f t="shared" si="20"/>
        <v>40</v>
      </c>
      <c r="AC34" s="297">
        <f t="shared" si="21"/>
        <v>46.4</v>
      </c>
      <c r="AD34" s="254">
        <f t="array" ref="AD34">PRODUCT((IF(COT_CODIGO_ALIMENTOS=D34,COT_VALOR_UNITARIO_SINIVA,1)))</f>
        <v>5365015.3876543213</v>
      </c>
      <c r="AE34" s="254">
        <f t="array" ref="AE34">PRODUCT((IF(COT_CODIGO_ALIMENTOS=D34,COT_VALOR_UNITARIO_CONIVA,1)))</f>
        <v>11268365.312355381</v>
      </c>
      <c r="AF34" s="254">
        <f t="array" ref="AF34">IFERROR(STDEV(IF(COT_CODIGO_ALIMENTOS=D34,COT_VALOR_UNITARIO_SINIVA,"")),0)</f>
        <v>11.260784984344962</v>
      </c>
      <c r="AG34" s="254">
        <f t="array" ref="AG34">IFERROR(STDEV(IF(COT_CODIGO_ALIMENTOS=D34,COT_VALOR_UNITARIO_CONIVA,"")),0)</f>
        <v>13.062510581840149</v>
      </c>
      <c r="AH34" s="254">
        <f t="array" ref="AH34">MEDIAN(IF(COT_CODIGO_ALIMENTOS=D34,COT_VALOR_UNITARIO_SINIVA,""))</f>
        <v>22</v>
      </c>
      <c r="AI34" s="254">
        <f t="array" ref="AI34">MEDIAN(IF(COT_CODIGO_ALIMENTOS=D34,COT_VALOR_UNITARIO_CONIVA,""))</f>
        <v>25.52</v>
      </c>
      <c r="AJ34" s="254">
        <f t="array" ref="AJ34">MIN((IF(COT_CODIGO_ALIMENTOS=D34,COT_VALOR_UNITARIO_SINIVA,"")))</f>
        <v>11.8</v>
      </c>
      <c r="AK34" s="254">
        <f t="array" ref="AK34">MIN((IF(COT_CODIGO_ALIMENTOS=D34,COT_VALOR_UNITARIO_CONIVA,"")))</f>
        <v>13.687999999999999</v>
      </c>
      <c r="AL34" s="254">
        <f t="array" ref="AL34">_xlfn.QUARTILE.EXC(IF(COT_CODIGO_ALIMENTOS=D34,COT_VALOR_UNITARIO_SINIVA,""),1)</f>
        <v>14.283333333333333</v>
      </c>
      <c r="AM34" s="254">
        <f t="array" ref="AM34">_xlfn.QUARTILE.EXC(IF(COT_CODIGO_ALIMENTOS=D34,COT_VALOR_UNITARIO_CONIVA,""),1)</f>
        <v>16.568666666666665</v>
      </c>
      <c r="AN34" s="254">
        <f t="array" ref="AN34">MAX((IF(COT_CODIGO_ALIMENTOS=D34,COT_VALOR_UNITARIO_SINIVA,"")))</f>
        <v>40</v>
      </c>
      <c r="AO34" s="254">
        <f t="array" ref="AO34">MAX((IF(COT_CODIGO_ALIMENTOS=D34,COT_VALOR_UNITARIO_CONIVA,"")))</f>
        <v>46.4</v>
      </c>
    </row>
    <row r="35" spans="1:41" ht="15.75">
      <c r="A35" s="133" t="s">
        <v>1393</v>
      </c>
      <c r="B35" s="241" t="s">
        <v>1607</v>
      </c>
      <c r="C35" s="134">
        <v>24</v>
      </c>
      <c r="D35" s="135" t="s">
        <v>1466</v>
      </c>
      <c r="E35" s="324" t="s">
        <v>61</v>
      </c>
      <c r="F35" s="135">
        <f t="shared" si="0"/>
        <v>7</v>
      </c>
      <c r="G35" s="314" t="s">
        <v>1954</v>
      </c>
      <c r="H35" s="315">
        <f t="shared" si="1"/>
        <v>5.7</v>
      </c>
      <c r="I35" s="315">
        <f t="shared" si="2"/>
        <v>6.6119999999999992</v>
      </c>
      <c r="J35" s="316" t="s">
        <v>1837</v>
      </c>
      <c r="K35" s="135" t="str">
        <f t="shared" si="3"/>
        <v>gr</v>
      </c>
      <c r="L35" s="292">
        <f t="shared" si="4"/>
        <v>7.8474025974025974</v>
      </c>
      <c r="M35" s="292">
        <f t="shared" si="5"/>
        <v>9.102987012987013</v>
      </c>
      <c r="N35" s="293">
        <f t="shared" si="6"/>
        <v>2.4125245072805073</v>
      </c>
      <c r="O35" s="293">
        <f t="shared" si="7"/>
        <v>2.7985284284453855</v>
      </c>
      <c r="P35" s="289">
        <f t="shared" si="8"/>
        <v>0.30742968483342831</v>
      </c>
      <c r="Q35" s="289">
        <f t="shared" si="9"/>
        <v>0.30742968483342797</v>
      </c>
      <c r="R35" s="275">
        <f t="shared" si="10"/>
        <v>7.5370109748659813</v>
      </c>
      <c r="S35" s="275">
        <f t="shared" si="11"/>
        <v>8.7429327308445366</v>
      </c>
      <c r="T35" s="282">
        <f t="shared" si="12"/>
        <v>7.5</v>
      </c>
      <c r="U35" s="282">
        <f t="shared" si="13"/>
        <v>8.6999999999999993</v>
      </c>
      <c r="V35" s="291">
        <f t="shared" si="14"/>
        <v>7.8098591549295771</v>
      </c>
      <c r="W35" s="291">
        <f t="shared" si="15"/>
        <v>9.0594366197183103</v>
      </c>
      <c r="X35" s="309">
        <f t="shared" si="16"/>
        <v>5.7</v>
      </c>
      <c r="Y35" s="309">
        <f t="shared" si="17"/>
        <v>6.6119999999999992</v>
      </c>
      <c r="Z35" s="297">
        <f t="shared" si="18"/>
        <v>5.1818181818181817</v>
      </c>
      <c r="AA35" s="297">
        <f t="shared" si="19"/>
        <v>6.0109090909090916</v>
      </c>
      <c r="AB35" s="297">
        <f t="shared" si="20"/>
        <v>11.55</v>
      </c>
      <c r="AC35" s="297">
        <f t="shared" si="21"/>
        <v>13.398</v>
      </c>
      <c r="AD35" s="254">
        <f t="array" ref="AD35">PRODUCT((IF(COT_CODIGO_ALIMENTOS=D35,COT_VALOR_UNITARIO_SINIVA,1)))</f>
        <v>1381637.2500000005</v>
      </c>
      <c r="AE35" s="254">
        <f t="array" ref="AE35">PRODUCT((IF(COT_CODIGO_ALIMENTOS=D35,COT_VALOR_UNITARIO_CONIVA,1)))</f>
        <v>3904810.4618241084</v>
      </c>
      <c r="AF35" s="254">
        <f t="array" ref="AF35">IFERROR(STDEV(IF(COT_CODIGO_ALIMENTOS=D35,COT_VALOR_UNITARIO_SINIVA,"")),0)</f>
        <v>2.4125245072805073</v>
      </c>
      <c r="AG35" s="254">
        <f t="array" ref="AG35">IFERROR(STDEV(IF(COT_CODIGO_ALIMENTOS=D35,COT_VALOR_UNITARIO_CONIVA,"")),0)</f>
        <v>2.7985284284453855</v>
      </c>
      <c r="AH35" s="254">
        <f t="array" ref="AH35">MEDIAN(IF(COT_CODIGO_ALIMENTOS=D35,COT_VALOR_UNITARIO_SINIVA,""))</f>
        <v>7.5</v>
      </c>
      <c r="AI35" s="254">
        <f t="array" ref="AI35">MEDIAN(IF(COT_CODIGO_ALIMENTOS=D35,COT_VALOR_UNITARIO_CONIVA,""))</f>
        <v>8.6999999999999993</v>
      </c>
      <c r="AJ35" s="254">
        <f t="array" ref="AJ35">MIN((IF(COT_CODIGO_ALIMENTOS=D35,COT_VALOR_UNITARIO_SINIVA,"")))</f>
        <v>5.1818181818181817</v>
      </c>
      <c r="AK35" s="254">
        <f t="array" ref="AK35">MIN((IF(COT_CODIGO_ALIMENTOS=D35,COT_VALOR_UNITARIO_CONIVA,"")))</f>
        <v>6.0109090909090916</v>
      </c>
      <c r="AL35" s="254">
        <f t="array" ref="AL35">_xlfn.QUARTILE.EXC(IF(COT_CODIGO_ALIMENTOS=D35,COT_VALOR_UNITARIO_SINIVA,""),1)</f>
        <v>5.7</v>
      </c>
      <c r="AM35" s="254">
        <f t="array" ref="AM35">_xlfn.QUARTILE.EXC(IF(COT_CODIGO_ALIMENTOS=D35,COT_VALOR_UNITARIO_CONIVA,""),1)</f>
        <v>6.6119999999999992</v>
      </c>
      <c r="AN35" s="254">
        <f t="array" ref="AN35">MAX((IF(COT_CODIGO_ALIMENTOS=D35,COT_VALOR_UNITARIO_SINIVA,"")))</f>
        <v>11.55</v>
      </c>
      <c r="AO35" s="254">
        <f t="array" ref="AO35">MAX((IF(COT_CODIGO_ALIMENTOS=D35,COT_VALOR_UNITARIO_CONIVA,"")))</f>
        <v>13.398</v>
      </c>
    </row>
    <row r="36" spans="1:41" ht="15.75">
      <c r="A36" s="133" t="s">
        <v>1393</v>
      </c>
      <c r="B36" s="241" t="s">
        <v>1607</v>
      </c>
      <c r="C36" s="134">
        <v>24</v>
      </c>
      <c r="D36" s="135" t="s">
        <v>1467</v>
      </c>
      <c r="E36" s="324" t="s">
        <v>61</v>
      </c>
      <c r="F36" s="135">
        <f t="shared" si="0"/>
        <v>6</v>
      </c>
      <c r="G36" s="314" t="s">
        <v>1954</v>
      </c>
      <c r="H36" s="315">
        <f t="shared" si="1"/>
        <v>5.95</v>
      </c>
      <c r="I36" s="315">
        <f t="shared" si="2"/>
        <v>6.9019999999999992</v>
      </c>
      <c r="J36" s="316" t="s">
        <v>1837</v>
      </c>
      <c r="K36" s="135" t="str">
        <f t="shared" si="3"/>
        <v>gr</v>
      </c>
      <c r="L36" s="292">
        <f t="shared" si="4"/>
        <v>7.778888888888889</v>
      </c>
      <c r="M36" s="292">
        <f t="shared" si="5"/>
        <v>9.0235111111111106</v>
      </c>
      <c r="N36" s="293">
        <f t="shared" si="6"/>
        <v>1.7132965841281513</v>
      </c>
      <c r="O36" s="293">
        <f t="shared" si="7"/>
        <v>1.9874240375886525</v>
      </c>
      <c r="P36" s="289">
        <f t="shared" si="8"/>
        <v>0.22024952517002375</v>
      </c>
      <c r="Q36" s="289">
        <f t="shared" si="9"/>
        <v>0.22024952517002341</v>
      </c>
      <c r="R36" s="275">
        <f t="shared" si="10"/>
        <v>7.6173138368575941</v>
      </c>
      <c r="S36" s="275">
        <f t="shared" si="11"/>
        <v>8.836084050754808</v>
      </c>
      <c r="T36" s="282">
        <f t="shared" si="12"/>
        <v>7.9699999999999989</v>
      </c>
      <c r="U36" s="282">
        <f t="shared" si="13"/>
        <v>9.2451999999999988</v>
      </c>
      <c r="V36" s="291">
        <f t="shared" si="14"/>
        <v>7.778888888888889</v>
      </c>
      <c r="W36" s="291">
        <f t="shared" si="15"/>
        <v>9.0235111111111106</v>
      </c>
      <c r="X36" s="309">
        <f t="shared" si="16"/>
        <v>5.95</v>
      </c>
      <c r="Y36" s="309">
        <f t="shared" si="17"/>
        <v>6.9019999999999992</v>
      </c>
      <c r="Z36" s="297">
        <f t="shared" si="18"/>
        <v>5.7</v>
      </c>
      <c r="AA36" s="297">
        <f t="shared" si="19"/>
        <v>6.6119999999999992</v>
      </c>
      <c r="AB36" s="297">
        <f t="shared" si="20"/>
        <v>10</v>
      </c>
      <c r="AC36" s="297">
        <f t="shared" si="21"/>
        <v>11.6</v>
      </c>
      <c r="AD36" s="254">
        <f t="array" ref="AD36">PRODUCT((IF(COT_CODIGO_ALIMENTOS=D36,COT_VALOR_UNITARIO_SINIVA,1)))</f>
        <v>195348.95599999998</v>
      </c>
      <c r="AE36" s="254">
        <f t="array" ref="AE36">PRODUCT((IF(COT_CODIGO_ALIMENTOS=D36,COT_VALOR_UNITARIO_CONIVA,1)))</f>
        <v>475947.47806434426</v>
      </c>
      <c r="AF36" s="254">
        <f t="array" ref="AF36">IFERROR(STDEV(IF(COT_CODIGO_ALIMENTOS=D36,COT_VALOR_UNITARIO_SINIVA,"")),0)</f>
        <v>1.7132965841281513</v>
      </c>
      <c r="AG36" s="254">
        <f t="array" ref="AG36">IFERROR(STDEV(IF(COT_CODIGO_ALIMENTOS=D36,COT_VALOR_UNITARIO_CONIVA,"")),0)</f>
        <v>1.9874240375886525</v>
      </c>
      <c r="AH36" s="254">
        <f t="array" ref="AH36">MEDIAN(IF(COT_CODIGO_ALIMENTOS=D36,COT_VALOR_UNITARIO_SINIVA,""))</f>
        <v>7.9699999999999989</v>
      </c>
      <c r="AI36" s="254">
        <f t="array" ref="AI36">MEDIAN(IF(COT_CODIGO_ALIMENTOS=D36,COT_VALOR_UNITARIO_CONIVA,""))</f>
        <v>9.2451999999999988</v>
      </c>
      <c r="AJ36" s="254">
        <f t="array" ref="AJ36">MIN((IF(COT_CODIGO_ALIMENTOS=D36,COT_VALOR_UNITARIO_SINIVA,"")))</f>
        <v>5.7</v>
      </c>
      <c r="AK36" s="254">
        <f t="array" ref="AK36">MIN((IF(COT_CODIGO_ALIMENTOS=D36,COT_VALOR_UNITARIO_CONIVA,"")))</f>
        <v>6.6119999999999992</v>
      </c>
      <c r="AL36" s="254">
        <f t="array" ref="AL36">_xlfn.QUARTILE.EXC(IF(COT_CODIGO_ALIMENTOS=D36,COT_VALOR_UNITARIO_SINIVA,""),1)</f>
        <v>5.95</v>
      </c>
      <c r="AM36" s="254">
        <f t="array" ref="AM36">_xlfn.QUARTILE.EXC(IF(COT_CODIGO_ALIMENTOS=D36,COT_VALOR_UNITARIO_CONIVA,""),1)</f>
        <v>6.9019999999999992</v>
      </c>
      <c r="AN36" s="254">
        <f t="array" ref="AN36">MAX((IF(COT_CODIGO_ALIMENTOS=D36,COT_VALOR_UNITARIO_SINIVA,"")))</f>
        <v>10</v>
      </c>
      <c r="AO36" s="254">
        <f t="array" ref="AO36">MAX((IF(COT_CODIGO_ALIMENTOS=D36,COT_VALOR_UNITARIO_CONIVA,"")))</f>
        <v>11.6</v>
      </c>
    </row>
    <row r="37" spans="1:41" ht="15.75">
      <c r="A37" s="133" t="s">
        <v>1393</v>
      </c>
      <c r="B37" s="241" t="s">
        <v>1607</v>
      </c>
      <c r="C37" s="134">
        <v>24</v>
      </c>
      <c r="D37" s="135" t="s">
        <v>1468</v>
      </c>
      <c r="E37" s="324" t="s">
        <v>61</v>
      </c>
      <c r="F37" s="135">
        <f t="shared" si="0"/>
        <v>6</v>
      </c>
      <c r="G37" s="314" t="s">
        <v>1954</v>
      </c>
      <c r="H37" s="315">
        <f t="shared" si="1"/>
        <v>5.7249999999999996</v>
      </c>
      <c r="I37" s="315">
        <f t="shared" si="2"/>
        <v>6.6409999999999991</v>
      </c>
      <c r="J37" s="316" t="s">
        <v>1837</v>
      </c>
      <c r="K37" s="135" t="str">
        <f t="shared" si="3"/>
        <v>gr</v>
      </c>
      <c r="L37" s="292">
        <f t="shared" si="4"/>
        <v>7.1013888888888888</v>
      </c>
      <c r="M37" s="292">
        <f t="shared" si="5"/>
        <v>8.2376111111111108</v>
      </c>
      <c r="N37" s="293">
        <f t="shared" si="6"/>
        <v>1.6092304636642916</v>
      </c>
      <c r="O37" s="293">
        <f t="shared" si="7"/>
        <v>1.8667073378505754</v>
      </c>
      <c r="P37" s="289">
        <f t="shared" si="8"/>
        <v>0.22660784937185408</v>
      </c>
      <c r="Q37" s="289">
        <f t="shared" si="9"/>
        <v>0.22660784937185374</v>
      </c>
      <c r="R37" s="275">
        <f t="shared" si="10"/>
        <v>6.9536384293088975</v>
      </c>
      <c r="S37" s="275">
        <f t="shared" si="11"/>
        <v>8.0662205779983189</v>
      </c>
      <c r="T37" s="282">
        <f t="shared" si="12"/>
        <v>6.5875000000000004</v>
      </c>
      <c r="U37" s="282">
        <f t="shared" si="13"/>
        <v>7.6414999999999988</v>
      </c>
      <c r="V37" s="291">
        <f t="shared" si="14"/>
        <v>7.1013888888888888</v>
      </c>
      <c r="W37" s="291">
        <f t="shared" si="15"/>
        <v>8.237611111111109</v>
      </c>
      <c r="X37" s="309">
        <f t="shared" si="16"/>
        <v>5.7249999999999996</v>
      </c>
      <c r="Y37" s="309">
        <f t="shared" si="17"/>
        <v>6.6409999999999991</v>
      </c>
      <c r="Z37" s="297">
        <f t="shared" si="18"/>
        <v>5.7</v>
      </c>
      <c r="AA37" s="297">
        <f t="shared" si="19"/>
        <v>6.6119999999999992</v>
      </c>
      <c r="AB37" s="297">
        <f t="shared" si="20"/>
        <v>9</v>
      </c>
      <c r="AC37" s="297">
        <f t="shared" si="21"/>
        <v>10.44</v>
      </c>
      <c r="AD37" s="254">
        <f t="array" ref="AD37">PRODUCT((IF(COT_CODIGO_ALIMENTOS=D37,COT_VALOR_UNITARIO_SINIVA,1)))</f>
        <v>113050.53675000001</v>
      </c>
      <c r="AE37" s="254">
        <f t="array" ref="AE37">PRODUCT((IF(COT_CODIGO_ALIMENTOS=D37,COT_VALOR_UNITARIO_CONIVA,1)))</f>
        <v>275435.91203007492</v>
      </c>
      <c r="AF37" s="254">
        <f t="array" ref="AF37">IFERROR(STDEV(IF(COT_CODIGO_ALIMENTOS=D37,COT_VALOR_UNITARIO_SINIVA,"")),0)</f>
        <v>1.6092304636642916</v>
      </c>
      <c r="AG37" s="254">
        <f t="array" ref="AG37">IFERROR(STDEV(IF(COT_CODIGO_ALIMENTOS=D37,COT_VALOR_UNITARIO_CONIVA,"")),0)</f>
        <v>1.8667073378505754</v>
      </c>
      <c r="AH37" s="254">
        <f t="array" ref="AH37">MEDIAN(IF(COT_CODIGO_ALIMENTOS=D37,COT_VALOR_UNITARIO_SINIVA,""))</f>
        <v>6.5875000000000004</v>
      </c>
      <c r="AI37" s="254">
        <f t="array" ref="AI37">MEDIAN(IF(COT_CODIGO_ALIMENTOS=D37,COT_VALOR_UNITARIO_CONIVA,""))</f>
        <v>7.6414999999999988</v>
      </c>
      <c r="AJ37" s="254">
        <f t="array" ref="AJ37">MIN((IF(COT_CODIGO_ALIMENTOS=D37,COT_VALOR_UNITARIO_SINIVA,"")))</f>
        <v>5.7</v>
      </c>
      <c r="AK37" s="254">
        <f t="array" ref="AK37">MIN((IF(COT_CODIGO_ALIMENTOS=D37,COT_VALOR_UNITARIO_CONIVA,"")))</f>
        <v>6.6119999999999992</v>
      </c>
      <c r="AL37" s="254">
        <f t="array" ref="AL37">_xlfn.QUARTILE.EXC(IF(COT_CODIGO_ALIMENTOS=D37,COT_VALOR_UNITARIO_SINIVA,""),1)</f>
        <v>5.7249999999999996</v>
      </c>
      <c r="AM37" s="254">
        <f t="array" ref="AM37">_xlfn.QUARTILE.EXC(IF(COT_CODIGO_ALIMENTOS=D37,COT_VALOR_UNITARIO_CONIVA,""),1)</f>
        <v>6.6409999999999991</v>
      </c>
      <c r="AN37" s="254">
        <f t="array" ref="AN37">MAX((IF(COT_CODIGO_ALIMENTOS=D37,COT_VALOR_UNITARIO_SINIVA,"")))</f>
        <v>9</v>
      </c>
      <c r="AO37" s="254">
        <f t="array" ref="AO37">MAX((IF(COT_CODIGO_ALIMENTOS=D37,COT_VALOR_UNITARIO_CONIVA,"")))</f>
        <v>10.44</v>
      </c>
    </row>
    <row r="38" spans="1:41" ht="15.75">
      <c r="A38" s="133" t="s">
        <v>1393</v>
      </c>
      <c r="B38" s="241" t="s">
        <v>1607</v>
      </c>
      <c r="C38" s="134">
        <v>25</v>
      </c>
      <c r="D38" s="135">
        <v>25</v>
      </c>
      <c r="E38" s="324" t="s">
        <v>64</v>
      </c>
      <c r="F38" s="135">
        <f t="shared" si="0"/>
        <v>18</v>
      </c>
      <c r="G38" s="314" t="s">
        <v>1954</v>
      </c>
      <c r="H38" s="315">
        <f t="shared" si="1"/>
        <v>5.7</v>
      </c>
      <c r="I38" s="315">
        <f t="shared" si="2"/>
        <v>6.6119999999999992</v>
      </c>
      <c r="J38" s="316" t="s">
        <v>1837</v>
      </c>
      <c r="K38" s="135" t="str">
        <f t="shared" si="3"/>
        <v>gr</v>
      </c>
      <c r="L38" s="292">
        <f t="shared" si="4"/>
        <v>8.0533796296296298</v>
      </c>
      <c r="M38" s="292">
        <f t="shared" si="5"/>
        <v>9.341920370370369</v>
      </c>
      <c r="N38" s="293">
        <f t="shared" si="6"/>
        <v>2.3028777548130774</v>
      </c>
      <c r="O38" s="293">
        <f t="shared" si="7"/>
        <v>2.6713381955831763</v>
      </c>
      <c r="P38" s="289">
        <f t="shared" si="8"/>
        <v>0.28595171974017392</v>
      </c>
      <c r="Q38" s="289">
        <f t="shared" si="9"/>
        <v>0.28595171974017464</v>
      </c>
      <c r="R38" s="275">
        <f t="shared" si="10"/>
        <v>7.7237425352172178</v>
      </c>
      <c r="S38" s="275">
        <f t="shared" si="11"/>
        <v>8.9595413408519704</v>
      </c>
      <c r="T38" s="282">
        <f t="shared" si="12"/>
        <v>8.0949999999999989</v>
      </c>
      <c r="U38" s="282">
        <f t="shared" si="13"/>
        <v>9.3902000000000001</v>
      </c>
      <c r="V38" s="291">
        <f t="shared" si="14"/>
        <v>8.0376262626262633</v>
      </c>
      <c r="W38" s="291">
        <f t="shared" si="15"/>
        <v>9.3236464646464636</v>
      </c>
      <c r="X38" s="309">
        <f t="shared" si="16"/>
        <v>5.7</v>
      </c>
      <c r="Y38" s="309">
        <f t="shared" si="17"/>
        <v>6.6119999999999992</v>
      </c>
      <c r="Z38" s="297">
        <f t="shared" si="18"/>
        <v>4.3</v>
      </c>
      <c r="AA38" s="297">
        <f t="shared" si="19"/>
        <v>4.9879999999999995</v>
      </c>
      <c r="AB38" s="297">
        <f t="shared" si="20"/>
        <v>12.5</v>
      </c>
      <c r="AC38" s="297">
        <f t="shared" si="21"/>
        <v>14.5</v>
      </c>
      <c r="AD38" s="254">
        <f t="array" ref="AD38">PRODUCT((IF(COT_CODIGO_ALIMENTOS=D38,COT_VALOR_UNITARIO_SINIVA,1)))</f>
        <v>9569741194404396</v>
      </c>
      <c r="AE38" s="254">
        <f t="array" ref="AE38">PRODUCT((IF(COT_CODIGO_ALIMENTOS=D38,COT_VALOR_UNITARIO_CONIVA,1)))</f>
        <v>1.3840252037242642E+17</v>
      </c>
      <c r="AF38" s="254">
        <f t="array" ref="AF38">IFERROR(STDEV(IF(COT_CODIGO_ALIMENTOS=D38,COT_VALOR_UNITARIO_SINIVA,"")),0)</f>
        <v>2.3028777548130774</v>
      </c>
      <c r="AG38" s="254">
        <f t="array" ref="AG38">IFERROR(STDEV(IF(COT_CODIGO_ALIMENTOS=D38,COT_VALOR_UNITARIO_CONIVA,"")),0)</f>
        <v>2.6713381955831763</v>
      </c>
      <c r="AH38" s="254">
        <f t="array" ref="AH38">MEDIAN(IF(COT_CODIGO_ALIMENTOS=D38,COT_VALOR_UNITARIO_SINIVA,""))</f>
        <v>8.0949999999999989</v>
      </c>
      <c r="AI38" s="254">
        <f t="array" ref="AI38">MEDIAN(IF(COT_CODIGO_ALIMENTOS=D38,COT_VALOR_UNITARIO_CONIVA,""))</f>
        <v>9.3902000000000001</v>
      </c>
      <c r="AJ38" s="254">
        <f t="array" ref="AJ38">MIN((IF(COT_CODIGO_ALIMENTOS=D38,COT_VALOR_UNITARIO_SINIVA,"")))</f>
        <v>4.3</v>
      </c>
      <c r="AK38" s="254">
        <f t="array" ref="AK38">MIN((IF(COT_CODIGO_ALIMENTOS=D38,COT_VALOR_UNITARIO_CONIVA,"")))</f>
        <v>4.9879999999999995</v>
      </c>
      <c r="AL38" s="254">
        <f t="array" ref="AL38">_xlfn.QUARTILE.EXC(IF(COT_CODIGO_ALIMENTOS=D38,COT_VALOR_UNITARIO_SINIVA,""),1)</f>
        <v>5.7</v>
      </c>
      <c r="AM38" s="254">
        <f t="array" ref="AM38">_xlfn.QUARTILE.EXC(IF(COT_CODIGO_ALIMENTOS=D38,COT_VALOR_UNITARIO_CONIVA,""),1)</f>
        <v>6.6119999999999992</v>
      </c>
      <c r="AN38" s="254">
        <f t="array" ref="AN38">MAX((IF(COT_CODIGO_ALIMENTOS=D38,COT_VALOR_UNITARIO_SINIVA,"")))</f>
        <v>12.5</v>
      </c>
      <c r="AO38" s="254">
        <f t="array" ref="AO38">MAX((IF(COT_CODIGO_ALIMENTOS=D38,COT_VALOR_UNITARIO_CONIVA,"")))</f>
        <v>14.5</v>
      </c>
    </row>
    <row r="39" spans="1:41" ht="15.75">
      <c r="A39" s="133" t="s">
        <v>1393</v>
      </c>
      <c r="B39" s="241" t="s">
        <v>1607</v>
      </c>
      <c r="C39" s="134">
        <v>26</v>
      </c>
      <c r="D39" s="135">
        <v>26</v>
      </c>
      <c r="E39" s="324" t="s">
        <v>69</v>
      </c>
      <c r="F39" s="135">
        <f t="shared" si="0"/>
        <v>3</v>
      </c>
      <c r="G39" s="314" t="s">
        <v>1463</v>
      </c>
      <c r="H39" s="315">
        <f t="shared" si="1"/>
        <v>5.0925000000000002</v>
      </c>
      <c r="I39" s="315">
        <f t="shared" si="2"/>
        <v>5.9074999999999998</v>
      </c>
      <c r="J39" s="316" t="s">
        <v>1837</v>
      </c>
      <c r="K39" s="135" t="str">
        <f t="shared" si="3"/>
        <v>gr</v>
      </c>
      <c r="L39" s="292">
        <f t="shared" si="4"/>
        <v>6.1956481481481482</v>
      </c>
      <c r="M39" s="292">
        <f t="shared" si="5"/>
        <v>7.1869444444444435</v>
      </c>
      <c r="N39" s="293">
        <f t="shared" si="6"/>
        <v>2.1440543026893364</v>
      </c>
      <c r="O39" s="293">
        <f t="shared" si="7"/>
        <v>2.487122435518458</v>
      </c>
      <c r="P39" s="289">
        <f t="shared" si="8"/>
        <v>0.34605811231068451</v>
      </c>
      <c r="Q39" s="289">
        <f t="shared" si="9"/>
        <v>0.34606117450108026</v>
      </c>
      <c r="R39" s="275">
        <f t="shared" si="10"/>
        <v>5.9727838840392344</v>
      </c>
      <c r="S39" s="275">
        <f t="shared" si="11"/>
        <v>6.9284158506955098</v>
      </c>
      <c r="T39" s="282">
        <f t="shared" si="12"/>
        <v>5.0925000000000002</v>
      </c>
      <c r="U39" s="282">
        <f t="shared" si="13"/>
        <v>5.9074999999999998</v>
      </c>
      <c r="V39" s="291">
        <f t="shared" si="14"/>
        <v>5.1213043478260865</v>
      </c>
      <c r="W39" s="291">
        <f t="shared" si="15"/>
        <v>5.9405314009661838</v>
      </c>
      <c r="X39" s="309">
        <f t="shared" si="16"/>
        <v>4.8277777777777775</v>
      </c>
      <c r="Y39" s="309">
        <f t="shared" si="17"/>
        <v>5.6</v>
      </c>
      <c r="Z39" s="297">
        <f t="shared" si="18"/>
        <v>4.8277777777777775</v>
      </c>
      <c r="AA39" s="297">
        <f t="shared" si="19"/>
        <v>5.6</v>
      </c>
      <c r="AB39" s="297">
        <f t="shared" si="20"/>
        <v>8.6666666666666661</v>
      </c>
      <c r="AC39" s="297">
        <f t="shared" si="21"/>
        <v>10.053333333333333</v>
      </c>
      <c r="AD39" s="254">
        <f t="array" ref="AD39">PRODUCT((IF(COT_CODIGO_ALIMENTOS=D39,COT_VALOR_UNITARIO_SINIVA,1)))</f>
        <v>213.07397222222221</v>
      </c>
      <c r="AE39" s="254">
        <f t="array" ref="AE39">PRODUCT((IF(COT_CODIGO_ALIMENTOS=D39,COT_VALOR_UNITARIO_CONIVA,1)))</f>
        <v>332.5843733333333</v>
      </c>
      <c r="AF39" s="254">
        <f t="array" ref="AF39">IFERROR(STDEV(IF(COT_CODIGO_ALIMENTOS=D39,COT_VALOR_UNITARIO_SINIVA,"")),0)</f>
        <v>2.1440543026893364</v>
      </c>
      <c r="AG39" s="254">
        <f t="array" ref="AG39">IFERROR(STDEV(IF(COT_CODIGO_ALIMENTOS=D39,COT_VALOR_UNITARIO_CONIVA,"")),0)</f>
        <v>2.487122435518458</v>
      </c>
      <c r="AH39" s="254">
        <f t="array" ref="AH39">MEDIAN(IF(COT_CODIGO_ALIMENTOS=D39,COT_VALOR_UNITARIO_SINIVA,""))</f>
        <v>5.0925000000000002</v>
      </c>
      <c r="AI39" s="254">
        <f t="array" ref="AI39">MEDIAN(IF(COT_CODIGO_ALIMENTOS=D39,COT_VALOR_UNITARIO_CONIVA,""))</f>
        <v>5.9074999999999998</v>
      </c>
      <c r="AJ39" s="254">
        <f t="array" ref="AJ39">MIN((IF(COT_CODIGO_ALIMENTOS=D39,COT_VALOR_UNITARIO_SINIVA,"")))</f>
        <v>4.8277777777777775</v>
      </c>
      <c r="AK39" s="254">
        <f t="array" ref="AK39">MIN((IF(COT_CODIGO_ALIMENTOS=D39,COT_VALOR_UNITARIO_CONIVA,"")))</f>
        <v>5.6</v>
      </c>
      <c r="AL39" s="254">
        <f t="array" ref="AL39">_xlfn.QUARTILE.EXC(IF(COT_CODIGO_ALIMENTOS=D39,COT_VALOR_UNITARIO_SINIVA,""),1)</f>
        <v>4.8277777777777775</v>
      </c>
      <c r="AM39" s="254">
        <f t="array" ref="AM39">_xlfn.QUARTILE.EXC(IF(COT_CODIGO_ALIMENTOS=D39,COT_VALOR_UNITARIO_CONIVA,""),1)</f>
        <v>5.6</v>
      </c>
      <c r="AN39" s="254">
        <f t="array" ref="AN39">MAX((IF(COT_CODIGO_ALIMENTOS=D39,COT_VALOR_UNITARIO_SINIVA,"")))</f>
        <v>8.6666666666666661</v>
      </c>
      <c r="AO39" s="254">
        <f t="array" ref="AO39">MAX((IF(COT_CODIGO_ALIMENTOS=D39,COT_VALOR_UNITARIO_CONIVA,"")))</f>
        <v>10.053333333333333</v>
      </c>
    </row>
    <row r="40" spans="1:41" ht="30">
      <c r="A40" s="133" t="s">
        <v>1393</v>
      </c>
      <c r="B40" s="241" t="s">
        <v>1607</v>
      </c>
      <c r="C40" s="135">
        <v>28</v>
      </c>
      <c r="D40" s="135">
        <v>28</v>
      </c>
      <c r="E40" s="324" t="s">
        <v>67</v>
      </c>
      <c r="F40" s="135">
        <f t="shared" si="0"/>
        <v>22</v>
      </c>
      <c r="G40" s="314" t="s">
        <v>1954</v>
      </c>
      <c r="H40" s="315">
        <f t="shared" si="1"/>
        <v>6.7</v>
      </c>
      <c r="I40" s="315">
        <f t="shared" si="2"/>
        <v>7.7720000000000002</v>
      </c>
      <c r="J40" s="316" t="s">
        <v>1837</v>
      </c>
      <c r="K40" s="135" t="str">
        <f t="shared" si="3"/>
        <v>gr</v>
      </c>
      <c r="L40" s="292">
        <f t="shared" si="4"/>
        <v>10.415639069264067</v>
      </c>
      <c r="M40" s="292">
        <f t="shared" si="5"/>
        <v>12.082137987012986</v>
      </c>
      <c r="N40" s="293">
        <f t="shared" si="6"/>
        <v>6.7978585283629078</v>
      </c>
      <c r="O40" s="293">
        <f t="shared" si="7"/>
        <v>7.8855013153521787</v>
      </c>
      <c r="P40" s="289">
        <f t="shared" si="8"/>
        <v>0.65265880308995972</v>
      </c>
      <c r="Q40" s="289">
        <f t="shared" si="9"/>
        <v>0.65265777661439173</v>
      </c>
      <c r="R40" s="275">
        <f t="shared" si="10"/>
        <v>9.3045555373790254</v>
      </c>
      <c r="S40" s="275">
        <f t="shared" si="11"/>
        <v>10.7932836238578</v>
      </c>
      <c r="T40" s="282">
        <f t="shared" si="12"/>
        <v>9.4290178571428562</v>
      </c>
      <c r="U40" s="282">
        <f t="shared" si="13"/>
        <v>10.937660714285713</v>
      </c>
      <c r="V40" s="291">
        <f t="shared" si="14"/>
        <v>10.950208333333334</v>
      </c>
      <c r="W40" s="291">
        <f t="shared" si="15"/>
        <v>12.702236842105261</v>
      </c>
      <c r="X40" s="309">
        <f t="shared" si="16"/>
        <v>6.7</v>
      </c>
      <c r="Y40" s="309">
        <f t="shared" si="17"/>
        <v>7.7720000000000002</v>
      </c>
      <c r="Z40" s="297">
        <f t="shared" si="18"/>
        <v>4.3</v>
      </c>
      <c r="AA40" s="297">
        <f t="shared" si="19"/>
        <v>4.9879999999999995</v>
      </c>
      <c r="AB40" s="297">
        <f t="shared" si="20"/>
        <v>38.793166666666671</v>
      </c>
      <c r="AC40" s="297">
        <f t="shared" si="21"/>
        <v>45</v>
      </c>
      <c r="AD40" s="254">
        <f t="array" ref="AD40">PRODUCT((IF(COT_CODIGO_ALIMENTOS=D40,COT_VALOR_UNITARIO_SINIVA,1)))</f>
        <v>2.0478772157251429E+21</v>
      </c>
      <c r="AE40" s="254">
        <f t="array" ref="AE40">PRODUCT((IF(COT_CODIGO_ALIMENTOS=D40,COT_VALOR_UNITARIO_CONIVA,1)))</f>
        <v>5.3626440271349762E+22</v>
      </c>
      <c r="AF40" s="254">
        <f t="array" ref="AF40">IFERROR(STDEV(IF(COT_CODIGO_ALIMENTOS=D40,COT_VALOR_UNITARIO_SINIVA,"")),0)</f>
        <v>6.7978585283629078</v>
      </c>
      <c r="AG40" s="254">
        <f t="array" ref="AG40">IFERROR(STDEV(IF(COT_CODIGO_ALIMENTOS=D40,COT_VALOR_UNITARIO_CONIVA,"")),0)</f>
        <v>7.8855013153521787</v>
      </c>
      <c r="AH40" s="254">
        <f t="array" ref="AH40">MEDIAN(IF(COT_CODIGO_ALIMENTOS=D40,COT_VALOR_UNITARIO_SINIVA,""))</f>
        <v>9.4290178571428562</v>
      </c>
      <c r="AI40" s="254">
        <f t="array" ref="AI40">MEDIAN(IF(COT_CODIGO_ALIMENTOS=D40,COT_VALOR_UNITARIO_CONIVA,""))</f>
        <v>10.937660714285713</v>
      </c>
      <c r="AJ40" s="254">
        <f t="array" ref="AJ40">MIN((IF(COT_CODIGO_ALIMENTOS=D40,COT_VALOR_UNITARIO_SINIVA,"")))</f>
        <v>4.3</v>
      </c>
      <c r="AK40" s="254">
        <f t="array" ref="AK40">MIN((IF(COT_CODIGO_ALIMENTOS=D40,COT_VALOR_UNITARIO_CONIVA,"")))</f>
        <v>4.9879999999999995</v>
      </c>
      <c r="AL40" s="254">
        <f t="array" ref="AL40">_xlfn.QUARTILE.EXC(IF(COT_CODIGO_ALIMENTOS=D40,COT_VALOR_UNITARIO_SINIVA,""),1)</f>
        <v>6.7</v>
      </c>
      <c r="AM40" s="254">
        <f t="array" ref="AM40">_xlfn.QUARTILE.EXC(IF(COT_CODIGO_ALIMENTOS=D40,COT_VALOR_UNITARIO_CONIVA,""),1)</f>
        <v>7.7720000000000002</v>
      </c>
      <c r="AN40" s="254">
        <f t="array" ref="AN40">MAX((IF(COT_CODIGO_ALIMENTOS=D40,COT_VALOR_UNITARIO_SINIVA,"")))</f>
        <v>38.793166666666671</v>
      </c>
      <c r="AO40" s="254">
        <f t="array" ref="AO40">MAX((IF(COT_CODIGO_ALIMENTOS=D40,COT_VALOR_UNITARIO_CONIVA,"")))</f>
        <v>45</v>
      </c>
    </row>
    <row r="41" spans="1:41" ht="15.75">
      <c r="A41" s="133" t="s">
        <v>1393</v>
      </c>
      <c r="B41" s="241" t="s">
        <v>1607</v>
      </c>
      <c r="C41" s="135">
        <v>30</v>
      </c>
      <c r="D41" s="135">
        <v>30</v>
      </c>
      <c r="E41" s="324" t="s">
        <v>63</v>
      </c>
      <c r="F41" s="135">
        <f t="shared" si="0"/>
        <v>6</v>
      </c>
      <c r="G41" s="314" t="s">
        <v>1463</v>
      </c>
      <c r="H41" s="315">
        <f t="shared" si="1"/>
        <v>9.8365307753796962</v>
      </c>
      <c r="I41" s="315">
        <f t="shared" si="2"/>
        <v>11.410375699440447</v>
      </c>
      <c r="J41" s="316" t="s">
        <v>1837</v>
      </c>
      <c r="K41" s="135" t="str">
        <f t="shared" si="3"/>
        <v>gr</v>
      </c>
      <c r="L41" s="292">
        <f t="shared" si="4"/>
        <v>11.131724250229446</v>
      </c>
      <c r="M41" s="292">
        <f t="shared" si="5"/>
        <v>12.912800130266158</v>
      </c>
      <c r="N41" s="293">
        <f t="shared" si="6"/>
        <v>4.2477485158820549</v>
      </c>
      <c r="O41" s="293">
        <f t="shared" si="7"/>
        <v>4.9273882784231828</v>
      </c>
      <c r="P41" s="289">
        <f t="shared" si="8"/>
        <v>0.38158944835473269</v>
      </c>
      <c r="Q41" s="289">
        <f t="shared" si="9"/>
        <v>0.38158944835473263</v>
      </c>
      <c r="R41" s="275">
        <f t="shared" si="10"/>
        <v>10.488662961739271</v>
      </c>
      <c r="S41" s="275">
        <f t="shared" si="11"/>
        <v>12.166849035617552</v>
      </c>
      <c r="T41" s="282">
        <f t="shared" si="12"/>
        <v>9.8365307753796962</v>
      </c>
      <c r="U41" s="282">
        <f t="shared" si="13"/>
        <v>11.410375699440447</v>
      </c>
      <c r="V41" s="291">
        <f t="shared" si="14"/>
        <v>12.85051827605019</v>
      </c>
      <c r="W41" s="291">
        <f t="shared" si="15"/>
        <v>14.906601200218219</v>
      </c>
      <c r="X41" s="309">
        <f t="shared" si="16"/>
        <v>7.375</v>
      </c>
      <c r="Y41" s="309">
        <f t="shared" si="17"/>
        <v>8.5549999999999997</v>
      </c>
      <c r="Z41" s="297">
        <f t="shared" si="18"/>
        <v>7</v>
      </c>
      <c r="AA41" s="297">
        <f t="shared" si="19"/>
        <v>8.1199999999999992</v>
      </c>
      <c r="AB41" s="297">
        <f t="shared" si="20"/>
        <v>16.691358024691358</v>
      </c>
      <c r="AC41" s="297">
        <f t="shared" si="21"/>
        <v>19.361975308641973</v>
      </c>
      <c r="AD41" s="254">
        <f t="array" ref="AD41">PRODUCT((IF(COT_CODIGO_ALIMENTOS=D41,COT_VALOR_UNITARIO_SINIVA,1)))</f>
        <v>1331437.4892404324</v>
      </c>
      <c r="AE41" s="254">
        <f t="array" ref="AE41">PRODUCT((IF(COT_CODIGO_ALIMENTOS=D41,COT_VALOR_UNITARIO_CONIVA,1)))</f>
        <v>3243909.402844755</v>
      </c>
      <c r="AF41" s="254">
        <f t="array" ref="AF41">IFERROR(STDEV(IF(COT_CODIGO_ALIMENTOS=D41,COT_VALOR_UNITARIO_SINIVA,"")),0)</f>
        <v>4.2477485158820549</v>
      </c>
      <c r="AG41" s="254">
        <f t="array" ref="AG41">IFERROR(STDEV(IF(COT_CODIGO_ALIMENTOS=D41,COT_VALOR_UNITARIO_CONIVA,"")),0)</f>
        <v>4.9273882784231828</v>
      </c>
      <c r="AH41" s="254">
        <f t="array" ref="AH41">MEDIAN(IF(COT_CODIGO_ALIMENTOS=D41,COT_VALOR_UNITARIO_SINIVA,""))</f>
        <v>9.8365307753796962</v>
      </c>
      <c r="AI41" s="254">
        <f t="array" ref="AI41">MEDIAN(IF(COT_CODIGO_ALIMENTOS=D41,COT_VALOR_UNITARIO_CONIVA,""))</f>
        <v>11.410375699440447</v>
      </c>
      <c r="AJ41" s="254">
        <f t="array" ref="AJ41">MIN((IF(COT_CODIGO_ALIMENTOS=D41,COT_VALOR_UNITARIO_SINIVA,"")))</f>
        <v>7</v>
      </c>
      <c r="AK41" s="254">
        <f t="array" ref="AK41">MIN((IF(COT_CODIGO_ALIMENTOS=D41,COT_VALOR_UNITARIO_CONIVA,"")))</f>
        <v>8.1199999999999992</v>
      </c>
      <c r="AL41" s="254">
        <f t="array" ref="AL41">_xlfn.QUARTILE.EXC(IF(COT_CODIGO_ALIMENTOS=D41,COT_VALOR_UNITARIO_SINIVA,""),1)</f>
        <v>7.375</v>
      </c>
      <c r="AM41" s="254">
        <f t="array" ref="AM41">_xlfn.QUARTILE.EXC(IF(COT_CODIGO_ALIMENTOS=D41,COT_VALOR_UNITARIO_CONIVA,""),1)</f>
        <v>8.5549999999999997</v>
      </c>
      <c r="AN41" s="254">
        <f t="array" ref="AN41">MAX((IF(COT_CODIGO_ALIMENTOS=D41,COT_VALOR_UNITARIO_SINIVA,"")))</f>
        <v>16.691358024691358</v>
      </c>
      <c r="AO41" s="254">
        <f t="array" ref="AO41">MAX((IF(COT_CODIGO_ALIMENTOS=D41,COT_VALOR_UNITARIO_CONIVA,"")))</f>
        <v>19.361975308641973</v>
      </c>
    </row>
    <row r="42" spans="1:41" ht="15.75">
      <c r="A42" s="133" t="s">
        <v>1393</v>
      </c>
      <c r="B42" s="241" t="s">
        <v>1607</v>
      </c>
      <c r="C42" s="135">
        <v>45</v>
      </c>
      <c r="D42" s="135">
        <v>45</v>
      </c>
      <c r="E42" s="324" t="s">
        <v>10</v>
      </c>
      <c r="F42" s="135">
        <f t="shared" si="0"/>
        <v>25</v>
      </c>
      <c r="G42" s="314" t="s">
        <v>1954</v>
      </c>
      <c r="H42" s="315">
        <f t="shared" si="1"/>
        <v>8.8666666666666671</v>
      </c>
      <c r="I42" s="315">
        <f t="shared" si="2"/>
        <v>10.285333333333332</v>
      </c>
      <c r="J42" s="316" t="s">
        <v>1837</v>
      </c>
      <c r="K42" s="135" t="str">
        <f t="shared" si="3"/>
        <v>gr</v>
      </c>
      <c r="L42" s="292">
        <f t="shared" si="4"/>
        <v>13.439558551027515</v>
      </c>
      <c r="M42" s="292">
        <f t="shared" si="5"/>
        <v>15.589887919191915</v>
      </c>
      <c r="N42" s="293">
        <f t="shared" si="6"/>
        <v>7.7750936375307029</v>
      </c>
      <c r="O42" s="293">
        <f t="shared" si="7"/>
        <v>9.0191086195356203</v>
      </c>
      <c r="P42" s="289">
        <f t="shared" si="8"/>
        <v>0.57852299299936916</v>
      </c>
      <c r="Q42" s="289">
        <f t="shared" si="9"/>
        <v>0.5785229929993696</v>
      </c>
      <c r="R42" s="275">
        <f t="shared" si="10"/>
        <v>12.090244634965158</v>
      </c>
      <c r="S42" s="275">
        <f t="shared" si="11"/>
        <v>14.024683776559581</v>
      </c>
      <c r="T42" s="282">
        <f t="shared" si="12"/>
        <v>11.56</v>
      </c>
      <c r="U42" s="282">
        <f t="shared" si="13"/>
        <v>13.409599999999998</v>
      </c>
      <c r="V42" s="291">
        <f t="shared" si="14"/>
        <v>13.098568239004857</v>
      </c>
      <c r="W42" s="291">
        <f t="shared" si="15"/>
        <v>15.194339157245633</v>
      </c>
      <c r="X42" s="309">
        <f t="shared" si="16"/>
        <v>8.8666666666666671</v>
      </c>
      <c r="Y42" s="309">
        <f t="shared" si="17"/>
        <v>10.285333333333332</v>
      </c>
      <c r="Z42" s="297">
        <f t="shared" si="18"/>
        <v>7</v>
      </c>
      <c r="AA42" s="297">
        <f t="shared" si="19"/>
        <v>8.1199999999999992</v>
      </c>
      <c r="AB42" s="297">
        <f t="shared" si="20"/>
        <v>40</v>
      </c>
      <c r="AC42" s="297">
        <f t="shared" si="21"/>
        <v>46.4</v>
      </c>
      <c r="AD42" s="254">
        <f t="array" ref="AD42">PRODUCT((IF(COT_CODIGO_ALIMENTOS=D42,COT_VALOR_UNITARIO_SINIVA,1)))</f>
        <v>1.1504750705779903E+27</v>
      </c>
      <c r="AE42" s="254">
        <f t="array" ref="AE42">PRODUCT((IF(COT_CODIGO_ALIMENTOS=D42,COT_VALOR_UNITARIO_CONIVA,1)))</f>
        <v>4.7024798483776276E+28</v>
      </c>
      <c r="AF42" s="254">
        <f t="array" ref="AF42">IFERROR(STDEV(IF(COT_CODIGO_ALIMENTOS=D42,COT_VALOR_UNITARIO_SINIVA,"")),0)</f>
        <v>7.7750936375307029</v>
      </c>
      <c r="AG42" s="254">
        <f t="array" ref="AG42">IFERROR(STDEV(IF(COT_CODIGO_ALIMENTOS=D42,COT_VALOR_UNITARIO_CONIVA,"")),0)</f>
        <v>9.0191086195356203</v>
      </c>
      <c r="AH42" s="254">
        <f t="array" ref="AH42">MEDIAN(IF(COT_CODIGO_ALIMENTOS=D42,COT_VALOR_UNITARIO_SINIVA,""))</f>
        <v>11.56</v>
      </c>
      <c r="AI42" s="254">
        <f t="array" ref="AI42">MEDIAN(IF(COT_CODIGO_ALIMENTOS=D42,COT_VALOR_UNITARIO_CONIVA,""))</f>
        <v>13.409599999999998</v>
      </c>
      <c r="AJ42" s="254">
        <f t="array" ref="AJ42">MIN((IF(COT_CODIGO_ALIMENTOS=D42,COT_VALOR_UNITARIO_SINIVA,"")))</f>
        <v>7</v>
      </c>
      <c r="AK42" s="254">
        <f t="array" ref="AK42">MIN((IF(COT_CODIGO_ALIMENTOS=D42,COT_VALOR_UNITARIO_CONIVA,"")))</f>
        <v>8.1199999999999992</v>
      </c>
      <c r="AL42" s="254">
        <f t="array" ref="AL42">_xlfn.QUARTILE.EXC(IF(COT_CODIGO_ALIMENTOS=D42,COT_VALOR_UNITARIO_SINIVA,""),1)</f>
        <v>8.8666666666666671</v>
      </c>
      <c r="AM42" s="254">
        <f t="array" ref="AM42">_xlfn.QUARTILE.EXC(IF(COT_CODIGO_ALIMENTOS=D42,COT_VALOR_UNITARIO_CONIVA,""),1)</f>
        <v>10.285333333333332</v>
      </c>
      <c r="AN42" s="254">
        <f t="array" ref="AN42">MAX((IF(COT_CODIGO_ALIMENTOS=D42,COT_VALOR_UNITARIO_SINIVA,"")))</f>
        <v>40</v>
      </c>
      <c r="AO42" s="254">
        <f t="array" ref="AO42">MAX((IF(COT_CODIGO_ALIMENTOS=D42,COT_VALOR_UNITARIO_CONIVA,"")))</f>
        <v>46.4</v>
      </c>
    </row>
    <row r="43" spans="1:41" ht="15.75">
      <c r="A43" s="133" t="s">
        <v>1393</v>
      </c>
      <c r="B43" s="241" t="s">
        <v>1607</v>
      </c>
      <c r="C43" s="135">
        <v>50</v>
      </c>
      <c r="D43" s="135">
        <v>50</v>
      </c>
      <c r="E43" s="324" t="s">
        <v>65</v>
      </c>
      <c r="F43" s="135">
        <f t="shared" si="0"/>
        <v>16</v>
      </c>
      <c r="G43" s="314" t="s">
        <v>1954</v>
      </c>
      <c r="H43" s="315">
        <f t="shared" si="1"/>
        <v>9.53125</v>
      </c>
      <c r="I43" s="315">
        <f t="shared" si="2"/>
        <v>11.056249999999999</v>
      </c>
      <c r="J43" s="316" t="s">
        <v>1837</v>
      </c>
      <c r="K43" s="135" t="str">
        <f t="shared" si="3"/>
        <v>gr</v>
      </c>
      <c r="L43" s="292">
        <f t="shared" si="4"/>
        <v>11.732739894499764</v>
      </c>
      <c r="M43" s="292">
        <f t="shared" si="5"/>
        <v>13.609978277619724</v>
      </c>
      <c r="N43" s="293">
        <f t="shared" si="6"/>
        <v>3.1762327784168627</v>
      </c>
      <c r="O43" s="293">
        <f t="shared" si="7"/>
        <v>3.6844300229635558</v>
      </c>
      <c r="P43" s="289">
        <f t="shared" si="8"/>
        <v>0.27071534926857632</v>
      </c>
      <c r="Q43" s="289">
        <f t="shared" si="9"/>
        <v>0.27071534926857599</v>
      </c>
      <c r="R43" s="275">
        <f t="shared" si="10"/>
        <v>11.369585362941836</v>
      </c>
      <c r="S43" s="275">
        <f t="shared" si="11"/>
        <v>13.188719021012528</v>
      </c>
      <c r="T43" s="282">
        <f t="shared" si="12"/>
        <v>11.594594594594595</v>
      </c>
      <c r="U43" s="282">
        <f t="shared" si="13"/>
        <v>13.449729729729729</v>
      </c>
      <c r="V43" s="291">
        <f t="shared" si="14"/>
        <v>12.029816513761467</v>
      </c>
      <c r="W43" s="291">
        <f t="shared" si="15"/>
        <v>13.954587155963303</v>
      </c>
      <c r="X43" s="309">
        <f t="shared" si="16"/>
        <v>9.53125</v>
      </c>
      <c r="Y43" s="309">
        <f t="shared" si="17"/>
        <v>11.056249999999999</v>
      </c>
      <c r="Z43" s="297">
        <f t="shared" si="18"/>
        <v>8</v>
      </c>
      <c r="AA43" s="297">
        <f t="shared" si="19"/>
        <v>9.2799999999999994</v>
      </c>
      <c r="AB43" s="297">
        <f t="shared" si="20"/>
        <v>20.100000000000001</v>
      </c>
      <c r="AC43" s="297">
        <f t="shared" si="21"/>
        <v>23.315999999999999</v>
      </c>
      <c r="AD43" s="254">
        <f t="array" ref="AD43">PRODUCT((IF(COT_CODIGO_ALIMENTOS=D43,COT_VALOR_UNITARIO_SINIVA,1)))</f>
        <v>7.7967575100512112E+16</v>
      </c>
      <c r="AE43" s="254">
        <f t="array" ref="AE43">PRODUCT((IF(COT_CODIGO_ALIMENTOS=D43,COT_VALOR_UNITARIO_CONIVA,1)))</f>
        <v>8.3799582495319501E+17</v>
      </c>
      <c r="AF43" s="254">
        <f t="array" ref="AF43">IFERROR(STDEV(IF(COT_CODIGO_ALIMENTOS=D43,COT_VALOR_UNITARIO_SINIVA,"")),0)</f>
        <v>3.1762327784168627</v>
      </c>
      <c r="AG43" s="254">
        <f t="array" ref="AG43">IFERROR(STDEV(IF(COT_CODIGO_ALIMENTOS=D43,COT_VALOR_UNITARIO_CONIVA,"")),0)</f>
        <v>3.6844300229635558</v>
      </c>
      <c r="AH43" s="254">
        <f t="array" ref="AH43">MEDIAN(IF(COT_CODIGO_ALIMENTOS=D43,COT_VALOR_UNITARIO_SINIVA,""))</f>
        <v>11.594594594594595</v>
      </c>
      <c r="AI43" s="254">
        <f t="array" ref="AI43">MEDIAN(IF(COT_CODIGO_ALIMENTOS=D43,COT_VALOR_UNITARIO_CONIVA,""))</f>
        <v>13.449729729729729</v>
      </c>
      <c r="AJ43" s="254">
        <f t="array" ref="AJ43">MIN((IF(COT_CODIGO_ALIMENTOS=D43,COT_VALOR_UNITARIO_SINIVA,"")))</f>
        <v>8</v>
      </c>
      <c r="AK43" s="254">
        <f t="array" ref="AK43">MIN((IF(COT_CODIGO_ALIMENTOS=D43,COT_VALOR_UNITARIO_CONIVA,"")))</f>
        <v>9.2799999999999994</v>
      </c>
      <c r="AL43" s="254">
        <f t="array" ref="AL43">_xlfn.QUARTILE.EXC(IF(COT_CODIGO_ALIMENTOS=D43,COT_VALOR_UNITARIO_SINIVA,""),1)</f>
        <v>9.53125</v>
      </c>
      <c r="AM43" s="254">
        <f t="array" ref="AM43">_xlfn.QUARTILE.EXC(IF(COT_CODIGO_ALIMENTOS=D43,COT_VALOR_UNITARIO_CONIVA,""),1)</f>
        <v>11.056249999999999</v>
      </c>
      <c r="AN43" s="254">
        <f t="array" ref="AN43">MAX((IF(COT_CODIGO_ALIMENTOS=D43,COT_VALOR_UNITARIO_SINIVA,"")))</f>
        <v>20.100000000000001</v>
      </c>
      <c r="AO43" s="254">
        <f t="array" ref="AO43">MAX((IF(COT_CODIGO_ALIMENTOS=D43,COT_VALOR_UNITARIO_CONIVA,"")))</f>
        <v>23.315999999999999</v>
      </c>
    </row>
    <row r="44" spans="1:41" ht="15.75">
      <c r="A44" s="133" t="s">
        <v>1393</v>
      </c>
      <c r="B44" s="241" t="s">
        <v>1607</v>
      </c>
      <c r="C44" s="135">
        <v>61</v>
      </c>
      <c r="D44" s="135">
        <v>61</v>
      </c>
      <c r="E44" s="324" t="s">
        <v>13</v>
      </c>
      <c r="F44" s="135">
        <f t="shared" ref="F44:F45" si="22">COUNTIF(COT_CODIGO_ALIMENTOS,D44)</f>
        <v>13</v>
      </c>
      <c r="G44" s="314" t="s">
        <v>1954</v>
      </c>
      <c r="H44" s="315">
        <f t="shared" ref="H44:H45" si="23">IF($G44=$AD$2,L44,IF($G44=$AD$3,R44,IF($G44=$AD$4,T44,IF($G44=$AD$5,V44,IF($G44=$AD$6,Z44,IF($G44=$AD$7,AB44,IF($G44=$AD$8,X44,0)))))))</f>
        <v>10.4</v>
      </c>
      <c r="I44" s="315">
        <f t="shared" ref="I44:I45" si="24">IF($G44=$AD$2,M44,IF($G44=$AD$3,S44,IF($G44=$AD$4,U44,IF($G44=$AD$5,W44,IF($G44=$AD$6,AA44,IF($G44=$AD$7,AC44,IF($G44=$AD$8,Y44,0)))))))</f>
        <v>12.063999999999998</v>
      </c>
      <c r="J44" s="316" t="s">
        <v>1837</v>
      </c>
      <c r="K44" s="135" t="str">
        <f t="shared" ref="K44:K45" si="25">VLOOKUP(D44,COT_ALIMENTOS,5,FALSE)</f>
        <v>gr</v>
      </c>
      <c r="L44" s="292">
        <f t="shared" ref="L44:L45" si="26">AVERAGEIF(COT_CODIGO_ALIMENTOS,D44,COT_VALOR_UNITARIO_SINIVA)</f>
        <v>11.967077138547726</v>
      </c>
      <c r="M44" s="292">
        <f t="shared" ref="M44:M45" si="27">AVERAGEIF(COT_CODIGO_ALIMENTOS,D44,COT_VALOR_UNITARIO_CONIVA)</f>
        <v>13.881764231846585</v>
      </c>
      <c r="N44" s="293">
        <f t="shared" ref="N44:N45" si="28">AF44</f>
        <v>2.1514583624504247</v>
      </c>
      <c r="O44" s="293">
        <f t="shared" ref="O44:O45" si="29">AG44</f>
        <v>2.4956815738316567</v>
      </c>
      <c r="P44" s="289">
        <f t="shared" ref="P44:P45" si="30">IF(N44=0,"NA",N44/L44)</f>
        <v>0.17978144015803649</v>
      </c>
      <c r="Q44" s="289">
        <f t="shared" ref="Q44:Q45" si="31">IF(O44=0,"NA",O44/M44)</f>
        <v>0.17978129668174569</v>
      </c>
      <c r="R44" s="275">
        <f t="shared" ref="R44:R45" si="32">POWER(AD44,1/F44)</f>
        <v>11.804666451532508</v>
      </c>
      <c r="S44" s="275">
        <f t="shared" ref="S44:S45" si="33">POWER(AE44,1/F44)</f>
        <v>13.693370047361173</v>
      </c>
      <c r="T44" s="282">
        <f t="shared" ref="T44:T45" si="34">AH44</f>
        <v>10.5</v>
      </c>
      <c r="U44" s="282">
        <f t="shared" ref="U44:U45" si="35">AI44</f>
        <v>12.18</v>
      </c>
      <c r="V44" s="291">
        <f t="shared" ref="V44:V45" si="36">SUMIF(COT_CODIGO_ALIMENTOS,D44,COT_VALORES_PONDERADOS_SINIVA)/SUMIF(COT_CODIGO_ALIMENTOS,D44,COT_FACTOR_PROMEDIO_PONDERADO)</f>
        <v>11.589598540145985</v>
      </c>
      <c r="W44" s="291">
        <f t="shared" ref="W44:W45" si="37">SUMIF(COT_CODIGO_ALIMENTOS,D44,COT_VALORES_PONDERADOS_CONIVA)/SUMIF(COT_CODIGO_ALIMENTOS,D44,COT_FACTOR_PROMEDIO_PONDERADO)</f>
        <v>13.443861313868611</v>
      </c>
      <c r="X44" s="309">
        <f t="shared" ref="X44:X45" si="38">IF(ISERROR(AL44),"NA",AL44)</f>
        <v>10.4</v>
      </c>
      <c r="Y44" s="309">
        <f t="shared" ref="Y44:Y45" si="39">IF(ISERROR(AM44),"NA",AM44)</f>
        <v>12.063999999999998</v>
      </c>
      <c r="Z44" s="297">
        <f t="shared" ref="Z44:Z45" si="40">AJ44</f>
        <v>9.7142857142857135</v>
      </c>
      <c r="AA44" s="297">
        <f t="shared" ref="AA44:AA45" si="41">AK44</f>
        <v>11.268571428571429</v>
      </c>
      <c r="AB44" s="297">
        <f t="shared" ref="AB44:AB45" si="42">AN44</f>
        <v>17.184999999999999</v>
      </c>
      <c r="AC44" s="297">
        <f t="shared" ref="AC44:AC45" si="43">AO44</f>
        <v>19.934599999999996</v>
      </c>
      <c r="AD44" s="254">
        <f t="array" ref="AD44">PRODUCT((IF(COT_CODIGO_ALIMENTOS=D44,COT_VALOR_UNITARIO_SINIVA,1)))</f>
        <v>86436737057142.797</v>
      </c>
      <c r="AE44" s="254">
        <f t="array" ref="AE44">PRODUCT((IF(COT_CODIGO_ALIMENTOS=D44,COT_VALOR_UNITARIO_CONIVA,1)))</f>
        <v>595161020851548.62</v>
      </c>
      <c r="AF44" s="254">
        <f t="array" ref="AF44">IFERROR(STDEV(IF(COT_CODIGO_ALIMENTOS=D44,COT_VALOR_UNITARIO_SINIVA,"")),0)</f>
        <v>2.1514583624504247</v>
      </c>
      <c r="AG44" s="254">
        <f t="array" ref="AG44">IFERROR(STDEV(IF(COT_CODIGO_ALIMENTOS=D44,COT_VALOR_UNITARIO_CONIVA,"")),0)</f>
        <v>2.4956815738316567</v>
      </c>
      <c r="AH44" s="254">
        <f t="array" ref="AH44">MEDIAN(IF(COT_CODIGO_ALIMENTOS=D44,COT_VALOR_UNITARIO_SINIVA,""))</f>
        <v>10.5</v>
      </c>
      <c r="AI44" s="254">
        <f t="array" ref="AI44">MEDIAN(IF(COT_CODIGO_ALIMENTOS=D44,COT_VALOR_UNITARIO_CONIVA,""))</f>
        <v>12.18</v>
      </c>
      <c r="AJ44" s="254">
        <f t="array" ref="AJ44">MIN((IF(COT_CODIGO_ALIMENTOS=D44,COT_VALOR_UNITARIO_SINIVA,"")))</f>
        <v>9.7142857142857135</v>
      </c>
      <c r="AK44" s="254">
        <f t="array" ref="AK44">MIN((IF(COT_CODIGO_ALIMENTOS=D44,COT_VALOR_UNITARIO_CONIVA,"")))</f>
        <v>11.268571428571429</v>
      </c>
      <c r="AL44" s="254">
        <f t="array" ref="AL44">_xlfn.QUARTILE.EXC(IF(COT_CODIGO_ALIMENTOS=D44,COT_VALOR_UNITARIO_SINIVA,""),1)</f>
        <v>10.4</v>
      </c>
      <c r="AM44" s="254">
        <f t="array" ref="AM44">_xlfn.QUARTILE.EXC(IF(COT_CODIGO_ALIMENTOS=D44,COT_VALOR_UNITARIO_CONIVA,""),1)</f>
        <v>12.063999999999998</v>
      </c>
      <c r="AN44" s="254">
        <f t="array" ref="AN44">MAX((IF(COT_CODIGO_ALIMENTOS=D44,COT_VALOR_UNITARIO_SINIVA,"")))</f>
        <v>17.184999999999999</v>
      </c>
      <c r="AO44" s="254">
        <f t="array" ref="AO44">MAX((IF(COT_CODIGO_ALIMENTOS=D44,COT_VALOR_UNITARIO_CONIVA,"")))</f>
        <v>19.934599999999996</v>
      </c>
    </row>
    <row r="45" spans="1:41" ht="15.75">
      <c r="A45" s="133" t="s">
        <v>1393</v>
      </c>
      <c r="B45" s="241" t="s">
        <v>1607</v>
      </c>
      <c r="C45" s="135">
        <v>62</v>
      </c>
      <c r="D45" s="135">
        <v>62</v>
      </c>
      <c r="E45" s="324" t="s">
        <v>68</v>
      </c>
      <c r="F45" s="135">
        <f t="shared" si="22"/>
        <v>8</v>
      </c>
      <c r="G45" s="314" t="s">
        <v>1954</v>
      </c>
      <c r="H45" s="315">
        <f t="shared" si="23"/>
        <v>11.120000000000001</v>
      </c>
      <c r="I45" s="315">
        <f t="shared" si="24"/>
        <v>12.899199999999999</v>
      </c>
      <c r="J45" s="316" t="s">
        <v>1837</v>
      </c>
      <c r="K45" s="135" t="str">
        <f t="shared" si="25"/>
        <v>gr</v>
      </c>
      <c r="L45" s="292">
        <f t="shared" si="26"/>
        <v>13.36563725490196</v>
      </c>
      <c r="M45" s="292">
        <f t="shared" si="27"/>
        <v>15.504139215686273</v>
      </c>
      <c r="N45" s="293">
        <f t="shared" si="28"/>
        <v>2.7457470856352173</v>
      </c>
      <c r="O45" s="293">
        <f t="shared" si="29"/>
        <v>3.1850666193368617</v>
      </c>
      <c r="P45" s="289">
        <f t="shared" si="30"/>
        <v>0.20543330881048649</v>
      </c>
      <c r="Q45" s="289">
        <f t="shared" si="31"/>
        <v>0.20543330881048713</v>
      </c>
      <c r="R45" s="275">
        <f t="shared" si="32"/>
        <v>13.121819742807807</v>
      </c>
      <c r="S45" s="275">
        <f t="shared" si="33"/>
        <v>15.221310901657054</v>
      </c>
      <c r="T45" s="282">
        <f t="shared" si="34"/>
        <v>13</v>
      </c>
      <c r="U45" s="282">
        <f t="shared" si="35"/>
        <v>15.079999999999998</v>
      </c>
      <c r="V45" s="291">
        <f t="shared" si="36"/>
        <v>13.257236842105263</v>
      </c>
      <c r="W45" s="291">
        <f t="shared" si="37"/>
        <v>15.378394736842106</v>
      </c>
      <c r="X45" s="309">
        <f t="shared" si="38"/>
        <v>11.120000000000001</v>
      </c>
      <c r="Y45" s="309">
        <f t="shared" si="39"/>
        <v>12.899199999999999</v>
      </c>
      <c r="Z45" s="297">
        <f t="shared" si="40"/>
        <v>9.8000000000000007</v>
      </c>
      <c r="AA45" s="297">
        <f t="shared" si="41"/>
        <v>11.368</v>
      </c>
      <c r="AB45" s="297">
        <f t="shared" si="42"/>
        <v>17.2</v>
      </c>
      <c r="AC45" s="297">
        <f t="shared" si="43"/>
        <v>19.951999999999998</v>
      </c>
      <c r="AD45" s="254">
        <f t="array" ref="AD45">PRODUCT((IF(COT_CODIGO_ALIMENTOS=D45,COT_VALOR_UNITARIO_SINIVA,1)))</f>
        <v>878926461.3722353</v>
      </c>
      <c r="AE45" s="254">
        <f t="array" ref="AE45">PRODUCT((IF(COT_CODIGO_ALIMENTOS=D45,COT_VALOR_UNITARIO_CONIVA,1)))</f>
        <v>2881485599.9190822</v>
      </c>
      <c r="AF45" s="254">
        <f t="array" ref="AF45">IFERROR(STDEV(IF(COT_CODIGO_ALIMENTOS=D45,COT_VALOR_UNITARIO_SINIVA,"")),0)</f>
        <v>2.7457470856352173</v>
      </c>
      <c r="AG45" s="254">
        <f t="array" ref="AG45">IFERROR(STDEV(IF(COT_CODIGO_ALIMENTOS=D45,COT_VALOR_UNITARIO_CONIVA,"")),0)</f>
        <v>3.1850666193368617</v>
      </c>
      <c r="AH45" s="254">
        <f t="array" ref="AH45">MEDIAN(IF(COT_CODIGO_ALIMENTOS=D45,COT_VALOR_UNITARIO_SINIVA,""))</f>
        <v>13</v>
      </c>
      <c r="AI45" s="254">
        <f t="array" ref="AI45">MEDIAN(IF(COT_CODIGO_ALIMENTOS=D45,COT_VALOR_UNITARIO_CONIVA,""))</f>
        <v>15.079999999999998</v>
      </c>
      <c r="AJ45" s="254">
        <f t="array" ref="AJ45">MIN((IF(COT_CODIGO_ALIMENTOS=D45,COT_VALOR_UNITARIO_SINIVA,"")))</f>
        <v>9.8000000000000007</v>
      </c>
      <c r="AK45" s="254">
        <f t="array" ref="AK45">MIN((IF(COT_CODIGO_ALIMENTOS=D45,COT_VALOR_UNITARIO_CONIVA,"")))</f>
        <v>11.368</v>
      </c>
      <c r="AL45" s="254">
        <f t="array" ref="AL45">_xlfn.QUARTILE.EXC(IF(COT_CODIGO_ALIMENTOS=D45,COT_VALOR_UNITARIO_SINIVA,""),1)</f>
        <v>11.120000000000001</v>
      </c>
      <c r="AM45" s="254">
        <f t="array" ref="AM45">_xlfn.QUARTILE.EXC(IF(COT_CODIGO_ALIMENTOS=D45,COT_VALOR_UNITARIO_CONIVA,""),1)</f>
        <v>12.899199999999999</v>
      </c>
      <c r="AN45" s="254">
        <f t="array" ref="AN45">MAX((IF(COT_CODIGO_ALIMENTOS=D45,COT_VALOR_UNITARIO_SINIVA,"")))</f>
        <v>17.2</v>
      </c>
      <c r="AO45" s="254">
        <f t="array" ref="AO45">MAX((IF(COT_CODIGO_ALIMENTOS=D45,COT_VALOR_UNITARIO_CONIVA,"")))</f>
        <v>19.951999999999998</v>
      </c>
    </row>
    <row r="46" spans="1:41">
      <c r="A46" s="133"/>
      <c r="B46" s="133"/>
      <c r="C46" s="133"/>
      <c r="D46" s="133"/>
      <c r="E46" s="136"/>
      <c r="F46" s="133"/>
      <c r="G46" s="270"/>
      <c r="H46" s="269"/>
      <c r="I46" s="269"/>
      <c r="J46" s="269"/>
      <c r="K46" s="133"/>
      <c r="L46" s="277"/>
      <c r="M46" s="278"/>
      <c r="N46" s="280"/>
      <c r="O46" s="280"/>
      <c r="P46" s="290"/>
      <c r="Q46" s="290"/>
      <c r="R46" s="274"/>
      <c r="S46" s="136"/>
      <c r="T46" s="284"/>
      <c r="U46" s="283"/>
      <c r="V46" s="286"/>
      <c r="W46" s="287"/>
      <c r="X46" s="295"/>
      <c r="Y46" s="295"/>
      <c r="Z46" s="137"/>
      <c r="AA46" s="138"/>
      <c r="AB46" s="137"/>
      <c r="AC46" s="138"/>
      <c r="AD46" s="254">
        <f t="array" ref="AD46">PRODUCT((IF(COT_CODIGO_ALIMENTOS=D46,COT_VALOR_UNITARIO_SINIVA,1)))</f>
        <v>1</v>
      </c>
      <c r="AE46" s="254">
        <f t="array" ref="AE46">PRODUCT((IF(COT_CODIGO_ALIMENTOS=D46,COT_VALOR_UNITARIO_CONIVA,1)))</f>
        <v>1</v>
      </c>
      <c r="AF46" s="254">
        <f t="array" ref="AF46">IFERROR(STDEV(IF(COT_CODIGO_ALIMENTOS=D46,COT_VALOR_UNITARIO_SINIVA,"")),0)</f>
        <v>0</v>
      </c>
      <c r="AG46" s="254">
        <f t="array" ref="AG46">IFERROR(STDEV(IF(COT_CODIGO_ALIMENTOS=D46,COT_VALOR_UNITARIO_CONIVA,"")),0)</f>
        <v>0</v>
      </c>
      <c r="AH46" s="254" t="e">
        <f t="array" ref="AH46">MEDIAN(IF(COT_CODIGO_ALIMENTOS=D46,COT_VALOR_UNITARIO_SINIVA,""))</f>
        <v>#NUM!</v>
      </c>
      <c r="AI46" s="254" t="e">
        <f t="array" ref="AI46">MEDIAN(IF(COT_CODIGO_ALIMENTOS=D46,COT_VALOR_UNITARIO_CONIVA,""))</f>
        <v>#NUM!</v>
      </c>
      <c r="AJ46" s="254">
        <f t="array" ref="AJ46">MIN((IF(COT_CODIGO_ALIMENTOS=D46,COT_VALOR_UNITARIO_SINIVA,"")))</f>
        <v>0</v>
      </c>
      <c r="AK46" s="254">
        <f t="array" ref="AK46">MIN((IF(COT_CODIGO_ALIMENTOS=D46,COT_VALOR_UNITARIO_CONIVA,"")))</f>
        <v>0</v>
      </c>
      <c r="AL46" s="254"/>
      <c r="AM46" s="254" t="e">
        <f t="array" ref="AM46">_xlfn.QUARTILE.EXC(IF(COT_CODIGO_ALIMENTOS=D46,COT_VALOR_UNITARIO_CONIVA,""),1)</f>
        <v>#NUM!</v>
      </c>
      <c r="AN46" s="254">
        <f t="array" ref="AN46">MAX((IF(COT_CODIGO_ALIMENTOS=D46,COT_VALOR_UNITARIO_SINIVA,"")))</f>
        <v>0</v>
      </c>
      <c r="AO46" s="254">
        <f t="array" ref="AO46">MAX((IF(COT_CODIGO_ALIMENTOS=D46,COT_VALOR_UNITARIO_CONIVA,"")))</f>
        <v>0</v>
      </c>
    </row>
    <row r="47" spans="1:41">
      <c r="A47" s="133"/>
      <c r="B47" s="133"/>
      <c r="C47" s="133"/>
      <c r="D47" s="133"/>
      <c r="E47" s="136"/>
      <c r="F47" s="133"/>
      <c r="G47" s="270"/>
      <c r="H47" s="269"/>
      <c r="I47" s="269"/>
      <c r="J47" s="269"/>
      <c r="K47" s="133"/>
      <c r="L47" s="277"/>
      <c r="M47" s="278"/>
      <c r="N47" s="280"/>
      <c r="O47" s="280"/>
      <c r="P47" s="290"/>
      <c r="Q47" s="290"/>
      <c r="R47" s="274"/>
      <c r="S47" s="136"/>
      <c r="T47" s="284"/>
      <c r="U47" s="283"/>
      <c r="V47" s="286"/>
      <c r="W47" s="287"/>
      <c r="X47" s="295"/>
      <c r="Y47" s="295"/>
      <c r="Z47" s="137"/>
      <c r="AA47" s="138"/>
      <c r="AB47" s="137"/>
      <c r="AC47" s="138"/>
      <c r="AD47" s="254">
        <f t="array" ref="AD47">PRODUCT((IF(COT_CODIGO_ALIMENTOS=D47,COT_VALOR_UNITARIO_SINIVA,1)))</f>
        <v>1</v>
      </c>
      <c r="AE47" s="254">
        <f t="array" ref="AE47">PRODUCT((IF(COT_CODIGO_ALIMENTOS=D47,COT_VALOR_UNITARIO_CONIVA,1)))</f>
        <v>1</v>
      </c>
      <c r="AF47" s="254">
        <f t="array" ref="AF47">IFERROR(STDEV(IF(COT_CODIGO_ALIMENTOS=D47,COT_VALOR_UNITARIO_SINIVA,"")),0)</f>
        <v>0</v>
      </c>
      <c r="AG47" s="254">
        <f t="array" ref="AG47">IFERROR(STDEV(IF(COT_CODIGO_ALIMENTOS=D47,COT_VALOR_UNITARIO_CONIVA,"")),0)</f>
        <v>0</v>
      </c>
      <c r="AH47" s="254" t="e">
        <f t="array" ref="AH47">MEDIAN(IF(COT_CODIGO_ALIMENTOS=D47,COT_VALOR_UNITARIO_SINIVA,""))</f>
        <v>#NUM!</v>
      </c>
      <c r="AI47" s="254" t="e">
        <f t="array" ref="AI47">MEDIAN(IF(COT_CODIGO_ALIMENTOS=D47,COT_VALOR_UNITARIO_CONIVA,""))</f>
        <v>#NUM!</v>
      </c>
      <c r="AJ47" s="254">
        <f t="array" ref="AJ47">MIN((IF(COT_CODIGO_ALIMENTOS=D47,COT_VALOR_UNITARIO_SINIVA,"")))</f>
        <v>0</v>
      </c>
      <c r="AK47" s="254">
        <f t="array" ref="AK47">MIN((IF(COT_CODIGO_ALIMENTOS=D47,COT_VALOR_UNITARIO_CONIVA,"")))</f>
        <v>0</v>
      </c>
      <c r="AL47" s="254"/>
      <c r="AM47" s="254" t="e">
        <f t="array" ref="AM47">_xlfn.QUARTILE.EXC(IF(COT_CODIGO_ALIMENTOS=D47,COT_VALOR_UNITARIO_CONIVA,""),1)</f>
        <v>#NUM!</v>
      </c>
      <c r="AN47" s="254">
        <f t="array" ref="AN47">MAX((IF(COT_CODIGO_ALIMENTOS=D47,COT_VALOR_UNITARIO_SINIVA,"")))</f>
        <v>0</v>
      </c>
      <c r="AO47" s="254">
        <f t="array" ref="AO47">MAX((IF(COT_CODIGO_ALIMENTOS=D47,COT_VALOR_UNITARIO_CONIVA,"")))</f>
        <v>0</v>
      </c>
    </row>
    <row r="48" spans="1:41">
      <c r="A48" s="133"/>
      <c r="B48" s="133"/>
      <c r="C48" s="133"/>
      <c r="D48" s="133"/>
      <c r="E48" s="136"/>
      <c r="F48" s="133"/>
      <c r="G48" s="270"/>
      <c r="H48" s="269"/>
      <c r="I48" s="269"/>
      <c r="J48" s="269"/>
      <c r="K48" s="133"/>
      <c r="L48" s="277"/>
      <c r="M48" s="278"/>
      <c r="N48" s="280"/>
      <c r="O48" s="280"/>
      <c r="P48" s="290"/>
      <c r="Q48" s="290"/>
      <c r="R48" s="274"/>
      <c r="S48" s="136"/>
      <c r="T48" s="284"/>
      <c r="U48" s="283"/>
      <c r="V48" s="286"/>
      <c r="W48" s="287"/>
      <c r="X48" s="295"/>
      <c r="Y48" s="295"/>
      <c r="Z48" s="137"/>
      <c r="AA48" s="138"/>
      <c r="AB48" s="137"/>
      <c r="AC48" s="138"/>
      <c r="AD48" s="254">
        <f t="array" ref="AD48">PRODUCT((IF(COT_CODIGO_ALIMENTOS=D48,COT_VALOR_UNITARIO_SINIVA,1)))</f>
        <v>1</v>
      </c>
      <c r="AE48" s="254">
        <f t="array" ref="AE48">PRODUCT((IF(COT_CODIGO_ALIMENTOS=D48,COT_VALOR_UNITARIO_CONIVA,1)))</f>
        <v>1</v>
      </c>
      <c r="AF48" s="254">
        <f t="array" ref="AF48">IFERROR(STDEV(IF(COT_CODIGO_ALIMENTOS=D48,COT_VALOR_UNITARIO_SINIVA,"")),0)</f>
        <v>0</v>
      </c>
      <c r="AG48" s="254">
        <f t="array" ref="AG48">IFERROR(STDEV(IF(COT_CODIGO_ALIMENTOS=D48,COT_VALOR_UNITARIO_CONIVA,"")),0)</f>
        <v>0</v>
      </c>
      <c r="AH48" s="254" t="e">
        <f t="array" ref="AH48">MEDIAN(IF(COT_CODIGO_ALIMENTOS=D48,COT_VALOR_UNITARIO_SINIVA,""))</f>
        <v>#NUM!</v>
      </c>
      <c r="AI48" s="254" t="e">
        <f t="array" ref="AI48">MEDIAN(IF(COT_CODIGO_ALIMENTOS=D48,COT_VALOR_UNITARIO_CONIVA,""))</f>
        <v>#NUM!</v>
      </c>
      <c r="AJ48" s="254">
        <f t="array" ref="AJ48">MIN((IF(COT_CODIGO_ALIMENTOS=D48,COT_VALOR_UNITARIO_SINIVA,"")))</f>
        <v>0</v>
      </c>
      <c r="AK48" s="254">
        <f t="array" ref="AK48">MIN((IF(COT_CODIGO_ALIMENTOS=D48,COT_VALOR_UNITARIO_CONIVA,"")))</f>
        <v>0</v>
      </c>
      <c r="AL48" s="254"/>
      <c r="AM48" s="254" t="e">
        <f t="array" ref="AM48">_xlfn.QUARTILE.EXC(IF(COT_CODIGO_ALIMENTOS=D48,COT_VALOR_UNITARIO_CONIVA,""),1)</f>
        <v>#NUM!</v>
      </c>
      <c r="AN48" s="254">
        <f t="array" ref="AN48">MAX((IF(COT_CODIGO_ALIMENTOS=D48,COT_VALOR_UNITARIO_SINIVA,"")))</f>
        <v>0</v>
      </c>
      <c r="AO48" s="254">
        <f t="array" ref="AO48">MAX((IF(COT_CODIGO_ALIMENTOS=D48,COT_VALOR_UNITARIO_CONIVA,"")))</f>
        <v>0</v>
      </c>
    </row>
    <row r="49" spans="1:41">
      <c r="A49" s="133"/>
      <c r="B49" s="133"/>
      <c r="C49" s="133"/>
      <c r="D49" s="133"/>
      <c r="E49" s="136"/>
      <c r="F49" s="133"/>
      <c r="G49" s="270"/>
      <c r="H49" s="269"/>
      <c r="I49" s="269"/>
      <c r="J49" s="269"/>
      <c r="K49" s="133"/>
      <c r="L49" s="277"/>
      <c r="M49" s="278"/>
      <c r="N49" s="280"/>
      <c r="O49" s="280"/>
      <c r="P49" s="290"/>
      <c r="Q49" s="290"/>
      <c r="R49" s="274"/>
      <c r="S49" s="136"/>
      <c r="T49" s="284"/>
      <c r="U49" s="283"/>
      <c r="V49" s="286"/>
      <c r="W49" s="287"/>
      <c r="X49" s="295"/>
      <c r="Y49" s="295"/>
      <c r="Z49" s="137"/>
      <c r="AA49" s="138"/>
      <c r="AB49" s="137"/>
      <c r="AC49" s="138"/>
      <c r="AD49" s="254">
        <f t="array" ref="AD49">PRODUCT((IF(COT_CODIGO_ALIMENTOS=D49,COT_VALOR_UNITARIO_SINIVA,1)))</f>
        <v>1</v>
      </c>
      <c r="AE49" s="254">
        <f t="array" ref="AE49">PRODUCT((IF(COT_CODIGO_ALIMENTOS=D49,COT_VALOR_UNITARIO_CONIVA,1)))</f>
        <v>1</v>
      </c>
      <c r="AF49" s="254">
        <f t="array" ref="AF49">IFERROR(STDEV(IF(COT_CODIGO_ALIMENTOS=D49,COT_VALOR_UNITARIO_SINIVA,"")),0)</f>
        <v>0</v>
      </c>
      <c r="AG49" s="254">
        <f t="array" ref="AG49">IFERROR(STDEV(IF(COT_CODIGO_ALIMENTOS=D49,COT_VALOR_UNITARIO_CONIVA,"")),0)</f>
        <v>0</v>
      </c>
      <c r="AH49" s="254" t="e">
        <f t="array" ref="AH49">MEDIAN(IF(COT_CODIGO_ALIMENTOS=D49,COT_VALOR_UNITARIO_SINIVA,""))</f>
        <v>#NUM!</v>
      </c>
      <c r="AI49" s="254" t="e">
        <f t="array" ref="AI49">MEDIAN(IF(COT_CODIGO_ALIMENTOS=D49,COT_VALOR_UNITARIO_CONIVA,""))</f>
        <v>#NUM!</v>
      </c>
      <c r="AJ49" s="254">
        <f t="array" ref="AJ49">MIN((IF(COT_CODIGO_ALIMENTOS=D49,COT_VALOR_UNITARIO_SINIVA,"")))</f>
        <v>0</v>
      </c>
      <c r="AK49" s="254">
        <f t="array" ref="AK49">MIN((IF(COT_CODIGO_ALIMENTOS=D49,COT_VALOR_UNITARIO_CONIVA,"")))</f>
        <v>0</v>
      </c>
      <c r="AL49" s="254"/>
      <c r="AM49" s="254" t="e">
        <f t="array" ref="AM49">_xlfn.QUARTILE.EXC(IF(COT_CODIGO_ALIMENTOS=D49,COT_VALOR_UNITARIO_CONIVA,""),1)</f>
        <v>#NUM!</v>
      </c>
      <c r="AN49" s="254">
        <f t="array" ref="AN49">MAX((IF(COT_CODIGO_ALIMENTOS=D49,COT_VALOR_UNITARIO_SINIVA,"")))</f>
        <v>0</v>
      </c>
      <c r="AO49" s="254">
        <f t="array" ref="AO49">MAX((IF(COT_CODIGO_ALIMENTOS=D49,COT_VALOR_UNITARIO_CONIVA,"")))</f>
        <v>0</v>
      </c>
    </row>
    <row r="50" spans="1:41">
      <c r="A50" s="133"/>
      <c r="B50" s="133"/>
      <c r="C50" s="133"/>
      <c r="D50" s="133"/>
      <c r="E50" s="136"/>
      <c r="F50" s="133"/>
      <c r="G50" s="270"/>
      <c r="H50" s="269"/>
      <c r="I50" s="269"/>
      <c r="J50" s="269"/>
      <c r="K50" s="133"/>
      <c r="L50" s="277"/>
      <c r="M50" s="278"/>
      <c r="N50" s="280"/>
      <c r="O50" s="280"/>
      <c r="P50" s="290"/>
      <c r="Q50" s="290"/>
      <c r="R50" s="274"/>
      <c r="S50" s="136"/>
      <c r="T50" s="284"/>
      <c r="U50" s="283"/>
      <c r="V50" s="286"/>
      <c r="W50" s="287"/>
      <c r="X50" s="295"/>
      <c r="Y50" s="295"/>
      <c r="Z50" s="137"/>
      <c r="AA50" s="138"/>
      <c r="AB50" s="137"/>
      <c r="AC50" s="138"/>
      <c r="AD50" s="254">
        <f t="array" ref="AD50">PRODUCT((IF(COT_CODIGO_ALIMENTOS=D50,COT_VALOR_UNITARIO_SINIVA,1)))</f>
        <v>1</v>
      </c>
      <c r="AE50" s="254">
        <f t="array" ref="AE50">PRODUCT((IF(COT_CODIGO_ALIMENTOS=D50,COT_VALOR_UNITARIO_CONIVA,1)))</f>
        <v>1</v>
      </c>
      <c r="AF50" s="254">
        <f t="array" ref="AF50">IFERROR(STDEV(IF(COT_CODIGO_ALIMENTOS=D50,COT_VALOR_UNITARIO_SINIVA,"")),0)</f>
        <v>0</v>
      </c>
      <c r="AG50" s="254">
        <f t="array" ref="AG50">IFERROR(STDEV(IF(COT_CODIGO_ALIMENTOS=D50,COT_VALOR_UNITARIO_CONIVA,"")),0)</f>
        <v>0</v>
      </c>
      <c r="AH50" s="254" t="e">
        <f t="array" ref="AH50">MEDIAN(IF(COT_CODIGO_ALIMENTOS=D50,COT_VALOR_UNITARIO_SINIVA,""))</f>
        <v>#NUM!</v>
      </c>
      <c r="AI50" s="254" t="e">
        <f t="array" ref="AI50">MEDIAN(IF(COT_CODIGO_ALIMENTOS=D50,COT_VALOR_UNITARIO_CONIVA,""))</f>
        <v>#NUM!</v>
      </c>
      <c r="AJ50" s="254">
        <f t="array" ref="AJ50">MIN((IF(COT_CODIGO_ALIMENTOS=D50,COT_VALOR_UNITARIO_SINIVA,"")))</f>
        <v>0</v>
      </c>
      <c r="AK50" s="254">
        <f t="array" ref="AK50">MIN((IF(COT_CODIGO_ALIMENTOS=D50,COT_VALOR_UNITARIO_CONIVA,"")))</f>
        <v>0</v>
      </c>
      <c r="AL50" s="254"/>
      <c r="AM50" s="254" t="e">
        <f t="array" ref="AM50">_xlfn.QUARTILE.EXC(IF(COT_CODIGO_ALIMENTOS=D50,COT_VALOR_UNITARIO_CONIVA,""),1)</f>
        <v>#NUM!</v>
      </c>
      <c r="AN50" s="254">
        <f t="array" ref="AN50">MAX((IF(COT_CODIGO_ALIMENTOS=D50,COT_VALOR_UNITARIO_SINIVA,"")))</f>
        <v>0</v>
      </c>
      <c r="AO50" s="254">
        <f t="array" ref="AO50">MAX((IF(COT_CODIGO_ALIMENTOS=D50,COT_VALOR_UNITARIO_CONIVA,"")))</f>
        <v>0</v>
      </c>
    </row>
    <row r="51" spans="1:41">
      <c r="A51" s="133"/>
      <c r="B51" s="133"/>
      <c r="C51" s="133"/>
      <c r="D51" s="133"/>
      <c r="E51" s="136"/>
      <c r="F51" s="133"/>
      <c r="G51" s="270"/>
      <c r="H51" s="269"/>
      <c r="I51" s="269"/>
      <c r="J51" s="269"/>
      <c r="K51" s="133"/>
      <c r="L51" s="277"/>
      <c r="M51" s="278"/>
      <c r="N51" s="280"/>
      <c r="O51" s="280"/>
      <c r="P51" s="290"/>
      <c r="Q51" s="290"/>
      <c r="R51" s="274"/>
      <c r="S51" s="136"/>
      <c r="T51" s="284"/>
      <c r="U51" s="283"/>
      <c r="V51" s="286"/>
      <c r="W51" s="287"/>
      <c r="X51" s="295"/>
      <c r="Y51" s="295"/>
      <c r="Z51" s="137"/>
      <c r="AA51" s="138"/>
      <c r="AB51" s="137"/>
      <c r="AC51" s="138"/>
      <c r="AD51" s="254">
        <f t="array" ref="AD51">PRODUCT((IF(COT_CODIGO_ALIMENTOS=D51,COT_VALOR_UNITARIO_SINIVA,1)))</f>
        <v>1</v>
      </c>
      <c r="AE51" s="254">
        <f t="array" ref="AE51">PRODUCT((IF(COT_CODIGO_ALIMENTOS=D51,COT_VALOR_UNITARIO_CONIVA,1)))</f>
        <v>1</v>
      </c>
      <c r="AF51" s="254">
        <f t="array" ref="AF51">IFERROR(STDEV(IF(COT_CODIGO_ALIMENTOS=D51,COT_VALOR_UNITARIO_SINIVA,"")),0)</f>
        <v>0</v>
      </c>
      <c r="AG51" s="254">
        <f t="array" ref="AG51">IFERROR(STDEV(IF(COT_CODIGO_ALIMENTOS=D51,COT_VALOR_UNITARIO_CONIVA,"")),0)</f>
        <v>0</v>
      </c>
      <c r="AH51" s="254" t="e">
        <f t="array" ref="AH51">MEDIAN(IF(COT_CODIGO_ALIMENTOS=D51,COT_VALOR_UNITARIO_SINIVA,""))</f>
        <v>#NUM!</v>
      </c>
      <c r="AI51" s="254" t="e">
        <f t="array" ref="AI51">MEDIAN(IF(COT_CODIGO_ALIMENTOS=D51,COT_VALOR_UNITARIO_CONIVA,""))</f>
        <v>#NUM!</v>
      </c>
      <c r="AJ51" s="254">
        <f t="array" ref="AJ51">MIN((IF(COT_CODIGO_ALIMENTOS=D51,COT_VALOR_UNITARIO_SINIVA,"")))</f>
        <v>0</v>
      </c>
      <c r="AK51" s="254">
        <f t="array" ref="AK51">MIN((IF(COT_CODIGO_ALIMENTOS=D51,COT_VALOR_UNITARIO_CONIVA,"")))</f>
        <v>0</v>
      </c>
      <c r="AL51" s="254"/>
      <c r="AM51" s="254" t="e">
        <f t="array" ref="AM51">_xlfn.QUARTILE.EXC(IF(COT_CODIGO_ALIMENTOS=D51,COT_VALOR_UNITARIO_CONIVA,""),1)</f>
        <v>#NUM!</v>
      </c>
      <c r="AN51" s="254">
        <f t="array" ref="AN51">MAX((IF(COT_CODIGO_ALIMENTOS=D51,COT_VALOR_UNITARIO_SINIVA,"")))</f>
        <v>0</v>
      </c>
      <c r="AO51" s="254">
        <f t="array" ref="AO51">MAX((IF(COT_CODIGO_ALIMENTOS=D51,COT_VALOR_UNITARIO_CONIVA,"")))</f>
        <v>0</v>
      </c>
    </row>
    <row r="52" spans="1:41">
      <c r="A52" s="133"/>
      <c r="B52" s="133"/>
      <c r="C52" s="133"/>
      <c r="D52" s="133"/>
      <c r="E52" s="136"/>
      <c r="F52" s="133"/>
      <c r="G52" s="270"/>
      <c r="H52" s="269"/>
      <c r="I52" s="269"/>
      <c r="J52" s="269"/>
      <c r="K52" s="133"/>
      <c r="L52" s="277"/>
      <c r="M52" s="278"/>
      <c r="N52" s="280"/>
      <c r="O52" s="280"/>
      <c r="P52" s="290"/>
      <c r="Q52" s="290"/>
      <c r="R52" s="274"/>
      <c r="S52" s="136"/>
      <c r="T52" s="284"/>
      <c r="U52" s="283"/>
      <c r="V52" s="286"/>
      <c r="W52" s="287"/>
      <c r="X52" s="295"/>
      <c r="Y52" s="295"/>
      <c r="Z52" s="137"/>
      <c r="AA52" s="138"/>
      <c r="AB52" s="137"/>
      <c r="AC52" s="138"/>
      <c r="AD52" s="254">
        <f t="array" ref="AD52">PRODUCT((IF(COT_CODIGO_ALIMENTOS=D52,COT_VALOR_UNITARIO_SINIVA,1)))</f>
        <v>1</v>
      </c>
      <c r="AE52" s="254">
        <f t="array" ref="AE52">PRODUCT((IF(COT_CODIGO_ALIMENTOS=D52,COT_VALOR_UNITARIO_CONIVA,1)))</f>
        <v>1</v>
      </c>
      <c r="AF52" s="254">
        <f t="array" ref="AF52">IFERROR(STDEV(IF(COT_CODIGO_ALIMENTOS=D52,COT_VALOR_UNITARIO_SINIVA,"")),0)</f>
        <v>0</v>
      </c>
      <c r="AG52" s="254">
        <f t="array" ref="AG52">IFERROR(STDEV(IF(COT_CODIGO_ALIMENTOS=D52,COT_VALOR_UNITARIO_CONIVA,"")),0)</f>
        <v>0</v>
      </c>
      <c r="AH52" s="254" t="e">
        <f t="array" ref="AH52">MEDIAN(IF(COT_CODIGO_ALIMENTOS=D52,COT_VALOR_UNITARIO_SINIVA,""))</f>
        <v>#NUM!</v>
      </c>
      <c r="AI52" s="254" t="e">
        <f t="array" ref="AI52">MEDIAN(IF(COT_CODIGO_ALIMENTOS=D52,COT_VALOR_UNITARIO_CONIVA,""))</f>
        <v>#NUM!</v>
      </c>
      <c r="AJ52" s="254">
        <f t="array" ref="AJ52">MIN((IF(COT_CODIGO_ALIMENTOS=D52,COT_VALOR_UNITARIO_SINIVA,"")))</f>
        <v>0</v>
      </c>
      <c r="AK52" s="254">
        <f t="array" ref="AK52">MIN((IF(COT_CODIGO_ALIMENTOS=D52,COT_VALOR_UNITARIO_CONIVA,"")))</f>
        <v>0</v>
      </c>
      <c r="AL52" s="254"/>
      <c r="AM52" s="254" t="e">
        <f t="array" ref="AM52">_xlfn.QUARTILE.EXC(IF(COT_CODIGO_ALIMENTOS=D52,COT_VALOR_UNITARIO_CONIVA,""),1)</f>
        <v>#NUM!</v>
      </c>
      <c r="AN52" s="254">
        <f t="array" ref="AN52">MAX((IF(COT_CODIGO_ALIMENTOS=D52,COT_VALOR_UNITARIO_SINIVA,"")))</f>
        <v>0</v>
      </c>
      <c r="AO52" s="254">
        <f t="array" ref="AO52">MAX((IF(COT_CODIGO_ALIMENTOS=D52,COT_VALOR_UNITARIO_CONIVA,"")))</f>
        <v>0</v>
      </c>
    </row>
    <row r="53" spans="1:41" hidden="1"/>
    <row r="54" spans="1:41" hidden="1"/>
    <row r="55" spans="1:41" hidden="1"/>
    <row r="56" spans="1:41" hidden="1"/>
    <row r="57" spans="1:41" hidden="1"/>
    <row r="58" spans="1:41" hidden="1"/>
    <row r="59" spans="1:41" hidden="1"/>
    <row r="60" spans="1:41" hidden="1"/>
    <row r="61" spans="1:41" hidden="1"/>
    <row r="62" spans="1:41" hidden="1"/>
    <row r="63" spans="1:41" hidden="1"/>
    <row r="64" spans="1:41" hidden="1"/>
    <row r="65" hidden="1"/>
    <row r="66" hidden="1"/>
    <row r="67" hidden="1"/>
    <row r="68" hidden="1"/>
    <row r="69" hidden="1"/>
    <row r="70" hidden="1"/>
    <row r="71" hidden="1"/>
    <row r="72" hidden="1"/>
    <row r="73" hidden="1"/>
    <row r="74" hidden="1"/>
    <row r="75" hidden="1"/>
    <row r="76" hidden="1"/>
    <row r="77" hidden="1"/>
    <row r="78" hidden="1"/>
    <row r="79" hidden="1"/>
    <row r="80" hidden="1"/>
    <row r="81" hidden="1"/>
    <row r="82" hidden="1"/>
    <row r="83" hidden="1"/>
    <row r="84" hidden="1"/>
    <row r="85" hidden="1"/>
    <row r="86" hidden="1"/>
    <row r="87" hidden="1"/>
    <row r="88" hidden="1"/>
    <row r="89" hidden="1"/>
    <row r="90" hidden="1"/>
    <row r="91" hidden="1"/>
    <row r="92" hidden="1"/>
    <row r="93" hidden="1"/>
    <row r="94" hidden="1"/>
    <row r="95" hidden="1"/>
    <row r="96" hidden="1"/>
    <row r="97" hidden="1"/>
    <row r="98" hidden="1"/>
    <row r="99" hidden="1"/>
    <row r="100" hidden="1"/>
    <row r="101" hidden="1"/>
    <row r="102" hidden="1"/>
    <row r="103" hidden="1"/>
    <row r="104" hidden="1"/>
    <row r="105" hidden="1"/>
    <row r="106" hidden="1"/>
    <row r="107" hidden="1"/>
    <row r="108" hidden="1"/>
    <row r="109" hidden="1"/>
    <row r="110" hidden="1"/>
    <row r="111" hidden="1"/>
    <row r="112" hidden="1"/>
    <row r="113" hidden="1"/>
    <row r="114" hidden="1"/>
    <row r="115" hidden="1"/>
    <row r="116" hidden="1"/>
    <row r="117" hidden="1"/>
    <row r="118" hidden="1"/>
    <row r="119" hidden="1"/>
    <row r="120" hidden="1"/>
    <row r="121" hidden="1"/>
    <row r="122" hidden="1"/>
    <row r="123" hidden="1"/>
    <row r="124" hidden="1"/>
    <row r="125" hidden="1"/>
    <row r="126" hidden="1"/>
    <row r="127" hidden="1"/>
    <row r="128" hidden="1"/>
    <row r="129" hidden="1"/>
    <row r="130" hidden="1"/>
    <row r="131" hidden="1"/>
    <row r="132" hidden="1"/>
    <row r="133" hidden="1"/>
    <row r="134" hidden="1"/>
    <row r="135" hidden="1"/>
    <row r="136" hidden="1"/>
    <row r="137" hidden="1"/>
    <row r="138" hidden="1"/>
    <row r="139" hidden="1"/>
    <row r="140" hidden="1"/>
    <row r="141" hidden="1"/>
    <row r="142" hidden="1"/>
    <row r="143" hidden="1"/>
    <row r="144" hidden="1"/>
    <row r="145" hidden="1"/>
    <row r="146" hidden="1"/>
    <row r="147" hidden="1"/>
    <row r="148" hidden="1"/>
    <row r="149" hidden="1"/>
    <row r="150" hidden="1"/>
    <row r="151" hidden="1"/>
    <row r="152" hidden="1"/>
    <row r="153" hidden="1"/>
    <row r="154" hidden="1"/>
    <row r="155" hidden="1"/>
    <row r="156" hidden="1"/>
    <row r="157" hidden="1"/>
    <row r="158" hidden="1"/>
    <row r="159" hidden="1"/>
    <row r="160" hidden="1"/>
    <row r="161" hidden="1"/>
    <row r="162" hidden="1"/>
    <row r="163" hidden="1"/>
    <row r="164" hidden="1"/>
    <row r="165" hidden="1"/>
    <row r="166" hidden="1"/>
    <row r="167" hidden="1"/>
    <row r="168" hidden="1"/>
    <row r="169" hidden="1"/>
    <row r="170" hidden="1"/>
    <row r="171" hidden="1"/>
    <row r="172" hidden="1"/>
    <row r="173" hidden="1"/>
    <row r="174" hidden="1"/>
    <row r="175" hidden="1"/>
    <row r="176" hidden="1"/>
    <row r="177" hidden="1"/>
    <row r="178" hidden="1"/>
    <row r="179" hidden="1"/>
    <row r="180" hidden="1"/>
    <row r="181" hidden="1"/>
    <row r="182" hidden="1"/>
    <row r="183" hidden="1"/>
    <row r="184" hidden="1"/>
    <row r="185" hidden="1"/>
    <row r="186" hidden="1"/>
    <row r="187" hidden="1"/>
    <row r="188" hidden="1"/>
    <row r="189" hidden="1"/>
    <row r="190" hidden="1"/>
    <row r="191" hidden="1"/>
    <row r="192" hidden="1"/>
    <row r="193" hidden="1"/>
    <row r="194" hidden="1"/>
    <row r="195" hidden="1"/>
    <row r="196" hidden="1"/>
    <row r="197" hidden="1"/>
    <row r="198" hidden="1"/>
    <row r="199" hidden="1"/>
    <row r="200" hidden="1"/>
    <row r="201" hidden="1"/>
    <row r="202" hidden="1"/>
    <row r="203" hidden="1"/>
    <row r="204" hidden="1"/>
    <row r="205" hidden="1"/>
    <row r="206" hidden="1"/>
    <row r="207" hidden="1"/>
    <row r="208" hidden="1"/>
    <row r="209" hidden="1"/>
    <row r="210" hidden="1"/>
    <row r="211" hidden="1"/>
    <row r="212" hidden="1"/>
    <row r="213" hidden="1"/>
    <row r="214" hidden="1"/>
    <row r="215" hidden="1"/>
    <row r="216" hidden="1"/>
    <row r="217" hidden="1"/>
    <row r="218" hidden="1"/>
    <row r="219" hidden="1"/>
    <row r="220" hidden="1"/>
    <row r="221" hidden="1"/>
    <row r="222" hidden="1"/>
    <row r="223" hidden="1"/>
    <row r="224" hidden="1"/>
    <row r="225" hidden="1"/>
    <row r="226" hidden="1"/>
    <row r="227" hidden="1"/>
    <row r="228" hidden="1"/>
    <row r="229" hidden="1"/>
    <row r="230" hidden="1"/>
    <row r="231" hidden="1"/>
    <row r="232" hidden="1"/>
    <row r="233" hidden="1"/>
    <row r="234" hidden="1"/>
    <row r="235" hidden="1"/>
    <row r="236" hidden="1"/>
    <row r="237" hidden="1"/>
    <row r="238" hidden="1"/>
    <row r="239" hidden="1"/>
    <row r="240" hidden="1"/>
    <row r="241" hidden="1"/>
    <row r="242" hidden="1"/>
    <row r="243" hidden="1"/>
    <row r="244" hidden="1"/>
    <row r="245" hidden="1"/>
    <row r="246" hidden="1"/>
    <row r="247" hidden="1"/>
    <row r="248" hidden="1"/>
    <row r="249" hidden="1"/>
    <row r="250" hidden="1"/>
    <row r="251" hidden="1"/>
    <row r="252" hidden="1"/>
    <row r="253" hidden="1"/>
    <row r="254" hidden="1"/>
    <row r="255" hidden="1"/>
    <row r="256" hidden="1"/>
    <row r="257" hidden="1"/>
    <row r="258" hidden="1"/>
    <row r="259" hidden="1"/>
    <row r="260" hidden="1"/>
    <row r="261" hidden="1"/>
    <row r="262" hidden="1"/>
    <row r="263" hidden="1"/>
    <row r="264" hidden="1"/>
    <row r="265" hidden="1"/>
    <row r="266" hidden="1"/>
    <row r="267" hidden="1"/>
    <row r="268" hidden="1"/>
    <row r="269" hidden="1"/>
    <row r="270" hidden="1"/>
    <row r="271" hidden="1"/>
    <row r="272" hidden="1"/>
    <row r="273" hidden="1"/>
    <row r="274" hidden="1"/>
    <row r="275" hidden="1"/>
    <row r="276" hidden="1"/>
    <row r="277" hidden="1"/>
    <row r="278" hidden="1"/>
    <row r="279" hidden="1"/>
    <row r="280" hidden="1"/>
    <row r="281" hidden="1"/>
    <row r="282" hidden="1"/>
    <row r="283" hidden="1"/>
    <row r="284" hidden="1"/>
    <row r="285" hidden="1"/>
    <row r="286" hidden="1"/>
    <row r="287" hidden="1"/>
    <row r="288" hidden="1"/>
    <row r="289" hidden="1"/>
    <row r="290" hidden="1"/>
    <row r="291" hidden="1"/>
    <row r="292" hidden="1"/>
    <row r="293" hidden="1"/>
    <row r="294" hidden="1"/>
    <row r="295" hidden="1"/>
    <row r="296" hidden="1"/>
    <row r="297" hidden="1"/>
    <row r="298" hidden="1"/>
    <row r="299" hidden="1"/>
    <row r="300" hidden="1"/>
    <row r="301" hidden="1"/>
    <row r="302" hidden="1"/>
    <row r="303" hidden="1"/>
    <row r="304" hidden="1"/>
    <row r="305" hidden="1"/>
    <row r="306" hidden="1"/>
    <row r="307" hidden="1"/>
    <row r="308" hidden="1"/>
    <row r="309" hidden="1"/>
    <row r="310" hidden="1"/>
    <row r="311" hidden="1"/>
    <row r="312" hidden="1"/>
    <row r="313" hidden="1"/>
    <row r="314" hidden="1"/>
    <row r="315" hidden="1"/>
    <row r="316" hidden="1"/>
    <row r="317" hidden="1"/>
    <row r="318" hidden="1"/>
    <row r="319" hidden="1"/>
    <row r="320" hidden="1"/>
    <row r="321" hidden="1"/>
    <row r="322" hidden="1"/>
    <row r="323" hidden="1"/>
    <row r="324" hidden="1"/>
    <row r="325" hidden="1"/>
    <row r="326" hidden="1"/>
    <row r="327" hidden="1"/>
    <row r="328" hidden="1"/>
    <row r="329" hidden="1"/>
    <row r="330" hidden="1"/>
    <row r="331" hidden="1"/>
    <row r="332" hidden="1"/>
    <row r="333" hidden="1"/>
    <row r="334" hidden="1"/>
    <row r="335" hidden="1"/>
    <row r="336" hidden="1"/>
    <row r="337" hidden="1"/>
    <row r="338" hidden="1"/>
    <row r="339" hidden="1"/>
    <row r="340" hidden="1"/>
    <row r="341" hidden="1"/>
    <row r="342" hidden="1"/>
    <row r="343" hidden="1"/>
    <row r="344" hidden="1"/>
    <row r="345" hidden="1"/>
    <row r="346" hidden="1"/>
    <row r="347" hidden="1"/>
    <row r="348" hidden="1"/>
    <row r="349" hidden="1"/>
    <row r="350" hidden="1"/>
    <row r="351" hidden="1"/>
    <row r="352" hidden="1"/>
    <row r="353" hidden="1"/>
    <row r="354" hidden="1"/>
    <row r="355" hidden="1"/>
    <row r="356" hidden="1"/>
    <row r="357" hidden="1"/>
    <row r="358" hidden="1"/>
    <row r="359" hidden="1"/>
    <row r="360" hidden="1"/>
    <row r="361" hidden="1"/>
    <row r="362" hidden="1"/>
    <row r="363" hidden="1"/>
    <row r="364" hidden="1"/>
    <row r="365" hidden="1"/>
    <row r="366" hidden="1"/>
    <row r="367" hidden="1"/>
    <row r="368" hidden="1"/>
    <row r="369" hidden="1"/>
    <row r="370" hidden="1"/>
    <row r="371" hidden="1"/>
    <row r="372" hidden="1"/>
    <row r="373" hidden="1"/>
    <row r="374" hidden="1"/>
    <row r="375" hidden="1"/>
    <row r="376" hidden="1"/>
    <row r="377" hidden="1"/>
    <row r="378" hidden="1"/>
    <row r="379" hidden="1"/>
    <row r="380" hidden="1"/>
    <row r="381" hidden="1"/>
    <row r="382" hidden="1"/>
    <row r="383" hidden="1"/>
    <row r="384" hidden="1"/>
    <row r="385" hidden="1"/>
    <row r="386" hidden="1"/>
    <row r="387" hidden="1"/>
    <row r="388" hidden="1"/>
    <row r="389" hidden="1"/>
    <row r="390" hidden="1"/>
    <row r="391" hidden="1"/>
    <row r="392" hidden="1"/>
    <row r="393" hidden="1"/>
    <row r="394" hidden="1"/>
    <row r="395" hidden="1"/>
    <row r="396" hidden="1"/>
    <row r="397" hidden="1"/>
    <row r="398" hidden="1"/>
    <row r="399" hidden="1"/>
    <row r="400" hidden="1"/>
    <row r="401" hidden="1"/>
    <row r="402" hidden="1"/>
    <row r="403" hidden="1"/>
    <row r="404" hidden="1"/>
    <row r="405" hidden="1"/>
    <row r="406" hidden="1"/>
    <row r="407" hidden="1"/>
    <row r="408" hidden="1"/>
    <row r="409" hidden="1"/>
    <row r="410" hidden="1"/>
    <row r="411" hidden="1"/>
    <row r="412" hidden="1"/>
    <row r="413" hidden="1"/>
    <row r="414" hidden="1"/>
    <row r="415" hidden="1"/>
    <row r="416" hidden="1"/>
    <row r="417" hidden="1"/>
    <row r="418" hidden="1"/>
    <row r="419" hidden="1"/>
    <row r="420" hidden="1"/>
    <row r="421" hidden="1"/>
    <row r="422" hidden="1"/>
    <row r="423" hidden="1"/>
    <row r="424" hidden="1"/>
    <row r="425" hidden="1"/>
    <row r="426" hidden="1"/>
    <row r="427" hidden="1"/>
    <row r="428" hidden="1"/>
    <row r="429" hidden="1"/>
    <row r="430" hidden="1"/>
    <row r="431" hidden="1"/>
    <row r="432" hidden="1"/>
    <row r="433" hidden="1"/>
    <row r="434" hidden="1"/>
    <row r="435" hidden="1"/>
    <row r="436" hidden="1"/>
    <row r="437" hidden="1"/>
    <row r="438" hidden="1"/>
    <row r="439" hidden="1"/>
    <row r="440" hidden="1"/>
    <row r="441" hidden="1"/>
    <row r="442" hidden="1"/>
    <row r="443" hidden="1"/>
    <row r="444" hidden="1"/>
    <row r="445" hidden="1"/>
    <row r="446" hidden="1"/>
    <row r="447" hidden="1"/>
    <row r="448" hidden="1"/>
    <row r="449" hidden="1"/>
    <row r="450" hidden="1"/>
    <row r="451" hidden="1"/>
    <row r="452" hidden="1"/>
    <row r="453" hidden="1"/>
    <row r="454" hidden="1"/>
    <row r="455" hidden="1"/>
    <row r="456" hidden="1"/>
    <row r="457" hidden="1"/>
    <row r="458" hidden="1"/>
    <row r="459" hidden="1"/>
    <row r="460" hidden="1"/>
    <row r="461" hidden="1"/>
    <row r="462" hidden="1"/>
    <row r="463" hidden="1"/>
    <row r="464" hidden="1"/>
    <row r="465" hidden="1"/>
    <row r="466" hidden="1"/>
    <row r="467" hidden="1"/>
    <row r="468" hidden="1"/>
    <row r="469" hidden="1"/>
    <row r="470" hidden="1"/>
    <row r="471" hidden="1"/>
    <row r="472" hidden="1"/>
    <row r="473" hidden="1"/>
    <row r="474" hidden="1"/>
    <row r="475" hidden="1"/>
    <row r="476" hidden="1"/>
    <row r="477" hidden="1"/>
    <row r="478" hidden="1"/>
    <row r="479" hidden="1"/>
    <row r="480" hidden="1"/>
    <row r="481" hidden="1"/>
    <row r="482" hidden="1"/>
    <row r="483" hidden="1"/>
    <row r="484" hidden="1"/>
    <row r="485" hidden="1"/>
    <row r="486" hidden="1"/>
    <row r="487" hidden="1"/>
    <row r="488" hidden="1"/>
    <row r="489" hidden="1"/>
    <row r="490" hidden="1"/>
    <row r="491" hidden="1"/>
    <row r="492" hidden="1"/>
    <row r="493" hidden="1"/>
    <row r="494" hidden="1"/>
    <row r="495" hidden="1"/>
    <row r="496" hidden="1"/>
    <row r="497" hidden="1"/>
    <row r="498" hidden="1"/>
    <row r="499" hidden="1"/>
    <row r="500" hidden="1"/>
    <row r="501" hidden="1"/>
    <row r="502" hidden="1"/>
    <row r="503" hidden="1"/>
    <row r="504" hidden="1"/>
    <row r="505" hidden="1"/>
    <row r="506" hidden="1"/>
    <row r="507" hidden="1"/>
    <row r="508" hidden="1"/>
    <row r="509" hidden="1"/>
    <row r="510" hidden="1"/>
    <row r="511" hidden="1"/>
    <row r="512" hidden="1"/>
    <row r="513" hidden="1"/>
    <row r="514" hidden="1"/>
    <row r="515" hidden="1"/>
    <row r="516" hidden="1"/>
    <row r="517" hidden="1"/>
    <row r="518" hidden="1"/>
    <row r="519" hidden="1"/>
    <row r="520" hidden="1"/>
    <row r="521" hidden="1"/>
    <row r="522" hidden="1"/>
    <row r="523" hidden="1"/>
    <row r="524" hidden="1"/>
    <row r="525" hidden="1"/>
    <row r="526" hidden="1"/>
    <row r="527" hidden="1"/>
    <row r="528" hidden="1"/>
    <row r="529" hidden="1"/>
    <row r="530" hidden="1"/>
    <row r="531" hidden="1"/>
    <row r="532" hidden="1"/>
    <row r="533" hidden="1"/>
    <row r="534" hidden="1"/>
    <row r="535" hidden="1"/>
    <row r="536" hidden="1"/>
    <row r="537" hidden="1"/>
    <row r="538" hidden="1"/>
    <row r="539" hidden="1"/>
    <row r="540" hidden="1"/>
    <row r="541" hidden="1"/>
    <row r="542" hidden="1"/>
    <row r="543" hidden="1"/>
    <row r="544" hidden="1"/>
    <row r="545" hidden="1"/>
    <row r="546" hidden="1"/>
    <row r="547" hidden="1"/>
    <row r="548" hidden="1"/>
    <row r="549" hidden="1"/>
    <row r="550" hidden="1"/>
    <row r="551" hidden="1"/>
    <row r="552" hidden="1"/>
    <row r="553" hidden="1"/>
    <row r="554" hidden="1"/>
    <row r="555" hidden="1"/>
    <row r="556" hidden="1"/>
    <row r="557" hidden="1"/>
    <row r="558" hidden="1"/>
    <row r="559" hidden="1"/>
    <row r="560" hidden="1"/>
    <row r="561" hidden="1"/>
    <row r="562" hidden="1"/>
    <row r="563" hidden="1"/>
    <row r="564" hidden="1"/>
    <row r="565" hidden="1"/>
    <row r="566" hidden="1"/>
    <row r="567" hidden="1"/>
    <row r="568" hidden="1"/>
    <row r="569" hidden="1"/>
    <row r="570" hidden="1"/>
    <row r="571" hidden="1"/>
    <row r="572" hidden="1"/>
    <row r="573" hidden="1"/>
    <row r="574" hidden="1"/>
    <row r="575" hidden="1"/>
    <row r="576" hidden="1"/>
    <row r="577" hidden="1"/>
    <row r="578" hidden="1"/>
    <row r="579" hidden="1"/>
    <row r="580" hidden="1"/>
    <row r="581" hidden="1"/>
    <row r="582" hidden="1"/>
    <row r="583" hidden="1"/>
    <row r="584" hidden="1"/>
    <row r="585" hidden="1"/>
    <row r="586" hidden="1"/>
    <row r="587" hidden="1"/>
    <row r="588" hidden="1"/>
    <row r="589" hidden="1"/>
    <row r="590" hidden="1"/>
    <row r="591" hidden="1"/>
    <row r="592" hidden="1"/>
    <row r="593" hidden="1"/>
    <row r="594" hidden="1"/>
    <row r="595" hidden="1"/>
    <row r="596" hidden="1"/>
    <row r="597" hidden="1"/>
    <row r="598" hidden="1"/>
    <row r="599" hidden="1"/>
    <row r="600" hidden="1"/>
    <row r="601" hidden="1"/>
    <row r="602" hidden="1"/>
    <row r="603" hidden="1"/>
    <row r="604" hidden="1"/>
    <row r="605" hidden="1"/>
    <row r="606" hidden="1"/>
    <row r="607" hidden="1"/>
    <row r="608" hidden="1"/>
    <row r="609" hidden="1"/>
    <row r="610" hidden="1"/>
    <row r="611" hidden="1"/>
    <row r="612" hidden="1"/>
    <row r="613" hidden="1"/>
    <row r="614" hidden="1"/>
    <row r="615" hidden="1"/>
    <row r="616" hidden="1"/>
    <row r="617" hidden="1"/>
    <row r="618" hidden="1"/>
    <row r="619" hidden="1"/>
    <row r="620" hidden="1"/>
    <row r="621" hidden="1"/>
    <row r="622" hidden="1"/>
    <row r="623" hidden="1"/>
    <row r="624" hidden="1"/>
    <row r="625" hidden="1"/>
    <row r="626" hidden="1"/>
    <row r="627" hidden="1"/>
    <row r="628" hidden="1"/>
    <row r="629" hidden="1"/>
    <row r="630" hidden="1"/>
    <row r="631" hidden="1"/>
    <row r="632" hidden="1"/>
    <row r="633" hidden="1"/>
    <row r="634" hidden="1"/>
    <row r="635" hidden="1"/>
    <row r="636" hidden="1"/>
    <row r="637" hidden="1"/>
    <row r="638" hidden="1"/>
    <row r="639" hidden="1"/>
    <row r="640" hidden="1"/>
    <row r="641" hidden="1"/>
    <row r="642" hidden="1"/>
    <row r="643" hidden="1"/>
    <row r="644" hidden="1"/>
    <row r="645" hidden="1"/>
    <row r="646" hidden="1"/>
    <row r="647" hidden="1"/>
    <row r="648" hidden="1"/>
    <row r="649" hidden="1"/>
    <row r="650" hidden="1"/>
    <row r="651" hidden="1"/>
    <row r="652" hidden="1"/>
    <row r="653" hidden="1"/>
    <row r="654" hidden="1"/>
    <row r="655" hidden="1"/>
    <row r="656" hidden="1"/>
    <row r="657" hidden="1"/>
    <row r="658" hidden="1"/>
    <row r="659" hidden="1"/>
    <row r="660" hidden="1"/>
    <row r="661" hidden="1"/>
    <row r="662" hidden="1"/>
    <row r="663" hidden="1"/>
    <row r="664" hidden="1"/>
    <row r="665" hidden="1"/>
    <row r="666" hidden="1"/>
    <row r="667" hidden="1"/>
    <row r="668" hidden="1"/>
    <row r="669" hidden="1"/>
    <row r="670" hidden="1"/>
    <row r="671" hidden="1"/>
    <row r="672" hidden="1"/>
    <row r="673" hidden="1"/>
    <row r="674" hidden="1"/>
    <row r="675" hidden="1"/>
    <row r="676" hidden="1"/>
    <row r="677" hidden="1"/>
    <row r="678" hidden="1"/>
    <row r="679" hidden="1"/>
    <row r="680" hidden="1"/>
    <row r="681" hidden="1"/>
    <row r="682" hidden="1"/>
    <row r="683" hidden="1"/>
    <row r="684" hidden="1"/>
    <row r="685" hidden="1"/>
    <row r="686" hidden="1"/>
    <row r="687" hidden="1"/>
    <row r="688" hidden="1"/>
    <row r="689" hidden="1"/>
    <row r="690" hidden="1"/>
    <row r="691" hidden="1"/>
    <row r="692" hidden="1"/>
    <row r="693" hidden="1"/>
    <row r="694" hidden="1"/>
    <row r="695" hidden="1"/>
    <row r="696" hidden="1"/>
    <row r="697" hidden="1"/>
    <row r="698" hidden="1"/>
    <row r="699" hidden="1"/>
    <row r="700" hidden="1"/>
    <row r="701" hidden="1"/>
    <row r="702" hidden="1"/>
    <row r="703" hidden="1"/>
    <row r="704" hidden="1"/>
    <row r="705" hidden="1"/>
    <row r="706" hidden="1"/>
    <row r="707" hidden="1"/>
    <row r="708" hidden="1"/>
    <row r="709" hidden="1"/>
    <row r="710" hidden="1"/>
    <row r="711" hidden="1"/>
    <row r="712" hidden="1"/>
    <row r="713" hidden="1"/>
    <row r="714" hidden="1"/>
    <row r="715" hidden="1"/>
    <row r="716" hidden="1"/>
    <row r="717" hidden="1"/>
    <row r="718" hidden="1"/>
    <row r="719" hidden="1"/>
    <row r="720" hidden="1"/>
    <row r="721" hidden="1"/>
    <row r="722" hidden="1"/>
    <row r="723" hidden="1"/>
    <row r="724" hidden="1"/>
    <row r="725" hidden="1"/>
    <row r="726" hidden="1"/>
    <row r="727" hidden="1"/>
    <row r="728" hidden="1"/>
    <row r="729" hidden="1"/>
    <row r="730" hidden="1"/>
    <row r="731" hidden="1"/>
    <row r="732" hidden="1"/>
    <row r="733" hidden="1"/>
    <row r="734" hidden="1"/>
    <row r="735" hidden="1"/>
    <row r="736" hidden="1"/>
    <row r="737" hidden="1"/>
    <row r="738" hidden="1"/>
    <row r="739" hidden="1"/>
    <row r="740" hidden="1"/>
    <row r="741" hidden="1"/>
    <row r="742" hidden="1"/>
    <row r="743" hidden="1"/>
    <row r="744" hidden="1"/>
    <row r="745" hidden="1"/>
    <row r="746" hidden="1"/>
    <row r="747" hidden="1"/>
    <row r="748" hidden="1"/>
    <row r="749" hidden="1"/>
    <row r="750" hidden="1"/>
    <row r="751" hidden="1"/>
    <row r="752" hidden="1"/>
    <row r="753" hidden="1"/>
    <row r="754" hidden="1"/>
    <row r="755" hidden="1"/>
    <row r="756" hidden="1"/>
    <row r="757" hidden="1"/>
    <row r="758" hidden="1"/>
    <row r="759" hidden="1"/>
    <row r="760" hidden="1"/>
    <row r="761" hidden="1"/>
    <row r="762" hidden="1"/>
    <row r="763" hidden="1"/>
    <row r="764" hidden="1"/>
    <row r="765" hidden="1"/>
    <row r="766" hidden="1"/>
    <row r="767" hidden="1"/>
    <row r="768" hidden="1"/>
    <row r="769" hidden="1"/>
    <row r="770" hidden="1"/>
    <row r="771" hidden="1"/>
    <row r="772" hidden="1"/>
    <row r="773" hidden="1"/>
    <row r="774" hidden="1"/>
    <row r="775" hidden="1"/>
    <row r="776" hidden="1"/>
    <row r="777" hidden="1"/>
    <row r="778" hidden="1"/>
    <row r="779" hidden="1"/>
    <row r="780" hidden="1"/>
    <row r="781" hidden="1"/>
    <row r="782" hidden="1"/>
    <row r="783" hidden="1"/>
    <row r="784" hidden="1"/>
    <row r="785" hidden="1"/>
    <row r="786" hidden="1"/>
    <row r="787" hidden="1"/>
    <row r="788" hidden="1"/>
    <row r="789" hidden="1"/>
    <row r="790" hidden="1"/>
    <row r="791" hidden="1"/>
    <row r="792" hidden="1"/>
    <row r="793" hidden="1"/>
    <row r="794" hidden="1"/>
    <row r="795" hidden="1"/>
    <row r="796" hidden="1"/>
    <row r="797" hidden="1"/>
    <row r="798" hidden="1"/>
    <row r="799" hidden="1"/>
    <row r="800" hidden="1"/>
    <row r="801" hidden="1"/>
    <row r="802" hidden="1"/>
    <row r="803" hidden="1"/>
    <row r="804" hidden="1"/>
    <row r="805" hidden="1"/>
    <row r="806" hidden="1"/>
    <row r="807" hidden="1"/>
    <row r="808" hidden="1"/>
    <row r="809" hidden="1"/>
    <row r="810" hidden="1"/>
    <row r="811" hidden="1"/>
    <row r="812" hidden="1"/>
    <row r="813" hidden="1"/>
    <row r="814" hidden="1"/>
    <row r="815" hidden="1"/>
    <row r="816" hidden="1"/>
    <row r="817" hidden="1"/>
    <row r="818" hidden="1"/>
    <row r="819" hidden="1"/>
    <row r="820" hidden="1"/>
    <row r="821" hidden="1"/>
    <row r="822" hidden="1"/>
    <row r="823" hidden="1"/>
    <row r="824" hidden="1"/>
    <row r="825" hidden="1"/>
    <row r="826" hidden="1"/>
    <row r="827" hidden="1"/>
    <row r="828" hidden="1"/>
    <row r="829" hidden="1"/>
    <row r="830" hidden="1"/>
    <row r="831" hidden="1"/>
    <row r="832" hidden="1"/>
    <row r="833" hidden="1"/>
    <row r="834" hidden="1"/>
    <row r="835" hidden="1"/>
    <row r="836" hidden="1"/>
    <row r="837" hidden="1"/>
    <row r="838" hidden="1"/>
    <row r="839" hidden="1"/>
    <row r="840" hidden="1"/>
    <row r="841" hidden="1"/>
    <row r="842" hidden="1"/>
    <row r="843" hidden="1"/>
    <row r="844" hidden="1"/>
    <row r="845" hidden="1"/>
    <row r="846" hidden="1"/>
    <row r="847" hidden="1"/>
    <row r="848" hidden="1"/>
    <row r="849" hidden="1"/>
    <row r="850" hidden="1"/>
    <row r="851" hidden="1"/>
    <row r="852" hidden="1"/>
    <row r="853" hidden="1"/>
    <row r="854" hidden="1"/>
    <row r="855" hidden="1"/>
    <row r="856" hidden="1"/>
    <row r="857" hidden="1"/>
    <row r="858" hidden="1"/>
    <row r="859" hidden="1"/>
    <row r="860" hidden="1"/>
    <row r="861" hidden="1"/>
    <row r="862" hidden="1"/>
    <row r="863" hidden="1"/>
    <row r="864" hidden="1"/>
    <row r="865" hidden="1"/>
    <row r="866" hidden="1"/>
    <row r="867" hidden="1"/>
    <row r="868" hidden="1"/>
    <row r="869" hidden="1"/>
    <row r="870" hidden="1"/>
    <row r="871" hidden="1"/>
    <row r="872" hidden="1"/>
    <row r="873" hidden="1"/>
    <row r="874" hidden="1"/>
    <row r="875" hidden="1"/>
    <row r="876" hidden="1"/>
    <row r="877" hidden="1"/>
    <row r="878" hidden="1"/>
    <row r="879" hidden="1"/>
    <row r="880" hidden="1"/>
    <row r="881" hidden="1"/>
    <row r="882" hidden="1"/>
    <row r="883" hidden="1"/>
    <row r="884" hidden="1"/>
    <row r="885" hidden="1"/>
    <row r="886" hidden="1"/>
    <row r="887" hidden="1"/>
    <row r="888" hidden="1"/>
    <row r="889" hidden="1"/>
    <row r="890" hidden="1"/>
    <row r="891" hidden="1"/>
    <row r="892" hidden="1"/>
    <row r="893" hidden="1"/>
    <row r="894" hidden="1"/>
    <row r="895"/>
    <row r="896"/>
    <row r="897"/>
    <row r="898"/>
    <row r="899"/>
    <row r="900"/>
    <row r="901"/>
    <row r="902"/>
    <row r="903"/>
    <row r="904"/>
    <row r="905"/>
    <row r="906"/>
    <row r="907"/>
    <row r="908"/>
    <row r="909"/>
    <row r="910"/>
    <row r="911"/>
    <row r="912"/>
    <row r="913"/>
    <row r="914"/>
    <row r="915"/>
    <row r="916"/>
    <row r="917"/>
    <row r="918"/>
    <row r="919"/>
    <row r="920"/>
    <row r="921"/>
    <row r="922"/>
    <row r="923"/>
    <row r="924"/>
    <row r="925"/>
    <row r="926"/>
    <row r="927"/>
    <row r="928"/>
    <row r="929"/>
    <row r="930"/>
    <row r="931"/>
    <row r="932"/>
    <row r="933"/>
    <row r="934"/>
    <row r="935"/>
    <row r="936"/>
    <row r="937"/>
    <row r="938"/>
    <row r="939"/>
    <row r="940"/>
    <row r="941"/>
    <row r="942"/>
    <row r="943"/>
    <row r="944"/>
    <row r="945"/>
    <row r="946"/>
    <row r="947"/>
    <row r="948"/>
    <row r="949"/>
    <row r="950"/>
    <row r="951"/>
    <row r="952"/>
    <row r="953"/>
    <row r="954"/>
    <row r="955"/>
    <row r="956"/>
    <row r="957"/>
    <row r="958"/>
    <row r="959"/>
    <row r="960"/>
    <row r="961"/>
    <row r="962"/>
    <row r="963"/>
    <row r="964"/>
    <row r="965"/>
    <row r="966"/>
    <row r="967"/>
    <row r="968"/>
    <row r="969"/>
    <row r="970"/>
    <row r="971"/>
    <row r="972"/>
    <row r="973"/>
    <row r="974"/>
    <row r="975"/>
    <row r="976"/>
    <row r="977"/>
    <row r="978"/>
    <row r="979"/>
    <row r="980"/>
    <row r="981"/>
    <row r="982"/>
    <row r="983"/>
    <row r="984"/>
    <row r="985"/>
    <row r="986"/>
    <row r="987"/>
    <row r="988"/>
    <row r="989"/>
    <row r="990"/>
    <row r="991"/>
    <row r="992"/>
    <row r="993"/>
    <row r="994"/>
    <row r="995"/>
    <row r="996"/>
    <row r="997"/>
    <row r="998"/>
    <row r="999"/>
    <row r="1000"/>
    <row r="1001"/>
    <row r="1002"/>
    <row r="1003"/>
    <row r="1004"/>
    <row r="1005"/>
    <row r="1006"/>
    <row r="1007"/>
    <row r="1008"/>
    <row r="1009"/>
    <row r="1010"/>
    <row r="1011"/>
    <row r="1012"/>
    <row r="1013"/>
    <row r="1014"/>
    <row r="1015"/>
    <row r="1016"/>
    <row r="1017"/>
    <row r="1018"/>
    <row r="1019"/>
    <row r="1020"/>
    <row r="1021"/>
    <row r="1022"/>
    <row r="1023"/>
    <row r="1024"/>
    <row r="1025"/>
    <row r="1026"/>
    <row r="1027"/>
    <row r="1028"/>
    <row r="1029"/>
    <row r="1030"/>
    <row r="1031"/>
    <row r="1032"/>
  </sheetData>
  <autoFilter ref="A29:AO52">
    <sortState ref="A30:AO190">
      <sortCondition ref="B30:B190"/>
    </sortState>
  </autoFilter>
  <sortState ref="A30:AO190">
    <sortCondition ref="B30:B190"/>
  </sortState>
  <dataConsolidate/>
  <mergeCells count="23">
    <mergeCell ref="AB27:AC27"/>
    <mergeCell ref="X27:Y27"/>
    <mergeCell ref="M25:O25"/>
    <mergeCell ref="T18:V18"/>
    <mergeCell ref="T19:V19"/>
    <mergeCell ref="M26:O26"/>
    <mergeCell ref="Z27:AA27"/>
    <mergeCell ref="G27:J27"/>
    <mergeCell ref="L27:M27"/>
    <mergeCell ref="D2:E2"/>
    <mergeCell ref="A3:AC3"/>
    <mergeCell ref="A4:AC4"/>
    <mergeCell ref="A7:AC7"/>
    <mergeCell ref="A5:AC5"/>
    <mergeCell ref="D24:F24"/>
    <mergeCell ref="D23:F23"/>
    <mergeCell ref="V27:W27"/>
    <mergeCell ref="N27:O27"/>
    <mergeCell ref="T27:U27"/>
    <mergeCell ref="P27:Q27"/>
    <mergeCell ref="R27:S27"/>
    <mergeCell ref="M23:O23"/>
    <mergeCell ref="M24:O24"/>
  </mergeCells>
  <dataValidations count="3">
    <dataValidation type="list" allowBlank="1" showInputMessage="1" showErrorMessage="1" sqref="A32:A37 A39:A45 A30">
      <formula1>TIPO</formula1>
    </dataValidation>
    <dataValidation type="list" allowBlank="1" showInputMessage="1" showErrorMessage="1" sqref="D24:D25">
      <formula1>$AD$11:$AD$12</formula1>
    </dataValidation>
    <dataValidation type="list" allowBlank="1" showInputMessage="1" showErrorMessage="1" sqref="G30:G45">
      <formula1>COT_PRE_ESTADISTICOS</formula1>
    </dataValidation>
  </dataValidations>
  <hyperlinks>
    <hyperlink ref="D2:E2" location="'INDICE_ MODELO'!C96" display="Ir a Índice"/>
  </hyperlinks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Z405"/>
  <sheetViews>
    <sheetView zoomScaleNormal="100" workbookViewId="0"/>
  </sheetViews>
  <sheetFormatPr baseColWidth="10" defaultColWidth="0" defaultRowHeight="0" customHeight="1" zeroHeight="1"/>
  <cols>
    <col min="1" max="1" width="10" style="350" customWidth="1"/>
    <col min="2" max="3" width="13.5703125" style="350" hidden="1" customWidth="1"/>
    <col min="4" max="4" width="24.42578125" style="350" customWidth="1"/>
    <col min="5" max="5" width="8.42578125" style="350" customWidth="1"/>
    <col min="6" max="6" width="62" style="350" customWidth="1"/>
    <col min="7" max="7" width="7.140625" style="350" customWidth="1"/>
    <col min="8" max="8" width="9.85546875" style="350" customWidth="1"/>
    <col min="9" max="9" width="10.85546875" style="350" customWidth="1"/>
    <col min="10" max="10" width="10.140625" style="350" customWidth="1"/>
    <col min="11" max="11" width="10.42578125" style="350" customWidth="1"/>
    <col min="12" max="14" width="12" style="350" customWidth="1"/>
    <col min="15" max="15" width="17" style="350" customWidth="1"/>
    <col min="16" max="17" width="17.140625" style="350" customWidth="1"/>
    <col min="18" max="18" width="9.85546875" style="350" customWidth="1"/>
    <col min="19" max="19" width="10.85546875" style="350" customWidth="1"/>
    <col min="20" max="20" width="10.140625" style="350" customWidth="1"/>
    <col min="21" max="21" width="10.42578125" style="350" customWidth="1"/>
    <col min="22" max="22" width="12" style="350" customWidth="1"/>
    <col min="23" max="23" width="15.42578125" style="350" customWidth="1"/>
    <col min="24" max="25" width="13.85546875" style="350" customWidth="1"/>
    <col min="26" max="27" width="17.140625" style="350" customWidth="1"/>
    <col min="28" max="28" width="9.85546875" style="350" customWidth="1"/>
    <col min="29" max="29" width="10.85546875" style="350" customWidth="1"/>
    <col min="30" max="30" width="10.140625" style="350" customWidth="1"/>
    <col min="31" max="31" width="10.42578125" style="350" customWidth="1"/>
    <col min="32" max="32" width="12" style="350" customWidth="1"/>
    <col min="33" max="33" width="15.42578125" style="350" customWidth="1"/>
    <col min="34" max="35" width="13.85546875" style="350" customWidth="1"/>
    <col min="36" max="37" width="17.140625" style="350" customWidth="1"/>
    <col min="38" max="38" width="9.85546875" style="350" customWidth="1"/>
    <col min="39" max="39" width="10.85546875" style="350" customWidth="1"/>
    <col min="40" max="40" width="10.140625" style="350" customWidth="1"/>
    <col min="41" max="41" width="10.42578125" style="350" customWidth="1"/>
    <col min="42" max="42" width="12" style="350" customWidth="1"/>
    <col min="43" max="45" width="13.85546875" style="350" customWidth="1"/>
    <col min="46" max="47" width="17.140625" style="350" customWidth="1"/>
    <col min="48" max="48" width="9.85546875" style="350" customWidth="1"/>
    <col min="49" max="49" width="10.85546875" style="350" customWidth="1"/>
    <col min="50" max="50" width="10.140625" style="350" customWidth="1"/>
    <col min="51" max="51" width="10.42578125" style="350" customWidth="1"/>
    <col min="52" max="52" width="12" style="350" customWidth="1"/>
    <col min="53" max="55" width="13.85546875" style="350" customWidth="1"/>
    <col min="56" max="58" width="17.140625" style="350" customWidth="1"/>
    <col min="59" max="59" width="16.5703125" style="350" customWidth="1"/>
    <col min="60" max="63" width="11.42578125" style="349" hidden="1" customWidth="1"/>
    <col min="64" max="104" width="14.7109375" style="349" hidden="1" customWidth="1"/>
    <col min="105" max="16384" width="11.42578125" style="349" hidden="1"/>
  </cols>
  <sheetData>
    <row r="1" spans="1:59" ht="15.75">
      <c r="A1" s="383"/>
      <c r="B1" s="384"/>
      <c r="C1" s="384"/>
      <c r="D1" s="384"/>
      <c r="E1" s="384"/>
      <c r="F1" s="384"/>
      <c r="G1" s="384"/>
      <c r="H1" s="384"/>
      <c r="I1" s="384"/>
      <c r="J1" s="384"/>
      <c r="K1" s="384"/>
      <c r="L1" s="384"/>
      <c r="M1" s="384"/>
      <c r="N1" s="384"/>
      <c r="O1" s="384"/>
      <c r="P1" s="384"/>
      <c r="Q1" s="384"/>
      <c r="R1" s="384"/>
      <c r="S1" s="384"/>
      <c r="T1" s="384"/>
      <c r="U1" s="384"/>
      <c r="V1" s="384"/>
      <c r="W1" s="384"/>
      <c r="X1" s="384"/>
      <c r="Y1" s="384"/>
      <c r="Z1" s="384"/>
      <c r="AA1" s="384"/>
      <c r="AB1" s="385"/>
      <c r="AC1" s="385"/>
      <c r="AD1" s="385"/>
      <c r="AE1" s="385"/>
      <c r="AF1" s="384"/>
      <c r="AG1" s="384"/>
      <c r="AH1" s="384"/>
      <c r="AI1" s="384"/>
      <c r="AJ1" s="384"/>
      <c r="AK1" s="384"/>
      <c r="AL1" s="385"/>
      <c r="AM1" s="385"/>
      <c r="AN1" s="385"/>
      <c r="AO1" s="385"/>
      <c r="AP1" s="384"/>
      <c r="AQ1" s="384"/>
      <c r="AR1" s="384"/>
      <c r="AS1" s="384"/>
      <c r="AT1" s="384"/>
      <c r="AU1" s="384"/>
      <c r="AV1" s="385"/>
      <c r="AW1" s="385"/>
      <c r="AX1" s="385"/>
      <c r="AY1" s="385"/>
      <c r="AZ1" s="384"/>
      <c r="BA1" s="384"/>
      <c r="BB1" s="384"/>
      <c r="BC1" s="384"/>
      <c r="BD1" s="384"/>
      <c r="BE1" s="384"/>
      <c r="BF1" s="384"/>
      <c r="BG1" s="263"/>
    </row>
    <row r="2" spans="1:59" ht="20.25">
      <c r="A2" s="386"/>
      <c r="B2" s="351"/>
      <c r="C2" s="351"/>
      <c r="D2" s="351"/>
      <c r="E2" s="474" t="s">
        <v>1971</v>
      </c>
      <c r="F2" s="474"/>
      <c r="G2" s="369"/>
      <c r="H2" s="351"/>
      <c r="I2" s="351"/>
      <c r="J2" s="351"/>
      <c r="K2" s="351"/>
      <c r="L2" s="351"/>
      <c r="M2" s="351"/>
      <c r="N2" s="351"/>
      <c r="O2" s="351"/>
      <c r="P2" s="351"/>
      <c r="Q2" s="351"/>
      <c r="R2" s="351"/>
      <c r="S2" s="351"/>
      <c r="T2" s="351"/>
      <c r="U2" s="351"/>
      <c r="V2" s="351"/>
      <c r="W2" s="351"/>
      <c r="X2" s="351"/>
      <c r="Y2" s="351"/>
      <c r="Z2" s="351"/>
      <c r="AA2" s="351"/>
      <c r="AB2" s="356"/>
      <c r="AC2" s="356"/>
      <c r="AD2" s="356"/>
      <c r="AE2" s="356"/>
      <c r="AF2" s="351"/>
      <c r="AG2" s="351"/>
      <c r="AH2" s="351"/>
      <c r="AI2" s="351"/>
      <c r="AJ2" s="351"/>
      <c r="AK2" s="351"/>
      <c r="AL2" s="356"/>
      <c r="AM2" s="356"/>
      <c r="AN2" s="356"/>
      <c r="AO2" s="356"/>
      <c r="AP2" s="351"/>
      <c r="AQ2" s="351"/>
      <c r="AR2" s="351"/>
      <c r="AS2" s="351"/>
      <c r="AT2" s="351"/>
      <c r="AU2" s="351"/>
      <c r="AV2" s="356"/>
      <c r="AW2" s="356"/>
      <c r="AX2" s="356"/>
      <c r="AY2" s="356"/>
      <c r="AZ2" s="351"/>
      <c r="BA2" s="351"/>
      <c r="BB2" s="351"/>
      <c r="BC2" s="351"/>
      <c r="BD2" s="351"/>
      <c r="BE2" s="351"/>
      <c r="BF2" s="351"/>
      <c r="BG2" s="264"/>
    </row>
    <row r="3" spans="1:59" ht="18">
      <c r="A3" s="416" t="s">
        <v>1968</v>
      </c>
      <c r="B3" s="105"/>
      <c r="C3" s="105"/>
      <c r="D3" s="105"/>
      <c r="E3" s="105"/>
      <c r="F3" s="105"/>
      <c r="G3" s="105"/>
      <c r="H3" s="105"/>
      <c r="I3" s="105"/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05"/>
      <c r="W3" s="105"/>
      <c r="X3" s="105"/>
      <c r="Y3" s="105"/>
      <c r="Z3" s="105"/>
      <c r="AA3" s="105"/>
      <c r="AB3" s="105"/>
      <c r="AC3" s="105"/>
      <c r="AD3" s="105"/>
      <c r="AE3" s="105"/>
      <c r="AF3" s="105"/>
      <c r="AG3" s="105"/>
      <c r="AH3" s="105"/>
      <c r="AI3" s="105"/>
      <c r="AJ3" s="105"/>
      <c r="AK3" s="105"/>
      <c r="AL3" s="105"/>
      <c r="AM3" s="105"/>
      <c r="AN3" s="105"/>
      <c r="AO3" s="105"/>
      <c r="AP3" s="105"/>
      <c r="AQ3" s="105"/>
      <c r="AR3" s="105"/>
      <c r="AS3" s="105"/>
      <c r="AT3" s="105"/>
      <c r="AU3" s="105"/>
      <c r="AV3" s="105"/>
      <c r="AW3" s="105"/>
      <c r="AX3" s="105"/>
      <c r="AY3" s="105"/>
      <c r="AZ3" s="105"/>
      <c r="BA3" s="105"/>
      <c r="BB3" s="105"/>
      <c r="BC3" s="105"/>
      <c r="BD3" s="105"/>
      <c r="BE3" s="105"/>
      <c r="BF3" s="105"/>
      <c r="BG3" s="417"/>
    </row>
    <row r="4" spans="1:59" ht="18">
      <c r="A4" s="416" t="s">
        <v>1969</v>
      </c>
      <c r="B4" s="105"/>
      <c r="C4" s="105"/>
      <c r="D4" s="105"/>
      <c r="E4" s="105"/>
      <c r="F4" s="105"/>
      <c r="G4" s="105"/>
      <c r="H4" s="105"/>
      <c r="I4" s="105"/>
      <c r="J4" s="105"/>
      <c r="K4" s="105"/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05"/>
      <c r="W4" s="105"/>
      <c r="X4" s="105"/>
      <c r="Y4" s="105"/>
      <c r="Z4" s="105"/>
      <c r="AA4" s="105"/>
      <c r="AB4" s="105"/>
      <c r="AC4" s="105"/>
      <c r="AD4" s="105"/>
      <c r="AE4" s="105"/>
      <c r="AF4" s="105"/>
      <c r="AG4" s="105"/>
      <c r="AH4" s="105"/>
      <c r="AI4" s="105"/>
      <c r="AJ4" s="105"/>
      <c r="AK4" s="105"/>
      <c r="AL4" s="105"/>
      <c r="AM4" s="105"/>
      <c r="AN4" s="105"/>
      <c r="AO4" s="105"/>
      <c r="AP4" s="105"/>
      <c r="AQ4" s="105"/>
      <c r="AR4" s="105"/>
      <c r="AS4" s="105"/>
      <c r="AT4" s="105"/>
      <c r="AU4" s="105"/>
      <c r="AV4" s="105"/>
      <c r="AW4" s="105"/>
      <c r="AX4" s="105"/>
      <c r="AY4" s="105"/>
      <c r="AZ4" s="105"/>
      <c r="BA4" s="105"/>
      <c r="BB4" s="105"/>
      <c r="BC4" s="105"/>
      <c r="BD4" s="105"/>
      <c r="BE4" s="105"/>
      <c r="BF4" s="105"/>
      <c r="BG4" s="417"/>
    </row>
    <row r="5" spans="1:59" ht="18">
      <c r="A5" s="416" t="s">
        <v>1970</v>
      </c>
      <c r="B5" s="105"/>
      <c r="C5" s="105"/>
      <c r="D5" s="105"/>
      <c r="E5" s="105"/>
      <c r="F5" s="105"/>
      <c r="G5" s="105"/>
      <c r="H5" s="105"/>
      <c r="I5" s="105"/>
      <c r="J5" s="105"/>
      <c r="K5" s="105"/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05"/>
      <c r="W5" s="105"/>
      <c r="X5" s="105"/>
      <c r="Y5" s="105"/>
      <c r="Z5" s="105"/>
      <c r="AA5" s="105"/>
      <c r="AB5" s="105"/>
      <c r="AC5" s="105"/>
      <c r="AD5" s="105"/>
      <c r="AE5" s="105"/>
      <c r="AF5" s="105"/>
      <c r="AG5" s="105"/>
      <c r="AH5" s="105"/>
      <c r="AI5" s="105"/>
      <c r="AJ5" s="105"/>
      <c r="AK5" s="105"/>
      <c r="AL5" s="105"/>
      <c r="AM5" s="105"/>
      <c r="AN5" s="105"/>
      <c r="AO5" s="105"/>
      <c r="AP5" s="105"/>
      <c r="AQ5" s="105"/>
      <c r="AR5" s="105"/>
      <c r="AS5" s="105"/>
      <c r="AT5" s="105"/>
      <c r="AU5" s="105"/>
      <c r="AV5" s="105"/>
      <c r="AW5" s="105"/>
      <c r="AX5" s="105"/>
      <c r="AY5" s="105"/>
      <c r="AZ5" s="105"/>
      <c r="BA5" s="105"/>
      <c r="BB5" s="105"/>
      <c r="BC5" s="105"/>
      <c r="BD5" s="105"/>
      <c r="BE5" s="105"/>
      <c r="BF5" s="105"/>
      <c r="BG5" s="417"/>
    </row>
    <row r="6" spans="1:59" ht="18">
      <c r="A6" s="337"/>
      <c r="B6" s="338"/>
      <c r="C6" s="338"/>
      <c r="D6" s="338"/>
      <c r="E6" s="338"/>
      <c r="F6" s="338"/>
      <c r="G6" s="338"/>
      <c r="H6" s="338"/>
      <c r="I6" s="338"/>
      <c r="J6" s="338"/>
      <c r="K6" s="338"/>
      <c r="L6" s="338"/>
      <c r="M6" s="338"/>
      <c r="N6" s="338"/>
      <c r="O6" s="338"/>
      <c r="P6" s="338"/>
      <c r="Q6" s="105"/>
      <c r="R6" s="338"/>
      <c r="S6" s="338"/>
      <c r="T6" s="338"/>
      <c r="U6" s="338"/>
      <c r="V6" s="338"/>
      <c r="W6" s="338"/>
      <c r="X6" s="338"/>
      <c r="Y6" s="338"/>
      <c r="Z6" s="338"/>
      <c r="AA6" s="338"/>
      <c r="AB6" s="338"/>
      <c r="AC6" s="338"/>
      <c r="AD6" s="338"/>
      <c r="AE6" s="338"/>
      <c r="AF6" s="338"/>
      <c r="AG6" s="338"/>
      <c r="AH6" s="338"/>
      <c r="AI6" s="338"/>
      <c r="AJ6" s="338"/>
      <c r="AK6" s="338"/>
      <c r="AL6" s="338"/>
      <c r="AM6" s="338"/>
      <c r="AN6" s="338"/>
      <c r="AO6" s="338"/>
      <c r="AP6" s="338"/>
      <c r="AQ6" s="338"/>
      <c r="AR6" s="338"/>
      <c r="AS6" s="338"/>
      <c r="AT6" s="338"/>
      <c r="AU6" s="338"/>
      <c r="AV6" s="338"/>
      <c r="AW6" s="338"/>
      <c r="AX6" s="338"/>
      <c r="AY6" s="338"/>
      <c r="AZ6" s="338"/>
      <c r="BA6" s="338"/>
      <c r="BB6" s="338"/>
      <c r="BC6" s="338"/>
      <c r="BD6" s="338"/>
      <c r="BE6" s="338"/>
      <c r="BF6" s="338"/>
      <c r="BG6" s="339"/>
    </row>
    <row r="7" spans="1:59" ht="18">
      <c r="A7" s="416" t="s">
        <v>1984</v>
      </c>
      <c r="B7" s="105"/>
      <c r="C7" s="105"/>
      <c r="D7" s="105"/>
      <c r="E7" s="105"/>
      <c r="F7" s="105"/>
      <c r="G7" s="105"/>
      <c r="H7" s="105"/>
      <c r="I7" s="105"/>
      <c r="J7" s="105"/>
      <c r="K7" s="105"/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05"/>
      <c r="W7" s="105"/>
      <c r="X7" s="105"/>
      <c r="Y7" s="105"/>
      <c r="Z7" s="105"/>
      <c r="AA7" s="105"/>
      <c r="AB7" s="105"/>
      <c r="AC7" s="105"/>
      <c r="AD7" s="105"/>
      <c r="AE7" s="105"/>
      <c r="AF7" s="105"/>
      <c r="AG7" s="105"/>
      <c r="AH7" s="105"/>
      <c r="AI7" s="105"/>
      <c r="AJ7" s="105"/>
      <c r="AK7" s="105"/>
      <c r="AL7" s="105"/>
      <c r="AM7" s="105"/>
      <c r="AN7" s="105"/>
      <c r="AO7" s="105"/>
      <c r="AP7" s="105"/>
      <c r="AQ7" s="105"/>
      <c r="AR7" s="105"/>
      <c r="AS7" s="105"/>
      <c r="AT7" s="105"/>
      <c r="AU7" s="105"/>
      <c r="AV7" s="105"/>
      <c r="AW7" s="105"/>
      <c r="AX7" s="105"/>
      <c r="AY7" s="105"/>
      <c r="AZ7" s="105"/>
      <c r="BA7" s="105"/>
      <c r="BB7" s="105"/>
      <c r="BC7" s="105"/>
      <c r="BD7" s="105"/>
      <c r="BE7" s="105"/>
      <c r="BF7" s="105"/>
      <c r="BG7" s="417"/>
    </row>
    <row r="8" spans="1:59" ht="18">
      <c r="A8" s="418" t="str">
        <f>CONCATENATE("VALORES UNITARIOS CÁLCULADOS :"," ",COT_PRECALCULOS!D24)</f>
        <v>VALORES UNITARIOS CÁLCULADOS : Precios Base Gravable</v>
      </c>
      <c r="B8" s="419"/>
      <c r="C8" s="419"/>
      <c r="D8" s="419"/>
      <c r="E8" s="419"/>
      <c r="F8" s="419"/>
      <c r="G8" s="419"/>
      <c r="H8" s="419"/>
      <c r="I8" s="419"/>
      <c r="J8" s="419"/>
      <c r="K8" s="419"/>
      <c r="L8" s="419"/>
      <c r="M8" s="419"/>
      <c r="N8" s="419"/>
      <c r="O8" s="419"/>
      <c r="P8" s="419"/>
      <c r="Q8" s="419"/>
      <c r="R8" s="419"/>
      <c r="S8" s="419"/>
      <c r="T8" s="419"/>
      <c r="U8" s="419"/>
      <c r="V8" s="419"/>
      <c r="W8" s="419"/>
      <c r="X8" s="419"/>
      <c r="Y8" s="419"/>
      <c r="Z8" s="419"/>
      <c r="AA8" s="419"/>
      <c r="AB8" s="419"/>
      <c r="AC8" s="419"/>
      <c r="AD8" s="419"/>
      <c r="AE8" s="419"/>
      <c r="AF8" s="419"/>
      <c r="AG8" s="419"/>
      <c r="AH8" s="419"/>
      <c r="AI8" s="419"/>
      <c r="AJ8" s="419"/>
      <c r="AK8" s="419"/>
      <c r="AL8" s="419"/>
      <c r="AM8" s="419"/>
      <c r="AN8" s="419"/>
      <c r="AO8" s="419"/>
      <c r="AP8" s="419"/>
      <c r="AQ8" s="419"/>
      <c r="AR8" s="419"/>
      <c r="AS8" s="419"/>
      <c r="AT8" s="419"/>
      <c r="AU8" s="419"/>
      <c r="AV8" s="419"/>
      <c r="AW8" s="419"/>
      <c r="AX8" s="419"/>
      <c r="AY8" s="419"/>
      <c r="AZ8" s="419"/>
      <c r="BA8" s="419"/>
      <c r="BB8" s="419"/>
      <c r="BC8" s="419"/>
      <c r="BD8" s="419"/>
      <c r="BE8" s="419"/>
      <c r="BF8" s="419"/>
      <c r="BG8" s="420"/>
    </row>
    <row r="9" spans="1:59" ht="15.75" thickBot="1">
      <c r="A9" s="387"/>
      <c r="B9" s="388"/>
      <c r="C9" s="388"/>
      <c r="D9" s="388"/>
      <c r="E9" s="388"/>
      <c r="F9" s="388"/>
      <c r="G9" s="388"/>
      <c r="H9" s="388"/>
      <c r="I9" s="388"/>
      <c r="J9" s="388"/>
      <c r="K9" s="388"/>
      <c r="L9" s="388"/>
      <c r="M9" s="388"/>
      <c r="N9" s="388"/>
      <c r="O9" s="388"/>
      <c r="P9" s="388"/>
      <c r="Q9" s="388"/>
      <c r="R9" s="388"/>
      <c r="S9" s="388"/>
      <c r="T9" s="388"/>
      <c r="U9" s="388"/>
      <c r="V9" s="388"/>
      <c r="W9" s="388"/>
      <c r="X9" s="388"/>
      <c r="Y9" s="388"/>
      <c r="Z9" s="388"/>
      <c r="AA9" s="388"/>
      <c r="AB9" s="388"/>
      <c r="AC9" s="388"/>
      <c r="AD9" s="388"/>
      <c r="AE9" s="388"/>
      <c r="AF9" s="388"/>
      <c r="AG9" s="388"/>
      <c r="AH9" s="388"/>
      <c r="AI9" s="388"/>
      <c r="AJ9" s="388"/>
      <c r="AK9" s="388"/>
      <c r="AL9" s="388"/>
      <c r="AM9" s="388"/>
      <c r="AN9" s="388"/>
      <c r="AO9" s="388"/>
      <c r="AP9" s="388"/>
      <c r="AQ9" s="388"/>
      <c r="AR9" s="388"/>
      <c r="AS9" s="388"/>
      <c r="AT9" s="388"/>
      <c r="AU9" s="388"/>
      <c r="AV9" s="388"/>
      <c r="AW9" s="388"/>
      <c r="AX9" s="388"/>
      <c r="AY9" s="388"/>
      <c r="AZ9" s="388"/>
      <c r="BA9" s="388"/>
      <c r="BB9" s="388"/>
      <c r="BC9" s="388"/>
      <c r="BD9" s="388"/>
      <c r="BE9" s="388"/>
      <c r="BF9" s="388"/>
      <c r="BG9" s="447"/>
    </row>
    <row r="10" spans="1:59" ht="15.75">
      <c r="A10" s="224"/>
      <c r="B10" s="385"/>
      <c r="C10" s="385"/>
      <c r="D10" s="385"/>
      <c r="E10" s="385"/>
      <c r="F10" s="385"/>
      <c r="G10" s="385"/>
      <c r="H10" s="385"/>
      <c r="I10" s="385"/>
      <c r="J10" s="385"/>
      <c r="K10" s="385"/>
      <c r="L10" s="385"/>
      <c r="M10" s="385"/>
      <c r="N10" s="385"/>
      <c r="O10" s="385"/>
      <c r="P10" s="385"/>
      <c r="Q10" s="385"/>
      <c r="R10" s="385"/>
      <c r="S10" s="385"/>
      <c r="T10" s="385"/>
      <c r="U10" s="385"/>
      <c r="V10" s="385"/>
      <c r="W10" s="385"/>
      <c r="X10" s="385"/>
      <c r="Y10" s="385"/>
      <c r="Z10" s="385"/>
      <c r="AA10" s="385"/>
      <c r="AB10" s="385"/>
      <c r="AC10" s="385"/>
      <c r="AD10" s="385"/>
      <c r="AE10" s="385"/>
      <c r="AF10" s="385"/>
      <c r="AG10" s="385"/>
      <c r="AH10" s="385"/>
      <c r="AI10" s="385"/>
      <c r="AJ10" s="385"/>
      <c r="AK10" s="385"/>
      <c r="AL10" s="385"/>
      <c r="AM10" s="385"/>
      <c r="AN10" s="385"/>
      <c r="AO10" s="385"/>
      <c r="AP10" s="385"/>
      <c r="AQ10" s="385"/>
      <c r="AR10" s="385"/>
      <c r="AS10" s="385"/>
      <c r="AT10" s="385"/>
      <c r="AU10" s="385"/>
      <c r="AV10" s="385"/>
      <c r="AW10" s="385"/>
      <c r="AX10" s="385"/>
      <c r="AY10" s="385"/>
      <c r="AZ10" s="385"/>
      <c r="BA10" s="385"/>
      <c r="BB10" s="385"/>
      <c r="BC10" s="385"/>
      <c r="BD10" s="385"/>
      <c r="BE10" s="385"/>
      <c r="BF10" s="385"/>
      <c r="BG10" s="385"/>
    </row>
    <row r="11" spans="1:59" ht="15.75">
      <c r="A11" s="356"/>
      <c r="B11" s="356"/>
      <c r="C11" s="356"/>
      <c r="D11" s="356"/>
      <c r="E11" s="356"/>
      <c r="F11" s="356"/>
      <c r="G11" s="356"/>
      <c r="H11" s="262"/>
      <c r="I11" s="262"/>
      <c r="J11" s="429">
        <f>SUM(J16:J375)</f>
        <v>1959936</v>
      </c>
      <c r="K11" s="429">
        <f>SUM(K16:K375)</f>
        <v>26949120</v>
      </c>
      <c r="L11" s="262"/>
      <c r="M11" s="262"/>
      <c r="N11" s="262"/>
      <c r="O11" s="262"/>
      <c r="P11" s="430">
        <f>SUM(P16:P375)</f>
        <v>9626388992</v>
      </c>
      <c r="Q11" s="430">
        <f>SUM(Q16:Q375)</f>
        <v>10103796736</v>
      </c>
      <c r="R11" s="262"/>
      <c r="S11" s="262"/>
      <c r="T11" s="429">
        <f>SUM(T16:T375)</f>
        <v>2615004</v>
      </c>
      <c r="U11" s="429">
        <f>SUM(U16:U375)</f>
        <v>35956305</v>
      </c>
      <c r="V11" s="262"/>
      <c r="W11" s="262"/>
      <c r="X11" s="262"/>
      <c r="Y11" s="262"/>
      <c r="Z11" s="430">
        <f>SUM(Z16:Z375)</f>
        <v>15129759393</v>
      </c>
      <c r="AA11" s="430">
        <f>SUM(AA16:AA375)</f>
        <v>15881137209</v>
      </c>
      <c r="AB11" s="262"/>
      <c r="AC11" s="262"/>
      <c r="AD11" s="429">
        <f>SUM(AD16:AD375)</f>
        <v>2796972</v>
      </c>
      <c r="AE11" s="429">
        <f>SUM(AE16:AE375)</f>
        <v>38458365</v>
      </c>
      <c r="AF11" s="262"/>
      <c r="AG11" s="262"/>
      <c r="AH11" s="262"/>
      <c r="AI11" s="262"/>
      <c r="AJ11" s="430">
        <f>SUM(AJ16:AJ375)</f>
        <v>26188281917</v>
      </c>
      <c r="AK11" s="430">
        <f>SUM(AK16:AK375)</f>
        <v>27484911520</v>
      </c>
      <c r="AL11" s="262"/>
      <c r="AM11" s="262"/>
      <c r="AN11" s="429">
        <f>SUM(AN16:AN375)</f>
        <v>90984</v>
      </c>
      <c r="AO11" s="429">
        <f>SUM(AO16:AO375)</f>
        <v>1251030</v>
      </c>
      <c r="AP11" s="262"/>
      <c r="AQ11" s="262"/>
      <c r="AR11" s="262"/>
      <c r="AS11" s="262"/>
      <c r="AT11" s="430">
        <f>SUM(AT16:AT375)</f>
        <v>526410678</v>
      </c>
      <c r="AU11" s="430">
        <f>SUM(AU16:AU375)</f>
        <v>552553414</v>
      </c>
      <c r="AV11" s="262"/>
      <c r="AW11" s="262"/>
      <c r="AX11" s="429">
        <f>SUM(AX16:AX375)</f>
        <v>90360</v>
      </c>
      <c r="AY11" s="429">
        <f>SUM(AY16:AY375)</f>
        <v>1242450</v>
      </c>
      <c r="AZ11" s="262"/>
      <c r="BA11" s="262"/>
      <c r="BB11" s="262"/>
      <c r="BC11" s="262"/>
      <c r="BD11" s="430">
        <f>SUM(BD16:BD375)</f>
        <v>846048210</v>
      </c>
      <c r="BE11" s="430">
        <f>SUM(BE16:BE375)</f>
        <v>887937600</v>
      </c>
      <c r="BF11" s="428">
        <f>SUM(BF16:BF375)</f>
        <v>52316889190</v>
      </c>
      <c r="BG11" s="428">
        <f>SUM(BG16:BG375)</f>
        <v>54910336479</v>
      </c>
    </row>
    <row r="12" spans="1:59" ht="4.5" customHeight="1">
      <c r="A12" s="356"/>
      <c r="B12" s="356"/>
      <c r="C12" s="356"/>
      <c r="D12" s="356"/>
      <c r="E12" s="356"/>
      <c r="F12" s="356"/>
      <c r="G12" s="356"/>
      <c r="H12" s="356"/>
      <c r="I12" s="356"/>
      <c r="J12" s="356"/>
      <c r="K12" s="356"/>
      <c r="L12" s="356"/>
      <c r="M12" s="356"/>
      <c r="N12" s="356"/>
      <c r="O12" s="356"/>
      <c r="P12" s="356"/>
      <c r="Q12" s="356"/>
      <c r="R12" s="356"/>
      <c r="S12" s="356"/>
      <c r="T12" s="356"/>
      <c r="U12" s="356"/>
      <c r="V12" s="356"/>
      <c r="W12" s="356"/>
      <c r="X12" s="356"/>
      <c r="Y12" s="356"/>
      <c r="Z12" s="356"/>
      <c r="AA12" s="356"/>
      <c r="AB12" s="356"/>
      <c r="AC12" s="356"/>
      <c r="AD12" s="356"/>
      <c r="AE12" s="356"/>
      <c r="AF12" s="356"/>
      <c r="AG12" s="356"/>
      <c r="AH12" s="356"/>
      <c r="AI12" s="356"/>
      <c r="AJ12" s="356"/>
      <c r="AK12" s="356"/>
      <c r="AL12" s="356"/>
      <c r="AM12" s="356"/>
      <c r="AN12" s="356"/>
      <c r="AO12" s="356"/>
      <c r="AP12" s="356"/>
      <c r="AQ12" s="356"/>
      <c r="AR12" s="356"/>
      <c r="AS12" s="356"/>
      <c r="AT12" s="356"/>
      <c r="AU12" s="356"/>
      <c r="AV12" s="356"/>
      <c r="AW12" s="356"/>
      <c r="AX12" s="356"/>
      <c r="AY12" s="356"/>
      <c r="AZ12" s="356"/>
      <c r="BA12" s="356"/>
      <c r="BB12" s="356"/>
      <c r="BC12" s="356"/>
      <c r="BD12" s="356"/>
      <c r="BE12" s="356"/>
      <c r="BF12" s="356"/>
      <c r="BG12" s="427"/>
    </row>
    <row r="13" spans="1:59" ht="15.75">
      <c r="A13" s="356"/>
      <c r="B13" s="356"/>
      <c r="C13" s="356"/>
      <c r="D13" s="356"/>
      <c r="E13" s="356"/>
      <c r="F13" s="356"/>
      <c r="G13" s="356"/>
      <c r="H13" s="489" t="s">
        <v>1637</v>
      </c>
      <c r="I13" s="489"/>
      <c r="J13" s="489"/>
      <c r="K13" s="489"/>
      <c r="L13" s="489"/>
      <c r="M13" s="489"/>
      <c r="N13" s="489"/>
      <c r="O13" s="489"/>
      <c r="P13" s="489"/>
      <c r="Q13" s="489"/>
      <c r="R13" s="490" t="s">
        <v>1638</v>
      </c>
      <c r="S13" s="490"/>
      <c r="T13" s="490"/>
      <c r="U13" s="490"/>
      <c r="V13" s="490"/>
      <c r="W13" s="490"/>
      <c r="X13" s="490"/>
      <c r="Y13" s="490"/>
      <c r="Z13" s="490"/>
      <c r="AA13" s="490"/>
      <c r="AB13" s="489" t="s">
        <v>1639</v>
      </c>
      <c r="AC13" s="489"/>
      <c r="AD13" s="489"/>
      <c r="AE13" s="489"/>
      <c r="AF13" s="489"/>
      <c r="AG13" s="489"/>
      <c r="AH13" s="489"/>
      <c r="AI13" s="489"/>
      <c r="AJ13" s="489"/>
      <c r="AK13" s="489"/>
      <c r="AL13" s="490" t="s">
        <v>1640</v>
      </c>
      <c r="AM13" s="490"/>
      <c r="AN13" s="490"/>
      <c r="AO13" s="490"/>
      <c r="AP13" s="490"/>
      <c r="AQ13" s="490"/>
      <c r="AR13" s="490"/>
      <c r="AS13" s="490"/>
      <c r="AT13" s="490"/>
      <c r="AU13" s="490"/>
      <c r="AV13" s="491" t="s">
        <v>1641</v>
      </c>
      <c r="AW13" s="492"/>
      <c r="AX13" s="492"/>
      <c r="AY13" s="492"/>
      <c r="AZ13" s="492"/>
      <c r="BA13" s="492"/>
      <c r="BB13" s="492"/>
      <c r="BC13" s="492"/>
      <c r="BD13" s="492"/>
      <c r="BE13" s="492"/>
      <c r="BF13" s="428"/>
      <c r="BG13" s="428"/>
    </row>
    <row r="14" spans="1:59" ht="4.5" customHeight="1">
      <c r="A14" s="356"/>
      <c r="B14" s="356"/>
      <c r="C14" s="356"/>
      <c r="D14" s="356"/>
      <c r="E14" s="356"/>
      <c r="F14" s="356"/>
      <c r="G14" s="356"/>
      <c r="H14" s="307"/>
      <c r="I14" s="307"/>
      <c r="J14" s="307"/>
      <c r="K14" s="307"/>
      <c r="L14" s="307"/>
      <c r="M14" s="307"/>
      <c r="N14" s="307"/>
      <c r="O14" s="307"/>
      <c r="P14" s="307"/>
      <c r="Q14" s="307"/>
      <c r="R14" s="308"/>
      <c r="S14" s="308"/>
      <c r="T14" s="308"/>
      <c r="U14" s="308"/>
      <c r="V14" s="308"/>
      <c r="W14" s="308"/>
      <c r="X14" s="308"/>
      <c r="Y14" s="308"/>
      <c r="Z14" s="308"/>
      <c r="AA14" s="308"/>
      <c r="AB14" s="307"/>
      <c r="AC14" s="307"/>
      <c r="AD14" s="307"/>
      <c r="AE14" s="307"/>
      <c r="AF14" s="307"/>
      <c r="AG14" s="307"/>
      <c r="AH14" s="307"/>
      <c r="AI14" s="307"/>
      <c r="AJ14" s="307"/>
      <c r="AK14" s="307"/>
      <c r="AL14" s="308"/>
      <c r="AM14" s="308"/>
      <c r="AN14" s="308"/>
      <c r="AO14" s="308"/>
      <c r="AP14" s="308"/>
      <c r="AQ14" s="308"/>
      <c r="AR14" s="308"/>
      <c r="AS14" s="308"/>
      <c r="AT14" s="308"/>
      <c r="AU14" s="308"/>
      <c r="AV14" s="308"/>
      <c r="AW14" s="308"/>
      <c r="AX14" s="308"/>
      <c r="AY14" s="308"/>
      <c r="AZ14" s="308"/>
      <c r="BA14" s="308"/>
      <c r="BB14" s="308"/>
      <c r="BC14" s="308"/>
      <c r="BD14" s="308"/>
      <c r="BE14" s="308"/>
      <c r="BF14" s="356"/>
      <c r="BG14" s="356"/>
    </row>
    <row r="15" spans="1:59" ht="37.5" customHeight="1">
      <c r="A15" s="378" t="s">
        <v>2520</v>
      </c>
      <c r="B15" s="378" t="s">
        <v>2459</v>
      </c>
      <c r="C15" s="378" t="s">
        <v>1330</v>
      </c>
      <c r="D15" s="378" t="s">
        <v>2521</v>
      </c>
      <c r="E15" s="267" t="s">
        <v>2008</v>
      </c>
      <c r="F15" s="335" t="s">
        <v>1642</v>
      </c>
      <c r="G15" s="267" t="s">
        <v>8</v>
      </c>
      <c r="H15" s="255" t="s">
        <v>2519</v>
      </c>
      <c r="I15" s="255" t="s">
        <v>2475</v>
      </c>
      <c r="J15" s="255" t="s">
        <v>2522</v>
      </c>
      <c r="K15" s="255" t="s">
        <v>2523</v>
      </c>
      <c r="L15" s="445" t="s">
        <v>2537</v>
      </c>
      <c r="M15" s="445" t="s">
        <v>2535</v>
      </c>
      <c r="N15" s="445" t="s">
        <v>2536</v>
      </c>
      <c r="O15" s="445" t="s">
        <v>2538</v>
      </c>
      <c r="P15" s="255" t="s">
        <v>2539</v>
      </c>
      <c r="Q15" s="255" t="s">
        <v>2540</v>
      </c>
      <c r="R15" s="267" t="s">
        <v>2519</v>
      </c>
      <c r="S15" s="267" t="s">
        <v>2475</v>
      </c>
      <c r="T15" s="267" t="s">
        <v>2522</v>
      </c>
      <c r="U15" s="301" t="s">
        <v>2523</v>
      </c>
      <c r="V15" s="445" t="s">
        <v>2537</v>
      </c>
      <c r="W15" s="445" t="s">
        <v>2535</v>
      </c>
      <c r="X15" s="445" t="s">
        <v>2536</v>
      </c>
      <c r="Y15" s="445" t="s">
        <v>2538</v>
      </c>
      <c r="Z15" s="301" t="s">
        <v>2539</v>
      </c>
      <c r="AA15" s="301" t="s">
        <v>2540</v>
      </c>
      <c r="AB15" s="255" t="s">
        <v>2519</v>
      </c>
      <c r="AC15" s="255" t="s">
        <v>2475</v>
      </c>
      <c r="AD15" s="255" t="s">
        <v>2522</v>
      </c>
      <c r="AE15" s="255" t="s">
        <v>2523</v>
      </c>
      <c r="AF15" s="445" t="s">
        <v>2537</v>
      </c>
      <c r="AG15" s="445" t="s">
        <v>2535</v>
      </c>
      <c r="AH15" s="445" t="s">
        <v>2536</v>
      </c>
      <c r="AI15" s="445" t="s">
        <v>2538</v>
      </c>
      <c r="AJ15" s="255" t="s">
        <v>2539</v>
      </c>
      <c r="AK15" s="255" t="s">
        <v>2540</v>
      </c>
      <c r="AL15" s="267" t="s">
        <v>2519</v>
      </c>
      <c r="AM15" s="267" t="s">
        <v>2475</v>
      </c>
      <c r="AN15" s="267" t="s">
        <v>2522</v>
      </c>
      <c r="AO15" s="301" t="s">
        <v>2523</v>
      </c>
      <c r="AP15" s="445" t="s">
        <v>2537</v>
      </c>
      <c r="AQ15" s="445" t="s">
        <v>2535</v>
      </c>
      <c r="AR15" s="445" t="s">
        <v>2536</v>
      </c>
      <c r="AS15" s="445" t="s">
        <v>2538</v>
      </c>
      <c r="AT15" s="301" t="s">
        <v>2539</v>
      </c>
      <c r="AU15" s="301" t="s">
        <v>2540</v>
      </c>
      <c r="AV15" s="255" t="s">
        <v>2519</v>
      </c>
      <c r="AW15" s="255" t="s">
        <v>2475</v>
      </c>
      <c r="AX15" s="255" t="s">
        <v>2522</v>
      </c>
      <c r="AY15" s="255" t="s">
        <v>2523</v>
      </c>
      <c r="AZ15" s="445" t="s">
        <v>2537</v>
      </c>
      <c r="BA15" s="445" t="s">
        <v>2535</v>
      </c>
      <c r="BB15" s="445" t="s">
        <v>2536</v>
      </c>
      <c r="BC15" s="445" t="s">
        <v>2538</v>
      </c>
      <c r="BD15" s="255" t="s">
        <v>2539</v>
      </c>
      <c r="BE15" s="255" t="s">
        <v>2540</v>
      </c>
      <c r="BF15" s="301" t="s">
        <v>2541</v>
      </c>
      <c r="BG15" s="301" t="s">
        <v>2540</v>
      </c>
    </row>
    <row r="16" spans="1:59" ht="15.75">
      <c r="A16" s="333">
        <v>1</v>
      </c>
      <c r="B16" s="333" t="str">
        <f t="shared" ref="B16:B35" si="0">CONCATENATE(D16,"_",A16)</f>
        <v>CEREAL EMPACADO_1</v>
      </c>
      <c r="C16" s="333" t="str">
        <f t="shared" ref="C16:C35" si="1">CONCATENATE(E16,"_",A16)</f>
        <v>1_1</v>
      </c>
      <c r="D16" s="333" t="s">
        <v>1607</v>
      </c>
      <c r="E16" s="256">
        <v>1</v>
      </c>
      <c r="F16" s="322" t="s">
        <v>16</v>
      </c>
      <c r="G16" s="256" t="s">
        <v>9</v>
      </c>
      <c r="H16" s="425">
        <f t="shared" ref="H16:H35" si="2">SUMIF(MNU_CODIGO_ALIMENTO_ENTREGA,CONCATENATE($E16,"_","P_"),MNU_FRECUENCIAS_LAV_TIPOA)</f>
        <v>15</v>
      </c>
      <c r="I16" s="425">
        <f t="array" ref="I16">MAX((IF(MNU_CODIGO_ALIMENTO_ENTREGA=CONCATENATE($E16,"_","P_"),MNU_GRAMAJE_REQUERIDO_TIPOA,"")))</f>
        <v>30</v>
      </c>
      <c r="J16" s="257">
        <f t="shared" ref="J16:J35" si="3">SUMIF(VOL_GRUPO,CONCATENATE($A16,"1052-1NO"),VOL_TIPOA)</f>
        <v>5932</v>
      </c>
      <c r="K16" s="257">
        <f t="shared" ref="K16:K35" si="4">H16*J16</f>
        <v>88980</v>
      </c>
      <c r="L16" s="446">
        <f t="shared" ref="L16:L35" si="5">IF(ISERROR(AVERAGEIFS(MNU_COSTO_UNITARIO_TIPOA_SELECCIONADO,MNU_CODIGO_ALIMENTO_ENTREGA,CONCATENATE($E16,"_","P_"))),0,AVERAGEIFS(MNU_COSTO_UNITARIO_TIPOA_SELECCIONADO,MNU_CODIGO_ALIMENTO_ENTREGA,CONCATENATE($E16,"_","P_")))</f>
        <v>770</v>
      </c>
      <c r="M16" s="446">
        <f t="shared" ref="M16:M35" si="6">(L16*0.01)+(L16*0.005)+(L16*0.02)+(L16*(13.8/1000))</f>
        <v>37.576000000000008</v>
      </c>
      <c r="N16" s="446">
        <f t="shared" ref="N16:N35" si="7">((L16+M16)*0.00071)+((L16+M16)*0.00011)</f>
        <v>0.66221231999999997</v>
      </c>
      <c r="O16" s="446">
        <f t="shared" ref="O16:O35" si="8">ROUND(L16+M16+N16,0)</f>
        <v>808</v>
      </c>
      <c r="P16" s="258">
        <f t="shared" ref="P16:P35" si="9">H16*J16*L16</f>
        <v>68514600</v>
      </c>
      <c r="Q16" s="258">
        <f t="shared" ref="Q16:Q35" si="10">H16*J16*O16</f>
        <v>71895840</v>
      </c>
      <c r="R16" s="426">
        <f t="shared" ref="R16:R35" si="11">SUMIF(MNU_CODIGO_ALIMENTO_ENTREGA,CONCATENATE($E16,"_","P_"),MNU_FRECUENCIAS_LAV_TIPOB)</f>
        <v>15</v>
      </c>
      <c r="S16" s="426">
        <f t="array" ref="S16">MAX((IF(MNU_CODIGO_ALIMENTO_ENTREGA=CONCATENATE($E16,"_","P_"),MNU_GRAMAJE_REQUERIDO_TIPOB,"")))</f>
        <v>40</v>
      </c>
      <c r="T16" s="259">
        <f t="shared" ref="T16:T35" si="12">SUMIF(VOL_GRUPO,CONCATENATE($A16,"1052-1NO"),VOL_TIPOB)</f>
        <v>8240</v>
      </c>
      <c r="U16" s="259">
        <f t="shared" ref="U16:U35" si="13">R16*T16</f>
        <v>123600</v>
      </c>
      <c r="V16" s="446">
        <f t="shared" ref="V16:V35" si="14">IF(ISERROR(AVERAGEIFS(MNU_COSTO_UNITARIO_TIPOB_SELECCIONADO,MNU_CODIGO_ALIMENTO_ENTREGA,CONCATENATE($E16,"_","P_"))),0,AVERAGEIFS(MNU_COSTO_UNITARIO_TIPOB_SELECCIONADO,MNU_CODIGO_ALIMENTO_ENTREGA,CONCATENATE($E16,"_","P_")))</f>
        <v>1027</v>
      </c>
      <c r="W16" s="446">
        <f t="shared" ref="W16:W35" si="15">(V16*0.01)+(V16*0.005)+(V16*0.02)+(V16*(13.8/1000))</f>
        <v>50.117600000000003</v>
      </c>
      <c r="X16" s="446">
        <f t="shared" ref="X16:X35" si="16">((V16+W16)*0.00071)+((V16+W16)*0.00011)</f>
        <v>0.88323643200000013</v>
      </c>
      <c r="Y16" s="446">
        <f t="shared" ref="Y16:Y35" si="17">ROUND(V16+W16+X16,0)</f>
        <v>1078</v>
      </c>
      <c r="Z16" s="260">
        <f t="shared" ref="Z16:Z35" si="18">R16*T16*V16</f>
        <v>126937200</v>
      </c>
      <c r="AA16" s="260">
        <f t="shared" ref="AA16:AA35" si="19">R16*T16*Y16</f>
        <v>133240800</v>
      </c>
      <c r="AB16" s="425">
        <f t="shared" ref="AB16:AB35" si="20">SUMIF(MNU_CODIGO_ALIMENTO_ENTREGA,CONCATENATE($E16,"_","P_"),MNU_FRECUENCIAS_LAV_TIPOC)</f>
        <v>15</v>
      </c>
      <c r="AC16" s="425">
        <f t="array" ref="AC16">MAX((IF(MNU_CODIGO_ALIMENTO_ENTREGA=CONCATENATE($E16,"_","P_"),MNU_GRAMAJE_REQUERIDO_TIPOC,"")))</f>
        <v>60</v>
      </c>
      <c r="AD16" s="257">
        <f t="shared" ref="AD16:AD35" si="21">SUMIF(VOL_GRUPO,CONCATENATE($A16,"1052-1NO"),VOL_TIPOC)</f>
        <v>8404</v>
      </c>
      <c r="AE16" s="257">
        <f t="shared" ref="AE16:AE35" si="22">AB16*AD16</f>
        <v>126060</v>
      </c>
      <c r="AF16" s="446">
        <f t="shared" ref="AF16:AF35" si="23">IF(ISERROR(AVERAGEIFS(MNU_COSTO_UNITARIO_TIPOC_SELECCIONADO,MNU_CODIGO_ALIMENTO_ENTREGA,CONCATENATE($E16,"_","P_"))),0,AVERAGEIFS(MNU_COSTO_UNITARIO_TIPOC_SELECCIONADO,MNU_CODIGO_ALIMENTO_ENTREGA,CONCATENATE($E16,"_","P_")))</f>
        <v>1540</v>
      </c>
      <c r="AG16" s="446">
        <f t="shared" ref="AG16:AG35" si="24">(AF16*0.01)+(AF16*0.005)+(AF16*0.02)+(AF16*(13.8/1000))</f>
        <v>75.152000000000015</v>
      </c>
      <c r="AH16" s="446">
        <f t="shared" ref="AH16:AH35" si="25">((AF16+AG16)*0.00071)+((AF16+AG16)*0.00011)</f>
        <v>1.3244246399999999</v>
      </c>
      <c r="AI16" s="446">
        <f t="shared" ref="AI16:AI35" si="26">ROUND(AF16+AG16+AH16,0)</f>
        <v>1616</v>
      </c>
      <c r="AJ16" s="258">
        <f t="shared" ref="AJ16:AJ35" si="27">AB16*AD16*AF16</f>
        <v>194132400</v>
      </c>
      <c r="AK16" s="258">
        <f t="shared" ref="AK16:AK35" si="28">AB16*AD16*AI16</f>
        <v>203712960</v>
      </c>
      <c r="AL16" s="426">
        <f t="shared" ref="AL16:AL35" si="29">SUMIF(MNU_CODIGO_ALIMENTO_ENTREGA,CONCATENATE($E16,"_","P_"),MNU_FRECUENCIAS_LAV_TIPOM)</f>
        <v>15</v>
      </c>
      <c r="AM16" s="426">
        <f t="array" ref="AM16">MAX((IF(MNU_CODIGO_ALIMENTO_ENTREGA=CONCATENATE($E16,"_","P_"),MNU_GRAMAJE_REQUERIDO_TIPOM,"")))</f>
        <v>40</v>
      </c>
      <c r="AN16" s="259">
        <f t="shared" ref="AN16:AN35" si="30">SUMIF(VOL_GRUPO,CONCATENATE($A16,"1052-1NO"),VOL_TIPOM)</f>
        <v>384</v>
      </c>
      <c r="AO16" s="259">
        <f t="shared" ref="AO16:AO35" si="31">AL16*AN16</f>
        <v>5760</v>
      </c>
      <c r="AP16" s="446">
        <f t="shared" ref="AP16:AP35" si="32">IF(ISERROR(AVERAGEIFS(MNU_COSTO_UNITARIO_TIPOM_SELECCIONADO,MNU_CODIGO_ALIMENTO_ENTREGA,CONCATENATE($E16,"_","P_"))),0,AVERAGEIFS(MNU_COSTO_UNITARIO_TIPOM_SELECCIONADO,MNU_CODIGO_ALIMENTO_ENTREGA,CONCATENATE($E16,"_","P_")))</f>
        <v>1027</v>
      </c>
      <c r="AQ16" s="446">
        <f t="shared" ref="AQ16:AQ35" si="33">(AP16*0.01)+(AP16*0.005)+(AP16*0.02)+(AP16*(13.8/1000))</f>
        <v>50.117600000000003</v>
      </c>
      <c r="AR16" s="446">
        <f t="shared" ref="AR16:AR35" si="34">((AP16+AQ16)*0.00071)+((AP16+AQ16)*0.00011)</f>
        <v>0.88323643200000013</v>
      </c>
      <c r="AS16" s="446">
        <f t="shared" ref="AS16:AS35" si="35">ROUND(AP16+AQ16+AR16,0)</f>
        <v>1078</v>
      </c>
      <c r="AT16" s="260">
        <f t="shared" ref="AT16:AT35" si="36">AL16*AN16*AP16</f>
        <v>5915520</v>
      </c>
      <c r="AU16" s="260">
        <f t="shared" ref="AU16:AU35" si="37">AL16*AN16*AS16</f>
        <v>6209280</v>
      </c>
      <c r="AV16" s="425">
        <f t="shared" ref="AV16:AV35" si="38">SUMIF(MNU_CODIGO_ALIMENTO_ENTREGA,CONCATENATE($E16,"_","P_"),MNU_FRECUENCIAS_LAV_TIPOH)</f>
        <v>15</v>
      </c>
      <c r="AW16" s="425">
        <f t="array" ref="AW16">MAX((IF(MNU_CODIGO_ALIMENTO_ENTREGA=CONCATENATE($E16,"_","P_"),MNU_GRAMAJE_REQUERIDO_TIPOH,"")))</f>
        <v>60</v>
      </c>
      <c r="AX16" s="257">
        <f t="shared" ref="AX16:AX35" si="39">SUMIF(VOL_GRUPO,CONCATENATE($A16,"1052-1NO"),VOL_TIPOH)</f>
        <v>395</v>
      </c>
      <c r="AY16" s="257">
        <f t="shared" ref="AY16:AY35" si="40">AV16*AX16</f>
        <v>5925</v>
      </c>
      <c r="AZ16" s="446">
        <f t="shared" ref="AZ16:AZ35" si="41">IF(ISERROR(AVERAGEIFS(MNU_COSTO_UNITARIO_TIPOH_SELECCIONADO,MNU_CODIGO_ALIMENTO_ENTREGA,CONCATENATE($E16,"_","P_"))),0,AVERAGEIFS(MNU_COSTO_UNITARIO_TIPOH_SELECCIONADO,MNU_CODIGO_ALIMENTO_ENTREGA,CONCATENATE($E16,"_","P_")))</f>
        <v>1540</v>
      </c>
      <c r="BA16" s="446">
        <f t="shared" ref="BA16:BA35" si="42">(AZ16*0.01)+(AZ16*0.005)+(AZ16*0.02)+(AZ16*(13.8/1000))</f>
        <v>75.152000000000015</v>
      </c>
      <c r="BB16" s="446">
        <f t="shared" ref="BB16:BB35" si="43">((AZ16+BA16)*0.00071)+((AZ16+BA16)*0.00011)</f>
        <v>1.3244246399999999</v>
      </c>
      <c r="BC16" s="446">
        <f t="shared" ref="BC16:BC35" si="44">ROUND(AZ16+BA16+BB16,0)</f>
        <v>1616</v>
      </c>
      <c r="BD16" s="258">
        <f t="shared" ref="BD16:BD35" si="45">AV16*AX16*AZ16</f>
        <v>9124500</v>
      </c>
      <c r="BE16" s="258">
        <f t="shared" ref="BE16:BE35" si="46">AV16*AX16*BC16</f>
        <v>9574800</v>
      </c>
      <c r="BF16" s="391">
        <f t="shared" ref="BF16:BF35" si="47">BD16+AT16+AJ16+Z16+P16</f>
        <v>404624220</v>
      </c>
      <c r="BG16" s="391">
        <f t="shared" ref="BG16:BG35" si="48">BE16+AU16+AK16+AA16+Q16</f>
        <v>424633680</v>
      </c>
    </row>
    <row r="17" spans="1:59" ht="15.75">
      <c r="A17" s="333">
        <v>1</v>
      </c>
      <c r="B17" s="333" t="str">
        <f t="shared" si="0"/>
        <v>CEREAL EMPACADO_1</v>
      </c>
      <c r="C17" s="333" t="str">
        <f t="shared" si="1"/>
        <v>3_1</v>
      </c>
      <c r="D17" s="333" t="s">
        <v>1607</v>
      </c>
      <c r="E17" s="256">
        <v>3</v>
      </c>
      <c r="F17" s="322" t="s">
        <v>12</v>
      </c>
      <c r="G17" s="256" t="s">
        <v>9</v>
      </c>
      <c r="H17" s="425">
        <f t="shared" si="2"/>
        <v>17</v>
      </c>
      <c r="I17" s="425">
        <f t="array" ref="I17">MAX((IF(MNU_CODIGO_ALIMENTO_ENTREGA=CONCATENATE($E17,"_","P_"),MNU_GRAMAJE_REQUERIDO_TIPOA,"")))</f>
        <v>50</v>
      </c>
      <c r="J17" s="257">
        <f t="shared" si="3"/>
        <v>5932</v>
      </c>
      <c r="K17" s="257">
        <f t="shared" si="4"/>
        <v>100844</v>
      </c>
      <c r="L17" s="446">
        <f t="shared" si="5"/>
        <v>481</v>
      </c>
      <c r="M17" s="446">
        <f t="shared" si="6"/>
        <v>23.472799999999999</v>
      </c>
      <c r="N17" s="446">
        <f t="shared" si="7"/>
        <v>0.41366769599999997</v>
      </c>
      <c r="O17" s="446">
        <f t="shared" si="8"/>
        <v>505</v>
      </c>
      <c r="P17" s="258">
        <f t="shared" si="9"/>
        <v>48505964</v>
      </c>
      <c r="Q17" s="258">
        <f t="shared" si="10"/>
        <v>50926220</v>
      </c>
      <c r="R17" s="426">
        <f t="shared" si="11"/>
        <v>17</v>
      </c>
      <c r="S17" s="426">
        <f t="array" ref="S17">MAX((IF(MNU_CODIGO_ALIMENTO_ENTREGA=CONCATENATE($E17,"_","P_"),MNU_GRAMAJE_REQUERIDO_TIPOB,"")))</f>
        <v>50</v>
      </c>
      <c r="T17" s="259">
        <f t="shared" si="12"/>
        <v>8240</v>
      </c>
      <c r="U17" s="259">
        <f t="shared" si="13"/>
        <v>140080</v>
      </c>
      <c r="V17" s="446">
        <f t="shared" si="14"/>
        <v>481</v>
      </c>
      <c r="W17" s="446">
        <f t="shared" si="15"/>
        <v>23.472799999999999</v>
      </c>
      <c r="X17" s="446">
        <f t="shared" si="16"/>
        <v>0.41366769599999997</v>
      </c>
      <c r="Y17" s="446">
        <f t="shared" si="17"/>
        <v>505</v>
      </c>
      <c r="Z17" s="260">
        <f t="shared" si="18"/>
        <v>67378480</v>
      </c>
      <c r="AA17" s="260">
        <f t="shared" si="19"/>
        <v>70740400</v>
      </c>
      <c r="AB17" s="425">
        <f t="shared" si="20"/>
        <v>17</v>
      </c>
      <c r="AC17" s="425">
        <f t="array" ref="AC17">MAX((IF(MNU_CODIGO_ALIMENTO_ENTREGA=CONCATENATE($E17,"_","P_"),MNU_GRAMAJE_REQUERIDO_TIPOC,"")))</f>
        <v>80</v>
      </c>
      <c r="AD17" s="257">
        <f t="shared" si="21"/>
        <v>8404</v>
      </c>
      <c r="AE17" s="257">
        <f t="shared" si="22"/>
        <v>142868</v>
      </c>
      <c r="AF17" s="446">
        <f t="shared" si="23"/>
        <v>727</v>
      </c>
      <c r="AG17" s="446">
        <f t="shared" si="24"/>
        <v>35.477600000000002</v>
      </c>
      <c r="AH17" s="446">
        <f t="shared" si="25"/>
        <v>0.62523163200000009</v>
      </c>
      <c r="AI17" s="446">
        <f t="shared" si="26"/>
        <v>763</v>
      </c>
      <c r="AJ17" s="258">
        <f t="shared" si="27"/>
        <v>103865036</v>
      </c>
      <c r="AK17" s="258">
        <f t="shared" si="28"/>
        <v>109008284</v>
      </c>
      <c r="AL17" s="426">
        <f t="shared" si="29"/>
        <v>17</v>
      </c>
      <c r="AM17" s="426">
        <f t="array" ref="AM17">MAX((IF(MNU_CODIGO_ALIMENTO_ENTREGA=CONCATENATE($E17,"_","P_"),MNU_GRAMAJE_REQUERIDO_TIPOM,"")))</f>
        <v>50</v>
      </c>
      <c r="AN17" s="259">
        <f t="shared" si="30"/>
        <v>384</v>
      </c>
      <c r="AO17" s="259">
        <f t="shared" si="31"/>
        <v>6528</v>
      </c>
      <c r="AP17" s="446">
        <f t="shared" si="32"/>
        <v>481</v>
      </c>
      <c r="AQ17" s="446">
        <f t="shared" si="33"/>
        <v>23.472799999999999</v>
      </c>
      <c r="AR17" s="446">
        <f t="shared" si="34"/>
        <v>0.41366769599999997</v>
      </c>
      <c r="AS17" s="446">
        <f t="shared" si="35"/>
        <v>505</v>
      </c>
      <c r="AT17" s="260">
        <f t="shared" si="36"/>
        <v>3139968</v>
      </c>
      <c r="AU17" s="260">
        <f t="shared" si="37"/>
        <v>3296640</v>
      </c>
      <c r="AV17" s="425">
        <f t="shared" si="38"/>
        <v>17</v>
      </c>
      <c r="AW17" s="425">
        <f t="array" ref="AW17">MAX((IF(MNU_CODIGO_ALIMENTO_ENTREGA=CONCATENATE($E17,"_","P_"),MNU_GRAMAJE_REQUERIDO_TIPOH,"")))</f>
        <v>80</v>
      </c>
      <c r="AX17" s="257">
        <f t="shared" si="39"/>
        <v>395</v>
      </c>
      <c r="AY17" s="257">
        <f t="shared" si="40"/>
        <v>6715</v>
      </c>
      <c r="AZ17" s="446">
        <f t="shared" si="41"/>
        <v>727</v>
      </c>
      <c r="BA17" s="446">
        <f t="shared" si="42"/>
        <v>35.477600000000002</v>
      </c>
      <c r="BB17" s="446">
        <f t="shared" si="43"/>
        <v>0.62523163200000009</v>
      </c>
      <c r="BC17" s="446">
        <f t="shared" si="44"/>
        <v>763</v>
      </c>
      <c r="BD17" s="258">
        <f t="shared" si="45"/>
        <v>4881805</v>
      </c>
      <c r="BE17" s="258">
        <f t="shared" si="46"/>
        <v>5123545</v>
      </c>
      <c r="BF17" s="391">
        <f t="shared" si="47"/>
        <v>227771253</v>
      </c>
      <c r="BG17" s="391">
        <f t="shared" si="48"/>
        <v>239095089</v>
      </c>
    </row>
    <row r="18" spans="1:59" ht="15.75">
      <c r="A18" s="333">
        <v>1</v>
      </c>
      <c r="B18" s="333" t="str">
        <f t="shared" si="0"/>
        <v>CEREAL EMPACADO_1</v>
      </c>
      <c r="C18" s="333" t="str">
        <f t="shared" si="1"/>
        <v>15_1</v>
      </c>
      <c r="D18" s="333" t="s">
        <v>1607</v>
      </c>
      <c r="E18" s="256">
        <v>15</v>
      </c>
      <c r="F18" s="322" t="s">
        <v>66</v>
      </c>
      <c r="G18" s="256" t="s">
        <v>9</v>
      </c>
      <c r="H18" s="425">
        <f t="shared" si="2"/>
        <v>17</v>
      </c>
      <c r="I18" s="425">
        <f t="array" ref="I18">MAX((IF(MNU_CODIGO_ALIMENTO_ENTREGA=CONCATENATE($E18,"_","P_"),MNU_GRAMAJE_REQUERIDO_TIPOA,"")))</f>
        <v>50</v>
      </c>
      <c r="J18" s="257">
        <f t="shared" si="3"/>
        <v>5932</v>
      </c>
      <c r="K18" s="257">
        <f t="shared" si="4"/>
        <v>100844</v>
      </c>
      <c r="L18" s="446">
        <f t="shared" si="5"/>
        <v>641</v>
      </c>
      <c r="M18" s="446">
        <f t="shared" si="6"/>
        <v>31.280800000000003</v>
      </c>
      <c r="N18" s="446">
        <f t="shared" si="7"/>
        <v>0.55127025600000001</v>
      </c>
      <c r="O18" s="446">
        <f t="shared" si="8"/>
        <v>673</v>
      </c>
      <c r="P18" s="258">
        <f t="shared" si="9"/>
        <v>64641004</v>
      </c>
      <c r="Q18" s="258">
        <f t="shared" si="10"/>
        <v>67868012</v>
      </c>
      <c r="R18" s="426">
        <f t="shared" si="11"/>
        <v>17</v>
      </c>
      <c r="S18" s="426">
        <f t="array" ref="S18">MAX((IF(MNU_CODIGO_ALIMENTO_ENTREGA=CONCATENATE($E18,"_","P_"),MNU_GRAMAJE_REQUERIDO_TIPOB,"")))</f>
        <v>50</v>
      </c>
      <c r="T18" s="259">
        <f t="shared" si="12"/>
        <v>8240</v>
      </c>
      <c r="U18" s="259">
        <f t="shared" si="13"/>
        <v>140080</v>
      </c>
      <c r="V18" s="446">
        <f t="shared" si="14"/>
        <v>641</v>
      </c>
      <c r="W18" s="446">
        <f t="shared" si="15"/>
        <v>31.280800000000003</v>
      </c>
      <c r="X18" s="446">
        <f t="shared" si="16"/>
        <v>0.55127025600000001</v>
      </c>
      <c r="Y18" s="446">
        <f t="shared" si="17"/>
        <v>673</v>
      </c>
      <c r="Z18" s="260">
        <f t="shared" si="18"/>
        <v>89791280</v>
      </c>
      <c r="AA18" s="260">
        <f t="shared" si="19"/>
        <v>94273840</v>
      </c>
      <c r="AB18" s="425">
        <f t="shared" si="20"/>
        <v>17</v>
      </c>
      <c r="AC18" s="425">
        <f t="array" ref="AC18">MAX((IF(MNU_CODIGO_ALIMENTO_ENTREGA=CONCATENATE($E18,"_","P_"),MNU_GRAMAJE_REQUERIDO_TIPOC,"")))</f>
        <v>80</v>
      </c>
      <c r="AD18" s="257">
        <f t="shared" si="21"/>
        <v>8404</v>
      </c>
      <c r="AE18" s="257">
        <f t="shared" si="22"/>
        <v>142868</v>
      </c>
      <c r="AF18" s="446">
        <f t="shared" si="23"/>
        <v>1025</v>
      </c>
      <c r="AG18" s="446">
        <f t="shared" si="24"/>
        <v>50.02</v>
      </c>
      <c r="AH18" s="446">
        <f t="shared" si="25"/>
        <v>0.88151640000000009</v>
      </c>
      <c r="AI18" s="446">
        <f t="shared" si="26"/>
        <v>1076</v>
      </c>
      <c r="AJ18" s="258">
        <f t="shared" si="27"/>
        <v>146439700</v>
      </c>
      <c r="AK18" s="258">
        <f t="shared" si="28"/>
        <v>153725968</v>
      </c>
      <c r="AL18" s="426">
        <f t="shared" si="29"/>
        <v>17</v>
      </c>
      <c r="AM18" s="426">
        <f t="array" ref="AM18">MAX((IF(MNU_CODIGO_ALIMENTO_ENTREGA=CONCATENATE($E18,"_","P_"),MNU_GRAMAJE_REQUERIDO_TIPOM,"")))</f>
        <v>50</v>
      </c>
      <c r="AN18" s="259">
        <f t="shared" si="30"/>
        <v>384</v>
      </c>
      <c r="AO18" s="259">
        <f t="shared" si="31"/>
        <v>6528</v>
      </c>
      <c r="AP18" s="446">
        <f t="shared" si="32"/>
        <v>641</v>
      </c>
      <c r="AQ18" s="446">
        <f t="shared" si="33"/>
        <v>31.280800000000003</v>
      </c>
      <c r="AR18" s="446">
        <f t="shared" si="34"/>
        <v>0.55127025600000001</v>
      </c>
      <c r="AS18" s="446">
        <f t="shared" si="35"/>
        <v>673</v>
      </c>
      <c r="AT18" s="260">
        <f t="shared" si="36"/>
        <v>4184448</v>
      </c>
      <c r="AU18" s="260">
        <f t="shared" si="37"/>
        <v>4393344</v>
      </c>
      <c r="AV18" s="425">
        <f t="shared" si="38"/>
        <v>17</v>
      </c>
      <c r="AW18" s="425">
        <f t="array" ref="AW18">MAX((IF(MNU_CODIGO_ALIMENTO_ENTREGA=CONCATENATE($E18,"_","P_"),MNU_GRAMAJE_REQUERIDO_TIPOH,"")))</f>
        <v>80</v>
      </c>
      <c r="AX18" s="257">
        <f t="shared" si="39"/>
        <v>395</v>
      </c>
      <c r="AY18" s="257">
        <f t="shared" si="40"/>
        <v>6715</v>
      </c>
      <c r="AZ18" s="446">
        <f t="shared" si="41"/>
        <v>1025</v>
      </c>
      <c r="BA18" s="446">
        <f t="shared" si="42"/>
        <v>50.02</v>
      </c>
      <c r="BB18" s="446">
        <f t="shared" si="43"/>
        <v>0.88151640000000009</v>
      </c>
      <c r="BC18" s="446">
        <f t="shared" si="44"/>
        <v>1076</v>
      </c>
      <c r="BD18" s="258">
        <f t="shared" si="45"/>
        <v>6882875</v>
      </c>
      <c r="BE18" s="258">
        <f t="shared" si="46"/>
        <v>7225340</v>
      </c>
      <c r="BF18" s="391">
        <f t="shared" si="47"/>
        <v>311939307</v>
      </c>
      <c r="BG18" s="391">
        <f t="shared" si="48"/>
        <v>327486504</v>
      </c>
    </row>
    <row r="19" spans="1:59" ht="15.75">
      <c r="A19" s="333">
        <v>1</v>
      </c>
      <c r="B19" s="333" t="str">
        <f t="shared" si="0"/>
        <v>CEREAL EMPACADO_1</v>
      </c>
      <c r="C19" s="333" t="str">
        <f t="shared" si="1"/>
        <v>24_1</v>
      </c>
      <c r="D19" s="333" t="s">
        <v>1607</v>
      </c>
      <c r="E19" s="256">
        <v>24</v>
      </c>
      <c r="F19" s="322" t="s">
        <v>61</v>
      </c>
      <c r="G19" s="256" t="s">
        <v>9</v>
      </c>
      <c r="H19" s="425">
        <f t="shared" si="2"/>
        <v>17</v>
      </c>
      <c r="I19" s="425">
        <f t="array" ref="I19">MAX((IF(MNU_CODIGO_ALIMENTO_ENTREGA=CONCATENATE($E19,"_","P_"),MNU_GRAMAJE_REQUERIDO_TIPOA,"")))</f>
        <v>20</v>
      </c>
      <c r="J19" s="257">
        <f t="shared" si="3"/>
        <v>5932</v>
      </c>
      <c r="K19" s="257">
        <f t="shared" si="4"/>
        <v>100844</v>
      </c>
      <c r="L19" s="446">
        <f t="shared" si="5"/>
        <v>122</v>
      </c>
      <c r="M19" s="446">
        <f t="shared" si="6"/>
        <v>5.9535999999999998</v>
      </c>
      <c r="N19" s="446">
        <f t="shared" si="7"/>
        <v>0.104921952</v>
      </c>
      <c r="O19" s="446">
        <f t="shared" si="8"/>
        <v>128</v>
      </c>
      <c r="P19" s="258">
        <f t="shared" si="9"/>
        <v>12302968</v>
      </c>
      <c r="Q19" s="258">
        <f t="shared" si="10"/>
        <v>12908032</v>
      </c>
      <c r="R19" s="426">
        <f t="shared" si="11"/>
        <v>17</v>
      </c>
      <c r="S19" s="426">
        <f t="array" ref="S19">MAX((IF(MNU_CODIGO_ALIMENTO_ENTREGA=CONCATENATE($E19,"_","P_"),MNU_GRAMAJE_REQUERIDO_TIPOB,"")))</f>
        <v>30</v>
      </c>
      <c r="T19" s="259">
        <f t="shared" si="12"/>
        <v>8240</v>
      </c>
      <c r="U19" s="259">
        <f t="shared" si="13"/>
        <v>140080</v>
      </c>
      <c r="V19" s="446">
        <f t="shared" si="14"/>
        <v>191</v>
      </c>
      <c r="W19" s="446">
        <f t="shared" si="15"/>
        <v>9.3208000000000002</v>
      </c>
      <c r="X19" s="446">
        <f t="shared" si="16"/>
        <v>0.16426305600000002</v>
      </c>
      <c r="Y19" s="446">
        <f t="shared" si="17"/>
        <v>200</v>
      </c>
      <c r="Z19" s="260">
        <f t="shared" si="18"/>
        <v>26755280</v>
      </c>
      <c r="AA19" s="260">
        <f t="shared" si="19"/>
        <v>28016000</v>
      </c>
      <c r="AB19" s="425">
        <f t="shared" si="20"/>
        <v>17</v>
      </c>
      <c r="AC19" s="425">
        <f t="array" ref="AC19">MAX((IF(MNU_CODIGO_ALIMENTO_ENTREGA=CONCATENATE($E19,"_","P_"),MNU_GRAMAJE_REQUERIDO_TIPOC,"")))</f>
        <v>60</v>
      </c>
      <c r="AD19" s="257">
        <f t="shared" si="21"/>
        <v>8404</v>
      </c>
      <c r="AE19" s="257">
        <f t="shared" si="22"/>
        <v>142868</v>
      </c>
      <c r="AF19" s="446">
        <f t="shared" si="23"/>
        <v>367</v>
      </c>
      <c r="AG19" s="446">
        <f t="shared" si="24"/>
        <v>17.909599999999998</v>
      </c>
      <c r="AH19" s="446">
        <f t="shared" si="25"/>
        <v>0.31562587200000003</v>
      </c>
      <c r="AI19" s="446">
        <f t="shared" si="26"/>
        <v>385</v>
      </c>
      <c r="AJ19" s="258">
        <f t="shared" si="27"/>
        <v>52432556</v>
      </c>
      <c r="AK19" s="258">
        <f t="shared" si="28"/>
        <v>55004180</v>
      </c>
      <c r="AL19" s="426">
        <f t="shared" si="29"/>
        <v>17</v>
      </c>
      <c r="AM19" s="426">
        <f t="array" ref="AM19">MAX((IF(MNU_CODIGO_ALIMENTO_ENTREGA=CONCATENATE($E19,"_","P_"),MNU_GRAMAJE_REQUERIDO_TIPOM,"")))</f>
        <v>30</v>
      </c>
      <c r="AN19" s="259">
        <f t="shared" si="30"/>
        <v>384</v>
      </c>
      <c r="AO19" s="259">
        <f t="shared" si="31"/>
        <v>6528</v>
      </c>
      <c r="AP19" s="446">
        <f t="shared" si="32"/>
        <v>191</v>
      </c>
      <c r="AQ19" s="446">
        <f t="shared" si="33"/>
        <v>9.3208000000000002</v>
      </c>
      <c r="AR19" s="446">
        <f t="shared" si="34"/>
        <v>0.16426305600000002</v>
      </c>
      <c r="AS19" s="446">
        <f t="shared" si="35"/>
        <v>200</v>
      </c>
      <c r="AT19" s="260">
        <f t="shared" si="36"/>
        <v>1246848</v>
      </c>
      <c r="AU19" s="260">
        <f t="shared" si="37"/>
        <v>1305600</v>
      </c>
      <c r="AV19" s="425">
        <f t="shared" si="38"/>
        <v>17</v>
      </c>
      <c r="AW19" s="425">
        <f t="array" ref="AW19">MAX((IF(MNU_CODIGO_ALIMENTO_ENTREGA=CONCATENATE($E19,"_","P_"),MNU_GRAMAJE_REQUERIDO_TIPOH,"")))</f>
        <v>60</v>
      </c>
      <c r="AX19" s="257">
        <f t="shared" si="39"/>
        <v>395</v>
      </c>
      <c r="AY19" s="257">
        <f t="shared" si="40"/>
        <v>6715</v>
      </c>
      <c r="AZ19" s="446">
        <f t="shared" si="41"/>
        <v>367</v>
      </c>
      <c r="BA19" s="446">
        <f t="shared" si="42"/>
        <v>17.909599999999998</v>
      </c>
      <c r="BB19" s="446">
        <f t="shared" si="43"/>
        <v>0.31562587200000003</v>
      </c>
      <c r="BC19" s="446">
        <f t="shared" si="44"/>
        <v>385</v>
      </c>
      <c r="BD19" s="258">
        <f t="shared" si="45"/>
        <v>2464405</v>
      </c>
      <c r="BE19" s="258">
        <f t="shared" si="46"/>
        <v>2585275</v>
      </c>
      <c r="BF19" s="391">
        <f t="shared" si="47"/>
        <v>95202057</v>
      </c>
      <c r="BG19" s="391">
        <f t="shared" si="48"/>
        <v>99819087</v>
      </c>
    </row>
    <row r="20" spans="1:59" ht="15.75">
      <c r="A20" s="333">
        <v>1</v>
      </c>
      <c r="B20" s="333" t="str">
        <f t="shared" si="0"/>
        <v>CEREAL EMPACADO_1</v>
      </c>
      <c r="C20" s="333" t="str">
        <f t="shared" si="1"/>
        <v>25_1</v>
      </c>
      <c r="D20" s="333" t="s">
        <v>1607</v>
      </c>
      <c r="E20" s="256">
        <v>25</v>
      </c>
      <c r="F20" s="322" t="s">
        <v>64</v>
      </c>
      <c r="G20" s="256" t="s">
        <v>9</v>
      </c>
      <c r="H20" s="425">
        <f t="shared" si="2"/>
        <v>17</v>
      </c>
      <c r="I20" s="425">
        <f t="array" ref="I20">MAX((IF(MNU_CODIGO_ALIMENTO_ENTREGA=CONCATENATE($E20,"_","P_"),MNU_GRAMAJE_REQUERIDO_TIPOA,"")))</f>
        <v>40</v>
      </c>
      <c r="J20" s="257">
        <f t="shared" si="3"/>
        <v>5932</v>
      </c>
      <c r="K20" s="257">
        <f t="shared" si="4"/>
        <v>100844</v>
      </c>
      <c r="L20" s="446">
        <f t="shared" si="5"/>
        <v>244</v>
      </c>
      <c r="M20" s="446">
        <f t="shared" si="6"/>
        <v>11.9072</v>
      </c>
      <c r="N20" s="446">
        <f t="shared" si="7"/>
        <v>0.209843904</v>
      </c>
      <c r="O20" s="446">
        <f t="shared" si="8"/>
        <v>256</v>
      </c>
      <c r="P20" s="258">
        <f t="shared" si="9"/>
        <v>24605936</v>
      </c>
      <c r="Q20" s="258">
        <f t="shared" si="10"/>
        <v>25816064</v>
      </c>
      <c r="R20" s="426">
        <f t="shared" si="11"/>
        <v>17</v>
      </c>
      <c r="S20" s="426">
        <f t="array" ref="S20">MAX((IF(MNU_CODIGO_ALIMENTO_ENTREGA=CONCATENATE($E20,"_","P_"),MNU_GRAMAJE_REQUERIDO_TIPOB,"")))</f>
        <v>40</v>
      </c>
      <c r="T20" s="259">
        <f t="shared" si="12"/>
        <v>8240</v>
      </c>
      <c r="U20" s="259">
        <f t="shared" si="13"/>
        <v>140080</v>
      </c>
      <c r="V20" s="446">
        <f t="shared" si="14"/>
        <v>244</v>
      </c>
      <c r="W20" s="446">
        <f t="shared" si="15"/>
        <v>11.9072</v>
      </c>
      <c r="X20" s="446">
        <f t="shared" si="16"/>
        <v>0.209843904</v>
      </c>
      <c r="Y20" s="446">
        <f t="shared" si="17"/>
        <v>256</v>
      </c>
      <c r="Z20" s="260">
        <f t="shared" si="18"/>
        <v>34179520</v>
      </c>
      <c r="AA20" s="260">
        <f t="shared" si="19"/>
        <v>35860480</v>
      </c>
      <c r="AB20" s="425">
        <f t="shared" si="20"/>
        <v>17</v>
      </c>
      <c r="AC20" s="425">
        <f t="array" ref="AC20">MAX((IF(MNU_CODIGO_ALIMENTO_ENTREGA=CONCATENATE($E20,"_","P_"),MNU_GRAMAJE_REQUERIDO_TIPOC,"")))</f>
        <v>60</v>
      </c>
      <c r="AD20" s="257">
        <f t="shared" si="21"/>
        <v>8404</v>
      </c>
      <c r="AE20" s="257">
        <f t="shared" si="22"/>
        <v>142868</v>
      </c>
      <c r="AF20" s="446">
        <f t="shared" si="23"/>
        <v>366</v>
      </c>
      <c r="AG20" s="446">
        <f t="shared" si="24"/>
        <v>17.860800000000001</v>
      </c>
      <c r="AH20" s="446">
        <f t="shared" si="25"/>
        <v>0.31476585600000001</v>
      </c>
      <c r="AI20" s="446">
        <f t="shared" si="26"/>
        <v>384</v>
      </c>
      <c r="AJ20" s="258">
        <f t="shared" si="27"/>
        <v>52289688</v>
      </c>
      <c r="AK20" s="258">
        <f t="shared" si="28"/>
        <v>54861312</v>
      </c>
      <c r="AL20" s="426">
        <f t="shared" si="29"/>
        <v>17</v>
      </c>
      <c r="AM20" s="426">
        <f t="array" ref="AM20">MAX((IF(MNU_CODIGO_ALIMENTO_ENTREGA=CONCATENATE($E20,"_","P_"),MNU_GRAMAJE_REQUERIDO_TIPOM,"")))</f>
        <v>40</v>
      </c>
      <c r="AN20" s="259">
        <f t="shared" si="30"/>
        <v>384</v>
      </c>
      <c r="AO20" s="259">
        <f t="shared" si="31"/>
        <v>6528</v>
      </c>
      <c r="AP20" s="446">
        <f t="shared" si="32"/>
        <v>244</v>
      </c>
      <c r="AQ20" s="446">
        <f t="shared" si="33"/>
        <v>11.9072</v>
      </c>
      <c r="AR20" s="446">
        <f t="shared" si="34"/>
        <v>0.209843904</v>
      </c>
      <c r="AS20" s="446">
        <f t="shared" si="35"/>
        <v>256</v>
      </c>
      <c r="AT20" s="260">
        <f t="shared" si="36"/>
        <v>1592832</v>
      </c>
      <c r="AU20" s="260">
        <f t="shared" si="37"/>
        <v>1671168</v>
      </c>
      <c r="AV20" s="425">
        <f t="shared" si="38"/>
        <v>17</v>
      </c>
      <c r="AW20" s="425">
        <f t="array" ref="AW20">MAX((IF(MNU_CODIGO_ALIMENTO_ENTREGA=CONCATENATE($E20,"_","P_"),MNU_GRAMAJE_REQUERIDO_TIPOH,"")))</f>
        <v>60</v>
      </c>
      <c r="AX20" s="257">
        <f t="shared" si="39"/>
        <v>395</v>
      </c>
      <c r="AY20" s="257">
        <f t="shared" si="40"/>
        <v>6715</v>
      </c>
      <c r="AZ20" s="446">
        <f t="shared" si="41"/>
        <v>366</v>
      </c>
      <c r="BA20" s="446">
        <f t="shared" si="42"/>
        <v>17.860800000000001</v>
      </c>
      <c r="BB20" s="446">
        <f t="shared" si="43"/>
        <v>0.31476585600000001</v>
      </c>
      <c r="BC20" s="446">
        <f t="shared" si="44"/>
        <v>384</v>
      </c>
      <c r="BD20" s="258">
        <f t="shared" si="45"/>
        <v>2457690</v>
      </c>
      <c r="BE20" s="258">
        <f t="shared" si="46"/>
        <v>2578560</v>
      </c>
      <c r="BF20" s="391">
        <f t="shared" si="47"/>
        <v>115125666</v>
      </c>
      <c r="BG20" s="391">
        <f t="shared" si="48"/>
        <v>120787584</v>
      </c>
    </row>
    <row r="21" spans="1:59" ht="15.75">
      <c r="A21" s="333">
        <v>1</v>
      </c>
      <c r="B21" s="333" t="str">
        <f t="shared" si="0"/>
        <v>CEREAL EMPACADO_1</v>
      </c>
      <c r="C21" s="333" t="str">
        <f t="shared" si="1"/>
        <v>26_1</v>
      </c>
      <c r="D21" s="333" t="s">
        <v>1607</v>
      </c>
      <c r="E21" s="256">
        <v>26</v>
      </c>
      <c r="F21" s="322" t="s">
        <v>69</v>
      </c>
      <c r="G21" s="256" t="s">
        <v>9</v>
      </c>
      <c r="H21" s="425">
        <f t="shared" si="2"/>
        <v>6</v>
      </c>
      <c r="I21" s="425">
        <f t="array" ref="I21">MAX((IF(MNU_CODIGO_ALIMENTO_ENTREGA=CONCATENATE($E21,"_","P_"),MNU_GRAMAJE_REQUERIDO_TIPOA,"")))</f>
        <v>30</v>
      </c>
      <c r="J21" s="257">
        <f t="shared" si="3"/>
        <v>5932</v>
      </c>
      <c r="K21" s="257">
        <f t="shared" si="4"/>
        <v>35592</v>
      </c>
      <c r="L21" s="446">
        <f t="shared" si="5"/>
        <v>163</v>
      </c>
      <c r="M21" s="446">
        <f t="shared" si="6"/>
        <v>7.9543999999999997</v>
      </c>
      <c r="N21" s="446">
        <f t="shared" si="7"/>
        <v>0.14018260800000001</v>
      </c>
      <c r="O21" s="446">
        <f t="shared" si="8"/>
        <v>171</v>
      </c>
      <c r="P21" s="258">
        <f t="shared" si="9"/>
        <v>5801496</v>
      </c>
      <c r="Q21" s="258">
        <f t="shared" si="10"/>
        <v>6086232</v>
      </c>
      <c r="R21" s="426">
        <f t="shared" si="11"/>
        <v>6</v>
      </c>
      <c r="S21" s="426">
        <f t="array" ref="S21">MAX((IF(MNU_CODIGO_ALIMENTO_ENTREGA=CONCATENATE($E21,"_","P_"),MNU_GRAMAJE_REQUERIDO_TIPOB,"")))</f>
        <v>30</v>
      </c>
      <c r="T21" s="259">
        <f t="shared" si="12"/>
        <v>8240</v>
      </c>
      <c r="U21" s="259">
        <f t="shared" si="13"/>
        <v>49440</v>
      </c>
      <c r="V21" s="446">
        <f t="shared" si="14"/>
        <v>163</v>
      </c>
      <c r="W21" s="446">
        <f t="shared" si="15"/>
        <v>7.9543999999999997</v>
      </c>
      <c r="X21" s="446">
        <f t="shared" si="16"/>
        <v>0.14018260800000001</v>
      </c>
      <c r="Y21" s="446">
        <f t="shared" si="17"/>
        <v>171</v>
      </c>
      <c r="Z21" s="260">
        <f t="shared" si="18"/>
        <v>8058720</v>
      </c>
      <c r="AA21" s="260">
        <f t="shared" si="19"/>
        <v>8454240</v>
      </c>
      <c r="AB21" s="425">
        <f t="shared" si="20"/>
        <v>6</v>
      </c>
      <c r="AC21" s="425">
        <f t="array" ref="AC21">MAX((IF(MNU_CODIGO_ALIMENTO_ENTREGA=CONCATENATE($E21,"_","P_"),MNU_GRAMAJE_REQUERIDO_TIPOC,"")))</f>
        <v>30</v>
      </c>
      <c r="AD21" s="257">
        <f t="shared" si="21"/>
        <v>8404</v>
      </c>
      <c r="AE21" s="257">
        <f t="shared" si="22"/>
        <v>50424</v>
      </c>
      <c r="AF21" s="446">
        <f t="shared" si="23"/>
        <v>163</v>
      </c>
      <c r="AG21" s="446">
        <f t="shared" si="24"/>
        <v>7.9543999999999997</v>
      </c>
      <c r="AH21" s="446">
        <f t="shared" si="25"/>
        <v>0.14018260800000001</v>
      </c>
      <c r="AI21" s="446">
        <f t="shared" si="26"/>
        <v>171</v>
      </c>
      <c r="AJ21" s="258">
        <f t="shared" si="27"/>
        <v>8219112</v>
      </c>
      <c r="AK21" s="258">
        <f t="shared" si="28"/>
        <v>8622504</v>
      </c>
      <c r="AL21" s="426">
        <f t="shared" si="29"/>
        <v>6</v>
      </c>
      <c r="AM21" s="426">
        <f t="array" ref="AM21">MAX((IF(MNU_CODIGO_ALIMENTO_ENTREGA=CONCATENATE($E21,"_","P_"),MNU_GRAMAJE_REQUERIDO_TIPOM,"")))</f>
        <v>30</v>
      </c>
      <c r="AN21" s="259">
        <f t="shared" si="30"/>
        <v>384</v>
      </c>
      <c r="AO21" s="259">
        <f t="shared" si="31"/>
        <v>2304</v>
      </c>
      <c r="AP21" s="446">
        <f t="shared" si="32"/>
        <v>163</v>
      </c>
      <c r="AQ21" s="446">
        <f t="shared" si="33"/>
        <v>7.9543999999999997</v>
      </c>
      <c r="AR21" s="446">
        <f t="shared" si="34"/>
        <v>0.14018260800000001</v>
      </c>
      <c r="AS21" s="446">
        <f t="shared" si="35"/>
        <v>171</v>
      </c>
      <c r="AT21" s="260">
        <f t="shared" si="36"/>
        <v>375552</v>
      </c>
      <c r="AU21" s="260">
        <f t="shared" si="37"/>
        <v>393984</v>
      </c>
      <c r="AV21" s="425">
        <f t="shared" si="38"/>
        <v>6</v>
      </c>
      <c r="AW21" s="425">
        <f t="array" ref="AW21">MAX((IF(MNU_CODIGO_ALIMENTO_ENTREGA=CONCATENATE($E21,"_","P_"),MNU_GRAMAJE_REQUERIDO_TIPOH,"")))</f>
        <v>30</v>
      </c>
      <c r="AX21" s="257">
        <f t="shared" si="39"/>
        <v>395</v>
      </c>
      <c r="AY21" s="257">
        <f t="shared" si="40"/>
        <v>2370</v>
      </c>
      <c r="AZ21" s="446">
        <f t="shared" si="41"/>
        <v>163</v>
      </c>
      <c r="BA21" s="446">
        <f t="shared" si="42"/>
        <v>7.9543999999999997</v>
      </c>
      <c r="BB21" s="446">
        <f t="shared" si="43"/>
        <v>0.14018260800000001</v>
      </c>
      <c r="BC21" s="446">
        <f t="shared" si="44"/>
        <v>171</v>
      </c>
      <c r="BD21" s="258">
        <f t="shared" si="45"/>
        <v>386310</v>
      </c>
      <c r="BE21" s="258">
        <f t="shared" si="46"/>
        <v>405270</v>
      </c>
      <c r="BF21" s="391">
        <f t="shared" si="47"/>
        <v>22841190</v>
      </c>
      <c r="BG21" s="391">
        <f t="shared" si="48"/>
        <v>23962230</v>
      </c>
    </row>
    <row r="22" spans="1:59" ht="27">
      <c r="A22" s="333">
        <v>1</v>
      </c>
      <c r="B22" s="333" t="str">
        <f t="shared" si="0"/>
        <v>CEREAL EMPACADO_1</v>
      </c>
      <c r="C22" s="333" t="str">
        <f t="shared" si="1"/>
        <v>28_1</v>
      </c>
      <c r="D22" s="333" t="s">
        <v>1607</v>
      </c>
      <c r="E22" s="256">
        <v>28</v>
      </c>
      <c r="F22" s="322" t="s">
        <v>67</v>
      </c>
      <c r="G22" s="256" t="s">
        <v>9</v>
      </c>
      <c r="H22" s="425">
        <f t="shared" si="2"/>
        <v>6</v>
      </c>
      <c r="I22" s="425">
        <f t="array" ref="I22">MAX((IF(MNU_CODIGO_ALIMENTO_ENTREGA=CONCATENATE($E22,"_","P_"),MNU_GRAMAJE_REQUERIDO_TIPOA,"")))</f>
        <v>30</v>
      </c>
      <c r="J22" s="257">
        <f t="shared" si="3"/>
        <v>5932</v>
      </c>
      <c r="K22" s="257">
        <f t="shared" si="4"/>
        <v>35592</v>
      </c>
      <c r="L22" s="446">
        <f t="shared" si="5"/>
        <v>215</v>
      </c>
      <c r="M22" s="446">
        <f t="shared" si="6"/>
        <v>10.492000000000001</v>
      </c>
      <c r="N22" s="446">
        <f t="shared" si="7"/>
        <v>0.18490343999999997</v>
      </c>
      <c r="O22" s="446">
        <f t="shared" si="8"/>
        <v>226</v>
      </c>
      <c r="P22" s="258">
        <f t="shared" si="9"/>
        <v>7652280</v>
      </c>
      <c r="Q22" s="258">
        <f t="shared" si="10"/>
        <v>8043792</v>
      </c>
      <c r="R22" s="426">
        <f t="shared" si="11"/>
        <v>6</v>
      </c>
      <c r="S22" s="426">
        <f t="array" ref="S22">MAX((IF(MNU_CODIGO_ALIMENTO_ENTREGA=CONCATENATE($E22,"_","P_"),MNU_GRAMAJE_REQUERIDO_TIPOB,"")))</f>
        <v>40</v>
      </c>
      <c r="T22" s="259">
        <f t="shared" si="12"/>
        <v>8240</v>
      </c>
      <c r="U22" s="259">
        <f t="shared" si="13"/>
        <v>49440</v>
      </c>
      <c r="V22" s="446">
        <f t="shared" si="14"/>
        <v>287</v>
      </c>
      <c r="W22" s="446">
        <f t="shared" si="15"/>
        <v>14.005600000000001</v>
      </c>
      <c r="X22" s="446">
        <f t="shared" si="16"/>
        <v>0.24682459200000004</v>
      </c>
      <c r="Y22" s="446">
        <f t="shared" si="17"/>
        <v>301</v>
      </c>
      <c r="Z22" s="260">
        <f t="shared" si="18"/>
        <v>14189280</v>
      </c>
      <c r="AA22" s="260">
        <f t="shared" si="19"/>
        <v>14881440</v>
      </c>
      <c r="AB22" s="425">
        <f t="shared" si="20"/>
        <v>6</v>
      </c>
      <c r="AC22" s="425">
        <f t="array" ref="AC22">MAX((IF(MNU_CODIGO_ALIMENTO_ENTREGA=CONCATENATE($E22,"_","P_"),MNU_GRAMAJE_REQUERIDO_TIPOC,"")))</f>
        <v>60</v>
      </c>
      <c r="AD22" s="257">
        <f t="shared" si="21"/>
        <v>8404</v>
      </c>
      <c r="AE22" s="257">
        <f t="shared" si="22"/>
        <v>50424</v>
      </c>
      <c r="AF22" s="446">
        <f t="shared" si="23"/>
        <v>430</v>
      </c>
      <c r="AG22" s="446">
        <f t="shared" si="24"/>
        <v>20.984000000000002</v>
      </c>
      <c r="AH22" s="446">
        <f t="shared" si="25"/>
        <v>0.36980687999999995</v>
      </c>
      <c r="AI22" s="446">
        <f t="shared" si="26"/>
        <v>451</v>
      </c>
      <c r="AJ22" s="258">
        <f t="shared" si="27"/>
        <v>21682320</v>
      </c>
      <c r="AK22" s="258">
        <f t="shared" si="28"/>
        <v>22741224</v>
      </c>
      <c r="AL22" s="426">
        <f t="shared" si="29"/>
        <v>6</v>
      </c>
      <c r="AM22" s="426">
        <f t="array" ref="AM22">MAX((IF(MNU_CODIGO_ALIMENTO_ENTREGA=CONCATENATE($E22,"_","P_"),MNU_GRAMAJE_REQUERIDO_TIPOM,"")))</f>
        <v>40</v>
      </c>
      <c r="AN22" s="259">
        <f t="shared" si="30"/>
        <v>384</v>
      </c>
      <c r="AO22" s="259">
        <f t="shared" si="31"/>
        <v>2304</v>
      </c>
      <c r="AP22" s="446">
        <f t="shared" si="32"/>
        <v>287</v>
      </c>
      <c r="AQ22" s="446">
        <f t="shared" si="33"/>
        <v>14.005600000000001</v>
      </c>
      <c r="AR22" s="446">
        <f t="shared" si="34"/>
        <v>0.24682459200000004</v>
      </c>
      <c r="AS22" s="446">
        <f t="shared" si="35"/>
        <v>301</v>
      </c>
      <c r="AT22" s="260">
        <f t="shared" si="36"/>
        <v>661248</v>
      </c>
      <c r="AU22" s="260">
        <f t="shared" si="37"/>
        <v>693504</v>
      </c>
      <c r="AV22" s="425">
        <f t="shared" si="38"/>
        <v>6</v>
      </c>
      <c r="AW22" s="425">
        <f t="array" ref="AW22">MAX((IF(MNU_CODIGO_ALIMENTO_ENTREGA=CONCATENATE($E22,"_","P_"),MNU_GRAMAJE_REQUERIDO_TIPOH,"")))</f>
        <v>60</v>
      </c>
      <c r="AX22" s="257">
        <f t="shared" si="39"/>
        <v>395</v>
      </c>
      <c r="AY22" s="257">
        <f t="shared" si="40"/>
        <v>2370</v>
      </c>
      <c r="AZ22" s="446">
        <f t="shared" si="41"/>
        <v>430</v>
      </c>
      <c r="BA22" s="446">
        <f t="shared" si="42"/>
        <v>20.984000000000002</v>
      </c>
      <c r="BB22" s="446">
        <f t="shared" si="43"/>
        <v>0.36980687999999995</v>
      </c>
      <c r="BC22" s="446">
        <f t="shared" si="44"/>
        <v>451</v>
      </c>
      <c r="BD22" s="258">
        <f t="shared" si="45"/>
        <v>1019100</v>
      </c>
      <c r="BE22" s="258">
        <f t="shared" si="46"/>
        <v>1068870</v>
      </c>
      <c r="BF22" s="391">
        <f t="shared" si="47"/>
        <v>45204228</v>
      </c>
      <c r="BG22" s="391">
        <f t="shared" si="48"/>
        <v>47428830</v>
      </c>
    </row>
    <row r="23" spans="1:59" ht="15.75">
      <c r="A23" s="333">
        <v>1</v>
      </c>
      <c r="B23" s="333" t="str">
        <f t="shared" si="0"/>
        <v>CEREAL EMPACADO_1</v>
      </c>
      <c r="C23" s="333" t="str">
        <f t="shared" si="1"/>
        <v>30_1</v>
      </c>
      <c r="D23" s="333" t="s">
        <v>1607</v>
      </c>
      <c r="E23" s="256">
        <v>30</v>
      </c>
      <c r="F23" s="322" t="s">
        <v>63</v>
      </c>
      <c r="G23" s="256" t="s">
        <v>9</v>
      </c>
      <c r="H23" s="425">
        <f t="shared" si="2"/>
        <v>16</v>
      </c>
      <c r="I23" s="425">
        <f t="array" ref="I23">MAX((IF(MNU_CODIGO_ALIMENTO_ENTREGA=CONCATENATE($E23,"_","P_"),MNU_GRAMAJE_REQUERIDO_TIPOA,"")))</f>
        <v>30</v>
      </c>
      <c r="J23" s="257">
        <f t="shared" si="3"/>
        <v>5932</v>
      </c>
      <c r="K23" s="257">
        <f t="shared" si="4"/>
        <v>94912</v>
      </c>
      <c r="L23" s="446">
        <f t="shared" si="5"/>
        <v>316</v>
      </c>
      <c r="M23" s="446">
        <f t="shared" si="6"/>
        <v>15.4208</v>
      </c>
      <c r="N23" s="446">
        <f t="shared" si="7"/>
        <v>0.271765056</v>
      </c>
      <c r="O23" s="446">
        <f t="shared" si="8"/>
        <v>332</v>
      </c>
      <c r="P23" s="258">
        <f t="shared" si="9"/>
        <v>29992192</v>
      </c>
      <c r="Q23" s="258">
        <f t="shared" si="10"/>
        <v>31510784</v>
      </c>
      <c r="R23" s="426">
        <f t="shared" si="11"/>
        <v>16</v>
      </c>
      <c r="S23" s="426">
        <f t="array" ref="S23">MAX((IF(MNU_CODIGO_ALIMENTO_ENTREGA=CONCATENATE($E23,"_","P_"),MNU_GRAMAJE_REQUERIDO_TIPOB,"")))</f>
        <v>30</v>
      </c>
      <c r="T23" s="259">
        <f t="shared" si="12"/>
        <v>8240</v>
      </c>
      <c r="U23" s="259">
        <f t="shared" si="13"/>
        <v>131840</v>
      </c>
      <c r="V23" s="446">
        <f t="shared" si="14"/>
        <v>316</v>
      </c>
      <c r="W23" s="446">
        <f t="shared" si="15"/>
        <v>15.4208</v>
      </c>
      <c r="X23" s="446">
        <f t="shared" si="16"/>
        <v>0.271765056</v>
      </c>
      <c r="Y23" s="446">
        <f t="shared" si="17"/>
        <v>332</v>
      </c>
      <c r="Z23" s="260">
        <f t="shared" si="18"/>
        <v>41661440</v>
      </c>
      <c r="AA23" s="260">
        <f t="shared" si="19"/>
        <v>43770880</v>
      </c>
      <c r="AB23" s="425">
        <f t="shared" si="20"/>
        <v>16</v>
      </c>
      <c r="AC23" s="425">
        <f t="array" ref="AC23">MAX((IF(MNU_CODIGO_ALIMENTO_ENTREGA=CONCATENATE($E23,"_","P_"),MNU_GRAMAJE_REQUERIDO_TIPOC,"")))</f>
        <v>30</v>
      </c>
      <c r="AD23" s="257">
        <f t="shared" si="21"/>
        <v>8404</v>
      </c>
      <c r="AE23" s="257">
        <f t="shared" si="22"/>
        <v>134464</v>
      </c>
      <c r="AF23" s="446">
        <f t="shared" si="23"/>
        <v>316</v>
      </c>
      <c r="AG23" s="446">
        <f t="shared" si="24"/>
        <v>15.4208</v>
      </c>
      <c r="AH23" s="446">
        <f t="shared" si="25"/>
        <v>0.271765056</v>
      </c>
      <c r="AI23" s="446">
        <f t="shared" si="26"/>
        <v>332</v>
      </c>
      <c r="AJ23" s="258">
        <f t="shared" si="27"/>
        <v>42490624</v>
      </c>
      <c r="AK23" s="258">
        <f t="shared" si="28"/>
        <v>44642048</v>
      </c>
      <c r="AL23" s="426">
        <f t="shared" si="29"/>
        <v>16</v>
      </c>
      <c r="AM23" s="426">
        <f t="array" ref="AM23">MAX((IF(MNU_CODIGO_ALIMENTO_ENTREGA=CONCATENATE($E23,"_","P_"),MNU_GRAMAJE_REQUERIDO_TIPOM,"")))</f>
        <v>30</v>
      </c>
      <c r="AN23" s="259">
        <f t="shared" si="30"/>
        <v>384</v>
      </c>
      <c r="AO23" s="259">
        <f t="shared" si="31"/>
        <v>6144</v>
      </c>
      <c r="AP23" s="446">
        <f t="shared" si="32"/>
        <v>316</v>
      </c>
      <c r="AQ23" s="446">
        <f t="shared" si="33"/>
        <v>15.4208</v>
      </c>
      <c r="AR23" s="446">
        <f t="shared" si="34"/>
        <v>0.271765056</v>
      </c>
      <c r="AS23" s="446">
        <f t="shared" si="35"/>
        <v>332</v>
      </c>
      <c r="AT23" s="260">
        <f t="shared" si="36"/>
        <v>1941504</v>
      </c>
      <c r="AU23" s="260">
        <f t="shared" si="37"/>
        <v>2039808</v>
      </c>
      <c r="AV23" s="425">
        <f t="shared" si="38"/>
        <v>16</v>
      </c>
      <c r="AW23" s="425">
        <f t="array" ref="AW23">MAX((IF(MNU_CODIGO_ALIMENTO_ENTREGA=CONCATENATE($E23,"_","P_"),MNU_GRAMAJE_REQUERIDO_TIPOH,"")))</f>
        <v>30</v>
      </c>
      <c r="AX23" s="257">
        <f t="shared" si="39"/>
        <v>395</v>
      </c>
      <c r="AY23" s="257">
        <f t="shared" si="40"/>
        <v>6320</v>
      </c>
      <c r="AZ23" s="446">
        <f t="shared" si="41"/>
        <v>316</v>
      </c>
      <c r="BA23" s="446">
        <f t="shared" si="42"/>
        <v>15.4208</v>
      </c>
      <c r="BB23" s="446">
        <f t="shared" si="43"/>
        <v>0.271765056</v>
      </c>
      <c r="BC23" s="446">
        <f t="shared" si="44"/>
        <v>332</v>
      </c>
      <c r="BD23" s="258">
        <f t="shared" si="45"/>
        <v>1997120</v>
      </c>
      <c r="BE23" s="258">
        <f t="shared" si="46"/>
        <v>2098240</v>
      </c>
      <c r="BF23" s="391">
        <f t="shared" si="47"/>
        <v>118082880</v>
      </c>
      <c r="BG23" s="391">
        <f t="shared" si="48"/>
        <v>124061760</v>
      </c>
    </row>
    <row r="24" spans="1:59" ht="15.75">
      <c r="A24" s="333">
        <v>1</v>
      </c>
      <c r="B24" s="333" t="str">
        <f t="shared" si="0"/>
        <v>CEREAL EMPACADO_1</v>
      </c>
      <c r="C24" s="333" t="str">
        <f t="shared" si="1"/>
        <v>45_1</v>
      </c>
      <c r="D24" s="333" t="s">
        <v>1607</v>
      </c>
      <c r="E24" s="256">
        <v>45</v>
      </c>
      <c r="F24" s="322" t="s">
        <v>10</v>
      </c>
      <c r="G24" s="256" t="s">
        <v>9</v>
      </c>
      <c r="H24" s="425">
        <f t="shared" si="2"/>
        <v>16</v>
      </c>
      <c r="I24" s="425">
        <f t="array" ref="I24">MAX((IF(MNU_CODIGO_ALIMENTO_ENTREGA=CONCATENATE($E24,"_","P_"),MNU_GRAMAJE_REQUERIDO_TIPOA,"")))</f>
        <v>20</v>
      </c>
      <c r="J24" s="257">
        <f t="shared" si="3"/>
        <v>5932</v>
      </c>
      <c r="K24" s="257">
        <f t="shared" si="4"/>
        <v>94912</v>
      </c>
      <c r="L24" s="446">
        <f t="shared" si="5"/>
        <v>190</v>
      </c>
      <c r="M24" s="446">
        <f t="shared" si="6"/>
        <v>9.2720000000000002</v>
      </c>
      <c r="N24" s="446">
        <f t="shared" si="7"/>
        <v>0.16340304</v>
      </c>
      <c r="O24" s="446">
        <f t="shared" si="8"/>
        <v>199</v>
      </c>
      <c r="P24" s="258">
        <f t="shared" si="9"/>
        <v>18033280</v>
      </c>
      <c r="Q24" s="258">
        <f t="shared" si="10"/>
        <v>18887488</v>
      </c>
      <c r="R24" s="426">
        <f t="shared" si="11"/>
        <v>16</v>
      </c>
      <c r="S24" s="426">
        <f t="array" ref="S24">MAX((IF(MNU_CODIGO_ALIMENTO_ENTREGA=CONCATENATE($E24,"_","P_"),MNU_GRAMAJE_REQUERIDO_TIPOB,"")))</f>
        <v>30</v>
      </c>
      <c r="T24" s="259">
        <f t="shared" si="12"/>
        <v>8240</v>
      </c>
      <c r="U24" s="259">
        <f t="shared" si="13"/>
        <v>131840</v>
      </c>
      <c r="V24" s="446">
        <f t="shared" si="14"/>
        <v>284</v>
      </c>
      <c r="W24" s="446">
        <f t="shared" si="15"/>
        <v>13.8592</v>
      </c>
      <c r="X24" s="446">
        <f t="shared" si="16"/>
        <v>0.24424454399999998</v>
      </c>
      <c r="Y24" s="446">
        <f t="shared" si="17"/>
        <v>298</v>
      </c>
      <c r="Z24" s="260">
        <f t="shared" si="18"/>
        <v>37442560</v>
      </c>
      <c r="AA24" s="260">
        <f t="shared" si="19"/>
        <v>39288320</v>
      </c>
      <c r="AB24" s="425">
        <f t="shared" si="20"/>
        <v>16</v>
      </c>
      <c r="AC24" s="425">
        <f t="array" ref="AC24">MAX((IF(MNU_CODIGO_ALIMENTO_ENTREGA=CONCATENATE($E24,"_","P_"),MNU_GRAMAJE_REQUERIDO_TIPOC,"")))</f>
        <v>60</v>
      </c>
      <c r="AD24" s="257">
        <f t="shared" si="21"/>
        <v>8404</v>
      </c>
      <c r="AE24" s="257">
        <f t="shared" si="22"/>
        <v>134464</v>
      </c>
      <c r="AF24" s="446">
        <f t="shared" si="23"/>
        <v>569</v>
      </c>
      <c r="AG24" s="446">
        <f t="shared" si="24"/>
        <v>27.767199999999999</v>
      </c>
      <c r="AH24" s="446">
        <f t="shared" si="25"/>
        <v>0.48934910400000003</v>
      </c>
      <c r="AI24" s="446">
        <f t="shared" si="26"/>
        <v>597</v>
      </c>
      <c r="AJ24" s="258">
        <f t="shared" si="27"/>
        <v>76510016</v>
      </c>
      <c r="AK24" s="258">
        <f t="shared" si="28"/>
        <v>80275008</v>
      </c>
      <c r="AL24" s="426">
        <f t="shared" si="29"/>
        <v>16</v>
      </c>
      <c r="AM24" s="426">
        <f t="array" ref="AM24">MAX((IF(MNU_CODIGO_ALIMENTO_ENTREGA=CONCATENATE($E24,"_","P_"),MNU_GRAMAJE_REQUERIDO_TIPOM,"")))</f>
        <v>30</v>
      </c>
      <c r="AN24" s="259">
        <f t="shared" si="30"/>
        <v>384</v>
      </c>
      <c r="AO24" s="259">
        <f t="shared" si="31"/>
        <v>6144</v>
      </c>
      <c r="AP24" s="446">
        <f t="shared" si="32"/>
        <v>284</v>
      </c>
      <c r="AQ24" s="446">
        <f t="shared" si="33"/>
        <v>13.8592</v>
      </c>
      <c r="AR24" s="446">
        <f t="shared" si="34"/>
        <v>0.24424454399999998</v>
      </c>
      <c r="AS24" s="446">
        <f t="shared" si="35"/>
        <v>298</v>
      </c>
      <c r="AT24" s="260">
        <f t="shared" si="36"/>
        <v>1744896</v>
      </c>
      <c r="AU24" s="260">
        <f t="shared" si="37"/>
        <v>1830912</v>
      </c>
      <c r="AV24" s="425">
        <f t="shared" si="38"/>
        <v>16</v>
      </c>
      <c r="AW24" s="425">
        <f t="array" ref="AW24">MAX((IF(MNU_CODIGO_ALIMENTO_ENTREGA=CONCATENATE($E24,"_","P_"),MNU_GRAMAJE_REQUERIDO_TIPOH,"")))</f>
        <v>60</v>
      </c>
      <c r="AX24" s="257">
        <f t="shared" si="39"/>
        <v>395</v>
      </c>
      <c r="AY24" s="257">
        <f t="shared" si="40"/>
        <v>6320</v>
      </c>
      <c r="AZ24" s="446">
        <f t="shared" si="41"/>
        <v>569</v>
      </c>
      <c r="BA24" s="446">
        <f t="shared" si="42"/>
        <v>27.767199999999999</v>
      </c>
      <c r="BB24" s="446">
        <f t="shared" si="43"/>
        <v>0.48934910400000003</v>
      </c>
      <c r="BC24" s="446">
        <f t="shared" si="44"/>
        <v>597</v>
      </c>
      <c r="BD24" s="258">
        <f t="shared" si="45"/>
        <v>3596080</v>
      </c>
      <c r="BE24" s="258">
        <f t="shared" si="46"/>
        <v>3773040</v>
      </c>
      <c r="BF24" s="391">
        <f t="shared" si="47"/>
        <v>137326832</v>
      </c>
      <c r="BG24" s="391">
        <f t="shared" si="48"/>
        <v>144054768</v>
      </c>
    </row>
    <row r="25" spans="1:59" ht="15.75">
      <c r="A25" s="333">
        <v>1</v>
      </c>
      <c r="B25" s="333" t="str">
        <f t="shared" si="0"/>
        <v>CEREAL EMPACADO_1</v>
      </c>
      <c r="C25" s="333" t="str">
        <f t="shared" si="1"/>
        <v>50_1</v>
      </c>
      <c r="D25" s="333" t="s">
        <v>1607</v>
      </c>
      <c r="E25" s="256">
        <v>50</v>
      </c>
      <c r="F25" s="322" t="s">
        <v>65</v>
      </c>
      <c r="G25" s="256" t="s">
        <v>9</v>
      </c>
      <c r="H25" s="425">
        <f t="shared" si="2"/>
        <v>17</v>
      </c>
      <c r="I25" s="425">
        <f t="array" ref="I25">MAX((IF(MNU_CODIGO_ALIMENTO_ENTREGA=CONCATENATE($E25,"_","P_"),MNU_GRAMAJE_REQUERIDO_TIPOA,"")))</f>
        <v>30</v>
      </c>
      <c r="J25" s="257">
        <f t="shared" si="3"/>
        <v>5932</v>
      </c>
      <c r="K25" s="257">
        <f t="shared" si="4"/>
        <v>100844</v>
      </c>
      <c r="L25" s="446">
        <f t="shared" si="5"/>
        <v>306</v>
      </c>
      <c r="M25" s="446">
        <f t="shared" si="6"/>
        <v>14.9328</v>
      </c>
      <c r="N25" s="446">
        <f t="shared" si="7"/>
        <v>0.26316489599999998</v>
      </c>
      <c r="O25" s="446">
        <f t="shared" si="8"/>
        <v>321</v>
      </c>
      <c r="P25" s="258">
        <f t="shared" si="9"/>
        <v>30858264</v>
      </c>
      <c r="Q25" s="258">
        <f t="shared" si="10"/>
        <v>32370924</v>
      </c>
      <c r="R25" s="426">
        <f t="shared" si="11"/>
        <v>17</v>
      </c>
      <c r="S25" s="426">
        <f t="array" ref="S25">MAX((IF(MNU_CODIGO_ALIMENTO_ENTREGA=CONCATENATE($E25,"_","P_"),MNU_GRAMAJE_REQUERIDO_TIPOB,"")))</f>
        <v>40</v>
      </c>
      <c r="T25" s="259">
        <f t="shared" si="12"/>
        <v>8240</v>
      </c>
      <c r="U25" s="259">
        <f t="shared" si="13"/>
        <v>140080</v>
      </c>
      <c r="V25" s="446">
        <f t="shared" si="14"/>
        <v>408</v>
      </c>
      <c r="W25" s="446">
        <f t="shared" si="15"/>
        <v>19.910400000000003</v>
      </c>
      <c r="X25" s="446">
        <f t="shared" si="16"/>
        <v>0.35088652799999998</v>
      </c>
      <c r="Y25" s="446">
        <f t="shared" si="17"/>
        <v>428</v>
      </c>
      <c r="Z25" s="260">
        <f t="shared" si="18"/>
        <v>57152640</v>
      </c>
      <c r="AA25" s="260">
        <f t="shared" si="19"/>
        <v>59954240</v>
      </c>
      <c r="AB25" s="425">
        <f t="shared" si="20"/>
        <v>17</v>
      </c>
      <c r="AC25" s="425">
        <f t="array" ref="AC25">MAX((IF(MNU_CODIGO_ALIMENTO_ENTREGA=CONCATENATE($E25,"_","P_"),MNU_GRAMAJE_REQUERIDO_TIPOC,"")))</f>
        <v>80</v>
      </c>
      <c r="AD25" s="257">
        <f t="shared" si="21"/>
        <v>8404</v>
      </c>
      <c r="AE25" s="257">
        <f t="shared" si="22"/>
        <v>142868</v>
      </c>
      <c r="AF25" s="446">
        <f t="shared" si="23"/>
        <v>815</v>
      </c>
      <c r="AG25" s="446">
        <f t="shared" si="24"/>
        <v>39.772000000000006</v>
      </c>
      <c r="AH25" s="446">
        <f t="shared" si="25"/>
        <v>0.7009130400000001</v>
      </c>
      <c r="AI25" s="446">
        <f t="shared" si="26"/>
        <v>855</v>
      </c>
      <c r="AJ25" s="258">
        <f t="shared" si="27"/>
        <v>116437420</v>
      </c>
      <c r="AK25" s="258">
        <f t="shared" si="28"/>
        <v>122152140</v>
      </c>
      <c r="AL25" s="426">
        <f t="shared" si="29"/>
        <v>17</v>
      </c>
      <c r="AM25" s="426">
        <f t="array" ref="AM25">MAX((IF(MNU_CODIGO_ALIMENTO_ENTREGA=CONCATENATE($E25,"_","P_"),MNU_GRAMAJE_REQUERIDO_TIPOM,"")))</f>
        <v>40</v>
      </c>
      <c r="AN25" s="259">
        <f t="shared" si="30"/>
        <v>384</v>
      </c>
      <c r="AO25" s="259">
        <f t="shared" si="31"/>
        <v>6528</v>
      </c>
      <c r="AP25" s="446">
        <f t="shared" si="32"/>
        <v>408</v>
      </c>
      <c r="AQ25" s="446">
        <f t="shared" si="33"/>
        <v>19.910400000000003</v>
      </c>
      <c r="AR25" s="446">
        <f t="shared" si="34"/>
        <v>0.35088652799999998</v>
      </c>
      <c r="AS25" s="446">
        <f t="shared" si="35"/>
        <v>428</v>
      </c>
      <c r="AT25" s="260">
        <f t="shared" si="36"/>
        <v>2663424</v>
      </c>
      <c r="AU25" s="260">
        <f t="shared" si="37"/>
        <v>2793984</v>
      </c>
      <c r="AV25" s="425">
        <f t="shared" si="38"/>
        <v>17</v>
      </c>
      <c r="AW25" s="425">
        <f t="array" ref="AW25">MAX((IF(MNU_CODIGO_ALIMENTO_ENTREGA=CONCATENATE($E25,"_","P_"),MNU_GRAMAJE_REQUERIDO_TIPOH,"")))</f>
        <v>80</v>
      </c>
      <c r="AX25" s="257">
        <f t="shared" si="39"/>
        <v>395</v>
      </c>
      <c r="AY25" s="257">
        <f t="shared" si="40"/>
        <v>6715</v>
      </c>
      <c r="AZ25" s="446">
        <f t="shared" si="41"/>
        <v>815</v>
      </c>
      <c r="BA25" s="446">
        <f t="shared" si="42"/>
        <v>39.772000000000006</v>
      </c>
      <c r="BB25" s="446">
        <f t="shared" si="43"/>
        <v>0.7009130400000001</v>
      </c>
      <c r="BC25" s="446">
        <f t="shared" si="44"/>
        <v>855</v>
      </c>
      <c r="BD25" s="258">
        <f t="shared" si="45"/>
        <v>5472725</v>
      </c>
      <c r="BE25" s="258">
        <f t="shared" si="46"/>
        <v>5741325</v>
      </c>
      <c r="BF25" s="391">
        <f t="shared" si="47"/>
        <v>212584473</v>
      </c>
      <c r="BG25" s="391">
        <f t="shared" si="48"/>
        <v>223012613</v>
      </c>
    </row>
    <row r="26" spans="1:59" ht="15.75">
      <c r="A26" s="333">
        <v>1</v>
      </c>
      <c r="B26" s="333" t="str">
        <f t="shared" si="0"/>
        <v>CEREAL EMPACADO_1</v>
      </c>
      <c r="C26" s="333" t="str">
        <f t="shared" si="1"/>
        <v>61_1</v>
      </c>
      <c r="D26" s="333" t="s">
        <v>1607</v>
      </c>
      <c r="E26" s="256">
        <v>61</v>
      </c>
      <c r="F26" s="322" t="s">
        <v>13</v>
      </c>
      <c r="G26" s="256" t="s">
        <v>9</v>
      </c>
      <c r="H26" s="425">
        <f t="shared" si="2"/>
        <v>16</v>
      </c>
      <c r="I26" s="425">
        <f t="array" ref="I26">MAX((IF(MNU_CODIGO_ALIMENTO_ENTREGA=CONCATENATE($E26,"_","P_"),MNU_GRAMAJE_REQUERIDO_TIPOA,"")))</f>
        <v>20</v>
      </c>
      <c r="J26" s="257">
        <f t="shared" si="3"/>
        <v>5932</v>
      </c>
      <c r="K26" s="257">
        <f t="shared" si="4"/>
        <v>94912</v>
      </c>
      <c r="L26" s="446">
        <f t="shared" si="5"/>
        <v>222</v>
      </c>
      <c r="M26" s="446">
        <f t="shared" si="6"/>
        <v>10.833600000000001</v>
      </c>
      <c r="N26" s="446">
        <f t="shared" si="7"/>
        <v>0.190923552</v>
      </c>
      <c r="O26" s="446">
        <f t="shared" si="8"/>
        <v>233</v>
      </c>
      <c r="P26" s="258">
        <f t="shared" si="9"/>
        <v>21070464</v>
      </c>
      <c r="Q26" s="258">
        <f t="shared" si="10"/>
        <v>22114496</v>
      </c>
      <c r="R26" s="426">
        <f t="shared" si="11"/>
        <v>16</v>
      </c>
      <c r="S26" s="426">
        <f t="array" ref="S26">MAX((IF(MNU_CODIGO_ALIMENTO_ENTREGA=CONCATENATE($E26,"_","P_"),MNU_GRAMAJE_REQUERIDO_TIPOB,"")))</f>
        <v>30</v>
      </c>
      <c r="T26" s="259">
        <f t="shared" si="12"/>
        <v>8240</v>
      </c>
      <c r="U26" s="259">
        <f t="shared" si="13"/>
        <v>131840</v>
      </c>
      <c r="V26" s="446">
        <f t="shared" si="14"/>
        <v>334</v>
      </c>
      <c r="W26" s="446">
        <f t="shared" si="15"/>
        <v>16.299199999999999</v>
      </c>
      <c r="X26" s="446">
        <f t="shared" si="16"/>
        <v>0.28724534400000001</v>
      </c>
      <c r="Y26" s="446">
        <f t="shared" si="17"/>
        <v>351</v>
      </c>
      <c r="Z26" s="260">
        <f t="shared" si="18"/>
        <v>44034560</v>
      </c>
      <c r="AA26" s="260">
        <f t="shared" si="19"/>
        <v>46275840</v>
      </c>
      <c r="AB26" s="425">
        <f t="shared" si="20"/>
        <v>16</v>
      </c>
      <c r="AC26" s="425">
        <f t="array" ref="AC26">MAX((IF(MNU_CODIGO_ALIMENTO_ENTREGA=CONCATENATE($E26,"_","P_"),MNU_GRAMAJE_REQUERIDO_TIPOC,"")))</f>
        <v>70</v>
      </c>
      <c r="AD26" s="257">
        <f t="shared" si="21"/>
        <v>8404</v>
      </c>
      <c r="AE26" s="257">
        <f t="shared" si="22"/>
        <v>134464</v>
      </c>
      <c r="AF26" s="446">
        <f t="shared" si="23"/>
        <v>779</v>
      </c>
      <c r="AG26" s="446">
        <f t="shared" si="24"/>
        <v>38.0152</v>
      </c>
      <c r="AH26" s="446">
        <f t="shared" si="25"/>
        <v>0.66995246400000008</v>
      </c>
      <c r="AI26" s="446">
        <f t="shared" si="26"/>
        <v>818</v>
      </c>
      <c r="AJ26" s="258">
        <f t="shared" si="27"/>
        <v>104747456</v>
      </c>
      <c r="AK26" s="258">
        <f t="shared" si="28"/>
        <v>109991552</v>
      </c>
      <c r="AL26" s="426">
        <f t="shared" si="29"/>
        <v>16</v>
      </c>
      <c r="AM26" s="426">
        <f t="array" ref="AM26">MAX((IF(MNU_CODIGO_ALIMENTO_ENTREGA=CONCATENATE($E26,"_","P_"),MNU_GRAMAJE_REQUERIDO_TIPOM,"")))</f>
        <v>30</v>
      </c>
      <c r="AN26" s="259">
        <f t="shared" si="30"/>
        <v>384</v>
      </c>
      <c r="AO26" s="259">
        <f t="shared" si="31"/>
        <v>6144</v>
      </c>
      <c r="AP26" s="446">
        <f t="shared" si="32"/>
        <v>334</v>
      </c>
      <c r="AQ26" s="446">
        <f t="shared" si="33"/>
        <v>16.299199999999999</v>
      </c>
      <c r="AR26" s="446">
        <f t="shared" si="34"/>
        <v>0.28724534400000001</v>
      </c>
      <c r="AS26" s="446">
        <f t="shared" si="35"/>
        <v>351</v>
      </c>
      <c r="AT26" s="260">
        <f t="shared" si="36"/>
        <v>2052096</v>
      </c>
      <c r="AU26" s="260">
        <f t="shared" si="37"/>
        <v>2156544</v>
      </c>
      <c r="AV26" s="425">
        <f t="shared" si="38"/>
        <v>16</v>
      </c>
      <c r="AW26" s="425">
        <f t="array" ref="AW26">MAX((IF(MNU_CODIGO_ALIMENTO_ENTREGA=CONCATENATE($E26,"_","P_"),MNU_GRAMAJE_REQUERIDO_TIPOH,"")))</f>
        <v>70</v>
      </c>
      <c r="AX26" s="257">
        <f t="shared" si="39"/>
        <v>395</v>
      </c>
      <c r="AY26" s="257">
        <f t="shared" si="40"/>
        <v>6320</v>
      </c>
      <c r="AZ26" s="446">
        <f t="shared" si="41"/>
        <v>779</v>
      </c>
      <c r="BA26" s="446">
        <f t="shared" si="42"/>
        <v>38.0152</v>
      </c>
      <c r="BB26" s="446">
        <f t="shared" si="43"/>
        <v>0.66995246400000008</v>
      </c>
      <c r="BC26" s="446">
        <f t="shared" si="44"/>
        <v>818</v>
      </c>
      <c r="BD26" s="258">
        <f t="shared" si="45"/>
        <v>4923280</v>
      </c>
      <c r="BE26" s="258">
        <f t="shared" si="46"/>
        <v>5169760</v>
      </c>
      <c r="BF26" s="391">
        <f t="shared" si="47"/>
        <v>176827856</v>
      </c>
      <c r="BG26" s="391">
        <f t="shared" si="48"/>
        <v>185708192</v>
      </c>
    </row>
    <row r="27" spans="1:59" ht="15.75">
      <c r="A27" s="333">
        <v>1</v>
      </c>
      <c r="B27" s="333" t="str">
        <f t="shared" si="0"/>
        <v>CEREAL EMPACADO_1</v>
      </c>
      <c r="C27" s="333" t="str">
        <f t="shared" si="1"/>
        <v>62_1</v>
      </c>
      <c r="D27" s="333" t="s">
        <v>1607</v>
      </c>
      <c r="E27" s="256">
        <v>62</v>
      </c>
      <c r="F27" s="322" t="s">
        <v>68</v>
      </c>
      <c r="G27" s="256" t="s">
        <v>9</v>
      </c>
      <c r="H27" s="425">
        <f t="shared" si="2"/>
        <v>5</v>
      </c>
      <c r="I27" s="425">
        <f t="array" ref="I27">MAX((IF(MNU_CODIGO_ALIMENTO_ENTREGA=CONCATENATE($E27,"_","P_"),MNU_GRAMAJE_REQUERIDO_TIPOA,"")))</f>
        <v>50</v>
      </c>
      <c r="J27" s="257">
        <f t="shared" si="3"/>
        <v>5932</v>
      </c>
      <c r="K27" s="257">
        <f t="shared" si="4"/>
        <v>29660</v>
      </c>
      <c r="L27" s="446">
        <f t="shared" si="5"/>
        <v>595</v>
      </c>
      <c r="M27" s="446">
        <f t="shared" si="6"/>
        <v>29.036000000000001</v>
      </c>
      <c r="N27" s="446">
        <f t="shared" si="7"/>
        <v>0.51170952000000014</v>
      </c>
      <c r="O27" s="446">
        <f t="shared" si="8"/>
        <v>625</v>
      </c>
      <c r="P27" s="258">
        <f t="shared" si="9"/>
        <v>17647700</v>
      </c>
      <c r="Q27" s="258">
        <f t="shared" si="10"/>
        <v>18537500</v>
      </c>
      <c r="R27" s="426">
        <f t="shared" si="11"/>
        <v>5</v>
      </c>
      <c r="S27" s="426">
        <f t="array" ref="S27">MAX((IF(MNU_CODIGO_ALIMENTO_ENTREGA=CONCATENATE($E27,"_","P_"),MNU_GRAMAJE_REQUERIDO_TIPOB,"")))</f>
        <v>50</v>
      </c>
      <c r="T27" s="259">
        <f t="shared" si="12"/>
        <v>8240</v>
      </c>
      <c r="U27" s="259">
        <f t="shared" si="13"/>
        <v>41200</v>
      </c>
      <c r="V27" s="446">
        <f t="shared" si="14"/>
        <v>595</v>
      </c>
      <c r="W27" s="446">
        <f t="shared" si="15"/>
        <v>29.036000000000001</v>
      </c>
      <c r="X27" s="446">
        <f t="shared" si="16"/>
        <v>0.51170952000000014</v>
      </c>
      <c r="Y27" s="446">
        <f t="shared" si="17"/>
        <v>625</v>
      </c>
      <c r="Z27" s="260">
        <f t="shared" si="18"/>
        <v>24514000</v>
      </c>
      <c r="AA27" s="260">
        <f t="shared" si="19"/>
        <v>25750000</v>
      </c>
      <c r="AB27" s="425">
        <f t="shared" si="20"/>
        <v>5</v>
      </c>
      <c r="AC27" s="425">
        <f t="array" ref="AC27">MAX((IF(MNU_CODIGO_ALIMENTO_ENTREGA=CONCATENATE($E27,"_","P_"),MNU_GRAMAJE_REQUERIDO_TIPOC,"")))</f>
        <v>50</v>
      </c>
      <c r="AD27" s="257">
        <f t="shared" si="21"/>
        <v>8404</v>
      </c>
      <c r="AE27" s="257">
        <f t="shared" si="22"/>
        <v>42020</v>
      </c>
      <c r="AF27" s="446">
        <f t="shared" si="23"/>
        <v>595</v>
      </c>
      <c r="AG27" s="446">
        <f t="shared" si="24"/>
        <v>29.036000000000001</v>
      </c>
      <c r="AH27" s="446">
        <f t="shared" si="25"/>
        <v>0.51170952000000014</v>
      </c>
      <c r="AI27" s="446">
        <f t="shared" si="26"/>
        <v>625</v>
      </c>
      <c r="AJ27" s="258">
        <f t="shared" si="27"/>
        <v>25001900</v>
      </c>
      <c r="AK27" s="258">
        <f t="shared" si="28"/>
        <v>26262500</v>
      </c>
      <c r="AL27" s="426">
        <f t="shared" si="29"/>
        <v>5</v>
      </c>
      <c r="AM27" s="426">
        <f t="array" ref="AM27">MAX((IF(MNU_CODIGO_ALIMENTO_ENTREGA=CONCATENATE($E27,"_","P_"),MNU_GRAMAJE_REQUERIDO_TIPOM,"")))</f>
        <v>50</v>
      </c>
      <c r="AN27" s="259">
        <f t="shared" si="30"/>
        <v>384</v>
      </c>
      <c r="AO27" s="259">
        <f t="shared" si="31"/>
        <v>1920</v>
      </c>
      <c r="AP27" s="446">
        <f t="shared" si="32"/>
        <v>595</v>
      </c>
      <c r="AQ27" s="446">
        <f t="shared" si="33"/>
        <v>29.036000000000001</v>
      </c>
      <c r="AR27" s="446">
        <f t="shared" si="34"/>
        <v>0.51170952000000014</v>
      </c>
      <c r="AS27" s="446">
        <f t="shared" si="35"/>
        <v>625</v>
      </c>
      <c r="AT27" s="260">
        <f t="shared" si="36"/>
        <v>1142400</v>
      </c>
      <c r="AU27" s="260">
        <f t="shared" si="37"/>
        <v>1200000</v>
      </c>
      <c r="AV27" s="425">
        <f t="shared" si="38"/>
        <v>5</v>
      </c>
      <c r="AW27" s="425">
        <f t="array" ref="AW27">MAX((IF(MNU_CODIGO_ALIMENTO_ENTREGA=CONCATENATE($E27,"_","P_"),MNU_GRAMAJE_REQUERIDO_TIPOH,"")))</f>
        <v>50</v>
      </c>
      <c r="AX27" s="257">
        <f t="shared" si="39"/>
        <v>395</v>
      </c>
      <c r="AY27" s="257">
        <f t="shared" si="40"/>
        <v>1975</v>
      </c>
      <c r="AZ27" s="446">
        <f t="shared" si="41"/>
        <v>595</v>
      </c>
      <c r="BA27" s="446">
        <f t="shared" si="42"/>
        <v>29.036000000000001</v>
      </c>
      <c r="BB27" s="446">
        <f t="shared" si="43"/>
        <v>0.51170952000000014</v>
      </c>
      <c r="BC27" s="446">
        <f t="shared" si="44"/>
        <v>625</v>
      </c>
      <c r="BD27" s="258">
        <f t="shared" si="45"/>
        <v>1175125</v>
      </c>
      <c r="BE27" s="258">
        <f t="shared" si="46"/>
        <v>1234375</v>
      </c>
      <c r="BF27" s="391">
        <f t="shared" si="47"/>
        <v>69481125</v>
      </c>
      <c r="BG27" s="391">
        <f t="shared" si="48"/>
        <v>72984375</v>
      </c>
    </row>
    <row r="28" spans="1:59" ht="15.75">
      <c r="A28" s="333">
        <v>2</v>
      </c>
      <c r="B28" s="333" t="str">
        <f t="shared" si="0"/>
        <v>CEREAL EMPACADO_2</v>
      </c>
      <c r="C28" s="333" t="str">
        <f t="shared" si="1"/>
        <v>1_2</v>
      </c>
      <c r="D28" s="333" t="s">
        <v>1607</v>
      </c>
      <c r="E28" s="256">
        <v>1</v>
      </c>
      <c r="F28" s="322" t="s">
        <v>16</v>
      </c>
      <c r="G28" s="256" t="s">
        <v>9</v>
      </c>
      <c r="H28" s="425">
        <f t="shared" si="2"/>
        <v>15</v>
      </c>
      <c r="I28" s="425">
        <f t="array" ref="I28">MAX((IF(MNU_CODIGO_ALIMENTO_ENTREGA=CONCATENATE($E28,"_","P_"),MNU_GRAMAJE_REQUERIDO_TIPOA,"")))</f>
        <v>30</v>
      </c>
      <c r="J28" s="257">
        <f t="shared" si="3"/>
        <v>5880</v>
      </c>
      <c r="K28" s="257">
        <f t="shared" si="4"/>
        <v>88200</v>
      </c>
      <c r="L28" s="446">
        <f t="shared" si="5"/>
        <v>770</v>
      </c>
      <c r="M28" s="446">
        <f t="shared" si="6"/>
        <v>37.576000000000008</v>
      </c>
      <c r="N28" s="446">
        <f t="shared" si="7"/>
        <v>0.66221231999999997</v>
      </c>
      <c r="O28" s="446">
        <f t="shared" si="8"/>
        <v>808</v>
      </c>
      <c r="P28" s="258">
        <f t="shared" si="9"/>
        <v>67914000</v>
      </c>
      <c r="Q28" s="258">
        <f t="shared" si="10"/>
        <v>71265600</v>
      </c>
      <c r="R28" s="426">
        <f t="shared" si="11"/>
        <v>15</v>
      </c>
      <c r="S28" s="426">
        <f t="array" ref="S28">MAX((IF(MNU_CODIGO_ALIMENTO_ENTREGA=CONCATENATE($E28,"_","P_"),MNU_GRAMAJE_REQUERIDO_TIPOB,"")))</f>
        <v>40</v>
      </c>
      <c r="T28" s="259">
        <f t="shared" si="12"/>
        <v>7991</v>
      </c>
      <c r="U28" s="259">
        <f t="shared" si="13"/>
        <v>119865</v>
      </c>
      <c r="V28" s="446">
        <f t="shared" si="14"/>
        <v>1027</v>
      </c>
      <c r="W28" s="446">
        <f t="shared" si="15"/>
        <v>50.117600000000003</v>
      </c>
      <c r="X28" s="446">
        <f t="shared" si="16"/>
        <v>0.88323643200000013</v>
      </c>
      <c r="Y28" s="446">
        <f t="shared" si="17"/>
        <v>1078</v>
      </c>
      <c r="Z28" s="260">
        <f t="shared" si="18"/>
        <v>123101355</v>
      </c>
      <c r="AA28" s="260">
        <f t="shared" si="19"/>
        <v>129214470</v>
      </c>
      <c r="AB28" s="425">
        <f t="shared" si="20"/>
        <v>15</v>
      </c>
      <c r="AC28" s="425">
        <f t="array" ref="AC28">MAX((IF(MNU_CODIGO_ALIMENTO_ENTREGA=CONCATENATE($E28,"_","P_"),MNU_GRAMAJE_REQUERIDO_TIPOC,"")))</f>
        <v>60</v>
      </c>
      <c r="AD28" s="257">
        <f t="shared" si="21"/>
        <v>8100</v>
      </c>
      <c r="AE28" s="257">
        <f t="shared" si="22"/>
        <v>121500</v>
      </c>
      <c r="AF28" s="446">
        <f t="shared" si="23"/>
        <v>1540</v>
      </c>
      <c r="AG28" s="446">
        <f t="shared" si="24"/>
        <v>75.152000000000015</v>
      </c>
      <c r="AH28" s="446">
        <f t="shared" si="25"/>
        <v>1.3244246399999999</v>
      </c>
      <c r="AI28" s="446">
        <f t="shared" si="26"/>
        <v>1616</v>
      </c>
      <c r="AJ28" s="258">
        <f t="shared" si="27"/>
        <v>187110000</v>
      </c>
      <c r="AK28" s="258">
        <f t="shared" si="28"/>
        <v>196344000</v>
      </c>
      <c r="AL28" s="426">
        <f t="shared" si="29"/>
        <v>15</v>
      </c>
      <c r="AM28" s="426">
        <f t="array" ref="AM28">MAX((IF(MNU_CODIGO_ALIMENTO_ENTREGA=CONCATENATE($E28,"_","P_"),MNU_GRAMAJE_REQUERIDO_TIPOM,"")))</f>
        <v>40</v>
      </c>
      <c r="AN28" s="259">
        <f t="shared" si="30"/>
        <v>350</v>
      </c>
      <c r="AO28" s="259">
        <f t="shared" si="31"/>
        <v>5250</v>
      </c>
      <c r="AP28" s="446">
        <f t="shared" si="32"/>
        <v>1027</v>
      </c>
      <c r="AQ28" s="446">
        <f t="shared" si="33"/>
        <v>50.117600000000003</v>
      </c>
      <c r="AR28" s="446">
        <f t="shared" si="34"/>
        <v>0.88323643200000013</v>
      </c>
      <c r="AS28" s="446">
        <f t="shared" si="35"/>
        <v>1078</v>
      </c>
      <c r="AT28" s="260">
        <f t="shared" si="36"/>
        <v>5391750</v>
      </c>
      <c r="AU28" s="260">
        <f t="shared" si="37"/>
        <v>5659500</v>
      </c>
      <c r="AV28" s="425">
        <f t="shared" si="38"/>
        <v>15</v>
      </c>
      <c r="AW28" s="425">
        <f t="array" ref="AW28">MAX((IF(MNU_CODIGO_ALIMENTO_ENTREGA=CONCATENATE($E28,"_","P_"),MNU_GRAMAJE_REQUERIDO_TIPOH,"")))</f>
        <v>60</v>
      </c>
      <c r="AX28" s="257">
        <f t="shared" si="39"/>
        <v>291</v>
      </c>
      <c r="AY28" s="257">
        <f t="shared" si="40"/>
        <v>4365</v>
      </c>
      <c r="AZ28" s="446">
        <f t="shared" si="41"/>
        <v>1540</v>
      </c>
      <c r="BA28" s="446">
        <f t="shared" si="42"/>
        <v>75.152000000000015</v>
      </c>
      <c r="BB28" s="446">
        <f t="shared" si="43"/>
        <v>1.3244246399999999</v>
      </c>
      <c r="BC28" s="446">
        <f t="shared" si="44"/>
        <v>1616</v>
      </c>
      <c r="BD28" s="258">
        <f t="shared" si="45"/>
        <v>6722100</v>
      </c>
      <c r="BE28" s="258">
        <f t="shared" si="46"/>
        <v>7053840</v>
      </c>
      <c r="BF28" s="391">
        <f t="shared" si="47"/>
        <v>390239205</v>
      </c>
      <c r="BG28" s="391">
        <f t="shared" si="48"/>
        <v>409537410</v>
      </c>
    </row>
    <row r="29" spans="1:59" ht="15.75">
      <c r="A29" s="333">
        <v>2</v>
      </c>
      <c r="B29" s="333" t="str">
        <f t="shared" si="0"/>
        <v>CEREAL EMPACADO_2</v>
      </c>
      <c r="C29" s="333" t="str">
        <f t="shared" si="1"/>
        <v>3_2</v>
      </c>
      <c r="D29" s="333" t="s">
        <v>1607</v>
      </c>
      <c r="E29" s="256">
        <v>3</v>
      </c>
      <c r="F29" s="322" t="s">
        <v>12</v>
      </c>
      <c r="G29" s="256" t="s">
        <v>9</v>
      </c>
      <c r="H29" s="425">
        <f t="shared" si="2"/>
        <v>17</v>
      </c>
      <c r="I29" s="425">
        <f t="array" ref="I29">MAX((IF(MNU_CODIGO_ALIMENTO_ENTREGA=CONCATENATE($E29,"_","P_"),MNU_GRAMAJE_REQUERIDO_TIPOA,"")))</f>
        <v>50</v>
      </c>
      <c r="J29" s="257">
        <f t="shared" si="3"/>
        <v>5880</v>
      </c>
      <c r="K29" s="257">
        <f t="shared" si="4"/>
        <v>99960</v>
      </c>
      <c r="L29" s="446">
        <f t="shared" si="5"/>
        <v>481</v>
      </c>
      <c r="M29" s="446">
        <f t="shared" si="6"/>
        <v>23.472799999999999</v>
      </c>
      <c r="N29" s="446">
        <f t="shared" si="7"/>
        <v>0.41366769599999997</v>
      </c>
      <c r="O29" s="446">
        <f t="shared" si="8"/>
        <v>505</v>
      </c>
      <c r="P29" s="258">
        <f t="shared" si="9"/>
        <v>48080760</v>
      </c>
      <c r="Q29" s="258">
        <f t="shared" si="10"/>
        <v>50479800</v>
      </c>
      <c r="R29" s="426">
        <f t="shared" si="11"/>
        <v>17</v>
      </c>
      <c r="S29" s="426">
        <f t="array" ref="S29">MAX((IF(MNU_CODIGO_ALIMENTO_ENTREGA=CONCATENATE($E29,"_","P_"),MNU_GRAMAJE_REQUERIDO_TIPOB,"")))</f>
        <v>50</v>
      </c>
      <c r="T29" s="259">
        <f t="shared" si="12"/>
        <v>7991</v>
      </c>
      <c r="U29" s="259">
        <f t="shared" si="13"/>
        <v>135847</v>
      </c>
      <c r="V29" s="446">
        <f t="shared" si="14"/>
        <v>481</v>
      </c>
      <c r="W29" s="446">
        <f t="shared" si="15"/>
        <v>23.472799999999999</v>
      </c>
      <c r="X29" s="446">
        <f t="shared" si="16"/>
        <v>0.41366769599999997</v>
      </c>
      <c r="Y29" s="446">
        <f t="shared" si="17"/>
        <v>505</v>
      </c>
      <c r="Z29" s="260">
        <f t="shared" si="18"/>
        <v>65342407</v>
      </c>
      <c r="AA29" s="260">
        <f t="shared" si="19"/>
        <v>68602735</v>
      </c>
      <c r="AB29" s="425">
        <f t="shared" si="20"/>
        <v>17</v>
      </c>
      <c r="AC29" s="425">
        <f t="array" ref="AC29">MAX((IF(MNU_CODIGO_ALIMENTO_ENTREGA=CONCATENATE($E29,"_","P_"),MNU_GRAMAJE_REQUERIDO_TIPOC,"")))</f>
        <v>80</v>
      </c>
      <c r="AD29" s="257">
        <f t="shared" si="21"/>
        <v>8100</v>
      </c>
      <c r="AE29" s="257">
        <f t="shared" si="22"/>
        <v>137700</v>
      </c>
      <c r="AF29" s="446">
        <f t="shared" si="23"/>
        <v>727</v>
      </c>
      <c r="AG29" s="446">
        <f t="shared" si="24"/>
        <v>35.477600000000002</v>
      </c>
      <c r="AH29" s="446">
        <f t="shared" si="25"/>
        <v>0.62523163200000009</v>
      </c>
      <c r="AI29" s="446">
        <f t="shared" si="26"/>
        <v>763</v>
      </c>
      <c r="AJ29" s="258">
        <f t="shared" si="27"/>
        <v>100107900</v>
      </c>
      <c r="AK29" s="258">
        <f t="shared" si="28"/>
        <v>105065100</v>
      </c>
      <c r="AL29" s="426">
        <f t="shared" si="29"/>
        <v>17</v>
      </c>
      <c r="AM29" s="426">
        <f t="array" ref="AM29">MAX((IF(MNU_CODIGO_ALIMENTO_ENTREGA=CONCATENATE($E29,"_","P_"),MNU_GRAMAJE_REQUERIDO_TIPOM,"")))</f>
        <v>50</v>
      </c>
      <c r="AN29" s="259">
        <f t="shared" si="30"/>
        <v>350</v>
      </c>
      <c r="AO29" s="259">
        <f t="shared" si="31"/>
        <v>5950</v>
      </c>
      <c r="AP29" s="446">
        <f t="shared" si="32"/>
        <v>481</v>
      </c>
      <c r="AQ29" s="446">
        <f t="shared" si="33"/>
        <v>23.472799999999999</v>
      </c>
      <c r="AR29" s="446">
        <f t="shared" si="34"/>
        <v>0.41366769599999997</v>
      </c>
      <c r="AS29" s="446">
        <f t="shared" si="35"/>
        <v>505</v>
      </c>
      <c r="AT29" s="260">
        <f t="shared" si="36"/>
        <v>2861950</v>
      </c>
      <c r="AU29" s="260">
        <f t="shared" si="37"/>
        <v>3004750</v>
      </c>
      <c r="AV29" s="425">
        <f t="shared" si="38"/>
        <v>17</v>
      </c>
      <c r="AW29" s="425">
        <f t="array" ref="AW29">MAX((IF(MNU_CODIGO_ALIMENTO_ENTREGA=CONCATENATE($E29,"_","P_"),MNU_GRAMAJE_REQUERIDO_TIPOH,"")))</f>
        <v>80</v>
      </c>
      <c r="AX29" s="257">
        <f t="shared" si="39"/>
        <v>291</v>
      </c>
      <c r="AY29" s="257">
        <f t="shared" si="40"/>
        <v>4947</v>
      </c>
      <c r="AZ29" s="446">
        <f t="shared" si="41"/>
        <v>727</v>
      </c>
      <c r="BA29" s="446">
        <f t="shared" si="42"/>
        <v>35.477600000000002</v>
      </c>
      <c r="BB29" s="446">
        <f t="shared" si="43"/>
        <v>0.62523163200000009</v>
      </c>
      <c r="BC29" s="446">
        <f t="shared" si="44"/>
        <v>763</v>
      </c>
      <c r="BD29" s="258">
        <f t="shared" si="45"/>
        <v>3596469</v>
      </c>
      <c r="BE29" s="258">
        <f t="shared" si="46"/>
        <v>3774561</v>
      </c>
      <c r="BF29" s="391">
        <f t="shared" si="47"/>
        <v>219989486</v>
      </c>
      <c r="BG29" s="391">
        <f t="shared" si="48"/>
        <v>230926946</v>
      </c>
    </row>
    <row r="30" spans="1:59" ht="15.75">
      <c r="A30" s="333">
        <v>2</v>
      </c>
      <c r="B30" s="333" t="str">
        <f t="shared" si="0"/>
        <v>CEREAL EMPACADO_2</v>
      </c>
      <c r="C30" s="333" t="str">
        <f t="shared" si="1"/>
        <v>15_2</v>
      </c>
      <c r="D30" s="333" t="s">
        <v>1607</v>
      </c>
      <c r="E30" s="256">
        <v>15</v>
      </c>
      <c r="F30" s="322" t="s">
        <v>66</v>
      </c>
      <c r="G30" s="256" t="s">
        <v>9</v>
      </c>
      <c r="H30" s="425">
        <f t="shared" si="2"/>
        <v>17</v>
      </c>
      <c r="I30" s="425">
        <f t="array" ref="I30">MAX((IF(MNU_CODIGO_ALIMENTO_ENTREGA=CONCATENATE($E30,"_","P_"),MNU_GRAMAJE_REQUERIDO_TIPOA,"")))</f>
        <v>50</v>
      </c>
      <c r="J30" s="257">
        <f t="shared" si="3"/>
        <v>5880</v>
      </c>
      <c r="K30" s="257">
        <f t="shared" si="4"/>
        <v>99960</v>
      </c>
      <c r="L30" s="446">
        <f t="shared" si="5"/>
        <v>641</v>
      </c>
      <c r="M30" s="446">
        <f t="shared" si="6"/>
        <v>31.280800000000003</v>
      </c>
      <c r="N30" s="446">
        <f t="shared" si="7"/>
        <v>0.55127025600000001</v>
      </c>
      <c r="O30" s="446">
        <f t="shared" si="8"/>
        <v>673</v>
      </c>
      <c r="P30" s="258">
        <f t="shared" si="9"/>
        <v>64074360</v>
      </c>
      <c r="Q30" s="258">
        <f t="shared" si="10"/>
        <v>67273080</v>
      </c>
      <c r="R30" s="426">
        <f t="shared" si="11"/>
        <v>17</v>
      </c>
      <c r="S30" s="426">
        <f t="array" ref="S30">MAX((IF(MNU_CODIGO_ALIMENTO_ENTREGA=CONCATENATE($E30,"_","P_"),MNU_GRAMAJE_REQUERIDO_TIPOB,"")))</f>
        <v>50</v>
      </c>
      <c r="T30" s="259">
        <f t="shared" si="12"/>
        <v>7991</v>
      </c>
      <c r="U30" s="259">
        <f t="shared" si="13"/>
        <v>135847</v>
      </c>
      <c r="V30" s="446">
        <f t="shared" si="14"/>
        <v>641</v>
      </c>
      <c r="W30" s="446">
        <f t="shared" si="15"/>
        <v>31.280800000000003</v>
      </c>
      <c r="X30" s="446">
        <f t="shared" si="16"/>
        <v>0.55127025600000001</v>
      </c>
      <c r="Y30" s="446">
        <f t="shared" si="17"/>
        <v>673</v>
      </c>
      <c r="Z30" s="260">
        <f t="shared" si="18"/>
        <v>87077927</v>
      </c>
      <c r="AA30" s="260">
        <f t="shared" si="19"/>
        <v>91425031</v>
      </c>
      <c r="AB30" s="425">
        <f t="shared" si="20"/>
        <v>17</v>
      </c>
      <c r="AC30" s="425">
        <f t="array" ref="AC30">MAX((IF(MNU_CODIGO_ALIMENTO_ENTREGA=CONCATENATE($E30,"_","P_"),MNU_GRAMAJE_REQUERIDO_TIPOC,"")))</f>
        <v>80</v>
      </c>
      <c r="AD30" s="257">
        <f t="shared" si="21"/>
        <v>8100</v>
      </c>
      <c r="AE30" s="257">
        <f t="shared" si="22"/>
        <v>137700</v>
      </c>
      <c r="AF30" s="446">
        <f t="shared" si="23"/>
        <v>1025</v>
      </c>
      <c r="AG30" s="446">
        <f t="shared" si="24"/>
        <v>50.02</v>
      </c>
      <c r="AH30" s="446">
        <f t="shared" si="25"/>
        <v>0.88151640000000009</v>
      </c>
      <c r="AI30" s="446">
        <f t="shared" si="26"/>
        <v>1076</v>
      </c>
      <c r="AJ30" s="258">
        <f t="shared" si="27"/>
        <v>141142500</v>
      </c>
      <c r="AK30" s="258">
        <f t="shared" si="28"/>
        <v>148165200</v>
      </c>
      <c r="AL30" s="426">
        <f t="shared" si="29"/>
        <v>17</v>
      </c>
      <c r="AM30" s="426">
        <f t="array" ref="AM30">MAX((IF(MNU_CODIGO_ALIMENTO_ENTREGA=CONCATENATE($E30,"_","P_"),MNU_GRAMAJE_REQUERIDO_TIPOM,"")))</f>
        <v>50</v>
      </c>
      <c r="AN30" s="259">
        <f t="shared" si="30"/>
        <v>350</v>
      </c>
      <c r="AO30" s="259">
        <f t="shared" si="31"/>
        <v>5950</v>
      </c>
      <c r="AP30" s="446">
        <f t="shared" si="32"/>
        <v>641</v>
      </c>
      <c r="AQ30" s="446">
        <f t="shared" si="33"/>
        <v>31.280800000000003</v>
      </c>
      <c r="AR30" s="446">
        <f t="shared" si="34"/>
        <v>0.55127025600000001</v>
      </c>
      <c r="AS30" s="446">
        <f t="shared" si="35"/>
        <v>673</v>
      </c>
      <c r="AT30" s="260">
        <f t="shared" si="36"/>
        <v>3813950</v>
      </c>
      <c r="AU30" s="260">
        <f t="shared" si="37"/>
        <v>4004350</v>
      </c>
      <c r="AV30" s="425">
        <f t="shared" si="38"/>
        <v>17</v>
      </c>
      <c r="AW30" s="425">
        <f t="array" ref="AW30">MAX((IF(MNU_CODIGO_ALIMENTO_ENTREGA=CONCATENATE($E30,"_","P_"),MNU_GRAMAJE_REQUERIDO_TIPOH,"")))</f>
        <v>80</v>
      </c>
      <c r="AX30" s="257">
        <f t="shared" si="39"/>
        <v>291</v>
      </c>
      <c r="AY30" s="257">
        <f t="shared" si="40"/>
        <v>4947</v>
      </c>
      <c r="AZ30" s="446">
        <f t="shared" si="41"/>
        <v>1025</v>
      </c>
      <c r="BA30" s="446">
        <f t="shared" si="42"/>
        <v>50.02</v>
      </c>
      <c r="BB30" s="446">
        <f t="shared" si="43"/>
        <v>0.88151640000000009</v>
      </c>
      <c r="BC30" s="446">
        <f t="shared" si="44"/>
        <v>1076</v>
      </c>
      <c r="BD30" s="258">
        <f t="shared" si="45"/>
        <v>5070675</v>
      </c>
      <c r="BE30" s="258">
        <f t="shared" si="46"/>
        <v>5322972</v>
      </c>
      <c r="BF30" s="391">
        <f t="shared" si="47"/>
        <v>301179412</v>
      </c>
      <c r="BG30" s="391">
        <f t="shared" si="48"/>
        <v>316190633</v>
      </c>
    </row>
    <row r="31" spans="1:59" ht="15.75">
      <c r="A31" s="333">
        <v>2</v>
      </c>
      <c r="B31" s="333" t="str">
        <f t="shared" si="0"/>
        <v>CEREAL EMPACADO_2</v>
      </c>
      <c r="C31" s="333" t="str">
        <f t="shared" si="1"/>
        <v>24_2</v>
      </c>
      <c r="D31" s="333" t="s">
        <v>1607</v>
      </c>
      <c r="E31" s="256">
        <v>24</v>
      </c>
      <c r="F31" s="322" t="s">
        <v>61</v>
      </c>
      <c r="G31" s="256" t="s">
        <v>9</v>
      </c>
      <c r="H31" s="425">
        <f t="shared" si="2"/>
        <v>17</v>
      </c>
      <c r="I31" s="425">
        <f t="array" ref="I31">MAX((IF(MNU_CODIGO_ALIMENTO_ENTREGA=CONCATENATE($E31,"_","P_"),MNU_GRAMAJE_REQUERIDO_TIPOA,"")))</f>
        <v>20</v>
      </c>
      <c r="J31" s="257">
        <f t="shared" si="3"/>
        <v>5880</v>
      </c>
      <c r="K31" s="257">
        <f t="shared" si="4"/>
        <v>99960</v>
      </c>
      <c r="L31" s="446">
        <f t="shared" si="5"/>
        <v>122</v>
      </c>
      <c r="M31" s="446">
        <f t="shared" si="6"/>
        <v>5.9535999999999998</v>
      </c>
      <c r="N31" s="446">
        <f t="shared" si="7"/>
        <v>0.104921952</v>
      </c>
      <c r="O31" s="446">
        <f t="shared" si="8"/>
        <v>128</v>
      </c>
      <c r="P31" s="258">
        <f t="shared" si="9"/>
        <v>12195120</v>
      </c>
      <c r="Q31" s="258">
        <f t="shared" si="10"/>
        <v>12794880</v>
      </c>
      <c r="R31" s="426">
        <f t="shared" si="11"/>
        <v>17</v>
      </c>
      <c r="S31" s="426">
        <f t="array" ref="S31">MAX((IF(MNU_CODIGO_ALIMENTO_ENTREGA=CONCATENATE($E31,"_","P_"),MNU_GRAMAJE_REQUERIDO_TIPOB,"")))</f>
        <v>30</v>
      </c>
      <c r="T31" s="259">
        <f t="shared" si="12"/>
        <v>7991</v>
      </c>
      <c r="U31" s="259">
        <f t="shared" si="13"/>
        <v>135847</v>
      </c>
      <c r="V31" s="446">
        <f t="shared" si="14"/>
        <v>191</v>
      </c>
      <c r="W31" s="446">
        <f t="shared" si="15"/>
        <v>9.3208000000000002</v>
      </c>
      <c r="X31" s="446">
        <f t="shared" si="16"/>
        <v>0.16426305600000002</v>
      </c>
      <c r="Y31" s="446">
        <f t="shared" si="17"/>
        <v>200</v>
      </c>
      <c r="Z31" s="260">
        <f t="shared" si="18"/>
        <v>25946777</v>
      </c>
      <c r="AA31" s="260">
        <f t="shared" si="19"/>
        <v>27169400</v>
      </c>
      <c r="AB31" s="425">
        <f t="shared" si="20"/>
        <v>17</v>
      </c>
      <c r="AC31" s="425">
        <f t="array" ref="AC31">MAX((IF(MNU_CODIGO_ALIMENTO_ENTREGA=CONCATENATE($E31,"_","P_"),MNU_GRAMAJE_REQUERIDO_TIPOC,"")))</f>
        <v>60</v>
      </c>
      <c r="AD31" s="257">
        <f t="shared" si="21"/>
        <v>8100</v>
      </c>
      <c r="AE31" s="257">
        <f t="shared" si="22"/>
        <v>137700</v>
      </c>
      <c r="AF31" s="446">
        <f t="shared" si="23"/>
        <v>367</v>
      </c>
      <c r="AG31" s="446">
        <f t="shared" si="24"/>
        <v>17.909599999999998</v>
      </c>
      <c r="AH31" s="446">
        <f t="shared" si="25"/>
        <v>0.31562587200000003</v>
      </c>
      <c r="AI31" s="446">
        <f t="shared" si="26"/>
        <v>385</v>
      </c>
      <c r="AJ31" s="258">
        <f t="shared" si="27"/>
        <v>50535900</v>
      </c>
      <c r="AK31" s="258">
        <f t="shared" si="28"/>
        <v>53014500</v>
      </c>
      <c r="AL31" s="426">
        <f t="shared" si="29"/>
        <v>17</v>
      </c>
      <c r="AM31" s="426">
        <f t="array" ref="AM31">MAX((IF(MNU_CODIGO_ALIMENTO_ENTREGA=CONCATENATE($E31,"_","P_"),MNU_GRAMAJE_REQUERIDO_TIPOM,"")))</f>
        <v>30</v>
      </c>
      <c r="AN31" s="259">
        <f t="shared" si="30"/>
        <v>350</v>
      </c>
      <c r="AO31" s="259">
        <f t="shared" si="31"/>
        <v>5950</v>
      </c>
      <c r="AP31" s="446">
        <f t="shared" si="32"/>
        <v>191</v>
      </c>
      <c r="AQ31" s="446">
        <f t="shared" si="33"/>
        <v>9.3208000000000002</v>
      </c>
      <c r="AR31" s="446">
        <f t="shared" si="34"/>
        <v>0.16426305600000002</v>
      </c>
      <c r="AS31" s="446">
        <f t="shared" si="35"/>
        <v>200</v>
      </c>
      <c r="AT31" s="260">
        <f t="shared" si="36"/>
        <v>1136450</v>
      </c>
      <c r="AU31" s="260">
        <f t="shared" si="37"/>
        <v>1190000</v>
      </c>
      <c r="AV31" s="425">
        <f t="shared" si="38"/>
        <v>17</v>
      </c>
      <c r="AW31" s="425">
        <f t="array" ref="AW31">MAX((IF(MNU_CODIGO_ALIMENTO_ENTREGA=CONCATENATE($E31,"_","P_"),MNU_GRAMAJE_REQUERIDO_TIPOH,"")))</f>
        <v>60</v>
      </c>
      <c r="AX31" s="257">
        <f t="shared" si="39"/>
        <v>291</v>
      </c>
      <c r="AY31" s="257">
        <f t="shared" si="40"/>
        <v>4947</v>
      </c>
      <c r="AZ31" s="446">
        <f t="shared" si="41"/>
        <v>367</v>
      </c>
      <c r="BA31" s="446">
        <f t="shared" si="42"/>
        <v>17.909599999999998</v>
      </c>
      <c r="BB31" s="446">
        <f t="shared" si="43"/>
        <v>0.31562587200000003</v>
      </c>
      <c r="BC31" s="446">
        <f t="shared" si="44"/>
        <v>385</v>
      </c>
      <c r="BD31" s="258">
        <f t="shared" si="45"/>
        <v>1815549</v>
      </c>
      <c r="BE31" s="258">
        <f t="shared" si="46"/>
        <v>1904595</v>
      </c>
      <c r="BF31" s="391">
        <f t="shared" si="47"/>
        <v>91629796</v>
      </c>
      <c r="BG31" s="391">
        <f t="shared" si="48"/>
        <v>96073375</v>
      </c>
    </row>
    <row r="32" spans="1:59" ht="15.75">
      <c r="A32" s="333">
        <v>2</v>
      </c>
      <c r="B32" s="333" t="str">
        <f t="shared" si="0"/>
        <v>CEREAL EMPACADO_2</v>
      </c>
      <c r="C32" s="333" t="str">
        <f t="shared" si="1"/>
        <v>25_2</v>
      </c>
      <c r="D32" s="333" t="s">
        <v>1607</v>
      </c>
      <c r="E32" s="256">
        <v>25</v>
      </c>
      <c r="F32" s="322" t="s">
        <v>64</v>
      </c>
      <c r="G32" s="256" t="s">
        <v>9</v>
      </c>
      <c r="H32" s="425">
        <f t="shared" si="2"/>
        <v>17</v>
      </c>
      <c r="I32" s="425">
        <f t="array" ref="I32">MAX((IF(MNU_CODIGO_ALIMENTO_ENTREGA=CONCATENATE($E32,"_","P_"),MNU_GRAMAJE_REQUERIDO_TIPOA,"")))</f>
        <v>40</v>
      </c>
      <c r="J32" s="257">
        <f t="shared" si="3"/>
        <v>5880</v>
      </c>
      <c r="K32" s="257">
        <f t="shared" si="4"/>
        <v>99960</v>
      </c>
      <c r="L32" s="446">
        <f t="shared" si="5"/>
        <v>244</v>
      </c>
      <c r="M32" s="446">
        <f t="shared" si="6"/>
        <v>11.9072</v>
      </c>
      <c r="N32" s="446">
        <f t="shared" si="7"/>
        <v>0.209843904</v>
      </c>
      <c r="O32" s="446">
        <f t="shared" si="8"/>
        <v>256</v>
      </c>
      <c r="P32" s="258">
        <f t="shared" si="9"/>
        <v>24390240</v>
      </c>
      <c r="Q32" s="258">
        <f t="shared" si="10"/>
        <v>25589760</v>
      </c>
      <c r="R32" s="426">
        <f t="shared" si="11"/>
        <v>17</v>
      </c>
      <c r="S32" s="426">
        <f t="array" ref="S32">MAX((IF(MNU_CODIGO_ALIMENTO_ENTREGA=CONCATENATE($E32,"_","P_"),MNU_GRAMAJE_REQUERIDO_TIPOB,"")))</f>
        <v>40</v>
      </c>
      <c r="T32" s="259">
        <f t="shared" si="12"/>
        <v>7991</v>
      </c>
      <c r="U32" s="259">
        <f t="shared" si="13"/>
        <v>135847</v>
      </c>
      <c r="V32" s="446">
        <f t="shared" si="14"/>
        <v>244</v>
      </c>
      <c r="W32" s="446">
        <f t="shared" si="15"/>
        <v>11.9072</v>
      </c>
      <c r="X32" s="446">
        <f t="shared" si="16"/>
        <v>0.209843904</v>
      </c>
      <c r="Y32" s="446">
        <f t="shared" si="17"/>
        <v>256</v>
      </c>
      <c r="Z32" s="260">
        <f t="shared" si="18"/>
        <v>33146668</v>
      </c>
      <c r="AA32" s="260">
        <f t="shared" si="19"/>
        <v>34776832</v>
      </c>
      <c r="AB32" s="425">
        <f t="shared" si="20"/>
        <v>17</v>
      </c>
      <c r="AC32" s="425">
        <f t="array" ref="AC32">MAX((IF(MNU_CODIGO_ALIMENTO_ENTREGA=CONCATENATE($E32,"_","P_"),MNU_GRAMAJE_REQUERIDO_TIPOC,"")))</f>
        <v>60</v>
      </c>
      <c r="AD32" s="257">
        <f t="shared" si="21"/>
        <v>8100</v>
      </c>
      <c r="AE32" s="257">
        <f t="shared" si="22"/>
        <v>137700</v>
      </c>
      <c r="AF32" s="446">
        <f t="shared" si="23"/>
        <v>366</v>
      </c>
      <c r="AG32" s="446">
        <f t="shared" si="24"/>
        <v>17.860800000000001</v>
      </c>
      <c r="AH32" s="446">
        <f t="shared" si="25"/>
        <v>0.31476585600000001</v>
      </c>
      <c r="AI32" s="446">
        <f t="shared" si="26"/>
        <v>384</v>
      </c>
      <c r="AJ32" s="258">
        <f t="shared" si="27"/>
        <v>50398200</v>
      </c>
      <c r="AK32" s="258">
        <f t="shared" si="28"/>
        <v>52876800</v>
      </c>
      <c r="AL32" s="426">
        <f t="shared" si="29"/>
        <v>17</v>
      </c>
      <c r="AM32" s="426">
        <f t="array" ref="AM32">MAX((IF(MNU_CODIGO_ALIMENTO_ENTREGA=CONCATENATE($E32,"_","P_"),MNU_GRAMAJE_REQUERIDO_TIPOM,"")))</f>
        <v>40</v>
      </c>
      <c r="AN32" s="259">
        <f t="shared" si="30"/>
        <v>350</v>
      </c>
      <c r="AO32" s="259">
        <f t="shared" si="31"/>
        <v>5950</v>
      </c>
      <c r="AP32" s="446">
        <f t="shared" si="32"/>
        <v>244</v>
      </c>
      <c r="AQ32" s="446">
        <f t="shared" si="33"/>
        <v>11.9072</v>
      </c>
      <c r="AR32" s="446">
        <f t="shared" si="34"/>
        <v>0.209843904</v>
      </c>
      <c r="AS32" s="446">
        <f t="shared" si="35"/>
        <v>256</v>
      </c>
      <c r="AT32" s="260">
        <f t="shared" si="36"/>
        <v>1451800</v>
      </c>
      <c r="AU32" s="260">
        <f t="shared" si="37"/>
        <v>1523200</v>
      </c>
      <c r="AV32" s="425">
        <f t="shared" si="38"/>
        <v>17</v>
      </c>
      <c r="AW32" s="425">
        <f t="array" ref="AW32">MAX((IF(MNU_CODIGO_ALIMENTO_ENTREGA=CONCATENATE($E32,"_","P_"),MNU_GRAMAJE_REQUERIDO_TIPOH,"")))</f>
        <v>60</v>
      </c>
      <c r="AX32" s="257">
        <f t="shared" si="39"/>
        <v>291</v>
      </c>
      <c r="AY32" s="257">
        <f t="shared" si="40"/>
        <v>4947</v>
      </c>
      <c r="AZ32" s="446">
        <f t="shared" si="41"/>
        <v>366</v>
      </c>
      <c r="BA32" s="446">
        <f t="shared" si="42"/>
        <v>17.860800000000001</v>
      </c>
      <c r="BB32" s="446">
        <f t="shared" si="43"/>
        <v>0.31476585600000001</v>
      </c>
      <c r="BC32" s="446">
        <f t="shared" si="44"/>
        <v>384</v>
      </c>
      <c r="BD32" s="258">
        <f t="shared" si="45"/>
        <v>1810602</v>
      </c>
      <c r="BE32" s="258">
        <f t="shared" si="46"/>
        <v>1899648</v>
      </c>
      <c r="BF32" s="391">
        <f t="shared" si="47"/>
        <v>111197510</v>
      </c>
      <c r="BG32" s="391">
        <f t="shared" si="48"/>
        <v>116666240</v>
      </c>
    </row>
    <row r="33" spans="1:59" ht="15.75">
      <c r="A33" s="333">
        <v>2</v>
      </c>
      <c r="B33" s="333" t="str">
        <f t="shared" si="0"/>
        <v>CEREAL EMPACADO_2</v>
      </c>
      <c r="C33" s="333" t="str">
        <f t="shared" si="1"/>
        <v>26_2</v>
      </c>
      <c r="D33" s="333" t="s">
        <v>1607</v>
      </c>
      <c r="E33" s="256">
        <v>26</v>
      </c>
      <c r="F33" s="322" t="s">
        <v>69</v>
      </c>
      <c r="G33" s="256" t="s">
        <v>9</v>
      </c>
      <c r="H33" s="425">
        <f t="shared" si="2"/>
        <v>6</v>
      </c>
      <c r="I33" s="425">
        <f t="array" ref="I33">MAX((IF(MNU_CODIGO_ALIMENTO_ENTREGA=CONCATENATE($E33,"_","P_"),MNU_GRAMAJE_REQUERIDO_TIPOA,"")))</f>
        <v>30</v>
      </c>
      <c r="J33" s="257">
        <f t="shared" si="3"/>
        <v>5880</v>
      </c>
      <c r="K33" s="257">
        <f t="shared" si="4"/>
        <v>35280</v>
      </c>
      <c r="L33" s="446">
        <f t="shared" si="5"/>
        <v>163</v>
      </c>
      <c r="M33" s="446">
        <f t="shared" si="6"/>
        <v>7.9543999999999997</v>
      </c>
      <c r="N33" s="446">
        <f t="shared" si="7"/>
        <v>0.14018260800000001</v>
      </c>
      <c r="O33" s="446">
        <f t="shared" si="8"/>
        <v>171</v>
      </c>
      <c r="P33" s="258">
        <f t="shared" si="9"/>
        <v>5750640</v>
      </c>
      <c r="Q33" s="258">
        <f t="shared" si="10"/>
        <v>6032880</v>
      </c>
      <c r="R33" s="426">
        <f t="shared" si="11"/>
        <v>6</v>
      </c>
      <c r="S33" s="426">
        <f t="array" ref="S33">MAX((IF(MNU_CODIGO_ALIMENTO_ENTREGA=CONCATENATE($E33,"_","P_"),MNU_GRAMAJE_REQUERIDO_TIPOB,"")))</f>
        <v>30</v>
      </c>
      <c r="T33" s="259">
        <f t="shared" si="12"/>
        <v>7991</v>
      </c>
      <c r="U33" s="259">
        <f t="shared" si="13"/>
        <v>47946</v>
      </c>
      <c r="V33" s="446">
        <f t="shared" si="14"/>
        <v>163</v>
      </c>
      <c r="W33" s="446">
        <f t="shared" si="15"/>
        <v>7.9543999999999997</v>
      </c>
      <c r="X33" s="446">
        <f t="shared" si="16"/>
        <v>0.14018260800000001</v>
      </c>
      <c r="Y33" s="446">
        <f t="shared" si="17"/>
        <v>171</v>
      </c>
      <c r="Z33" s="260">
        <f t="shared" si="18"/>
        <v>7815198</v>
      </c>
      <c r="AA33" s="260">
        <f t="shared" si="19"/>
        <v>8198766</v>
      </c>
      <c r="AB33" s="425">
        <f t="shared" si="20"/>
        <v>6</v>
      </c>
      <c r="AC33" s="425">
        <f t="array" ref="AC33">MAX((IF(MNU_CODIGO_ALIMENTO_ENTREGA=CONCATENATE($E33,"_","P_"),MNU_GRAMAJE_REQUERIDO_TIPOC,"")))</f>
        <v>30</v>
      </c>
      <c r="AD33" s="257">
        <f t="shared" si="21"/>
        <v>8100</v>
      </c>
      <c r="AE33" s="257">
        <f t="shared" si="22"/>
        <v>48600</v>
      </c>
      <c r="AF33" s="446">
        <f t="shared" si="23"/>
        <v>163</v>
      </c>
      <c r="AG33" s="446">
        <f t="shared" si="24"/>
        <v>7.9543999999999997</v>
      </c>
      <c r="AH33" s="446">
        <f t="shared" si="25"/>
        <v>0.14018260800000001</v>
      </c>
      <c r="AI33" s="446">
        <f t="shared" si="26"/>
        <v>171</v>
      </c>
      <c r="AJ33" s="258">
        <f t="shared" si="27"/>
        <v>7921800</v>
      </c>
      <c r="AK33" s="258">
        <f t="shared" si="28"/>
        <v>8310600</v>
      </c>
      <c r="AL33" s="426">
        <f t="shared" si="29"/>
        <v>6</v>
      </c>
      <c r="AM33" s="426">
        <f t="array" ref="AM33">MAX((IF(MNU_CODIGO_ALIMENTO_ENTREGA=CONCATENATE($E33,"_","P_"),MNU_GRAMAJE_REQUERIDO_TIPOM,"")))</f>
        <v>30</v>
      </c>
      <c r="AN33" s="259">
        <f t="shared" si="30"/>
        <v>350</v>
      </c>
      <c r="AO33" s="259">
        <f t="shared" si="31"/>
        <v>2100</v>
      </c>
      <c r="AP33" s="446">
        <f t="shared" si="32"/>
        <v>163</v>
      </c>
      <c r="AQ33" s="446">
        <f t="shared" si="33"/>
        <v>7.9543999999999997</v>
      </c>
      <c r="AR33" s="446">
        <f t="shared" si="34"/>
        <v>0.14018260800000001</v>
      </c>
      <c r="AS33" s="446">
        <f t="shared" si="35"/>
        <v>171</v>
      </c>
      <c r="AT33" s="260">
        <f t="shared" si="36"/>
        <v>342300</v>
      </c>
      <c r="AU33" s="260">
        <f t="shared" si="37"/>
        <v>359100</v>
      </c>
      <c r="AV33" s="425">
        <f t="shared" si="38"/>
        <v>6</v>
      </c>
      <c r="AW33" s="425">
        <f t="array" ref="AW33">MAX((IF(MNU_CODIGO_ALIMENTO_ENTREGA=CONCATENATE($E33,"_","P_"),MNU_GRAMAJE_REQUERIDO_TIPOH,"")))</f>
        <v>30</v>
      </c>
      <c r="AX33" s="257">
        <f t="shared" si="39"/>
        <v>291</v>
      </c>
      <c r="AY33" s="257">
        <f t="shared" si="40"/>
        <v>1746</v>
      </c>
      <c r="AZ33" s="446">
        <f t="shared" si="41"/>
        <v>163</v>
      </c>
      <c r="BA33" s="446">
        <f t="shared" si="42"/>
        <v>7.9543999999999997</v>
      </c>
      <c r="BB33" s="446">
        <f t="shared" si="43"/>
        <v>0.14018260800000001</v>
      </c>
      <c r="BC33" s="446">
        <f t="shared" si="44"/>
        <v>171</v>
      </c>
      <c r="BD33" s="258">
        <f t="shared" si="45"/>
        <v>284598</v>
      </c>
      <c r="BE33" s="258">
        <f t="shared" si="46"/>
        <v>298566</v>
      </c>
      <c r="BF33" s="391">
        <f t="shared" si="47"/>
        <v>22114536</v>
      </c>
      <c r="BG33" s="391">
        <f t="shared" si="48"/>
        <v>23199912</v>
      </c>
    </row>
    <row r="34" spans="1:59" ht="27">
      <c r="A34" s="333">
        <v>2</v>
      </c>
      <c r="B34" s="333" t="str">
        <f t="shared" si="0"/>
        <v>CEREAL EMPACADO_2</v>
      </c>
      <c r="C34" s="333" t="str">
        <f t="shared" si="1"/>
        <v>28_2</v>
      </c>
      <c r="D34" s="333" t="s">
        <v>1607</v>
      </c>
      <c r="E34" s="256">
        <v>28</v>
      </c>
      <c r="F34" s="322" t="s">
        <v>67</v>
      </c>
      <c r="G34" s="256" t="s">
        <v>9</v>
      </c>
      <c r="H34" s="425">
        <f t="shared" si="2"/>
        <v>6</v>
      </c>
      <c r="I34" s="425">
        <f t="array" ref="I34">MAX((IF(MNU_CODIGO_ALIMENTO_ENTREGA=CONCATENATE($E34,"_","P_"),MNU_GRAMAJE_REQUERIDO_TIPOA,"")))</f>
        <v>30</v>
      </c>
      <c r="J34" s="257">
        <f t="shared" si="3"/>
        <v>5880</v>
      </c>
      <c r="K34" s="257">
        <f t="shared" si="4"/>
        <v>35280</v>
      </c>
      <c r="L34" s="446">
        <f t="shared" si="5"/>
        <v>215</v>
      </c>
      <c r="M34" s="446">
        <f t="shared" si="6"/>
        <v>10.492000000000001</v>
      </c>
      <c r="N34" s="446">
        <f t="shared" si="7"/>
        <v>0.18490343999999997</v>
      </c>
      <c r="O34" s="446">
        <f t="shared" si="8"/>
        <v>226</v>
      </c>
      <c r="P34" s="258">
        <f t="shared" si="9"/>
        <v>7585200</v>
      </c>
      <c r="Q34" s="258">
        <f t="shared" si="10"/>
        <v>7973280</v>
      </c>
      <c r="R34" s="426">
        <f t="shared" si="11"/>
        <v>6</v>
      </c>
      <c r="S34" s="426">
        <f t="array" ref="S34">MAX((IF(MNU_CODIGO_ALIMENTO_ENTREGA=CONCATENATE($E34,"_","P_"),MNU_GRAMAJE_REQUERIDO_TIPOB,"")))</f>
        <v>40</v>
      </c>
      <c r="T34" s="259">
        <f t="shared" si="12"/>
        <v>7991</v>
      </c>
      <c r="U34" s="259">
        <f t="shared" si="13"/>
        <v>47946</v>
      </c>
      <c r="V34" s="446">
        <f t="shared" si="14"/>
        <v>287</v>
      </c>
      <c r="W34" s="446">
        <f t="shared" si="15"/>
        <v>14.005600000000001</v>
      </c>
      <c r="X34" s="446">
        <f t="shared" si="16"/>
        <v>0.24682459200000004</v>
      </c>
      <c r="Y34" s="446">
        <f t="shared" si="17"/>
        <v>301</v>
      </c>
      <c r="Z34" s="260">
        <f t="shared" si="18"/>
        <v>13760502</v>
      </c>
      <c r="AA34" s="260">
        <f t="shared" si="19"/>
        <v>14431746</v>
      </c>
      <c r="AB34" s="425">
        <f t="shared" si="20"/>
        <v>6</v>
      </c>
      <c r="AC34" s="425">
        <f t="array" ref="AC34">MAX((IF(MNU_CODIGO_ALIMENTO_ENTREGA=CONCATENATE($E34,"_","P_"),MNU_GRAMAJE_REQUERIDO_TIPOC,"")))</f>
        <v>60</v>
      </c>
      <c r="AD34" s="257">
        <f t="shared" si="21"/>
        <v>8100</v>
      </c>
      <c r="AE34" s="257">
        <f t="shared" si="22"/>
        <v>48600</v>
      </c>
      <c r="AF34" s="446">
        <f t="shared" si="23"/>
        <v>430</v>
      </c>
      <c r="AG34" s="446">
        <f t="shared" si="24"/>
        <v>20.984000000000002</v>
      </c>
      <c r="AH34" s="446">
        <f t="shared" si="25"/>
        <v>0.36980687999999995</v>
      </c>
      <c r="AI34" s="446">
        <f t="shared" si="26"/>
        <v>451</v>
      </c>
      <c r="AJ34" s="258">
        <f t="shared" si="27"/>
        <v>20898000</v>
      </c>
      <c r="AK34" s="258">
        <f t="shared" si="28"/>
        <v>21918600</v>
      </c>
      <c r="AL34" s="426">
        <f t="shared" si="29"/>
        <v>6</v>
      </c>
      <c r="AM34" s="426">
        <f t="array" ref="AM34">MAX((IF(MNU_CODIGO_ALIMENTO_ENTREGA=CONCATENATE($E34,"_","P_"),MNU_GRAMAJE_REQUERIDO_TIPOM,"")))</f>
        <v>40</v>
      </c>
      <c r="AN34" s="259">
        <f t="shared" si="30"/>
        <v>350</v>
      </c>
      <c r="AO34" s="259">
        <f t="shared" si="31"/>
        <v>2100</v>
      </c>
      <c r="AP34" s="446">
        <f t="shared" si="32"/>
        <v>287</v>
      </c>
      <c r="AQ34" s="446">
        <f t="shared" si="33"/>
        <v>14.005600000000001</v>
      </c>
      <c r="AR34" s="446">
        <f t="shared" si="34"/>
        <v>0.24682459200000004</v>
      </c>
      <c r="AS34" s="446">
        <f t="shared" si="35"/>
        <v>301</v>
      </c>
      <c r="AT34" s="260">
        <f t="shared" si="36"/>
        <v>602700</v>
      </c>
      <c r="AU34" s="260">
        <f t="shared" si="37"/>
        <v>632100</v>
      </c>
      <c r="AV34" s="425">
        <f t="shared" si="38"/>
        <v>6</v>
      </c>
      <c r="AW34" s="425">
        <f t="array" ref="AW34">MAX((IF(MNU_CODIGO_ALIMENTO_ENTREGA=CONCATENATE($E34,"_","P_"),MNU_GRAMAJE_REQUERIDO_TIPOH,"")))</f>
        <v>60</v>
      </c>
      <c r="AX34" s="257">
        <f t="shared" si="39"/>
        <v>291</v>
      </c>
      <c r="AY34" s="257">
        <f t="shared" si="40"/>
        <v>1746</v>
      </c>
      <c r="AZ34" s="446">
        <f t="shared" si="41"/>
        <v>430</v>
      </c>
      <c r="BA34" s="446">
        <f t="shared" si="42"/>
        <v>20.984000000000002</v>
      </c>
      <c r="BB34" s="446">
        <f t="shared" si="43"/>
        <v>0.36980687999999995</v>
      </c>
      <c r="BC34" s="446">
        <f t="shared" si="44"/>
        <v>451</v>
      </c>
      <c r="BD34" s="258">
        <f t="shared" si="45"/>
        <v>750780</v>
      </c>
      <c r="BE34" s="258">
        <f t="shared" si="46"/>
        <v>787446</v>
      </c>
      <c r="BF34" s="391">
        <f t="shared" si="47"/>
        <v>43597182</v>
      </c>
      <c r="BG34" s="391">
        <f t="shared" si="48"/>
        <v>45743172</v>
      </c>
    </row>
    <row r="35" spans="1:59" ht="15.75">
      <c r="A35" s="333">
        <v>2</v>
      </c>
      <c r="B35" s="333" t="str">
        <f t="shared" si="0"/>
        <v>CEREAL EMPACADO_2</v>
      </c>
      <c r="C35" s="333" t="str">
        <f t="shared" si="1"/>
        <v>30_2</v>
      </c>
      <c r="D35" s="333" t="s">
        <v>1607</v>
      </c>
      <c r="E35" s="256">
        <v>30</v>
      </c>
      <c r="F35" s="322" t="s">
        <v>63</v>
      </c>
      <c r="G35" s="256" t="s">
        <v>9</v>
      </c>
      <c r="H35" s="425">
        <f t="shared" si="2"/>
        <v>16</v>
      </c>
      <c r="I35" s="425">
        <f t="array" ref="I35">MAX((IF(MNU_CODIGO_ALIMENTO_ENTREGA=CONCATENATE($E35,"_","P_"),MNU_GRAMAJE_REQUERIDO_TIPOA,"")))</f>
        <v>30</v>
      </c>
      <c r="J35" s="257">
        <f t="shared" si="3"/>
        <v>5880</v>
      </c>
      <c r="K35" s="257">
        <f t="shared" si="4"/>
        <v>94080</v>
      </c>
      <c r="L35" s="446">
        <f t="shared" si="5"/>
        <v>316</v>
      </c>
      <c r="M35" s="446">
        <f t="shared" si="6"/>
        <v>15.4208</v>
      </c>
      <c r="N35" s="446">
        <f t="shared" si="7"/>
        <v>0.271765056</v>
      </c>
      <c r="O35" s="446">
        <f t="shared" si="8"/>
        <v>332</v>
      </c>
      <c r="P35" s="258">
        <f t="shared" si="9"/>
        <v>29729280</v>
      </c>
      <c r="Q35" s="258">
        <f t="shared" si="10"/>
        <v>31234560</v>
      </c>
      <c r="R35" s="426">
        <f t="shared" si="11"/>
        <v>16</v>
      </c>
      <c r="S35" s="426">
        <f t="array" ref="S35">MAX((IF(MNU_CODIGO_ALIMENTO_ENTREGA=CONCATENATE($E35,"_","P_"),MNU_GRAMAJE_REQUERIDO_TIPOB,"")))</f>
        <v>30</v>
      </c>
      <c r="T35" s="259">
        <f t="shared" si="12"/>
        <v>7991</v>
      </c>
      <c r="U35" s="259">
        <f t="shared" si="13"/>
        <v>127856</v>
      </c>
      <c r="V35" s="446">
        <f t="shared" si="14"/>
        <v>316</v>
      </c>
      <c r="W35" s="446">
        <f t="shared" si="15"/>
        <v>15.4208</v>
      </c>
      <c r="X35" s="446">
        <f t="shared" si="16"/>
        <v>0.271765056</v>
      </c>
      <c r="Y35" s="446">
        <f t="shared" si="17"/>
        <v>332</v>
      </c>
      <c r="Z35" s="260">
        <f t="shared" si="18"/>
        <v>40402496</v>
      </c>
      <c r="AA35" s="260">
        <f t="shared" si="19"/>
        <v>42448192</v>
      </c>
      <c r="AB35" s="425">
        <f t="shared" si="20"/>
        <v>16</v>
      </c>
      <c r="AC35" s="425">
        <f t="array" ref="AC35">MAX((IF(MNU_CODIGO_ALIMENTO_ENTREGA=CONCATENATE($E35,"_","P_"),MNU_GRAMAJE_REQUERIDO_TIPOC,"")))</f>
        <v>30</v>
      </c>
      <c r="AD35" s="257">
        <f t="shared" si="21"/>
        <v>8100</v>
      </c>
      <c r="AE35" s="257">
        <f t="shared" si="22"/>
        <v>129600</v>
      </c>
      <c r="AF35" s="446">
        <f t="shared" si="23"/>
        <v>316</v>
      </c>
      <c r="AG35" s="446">
        <f t="shared" si="24"/>
        <v>15.4208</v>
      </c>
      <c r="AH35" s="446">
        <f t="shared" si="25"/>
        <v>0.271765056</v>
      </c>
      <c r="AI35" s="446">
        <f t="shared" si="26"/>
        <v>332</v>
      </c>
      <c r="AJ35" s="258">
        <f t="shared" si="27"/>
        <v>40953600</v>
      </c>
      <c r="AK35" s="258">
        <f t="shared" si="28"/>
        <v>43027200</v>
      </c>
      <c r="AL35" s="426">
        <f t="shared" si="29"/>
        <v>16</v>
      </c>
      <c r="AM35" s="426">
        <f t="array" ref="AM35">MAX((IF(MNU_CODIGO_ALIMENTO_ENTREGA=CONCATENATE($E35,"_","P_"),MNU_GRAMAJE_REQUERIDO_TIPOM,"")))</f>
        <v>30</v>
      </c>
      <c r="AN35" s="259">
        <f t="shared" si="30"/>
        <v>350</v>
      </c>
      <c r="AO35" s="259">
        <f t="shared" si="31"/>
        <v>5600</v>
      </c>
      <c r="AP35" s="446">
        <f t="shared" si="32"/>
        <v>316</v>
      </c>
      <c r="AQ35" s="446">
        <f t="shared" si="33"/>
        <v>15.4208</v>
      </c>
      <c r="AR35" s="446">
        <f t="shared" si="34"/>
        <v>0.271765056</v>
      </c>
      <c r="AS35" s="446">
        <f t="shared" si="35"/>
        <v>332</v>
      </c>
      <c r="AT35" s="260">
        <f t="shared" si="36"/>
        <v>1769600</v>
      </c>
      <c r="AU35" s="260">
        <f t="shared" si="37"/>
        <v>1859200</v>
      </c>
      <c r="AV35" s="425">
        <f t="shared" si="38"/>
        <v>16</v>
      </c>
      <c r="AW35" s="425">
        <f t="array" ref="AW35">MAX((IF(MNU_CODIGO_ALIMENTO_ENTREGA=CONCATENATE($E35,"_","P_"),MNU_GRAMAJE_REQUERIDO_TIPOH,"")))</f>
        <v>30</v>
      </c>
      <c r="AX35" s="257">
        <f t="shared" si="39"/>
        <v>291</v>
      </c>
      <c r="AY35" s="257">
        <f t="shared" si="40"/>
        <v>4656</v>
      </c>
      <c r="AZ35" s="446">
        <f t="shared" si="41"/>
        <v>316</v>
      </c>
      <c r="BA35" s="446">
        <f t="shared" si="42"/>
        <v>15.4208</v>
      </c>
      <c r="BB35" s="446">
        <f t="shared" si="43"/>
        <v>0.271765056</v>
      </c>
      <c r="BC35" s="446">
        <f t="shared" si="44"/>
        <v>332</v>
      </c>
      <c r="BD35" s="258">
        <f t="shared" si="45"/>
        <v>1471296</v>
      </c>
      <c r="BE35" s="258">
        <f t="shared" si="46"/>
        <v>1545792</v>
      </c>
      <c r="BF35" s="391">
        <f t="shared" si="47"/>
        <v>114326272</v>
      </c>
      <c r="BG35" s="391">
        <f t="shared" si="48"/>
        <v>120114944</v>
      </c>
    </row>
    <row r="36" spans="1:59" ht="15.75">
      <c r="A36" s="333">
        <v>2</v>
      </c>
      <c r="B36" s="333" t="str">
        <f t="shared" ref="B36:B99" si="49">CONCATENATE(D36,"_",A36)</f>
        <v>CEREAL EMPACADO_2</v>
      </c>
      <c r="C36" s="333" t="str">
        <f t="shared" ref="C36:C99" si="50">CONCATENATE(E36,"_",A36)</f>
        <v>45_2</v>
      </c>
      <c r="D36" s="333" t="s">
        <v>1607</v>
      </c>
      <c r="E36" s="256">
        <v>45</v>
      </c>
      <c r="F36" s="322" t="s">
        <v>10</v>
      </c>
      <c r="G36" s="256" t="s">
        <v>9</v>
      </c>
      <c r="H36" s="425">
        <f t="shared" ref="H36:H99" si="51">SUMIF(MNU_CODIGO_ALIMENTO_ENTREGA,CONCATENATE($E36,"_","P_"),MNU_FRECUENCIAS_LAV_TIPOA)</f>
        <v>16</v>
      </c>
      <c r="I36" s="425">
        <f t="array" ref="I36">MAX((IF(MNU_CODIGO_ALIMENTO_ENTREGA=CONCATENATE($E36,"_","P_"),MNU_GRAMAJE_REQUERIDO_TIPOA,"")))</f>
        <v>20</v>
      </c>
      <c r="J36" s="257">
        <f t="shared" ref="J36:J99" si="52">SUMIF(VOL_GRUPO,CONCATENATE($A36,"1052-1NO"),VOL_TIPOA)</f>
        <v>5880</v>
      </c>
      <c r="K36" s="257">
        <f t="shared" ref="K36:K99" si="53">H36*J36</f>
        <v>94080</v>
      </c>
      <c r="L36" s="446">
        <f t="shared" ref="L36:L99" si="54">IF(ISERROR(AVERAGEIFS(MNU_COSTO_UNITARIO_TIPOA_SELECCIONADO,MNU_CODIGO_ALIMENTO_ENTREGA,CONCATENATE($E36,"_","P_"))),0,AVERAGEIFS(MNU_COSTO_UNITARIO_TIPOA_SELECCIONADO,MNU_CODIGO_ALIMENTO_ENTREGA,CONCATENATE($E36,"_","P_")))</f>
        <v>190</v>
      </c>
      <c r="M36" s="446">
        <f t="shared" ref="M36:M99" si="55">(L36*0.01)+(L36*0.005)+(L36*0.02)+(L36*(13.8/1000))</f>
        <v>9.2720000000000002</v>
      </c>
      <c r="N36" s="446">
        <f t="shared" ref="N36:N99" si="56">((L36+M36)*0.00071)+((L36+M36)*0.00011)</f>
        <v>0.16340304</v>
      </c>
      <c r="O36" s="446">
        <f t="shared" ref="O36:O99" si="57">ROUND(L36+M36+N36,0)</f>
        <v>199</v>
      </c>
      <c r="P36" s="258">
        <f t="shared" ref="P36:P99" si="58">H36*J36*L36</f>
        <v>17875200</v>
      </c>
      <c r="Q36" s="258">
        <f t="shared" ref="Q36:Q99" si="59">H36*J36*O36</f>
        <v>18721920</v>
      </c>
      <c r="R36" s="426">
        <f t="shared" ref="R36:R99" si="60">SUMIF(MNU_CODIGO_ALIMENTO_ENTREGA,CONCATENATE($E36,"_","P_"),MNU_FRECUENCIAS_LAV_TIPOB)</f>
        <v>16</v>
      </c>
      <c r="S36" s="426">
        <f t="array" ref="S36">MAX((IF(MNU_CODIGO_ALIMENTO_ENTREGA=CONCATENATE($E36,"_","P_"),MNU_GRAMAJE_REQUERIDO_TIPOB,"")))</f>
        <v>30</v>
      </c>
      <c r="T36" s="259">
        <f t="shared" ref="T36:T99" si="61">SUMIF(VOL_GRUPO,CONCATENATE($A36,"1052-1NO"),VOL_TIPOB)</f>
        <v>7991</v>
      </c>
      <c r="U36" s="259">
        <f t="shared" ref="U36:U99" si="62">R36*T36</f>
        <v>127856</v>
      </c>
      <c r="V36" s="446">
        <f t="shared" ref="V36:V99" si="63">IF(ISERROR(AVERAGEIFS(MNU_COSTO_UNITARIO_TIPOB_SELECCIONADO,MNU_CODIGO_ALIMENTO_ENTREGA,CONCATENATE($E36,"_","P_"))),0,AVERAGEIFS(MNU_COSTO_UNITARIO_TIPOB_SELECCIONADO,MNU_CODIGO_ALIMENTO_ENTREGA,CONCATENATE($E36,"_","P_")))</f>
        <v>284</v>
      </c>
      <c r="W36" s="446">
        <f t="shared" ref="W36:W99" si="64">(V36*0.01)+(V36*0.005)+(V36*0.02)+(V36*(13.8/1000))</f>
        <v>13.8592</v>
      </c>
      <c r="X36" s="446">
        <f t="shared" ref="X36:X99" si="65">((V36+W36)*0.00071)+((V36+W36)*0.00011)</f>
        <v>0.24424454399999998</v>
      </c>
      <c r="Y36" s="446">
        <f t="shared" ref="Y36:Y99" si="66">ROUND(V36+W36+X36,0)</f>
        <v>298</v>
      </c>
      <c r="Z36" s="260">
        <f t="shared" ref="Z36:Z99" si="67">R36*T36*V36</f>
        <v>36311104</v>
      </c>
      <c r="AA36" s="260">
        <f t="shared" ref="AA36:AA99" si="68">R36*T36*Y36</f>
        <v>38101088</v>
      </c>
      <c r="AB36" s="425">
        <f t="shared" ref="AB36:AB99" si="69">SUMIF(MNU_CODIGO_ALIMENTO_ENTREGA,CONCATENATE($E36,"_","P_"),MNU_FRECUENCIAS_LAV_TIPOC)</f>
        <v>16</v>
      </c>
      <c r="AC36" s="425">
        <f t="array" ref="AC36">MAX((IF(MNU_CODIGO_ALIMENTO_ENTREGA=CONCATENATE($E36,"_","P_"),MNU_GRAMAJE_REQUERIDO_TIPOC,"")))</f>
        <v>60</v>
      </c>
      <c r="AD36" s="257">
        <f t="shared" ref="AD36:AD99" si="70">SUMIF(VOL_GRUPO,CONCATENATE($A36,"1052-1NO"),VOL_TIPOC)</f>
        <v>8100</v>
      </c>
      <c r="AE36" s="257">
        <f t="shared" ref="AE36:AE99" si="71">AB36*AD36</f>
        <v>129600</v>
      </c>
      <c r="AF36" s="446">
        <f t="shared" ref="AF36:AF99" si="72">IF(ISERROR(AVERAGEIFS(MNU_COSTO_UNITARIO_TIPOC_SELECCIONADO,MNU_CODIGO_ALIMENTO_ENTREGA,CONCATENATE($E36,"_","P_"))),0,AVERAGEIFS(MNU_COSTO_UNITARIO_TIPOC_SELECCIONADO,MNU_CODIGO_ALIMENTO_ENTREGA,CONCATENATE($E36,"_","P_")))</f>
        <v>569</v>
      </c>
      <c r="AG36" s="446">
        <f t="shared" ref="AG36:AG99" si="73">(AF36*0.01)+(AF36*0.005)+(AF36*0.02)+(AF36*(13.8/1000))</f>
        <v>27.767199999999999</v>
      </c>
      <c r="AH36" s="446">
        <f t="shared" ref="AH36:AH99" si="74">((AF36+AG36)*0.00071)+((AF36+AG36)*0.00011)</f>
        <v>0.48934910400000003</v>
      </c>
      <c r="AI36" s="446">
        <f t="shared" ref="AI36:AI99" si="75">ROUND(AF36+AG36+AH36,0)</f>
        <v>597</v>
      </c>
      <c r="AJ36" s="258">
        <f t="shared" ref="AJ36:AJ99" si="76">AB36*AD36*AF36</f>
        <v>73742400</v>
      </c>
      <c r="AK36" s="258">
        <f t="shared" ref="AK36:AK99" si="77">AB36*AD36*AI36</f>
        <v>77371200</v>
      </c>
      <c r="AL36" s="426">
        <f t="shared" ref="AL36:AL99" si="78">SUMIF(MNU_CODIGO_ALIMENTO_ENTREGA,CONCATENATE($E36,"_","P_"),MNU_FRECUENCIAS_LAV_TIPOM)</f>
        <v>16</v>
      </c>
      <c r="AM36" s="426">
        <f t="array" ref="AM36">MAX((IF(MNU_CODIGO_ALIMENTO_ENTREGA=CONCATENATE($E36,"_","P_"),MNU_GRAMAJE_REQUERIDO_TIPOM,"")))</f>
        <v>30</v>
      </c>
      <c r="AN36" s="259">
        <f t="shared" ref="AN36:AN99" si="79">SUMIF(VOL_GRUPO,CONCATENATE($A36,"1052-1NO"),VOL_TIPOM)</f>
        <v>350</v>
      </c>
      <c r="AO36" s="259">
        <f t="shared" ref="AO36:AO99" si="80">AL36*AN36</f>
        <v>5600</v>
      </c>
      <c r="AP36" s="446">
        <f t="shared" ref="AP36:AP99" si="81">IF(ISERROR(AVERAGEIFS(MNU_COSTO_UNITARIO_TIPOM_SELECCIONADO,MNU_CODIGO_ALIMENTO_ENTREGA,CONCATENATE($E36,"_","P_"))),0,AVERAGEIFS(MNU_COSTO_UNITARIO_TIPOM_SELECCIONADO,MNU_CODIGO_ALIMENTO_ENTREGA,CONCATENATE($E36,"_","P_")))</f>
        <v>284</v>
      </c>
      <c r="AQ36" s="446">
        <f t="shared" ref="AQ36:AQ99" si="82">(AP36*0.01)+(AP36*0.005)+(AP36*0.02)+(AP36*(13.8/1000))</f>
        <v>13.8592</v>
      </c>
      <c r="AR36" s="446">
        <f t="shared" ref="AR36:AR99" si="83">((AP36+AQ36)*0.00071)+((AP36+AQ36)*0.00011)</f>
        <v>0.24424454399999998</v>
      </c>
      <c r="AS36" s="446">
        <f t="shared" ref="AS36:AS99" si="84">ROUND(AP36+AQ36+AR36,0)</f>
        <v>298</v>
      </c>
      <c r="AT36" s="260">
        <f t="shared" ref="AT36:AT99" si="85">AL36*AN36*AP36</f>
        <v>1590400</v>
      </c>
      <c r="AU36" s="260">
        <f t="shared" ref="AU36:AU99" si="86">AL36*AN36*AS36</f>
        <v>1668800</v>
      </c>
      <c r="AV36" s="425">
        <f t="shared" ref="AV36:AV99" si="87">SUMIF(MNU_CODIGO_ALIMENTO_ENTREGA,CONCATENATE($E36,"_","P_"),MNU_FRECUENCIAS_LAV_TIPOH)</f>
        <v>16</v>
      </c>
      <c r="AW36" s="425">
        <f t="array" ref="AW36">MAX((IF(MNU_CODIGO_ALIMENTO_ENTREGA=CONCATENATE($E36,"_","P_"),MNU_GRAMAJE_REQUERIDO_TIPOH,"")))</f>
        <v>60</v>
      </c>
      <c r="AX36" s="257">
        <f t="shared" ref="AX36:AX99" si="88">SUMIF(VOL_GRUPO,CONCATENATE($A36,"1052-1NO"),VOL_TIPOH)</f>
        <v>291</v>
      </c>
      <c r="AY36" s="257">
        <f t="shared" ref="AY36:AY99" si="89">AV36*AX36</f>
        <v>4656</v>
      </c>
      <c r="AZ36" s="446">
        <f t="shared" ref="AZ36:AZ99" si="90">IF(ISERROR(AVERAGEIFS(MNU_COSTO_UNITARIO_TIPOH_SELECCIONADO,MNU_CODIGO_ALIMENTO_ENTREGA,CONCATENATE($E36,"_","P_"))),0,AVERAGEIFS(MNU_COSTO_UNITARIO_TIPOH_SELECCIONADO,MNU_CODIGO_ALIMENTO_ENTREGA,CONCATENATE($E36,"_","P_")))</f>
        <v>569</v>
      </c>
      <c r="BA36" s="446">
        <f t="shared" ref="BA36:BA99" si="91">(AZ36*0.01)+(AZ36*0.005)+(AZ36*0.02)+(AZ36*(13.8/1000))</f>
        <v>27.767199999999999</v>
      </c>
      <c r="BB36" s="446">
        <f t="shared" ref="BB36:BB99" si="92">((AZ36+BA36)*0.00071)+((AZ36+BA36)*0.00011)</f>
        <v>0.48934910400000003</v>
      </c>
      <c r="BC36" s="446">
        <f t="shared" ref="BC36:BC99" si="93">ROUND(AZ36+BA36+BB36,0)</f>
        <v>597</v>
      </c>
      <c r="BD36" s="258">
        <f t="shared" ref="BD36:BD99" si="94">AV36*AX36*AZ36</f>
        <v>2649264</v>
      </c>
      <c r="BE36" s="258">
        <f t="shared" ref="BE36:BE99" si="95">AV36*AX36*BC36</f>
        <v>2779632</v>
      </c>
      <c r="BF36" s="391">
        <f t="shared" ref="BF36:BF99" si="96">BD36+AT36+AJ36+Z36+P36</f>
        <v>132168368</v>
      </c>
      <c r="BG36" s="391">
        <f t="shared" ref="BG36:BG99" si="97">BE36+AU36+AK36+AA36+Q36</f>
        <v>138642640</v>
      </c>
    </row>
    <row r="37" spans="1:59" ht="15.75">
      <c r="A37" s="333">
        <v>2</v>
      </c>
      <c r="B37" s="333" t="str">
        <f t="shared" si="49"/>
        <v>CEREAL EMPACADO_2</v>
      </c>
      <c r="C37" s="333" t="str">
        <f t="shared" si="50"/>
        <v>50_2</v>
      </c>
      <c r="D37" s="333" t="s">
        <v>1607</v>
      </c>
      <c r="E37" s="256">
        <v>50</v>
      </c>
      <c r="F37" s="322" t="s">
        <v>65</v>
      </c>
      <c r="G37" s="256" t="s">
        <v>9</v>
      </c>
      <c r="H37" s="425">
        <f t="shared" si="51"/>
        <v>17</v>
      </c>
      <c r="I37" s="425">
        <f t="array" ref="I37">MAX((IF(MNU_CODIGO_ALIMENTO_ENTREGA=CONCATENATE($E37,"_","P_"),MNU_GRAMAJE_REQUERIDO_TIPOA,"")))</f>
        <v>30</v>
      </c>
      <c r="J37" s="257">
        <f t="shared" si="52"/>
        <v>5880</v>
      </c>
      <c r="K37" s="257">
        <f t="shared" si="53"/>
        <v>99960</v>
      </c>
      <c r="L37" s="446">
        <f t="shared" si="54"/>
        <v>306</v>
      </c>
      <c r="M37" s="446">
        <f t="shared" si="55"/>
        <v>14.9328</v>
      </c>
      <c r="N37" s="446">
        <f t="shared" si="56"/>
        <v>0.26316489599999998</v>
      </c>
      <c r="O37" s="446">
        <f t="shared" si="57"/>
        <v>321</v>
      </c>
      <c r="P37" s="258">
        <f t="shared" si="58"/>
        <v>30587760</v>
      </c>
      <c r="Q37" s="258">
        <f t="shared" si="59"/>
        <v>32087160</v>
      </c>
      <c r="R37" s="426">
        <f t="shared" si="60"/>
        <v>17</v>
      </c>
      <c r="S37" s="426">
        <f t="array" ref="S37">MAX((IF(MNU_CODIGO_ALIMENTO_ENTREGA=CONCATENATE($E37,"_","P_"),MNU_GRAMAJE_REQUERIDO_TIPOB,"")))</f>
        <v>40</v>
      </c>
      <c r="T37" s="259">
        <f t="shared" si="61"/>
        <v>7991</v>
      </c>
      <c r="U37" s="259">
        <f t="shared" si="62"/>
        <v>135847</v>
      </c>
      <c r="V37" s="446">
        <f t="shared" si="63"/>
        <v>408</v>
      </c>
      <c r="W37" s="446">
        <f t="shared" si="64"/>
        <v>19.910400000000003</v>
      </c>
      <c r="X37" s="446">
        <f t="shared" si="65"/>
        <v>0.35088652799999998</v>
      </c>
      <c r="Y37" s="446">
        <f t="shared" si="66"/>
        <v>428</v>
      </c>
      <c r="Z37" s="260">
        <f t="shared" si="67"/>
        <v>55425576</v>
      </c>
      <c r="AA37" s="260">
        <f t="shared" si="68"/>
        <v>58142516</v>
      </c>
      <c r="AB37" s="425">
        <f t="shared" si="69"/>
        <v>17</v>
      </c>
      <c r="AC37" s="425">
        <f t="array" ref="AC37">MAX((IF(MNU_CODIGO_ALIMENTO_ENTREGA=CONCATENATE($E37,"_","P_"),MNU_GRAMAJE_REQUERIDO_TIPOC,"")))</f>
        <v>80</v>
      </c>
      <c r="AD37" s="257">
        <f t="shared" si="70"/>
        <v>8100</v>
      </c>
      <c r="AE37" s="257">
        <f t="shared" si="71"/>
        <v>137700</v>
      </c>
      <c r="AF37" s="446">
        <f t="shared" si="72"/>
        <v>815</v>
      </c>
      <c r="AG37" s="446">
        <f t="shared" si="73"/>
        <v>39.772000000000006</v>
      </c>
      <c r="AH37" s="446">
        <f t="shared" si="74"/>
        <v>0.7009130400000001</v>
      </c>
      <c r="AI37" s="446">
        <f t="shared" si="75"/>
        <v>855</v>
      </c>
      <c r="AJ37" s="258">
        <f t="shared" si="76"/>
        <v>112225500</v>
      </c>
      <c r="AK37" s="258">
        <f t="shared" si="77"/>
        <v>117733500</v>
      </c>
      <c r="AL37" s="426">
        <f t="shared" si="78"/>
        <v>17</v>
      </c>
      <c r="AM37" s="426">
        <f t="array" ref="AM37">MAX((IF(MNU_CODIGO_ALIMENTO_ENTREGA=CONCATENATE($E37,"_","P_"),MNU_GRAMAJE_REQUERIDO_TIPOM,"")))</f>
        <v>40</v>
      </c>
      <c r="AN37" s="259">
        <f t="shared" si="79"/>
        <v>350</v>
      </c>
      <c r="AO37" s="259">
        <f t="shared" si="80"/>
        <v>5950</v>
      </c>
      <c r="AP37" s="446">
        <f t="shared" si="81"/>
        <v>408</v>
      </c>
      <c r="AQ37" s="446">
        <f t="shared" si="82"/>
        <v>19.910400000000003</v>
      </c>
      <c r="AR37" s="446">
        <f t="shared" si="83"/>
        <v>0.35088652799999998</v>
      </c>
      <c r="AS37" s="446">
        <f t="shared" si="84"/>
        <v>428</v>
      </c>
      <c r="AT37" s="260">
        <f t="shared" si="85"/>
        <v>2427600</v>
      </c>
      <c r="AU37" s="260">
        <f t="shared" si="86"/>
        <v>2546600</v>
      </c>
      <c r="AV37" s="425">
        <f t="shared" si="87"/>
        <v>17</v>
      </c>
      <c r="AW37" s="425">
        <f t="array" ref="AW37">MAX((IF(MNU_CODIGO_ALIMENTO_ENTREGA=CONCATENATE($E37,"_","P_"),MNU_GRAMAJE_REQUERIDO_TIPOH,"")))</f>
        <v>80</v>
      </c>
      <c r="AX37" s="257">
        <f t="shared" si="88"/>
        <v>291</v>
      </c>
      <c r="AY37" s="257">
        <f t="shared" si="89"/>
        <v>4947</v>
      </c>
      <c r="AZ37" s="446">
        <f t="shared" si="90"/>
        <v>815</v>
      </c>
      <c r="BA37" s="446">
        <f t="shared" si="91"/>
        <v>39.772000000000006</v>
      </c>
      <c r="BB37" s="446">
        <f t="shared" si="92"/>
        <v>0.7009130400000001</v>
      </c>
      <c r="BC37" s="446">
        <f t="shared" si="93"/>
        <v>855</v>
      </c>
      <c r="BD37" s="258">
        <f t="shared" si="94"/>
        <v>4031805</v>
      </c>
      <c r="BE37" s="258">
        <f t="shared" si="95"/>
        <v>4229685</v>
      </c>
      <c r="BF37" s="391">
        <f t="shared" si="96"/>
        <v>204698241</v>
      </c>
      <c r="BG37" s="391">
        <f t="shared" si="97"/>
        <v>214739461</v>
      </c>
    </row>
    <row r="38" spans="1:59" ht="15.75">
      <c r="A38" s="333">
        <v>2</v>
      </c>
      <c r="B38" s="333" t="str">
        <f t="shared" si="49"/>
        <v>CEREAL EMPACADO_2</v>
      </c>
      <c r="C38" s="333" t="str">
        <f t="shared" si="50"/>
        <v>61_2</v>
      </c>
      <c r="D38" s="333" t="s">
        <v>1607</v>
      </c>
      <c r="E38" s="256">
        <v>61</v>
      </c>
      <c r="F38" s="322" t="s">
        <v>13</v>
      </c>
      <c r="G38" s="256" t="s">
        <v>9</v>
      </c>
      <c r="H38" s="425">
        <f t="shared" si="51"/>
        <v>16</v>
      </c>
      <c r="I38" s="425">
        <f t="array" ref="I38">MAX((IF(MNU_CODIGO_ALIMENTO_ENTREGA=CONCATENATE($E38,"_","P_"),MNU_GRAMAJE_REQUERIDO_TIPOA,"")))</f>
        <v>20</v>
      </c>
      <c r="J38" s="257">
        <f t="shared" si="52"/>
        <v>5880</v>
      </c>
      <c r="K38" s="257">
        <f t="shared" si="53"/>
        <v>94080</v>
      </c>
      <c r="L38" s="446">
        <f t="shared" si="54"/>
        <v>222</v>
      </c>
      <c r="M38" s="446">
        <f t="shared" si="55"/>
        <v>10.833600000000001</v>
      </c>
      <c r="N38" s="446">
        <f t="shared" si="56"/>
        <v>0.190923552</v>
      </c>
      <c r="O38" s="446">
        <f t="shared" si="57"/>
        <v>233</v>
      </c>
      <c r="P38" s="258">
        <f t="shared" si="58"/>
        <v>20885760</v>
      </c>
      <c r="Q38" s="258">
        <f t="shared" si="59"/>
        <v>21920640</v>
      </c>
      <c r="R38" s="426">
        <f t="shared" si="60"/>
        <v>16</v>
      </c>
      <c r="S38" s="426">
        <f t="array" ref="S38">MAX((IF(MNU_CODIGO_ALIMENTO_ENTREGA=CONCATENATE($E38,"_","P_"),MNU_GRAMAJE_REQUERIDO_TIPOB,"")))</f>
        <v>30</v>
      </c>
      <c r="T38" s="259">
        <f t="shared" si="61"/>
        <v>7991</v>
      </c>
      <c r="U38" s="259">
        <f t="shared" si="62"/>
        <v>127856</v>
      </c>
      <c r="V38" s="446">
        <f t="shared" si="63"/>
        <v>334</v>
      </c>
      <c r="W38" s="446">
        <f t="shared" si="64"/>
        <v>16.299199999999999</v>
      </c>
      <c r="X38" s="446">
        <f t="shared" si="65"/>
        <v>0.28724534400000001</v>
      </c>
      <c r="Y38" s="446">
        <f t="shared" si="66"/>
        <v>351</v>
      </c>
      <c r="Z38" s="260">
        <f t="shared" si="67"/>
        <v>42703904</v>
      </c>
      <c r="AA38" s="260">
        <f t="shared" si="68"/>
        <v>44877456</v>
      </c>
      <c r="AB38" s="425">
        <f t="shared" si="69"/>
        <v>16</v>
      </c>
      <c r="AC38" s="425">
        <f t="array" ref="AC38">MAX((IF(MNU_CODIGO_ALIMENTO_ENTREGA=CONCATENATE($E38,"_","P_"),MNU_GRAMAJE_REQUERIDO_TIPOC,"")))</f>
        <v>70</v>
      </c>
      <c r="AD38" s="257">
        <f t="shared" si="70"/>
        <v>8100</v>
      </c>
      <c r="AE38" s="257">
        <f t="shared" si="71"/>
        <v>129600</v>
      </c>
      <c r="AF38" s="446">
        <f t="shared" si="72"/>
        <v>779</v>
      </c>
      <c r="AG38" s="446">
        <f t="shared" si="73"/>
        <v>38.0152</v>
      </c>
      <c r="AH38" s="446">
        <f t="shared" si="74"/>
        <v>0.66995246400000008</v>
      </c>
      <c r="AI38" s="446">
        <f t="shared" si="75"/>
        <v>818</v>
      </c>
      <c r="AJ38" s="258">
        <f t="shared" si="76"/>
        <v>100958400</v>
      </c>
      <c r="AK38" s="258">
        <f t="shared" si="77"/>
        <v>106012800</v>
      </c>
      <c r="AL38" s="426">
        <f t="shared" si="78"/>
        <v>16</v>
      </c>
      <c r="AM38" s="426">
        <f t="array" ref="AM38">MAX((IF(MNU_CODIGO_ALIMENTO_ENTREGA=CONCATENATE($E38,"_","P_"),MNU_GRAMAJE_REQUERIDO_TIPOM,"")))</f>
        <v>30</v>
      </c>
      <c r="AN38" s="259">
        <f t="shared" si="79"/>
        <v>350</v>
      </c>
      <c r="AO38" s="259">
        <f t="shared" si="80"/>
        <v>5600</v>
      </c>
      <c r="AP38" s="446">
        <f t="shared" si="81"/>
        <v>334</v>
      </c>
      <c r="AQ38" s="446">
        <f t="shared" si="82"/>
        <v>16.299199999999999</v>
      </c>
      <c r="AR38" s="446">
        <f t="shared" si="83"/>
        <v>0.28724534400000001</v>
      </c>
      <c r="AS38" s="446">
        <f t="shared" si="84"/>
        <v>351</v>
      </c>
      <c r="AT38" s="260">
        <f t="shared" si="85"/>
        <v>1870400</v>
      </c>
      <c r="AU38" s="260">
        <f t="shared" si="86"/>
        <v>1965600</v>
      </c>
      <c r="AV38" s="425">
        <f t="shared" si="87"/>
        <v>16</v>
      </c>
      <c r="AW38" s="425">
        <f t="array" ref="AW38">MAX((IF(MNU_CODIGO_ALIMENTO_ENTREGA=CONCATENATE($E38,"_","P_"),MNU_GRAMAJE_REQUERIDO_TIPOH,"")))</f>
        <v>70</v>
      </c>
      <c r="AX38" s="257">
        <f t="shared" si="88"/>
        <v>291</v>
      </c>
      <c r="AY38" s="257">
        <f t="shared" si="89"/>
        <v>4656</v>
      </c>
      <c r="AZ38" s="446">
        <f t="shared" si="90"/>
        <v>779</v>
      </c>
      <c r="BA38" s="446">
        <f t="shared" si="91"/>
        <v>38.0152</v>
      </c>
      <c r="BB38" s="446">
        <f t="shared" si="92"/>
        <v>0.66995246400000008</v>
      </c>
      <c r="BC38" s="446">
        <f t="shared" si="93"/>
        <v>818</v>
      </c>
      <c r="BD38" s="258">
        <f t="shared" si="94"/>
        <v>3627024</v>
      </c>
      <c r="BE38" s="258">
        <f t="shared" si="95"/>
        <v>3808608</v>
      </c>
      <c r="BF38" s="391">
        <f t="shared" si="96"/>
        <v>170045488</v>
      </c>
      <c r="BG38" s="391">
        <f t="shared" si="97"/>
        <v>178585104</v>
      </c>
    </row>
    <row r="39" spans="1:59" ht="15.75">
      <c r="A39" s="333">
        <v>2</v>
      </c>
      <c r="B39" s="333" t="str">
        <f t="shared" si="49"/>
        <v>CEREAL EMPACADO_2</v>
      </c>
      <c r="C39" s="333" t="str">
        <f t="shared" si="50"/>
        <v>62_2</v>
      </c>
      <c r="D39" s="333" t="s">
        <v>1607</v>
      </c>
      <c r="E39" s="256">
        <v>62</v>
      </c>
      <c r="F39" s="322" t="s">
        <v>68</v>
      </c>
      <c r="G39" s="256" t="s">
        <v>9</v>
      </c>
      <c r="H39" s="425">
        <f t="shared" si="51"/>
        <v>5</v>
      </c>
      <c r="I39" s="425">
        <f t="array" ref="I39">MAX((IF(MNU_CODIGO_ALIMENTO_ENTREGA=CONCATENATE($E39,"_","P_"),MNU_GRAMAJE_REQUERIDO_TIPOA,"")))</f>
        <v>50</v>
      </c>
      <c r="J39" s="257">
        <f t="shared" si="52"/>
        <v>5880</v>
      </c>
      <c r="K39" s="257">
        <f t="shared" si="53"/>
        <v>29400</v>
      </c>
      <c r="L39" s="446">
        <f t="shared" si="54"/>
        <v>595</v>
      </c>
      <c r="M39" s="446">
        <f t="shared" si="55"/>
        <v>29.036000000000001</v>
      </c>
      <c r="N39" s="446">
        <f t="shared" si="56"/>
        <v>0.51170952000000014</v>
      </c>
      <c r="O39" s="446">
        <f t="shared" si="57"/>
        <v>625</v>
      </c>
      <c r="P39" s="258">
        <f t="shared" si="58"/>
        <v>17493000</v>
      </c>
      <c r="Q39" s="258">
        <f t="shared" si="59"/>
        <v>18375000</v>
      </c>
      <c r="R39" s="426">
        <f t="shared" si="60"/>
        <v>5</v>
      </c>
      <c r="S39" s="426">
        <f t="array" ref="S39">MAX((IF(MNU_CODIGO_ALIMENTO_ENTREGA=CONCATENATE($E39,"_","P_"),MNU_GRAMAJE_REQUERIDO_TIPOB,"")))</f>
        <v>50</v>
      </c>
      <c r="T39" s="259">
        <f t="shared" si="61"/>
        <v>7991</v>
      </c>
      <c r="U39" s="259">
        <f t="shared" si="62"/>
        <v>39955</v>
      </c>
      <c r="V39" s="446">
        <f t="shared" si="63"/>
        <v>595</v>
      </c>
      <c r="W39" s="446">
        <f t="shared" si="64"/>
        <v>29.036000000000001</v>
      </c>
      <c r="X39" s="446">
        <f t="shared" si="65"/>
        <v>0.51170952000000014</v>
      </c>
      <c r="Y39" s="446">
        <f t="shared" si="66"/>
        <v>625</v>
      </c>
      <c r="Z39" s="260">
        <f t="shared" si="67"/>
        <v>23773225</v>
      </c>
      <c r="AA39" s="260">
        <f t="shared" si="68"/>
        <v>24971875</v>
      </c>
      <c r="AB39" s="425">
        <f t="shared" si="69"/>
        <v>5</v>
      </c>
      <c r="AC39" s="425">
        <f t="array" ref="AC39">MAX((IF(MNU_CODIGO_ALIMENTO_ENTREGA=CONCATENATE($E39,"_","P_"),MNU_GRAMAJE_REQUERIDO_TIPOC,"")))</f>
        <v>50</v>
      </c>
      <c r="AD39" s="257">
        <f t="shared" si="70"/>
        <v>8100</v>
      </c>
      <c r="AE39" s="257">
        <f t="shared" si="71"/>
        <v>40500</v>
      </c>
      <c r="AF39" s="446">
        <f t="shared" si="72"/>
        <v>595</v>
      </c>
      <c r="AG39" s="446">
        <f t="shared" si="73"/>
        <v>29.036000000000001</v>
      </c>
      <c r="AH39" s="446">
        <f t="shared" si="74"/>
        <v>0.51170952000000014</v>
      </c>
      <c r="AI39" s="446">
        <f t="shared" si="75"/>
        <v>625</v>
      </c>
      <c r="AJ39" s="258">
        <f t="shared" si="76"/>
        <v>24097500</v>
      </c>
      <c r="AK39" s="258">
        <f t="shared" si="77"/>
        <v>25312500</v>
      </c>
      <c r="AL39" s="426">
        <f t="shared" si="78"/>
        <v>5</v>
      </c>
      <c r="AM39" s="426">
        <f t="array" ref="AM39">MAX((IF(MNU_CODIGO_ALIMENTO_ENTREGA=CONCATENATE($E39,"_","P_"),MNU_GRAMAJE_REQUERIDO_TIPOM,"")))</f>
        <v>50</v>
      </c>
      <c r="AN39" s="259">
        <f t="shared" si="79"/>
        <v>350</v>
      </c>
      <c r="AO39" s="259">
        <f t="shared" si="80"/>
        <v>1750</v>
      </c>
      <c r="AP39" s="446">
        <f t="shared" si="81"/>
        <v>595</v>
      </c>
      <c r="AQ39" s="446">
        <f t="shared" si="82"/>
        <v>29.036000000000001</v>
      </c>
      <c r="AR39" s="446">
        <f t="shared" si="83"/>
        <v>0.51170952000000014</v>
      </c>
      <c r="AS39" s="446">
        <f t="shared" si="84"/>
        <v>625</v>
      </c>
      <c r="AT39" s="260">
        <f t="shared" si="85"/>
        <v>1041250</v>
      </c>
      <c r="AU39" s="260">
        <f t="shared" si="86"/>
        <v>1093750</v>
      </c>
      <c r="AV39" s="425">
        <f t="shared" si="87"/>
        <v>5</v>
      </c>
      <c r="AW39" s="425">
        <f t="array" ref="AW39">MAX((IF(MNU_CODIGO_ALIMENTO_ENTREGA=CONCATENATE($E39,"_","P_"),MNU_GRAMAJE_REQUERIDO_TIPOH,"")))</f>
        <v>50</v>
      </c>
      <c r="AX39" s="257">
        <f t="shared" si="88"/>
        <v>291</v>
      </c>
      <c r="AY39" s="257">
        <f t="shared" si="89"/>
        <v>1455</v>
      </c>
      <c r="AZ39" s="446">
        <f t="shared" si="90"/>
        <v>595</v>
      </c>
      <c r="BA39" s="446">
        <f t="shared" si="91"/>
        <v>29.036000000000001</v>
      </c>
      <c r="BB39" s="446">
        <f t="shared" si="92"/>
        <v>0.51170952000000014</v>
      </c>
      <c r="BC39" s="446">
        <f t="shared" si="93"/>
        <v>625</v>
      </c>
      <c r="BD39" s="258">
        <f t="shared" si="94"/>
        <v>865725</v>
      </c>
      <c r="BE39" s="258">
        <f t="shared" si="95"/>
        <v>909375</v>
      </c>
      <c r="BF39" s="391">
        <f t="shared" si="96"/>
        <v>67270700</v>
      </c>
      <c r="BG39" s="391">
        <f t="shared" si="97"/>
        <v>70662500</v>
      </c>
    </row>
    <row r="40" spans="1:59" ht="15.75">
      <c r="A40" s="333">
        <v>3</v>
      </c>
      <c r="B40" s="333" t="str">
        <f t="shared" si="49"/>
        <v>CEREAL EMPACADO_3</v>
      </c>
      <c r="C40" s="333" t="str">
        <f t="shared" si="50"/>
        <v>1_3</v>
      </c>
      <c r="D40" s="333" t="s">
        <v>1607</v>
      </c>
      <c r="E40" s="256">
        <v>1</v>
      </c>
      <c r="F40" s="322" t="s">
        <v>16</v>
      </c>
      <c r="G40" s="256" t="s">
        <v>9</v>
      </c>
      <c r="H40" s="425">
        <f t="shared" si="51"/>
        <v>15</v>
      </c>
      <c r="I40" s="425">
        <f t="array" ref="I40">MAX((IF(MNU_CODIGO_ALIMENTO_ENTREGA=CONCATENATE($E40,"_","P_"),MNU_GRAMAJE_REQUERIDO_TIPOA,"")))</f>
        <v>30</v>
      </c>
      <c r="J40" s="257">
        <f t="shared" si="52"/>
        <v>6099</v>
      </c>
      <c r="K40" s="257">
        <f t="shared" si="53"/>
        <v>91485</v>
      </c>
      <c r="L40" s="446">
        <f t="shared" si="54"/>
        <v>770</v>
      </c>
      <c r="M40" s="446">
        <f t="shared" si="55"/>
        <v>37.576000000000008</v>
      </c>
      <c r="N40" s="446">
        <f t="shared" si="56"/>
        <v>0.66221231999999997</v>
      </c>
      <c r="O40" s="446">
        <f t="shared" si="57"/>
        <v>808</v>
      </c>
      <c r="P40" s="258">
        <f t="shared" si="58"/>
        <v>70443450</v>
      </c>
      <c r="Q40" s="258">
        <f t="shared" si="59"/>
        <v>73919880</v>
      </c>
      <c r="R40" s="426">
        <f t="shared" si="60"/>
        <v>15</v>
      </c>
      <c r="S40" s="426">
        <f t="array" ref="S40">MAX((IF(MNU_CODIGO_ALIMENTO_ENTREGA=CONCATENATE($E40,"_","P_"),MNU_GRAMAJE_REQUERIDO_TIPOB,"")))</f>
        <v>40</v>
      </c>
      <c r="T40" s="259">
        <f t="shared" si="61"/>
        <v>7295</v>
      </c>
      <c r="U40" s="259">
        <f t="shared" si="62"/>
        <v>109425</v>
      </c>
      <c r="V40" s="446">
        <f t="shared" si="63"/>
        <v>1027</v>
      </c>
      <c r="W40" s="446">
        <f t="shared" si="64"/>
        <v>50.117600000000003</v>
      </c>
      <c r="X40" s="446">
        <f t="shared" si="65"/>
        <v>0.88323643200000013</v>
      </c>
      <c r="Y40" s="446">
        <f t="shared" si="66"/>
        <v>1078</v>
      </c>
      <c r="Z40" s="260">
        <f t="shared" si="67"/>
        <v>112379475</v>
      </c>
      <c r="AA40" s="260">
        <f t="shared" si="68"/>
        <v>117960150</v>
      </c>
      <c r="AB40" s="425">
        <f t="shared" si="69"/>
        <v>15</v>
      </c>
      <c r="AC40" s="425">
        <f t="array" ref="AC40">MAX((IF(MNU_CODIGO_ALIMENTO_ENTREGA=CONCATENATE($E40,"_","P_"),MNU_GRAMAJE_REQUERIDO_TIPOC,"")))</f>
        <v>60</v>
      </c>
      <c r="AD40" s="257">
        <f t="shared" si="70"/>
        <v>7610</v>
      </c>
      <c r="AE40" s="257">
        <f t="shared" si="71"/>
        <v>114150</v>
      </c>
      <c r="AF40" s="446">
        <f t="shared" si="72"/>
        <v>1540</v>
      </c>
      <c r="AG40" s="446">
        <f t="shared" si="73"/>
        <v>75.152000000000015</v>
      </c>
      <c r="AH40" s="446">
        <f t="shared" si="74"/>
        <v>1.3244246399999999</v>
      </c>
      <c r="AI40" s="446">
        <f t="shared" si="75"/>
        <v>1616</v>
      </c>
      <c r="AJ40" s="258">
        <f t="shared" si="76"/>
        <v>175791000</v>
      </c>
      <c r="AK40" s="258">
        <f t="shared" si="77"/>
        <v>184466400</v>
      </c>
      <c r="AL40" s="426">
        <f t="shared" si="78"/>
        <v>15</v>
      </c>
      <c r="AM40" s="426">
        <f t="array" ref="AM40">MAX((IF(MNU_CODIGO_ALIMENTO_ENTREGA=CONCATENATE($E40,"_","P_"),MNU_GRAMAJE_REQUERIDO_TIPOM,"")))</f>
        <v>40</v>
      </c>
      <c r="AN40" s="259">
        <f t="shared" si="79"/>
        <v>243</v>
      </c>
      <c r="AO40" s="259">
        <f t="shared" si="80"/>
        <v>3645</v>
      </c>
      <c r="AP40" s="446">
        <f t="shared" si="81"/>
        <v>1027</v>
      </c>
      <c r="AQ40" s="446">
        <f t="shared" si="82"/>
        <v>50.117600000000003</v>
      </c>
      <c r="AR40" s="446">
        <f t="shared" si="83"/>
        <v>0.88323643200000013</v>
      </c>
      <c r="AS40" s="446">
        <f t="shared" si="84"/>
        <v>1078</v>
      </c>
      <c r="AT40" s="260">
        <f t="shared" si="85"/>
        <v>3743415</v>
      </c>
      <c r="AU40" s="260">
        <f t="shared" si="86"/>
        <v>3929310</v>
      </c>
      <c r="AV40" s="425">
        <f t="shared" si="87"/>
        <v>15</v>
      </c>
      <c r="AW40" s="425">
        <f t="array" ref="AW40">MAX((IF(MNU_CODIGO_ALIMENTO_ENTREGA=CONCATENATE($E40,"_","P_"),MNU_GRAMAJE_REQUERIDO_TIPOH,"")))</f>
        <v>60</v>
      </c>
      <c r="AX40" s="257">
        <f t="shared" si="88"/>
        <v>220</v>
      </c>
      <c r="AY40" s="257">
        <f t="shared" si="89"/>
        <v>3300</v>
      </c>
      <c r="AZ40" s="446">
        <f t="shared" si="90"/>
        <v>1540</v>
      </c>
      <c r="BA40" s="446">
        <f t="shared" si="91"/>
        <v>75.152000000000015</v>
      </c>
      <c r="BB40" s="446">
        <f t="shared" si="92"/>
        <v>1.3244246399999999</v>
      </c>
      <c r="BC40" s="446">
        <f t="shared" si="93"/>
        <v>1616</v>
      </c>
      <c r="BD40" s="258">
        <f t="shared" si="94"/>
        <v>5082000</v>
      </c>
      <c r="BE40" s="258">
        <f t="shared" si="95"/>
        <v>5332800</v>
      </c>
      <c r="BF40" s="391">
        <f t="shared" si="96"/>
        <v>367439340</v>
      </c>
      <c r="BG40" s="391">
        <f t="shared" si="97"/>
        <v>385608540</v>
      </c>
    </row>
    <row r="41" spans="1:59" ht="15.75">
      <c r="A41" s="333">
        <v>3</v>
      </c>
      <c r="B41" s="333" t="str">
        <f t="shared" si="49"/>
        <v>CEREAL EMPACADO_3</v>
      </c>
      <c r="C41" s="333" t="str">
        <f t="shared" si="50"/>
        <v>3_3</v>
      </c>
      <c r="D41" s="333" t="s">
        <v>1607</v>
      </c>
      <c r="E41" s="256">
        <v>3</v>
      </c>
      <c r="F41" s="322" t="s">
        <v>12</v>
      </c>
      <c r="G41" s="256" t="s">
        <v>9</v>
      </c>
      <c r="H41" s="425">
        <f t="shared" si="51"/>
        <v>17</v>
      </c>
      <c r="I41" s="425">
        <f t="array" ref="I41">MAX((IF(MNU_CODIGO_ALIMENTO_ENTREGA=CONCATENATE($E41,"_","P_"),MNU_GRAMAJE_REQUERIDO_TIPOA,"")))</f>
        <v>50</v>
      </c>
      <c r="J41" s="257">
        <f t="shared" si="52"/>
        <v>6099</v>
      </c>
      <c r="K41" s="257">
        <f t="shared" si="53"/>
        <v>103683</v>
      </c>
      <c r="L41" s="446">
        <f t="shared" si="54"/>
        <v>481</v>
      </c>
      <c r="M41" s="446">
        <f t="shared" si="55"/>
        <v>23.472799999999999</v>
      </c>
      <c r="N41" s="446">
        <f t="shared" si="56"/>
        <v>0.41366769599999997</v>
      </c>
      <c r="O41" s="446">
        <f t="shared" si="57"/>
        <v>505</v>
      </c>
      <c r="P41" s="258">
        <f t="shared" si="58"/>
        <v>49871523</v>
      </c>
      <c r="Q41" s="258">
        <f t="shared" si="59"/>
        <v>52359915</v>
      </c>
      <c r="R41" s="426">
        <f t="shared" si="60"/>
        <v>17</v>
      </c>
      <c r="S41" s="426">
        <f t="array" ref="S41">MAX((IF(MNU_CODIGO_ALIMENTO_ENTREGA=CONCATENATE($E41,"_","P_"),MNU_GRAMAJE_REQUERIDO_TIPOB,"")))</f>
        <v>50</v>
      </c>
      <c r="T41" s="259">
        <f t="shared" si="61"/>
        <v>7295</v>
      </c>
      <c r="U41" s="259">
        <f t="shared" si="62"/>
        <v>124015</v>
      </c>
      <c r="V41" s="446">
        <f t="shared" si="63"/>
        <v>481</v>
      </c>
      <c r="W41" s="446">
        <f t="shared" si="64"/>
        <v>23.472799999999999</v>
      </c>
      <c r="X41" s="446">
        <f t="shared" si="65"/>
        <v>0.41366769599999997</v>
      </c>
      <c r="Y41" s="446">
        <f t="shared" si="66"/>
        <v>505</v>
      </c>
      <c r="Z41" s="260">
        <f t="shared" si="67"/>
        <v>59651215</v>
      </c>
      <c r="AA41" s="260">
        <f t="shared" si="68"/>
        <v>62627575</v>
      </c>
      <c r="AB41" s="425">
        <f t="shared" si="69"/>
        <v>17</v>
      </c>
      <c r="AC41" s="425">
        <f t="array" ref="AC41">MAX((IF(MNU_CODIGO_ALIMENTO_ENTREGA=CONCATENATE($E41,"_","P_"),MNU_GRAMAJE_REQUERIDO_TIPOC,"")))</f>
        <v>80</v>
      </c>
      <c r="AD41" s="257">
        <f t="shared" si="70"/>
        <v>7610</v>
      </c>
      <c r="AE41" s="257">
        <f t="shared" si="71"/>
        <v>129370</v>
      </c>
      <c r="AF41" s="446">
        <f t="shared" si="72"/>
        <v>727</v>
      </c>
      <c r="AG41" s="446">
        <f t="shared" si="73"/>
        <v>35.477600000000002</v>
      </c>
      <c r="AH41" s="446">
        <f t="shared" si="74"/>
        <v>0.62523163200000009</v>
      </c>
      <c r="AI41" s="446">
        <f t="shared" si="75"/>
        <v>763</v>
      </c>
      <c r="AJ41" s="258">
        <f t="shared" si="76"/>
        <v>94051990</v>
      </c>
      <c r="AK41" s="258">
        <f t="shared" si="77"/>
        <v>98709310</v>
      </c>
      <c r="AL41" s="426">
        <f t="shared" si="78"/>
        <v>17</v>
      </c>
      <c r="AM41" s="426">
        <f t="array" ref="AM41">MAX((IF(MNU_CODIGO_ALIMENTO_ENTREGA=CONCATENATE($E41,"_","P_"),MNU_GRAMAJE_REQUERIDO_TIPOM,"")))</f>
        <v>50</v>
      </c>
      <c r="AN41" s="259">
        <f t="shared" si="79"/>
        <v>243</v>
      </c>
      <c r="AO41" s="259">
        <f t="shared" si="80"/>
        <v>4131</v>
      </c>
      <c r="AP41" s="446">
        <f t="shared" si="81"/>
        <v>481</v>
      </c>
      <c r="AQ41" s="446">
        <f t="shared" si="82"/>
        <v>23.472799999999999</v>
      </c>
      <c r="AR41" s="446">
        <f t="shared" si="83"/>
        <v>0.41366769599999997</v>
      </c>
      <c r="AS41" s="446">
        <f t="shared" si="84"/>
        <v>505</v>
      </c>
      <c r="AT41" s="260">
        <f t="shared" si="85"/>
        <v>1987011</v>
      </c>
      <c r="AU41" s="260">
        <f t="shared" si="86"/>
        <v>2086155</v>
      </c>
      <c r="AV41" s="425">
        <f t="shared" si="87"/>
        <v>17</v>
      </c>
      <c r="AW41" s="425">
        <f t="array" ref="AW41">MAX((IF(MNU_CODIGO_ALIMENTO_ENTREGA=CONCATENATE($E41,"_","P_"),MNU_GRAMAJE_REQUERIDO_TIPOH,"")))</f>
        <v>80</v>
      </c>
      <c r="AX41" s="257">
        <f t="shared" si="88"/>
        <v>220</v>
      </c>
      <c r="AY41" s="257">
        <f t="shared" si="89"/>
        <v>3740</v>
      </c>
      <c r="AZ41" s="446">
        <f t="shared" si="90"/>
        <v>727</v>
      </c>
      <c r="BA41" s="446">
        <f t="shared" si="91"/>
        <v>35.477600000000002</v>
      </c>
      <c r="BB41" s="446">
        <f t="shared" si="92"/>
        <v>0.62523163200000009</v>
      </c>
      <c r="BC41" s="446">
        <f t="shared" si="93"/>
        <v>763</v>
      </c>
      <c r="BD41" s="258">
        <f t="shared" si="94"/>
        <v>2718980</v>
      </c>
      <c r="BE41" s="258">
        <f t="shared" si="95"/>
        <v>2853620</v>
      </c>
      <c r="BF41" s="391">
        <f t="shared" si="96"/>
        <v>208280719</v>
      </c>
      <c r="BG41" s="391">
        <f t="shared" si="97"/>
        <v>218636575</v>
      </c>
    </row>
    <row r="42" spans="1:59" ht="15.75">
      <c r="A42" s="333">
        <v>3</v>
      </c>
      <c r="B42" s="333" t="str">
        <f t="shared" si="49"/>
        <v>CEREAL EMPACADO_3</v>
      </c>
      <c r="C42" s="333" t="str">
        <f t="shared" si="50"/>
        <v>15_3</v>
      </c>
      <c r="D42" s="333" t="s">
        <v>1607</v>
      </c>
      <c r="E42" s="256">
        <v>15</v>
      </c>
      <c r="F42" s="322" t="s">
        <v>66</v>
      </c>
      <c r="G42" s="256" t="s">
        <v>9</v>
      </c>
      <c r="H42" s="425">
        <f t="shared" si="51"/>
        <v>17</v>
      </c>
      <c r="I42" s="425">
        <f t="array" ref="I42">MAX((IF(MNU_CODIGO_ALIMENTO_ENTREGA=CONCATENATE($E42,"_","P_"),MNU_GRAMAJE_REQUERIDO_TIPOA,"")))</f>
        <v>50</v>
      </c>
      <c r="J42" s="257">
        <f t="shared" si="52"/>
        <v>6099</v>
      </c>
      <c r="K42" s="257">
        <f t="shared" si="53"/>
        <v>103683</v>
      </c>
      <c r="L42" s="446">
        <f t="shared" si="54"/>
        <v>641</v>
      </c>
      <c r="M42" s="446">
        <f t="shared" si="55"/>
        <v>31.280800000000003</v>
      </c>
      <c r="N42" s="446">
        <f t="shared" si="56"/>
        <v>0.55127025600000001</v>
      </c>
      <c r="O42" s="446">
        <f t="shared" si="57"/>
        <v>673</v>
      </c>
      <c r="P42" s="258">
        <f t="shared" si="58"/>
        <v>66460803</v>
      </c>
      <c r="Q42" s="258">
        <f t="shared" si="59"/>
        <v>69778659</v>
      </c>
      <c r="R42" s="426">
        <f t="shared" si="60"/>
        <v>17</v>
      </c>
      <c r="S42" s="426">
        <f t="array" ref="S42">MAX((IF(MNU_CODIGO_ALIMENTO_ENTREGA=CONCATENATE($E42,"_","P_"),MNU_GRAMAJE_REQUERIDO_TIPOB,"")))</f>
        <v>50</v>
      </c>
      <c r="T42" s="259">
        <f t="shared" si="61"/>
        <v>7295</v>
      </c>
      <c r="U42" s="259">
        <f t="shared" si="62"/>
        <v>124015</v>
      </c>
      <c r="V42" s="446">
        <f t="shared" si="63"/>
        <v>641</v>
      </c>
      <c r="W42" s="446">
        <f t="shared" si="64"/>
        <v>31.280800000000003</v>
      </c>
      <c r="X42" s="446">
        <f t="shared" si="65"/>
        <v>0.55127025600000001</v>
      </c>
      <c r="Y42" s="446">
        <f t="shared" si="66"/>
        <v>673</v>
      </c>
      <c r="Z42" s="260">
        <f t="shared" si="67"/>
        <v>79493615</v>
      </c>
      <c r="AA42" s="260">
        <f t="shared" si="68"/>
        <v>83462095</v>
      </c>
      <c r="AB42" s="425">
        <f t="shared" si="69"/>
        <v>17</v>
      </c>
      <c r="AC42" s="425">
        <f t="array" ref="AC42">MAX((IF(MNU_CODIGO_ALIMENTO_ENTREGA=CONCATENATE($E42,"_","P_"),MNU_GRAMAJE_REQUERIDO_TIPOC,"")))</f>
        <v>80</v>
      </c>
      <c r="AD42" s="257">
        <f t="shared" si="70"/>
        <v>7610</v>
      </c>
      <c r="AE42" s="257">
        <f t="shared" si="71"/>
        <v>129370</v>
      </c>
      <c r="AF42" s="446">
        <f t="shared" si="72"/>
        <v>1025</v>
      </c>
      <c r="AG42" s="446">
        <f t="shared" si="73"/>
        <v>50.02</v>
      </c>
      <c r="AH42" s="446">
        <f t="shared" si="74"/>
        <v>0.88151640000000009</v>
      </c>
      <c r="AI42" s="446">
        <f t="shared" si="75"/>
        <v>1076</v>
      </c>
      <c r="AJ42" s="258">
        <f t="shared" si="76"/>
        <v>132604250</v>
      </c>
      <c r="AK42" s="258">
        <f t="shared" si="77"/>
        <v>139202120</v>
      </c>
      <c r="AL42" s="426">
        <f t="shared" si="78"/>
        <v>17</v>
      </c>
      <c r="AM42" s="426">
        <f t="array" ref="AM42">MAX((IF(MNU_CODIGO_ALIMENTO_ENTREGA=CONCATENATE($E42,"_","P_"),MNU_GRAMAJE_REQUERIDO_TIPOM,"")))</f>
        <v>50</v>
      </c>
      <c r="AN42" s="259">
        <f t="shared" si="79"/>
        <v>243</v>
      </c>
      <c r="AO42" s="259">
        <f t="shared" si="80"/>
        <v>4131</v>
      </c>
      <c r="AP42" s="446">
        <f t="shared" si="81"/>
        <v>641</v>
      </c>
      <c r="AQ42" s="446">
        <f t="shared" si="82"/>
        <v>31.280800000000003</v>
      </c>
      <c r="AR42" s="446">
        <f t="shared" si="83"/>
        <v>0.55127025600000001</v>
      </c>
      <c r="AS42" s="446">
        <f t="shared" si="84"/>
        <v>673</v>
      </c>
      <c r="AT42" s="260">
        <f t="shared" si="85"/>
        <v>2647971</v>
      </c>
      <c r="AU42" s="260">
        <f t="shared" si="86"/>
        <v>2780163</v>
      </c>
      <c r="AV42" s="425">
        <f t="shared" si="87"/>
        <v>17</v>
      </c>
      <c r="AW42" s="425">
        <f t="array" ref="AW42">MAX((IF(MNU_CODIGO_ALIMENTO_ENTREGA=CONCATENATE($E42,"_","P_"),MNU_GRAMAJE_REQUERIDO_TIPOH,"")))</f>
        <v>80</v>
      </c>
      <c r="AX42" s="257">
        <f t="shared" si="88"/>
        <v>220</v>
      </c>
      <c r="AY42" s="257">
        <f t="shared" si="89"/>
        <v>3740</v>
      </c>
      <c r="AZ42" s="446">
        <f t="shared" si="90"/>
        <v>1025</v>
      </c>
      <c r="BA42" s="446">
        <f t="shared" si="91"/>
        <v>50.02</v>
      </c>
      <c r="BB42" s="446">
        <f t="shared" si="92"/>
        <v>0.88151640000000009</v>
      </c>
      <c r="BC42" s="446">
        <f t="shared" si="93"/>
        <v>1076</v>
      </c>
      <c r="BD42" s="258">
        <f t="shared" si="94"/>
        <v>3833500</v>
      </c>
      <c r="BE42" s="258">
        <f t="shared" si="95"/>
        <v>4024240</v>
      </c>
      <c r="BF42" s="391">
        <f t="shared" si="96"/>
        <v>285040139</v>
      </c>
      <c r="BG42" s="391">
        <f t="shared" si="97"/>
        <v>299247277</v>
      </c>
    </row>
    <row r="43" spans="1:59" ht="15.75">
      <c r="A43" s="333">
        <v>3</v>
      </c>
      <c r="B43" s="333" t="str">
        <f t="shared" si="49"/>
        <v>CEREAL EMPACADO_3</v>
      </c>
      <c r="C43" s="333" t="str">
        <f t="shared" si="50"/>
        <v>24_3</v>
      </c>
      <c r="D43" s="333" t="s">
        <v>1607</v>
      </c>
      <c r="E43" s="256">
        <v>24</v>
      </c>
      <c r="F43" s="322" t="s">
        <v>61</v>
      </c>
      <c r="G43" s="256" t="s">
        <v>9</v>
      </c>
      <c r="H43" s="425">
        <f t="shared" si="51"/>
        <v>17</v>
      </c>
      <c r="I43" s="425">
        <f t="array" ref="I43">MAX((IF(MNU_CODIGO_ALIMENTO_ENTREGA=CONCATENATE($E43,"_","P_"),MNU_GRAMAJE_REQUERIDO_TIPOA,"")))</f>
        <v>20</v>
      </c>
      <c r="J43" s="257">
        <f t="shared" si="52"/>
        <v>6099</v>
      </c>
      <c r="K43" s="257">
        <f t="shared" si="53"/>
        <v>103683</v>
      </c>
      <c r="L43" s="446">
        <f t="shared" si="54"/>
        <v>122</v>
      </c>
      <c r="M43" s="446">
        <f t="shared" si="55"/>
        <v>5.9535999999999998</v>
      </c>
      <c r="N43" s="446">
        <f t="shared" si="56"/>
        <v>0.104921952</v>
      </c>
      <c r="O43" s="446">
        <f t="shared" si="57"/>
        <v>128</v>
      </c>
      <c r="P43" s="258">
        <f t="shared" si="58"/>
        <v>12649326</v>
      </c>
      <c r="Q43" s="258">
        <f t="shared" si="59"/>
        <v>13271424</v>
      </c>
      <c r="R43" s="426">
        <f t="shared" si="60"/>
        <v>17</v>
      </c>
      <c r="S43" s="426">
        <f t="array" ref="S43">MAX((IF(MNU_CODIGO_ALIMENTO_ENTREGA=CONCATENATE($E43,"_","P_"),MNU_GRAMAJE_REQUERIDO_TIPOB,"")))</f>
        <v>30</v>
      </c>
      <c r="T43" s="259">
        <f t="shared" si="61"/>
        <v>7295</v>
      </c>
      <c r="U43" s="259">
        <f t="shared" si="62"/>
        <v>124015</v>
      </c>
      <c r="V43" s="446">
        <f t="shared" si="63"/>
        <v>191</v>
      </c>
      <c r="W43" s="446">
        <f t="shared" si="64"/>
        <v>9.3208000000000002</v>
      </c>
      <c r="X43" s="446">
        <f t="shared" si="65"/>
        <v>0.16426305600000002</v>
      </c>
      <c r="Y43" s="446">
        <f t="shared" si="66"/>
        <v>200</v>
      </c>
      <c r="Z43" s="260">
        <f t="shared" si="67"/>
        <v>23686865</v>
      </c>
      <c r="AA43" s="260">
        <f t="shared" si="68"/>
        <v>24803000</v>
      </c>
      <c r="AB43" s="425">
        <f t="shared" si="69"/>
        <v>17</v>
      </c>
      <c r="AC43" s="425">
        <f t="array" ref="AC43">MAX((IF(MNU_CODIGO_ALIMENTO_ENTREGA=CONCATENATE($E43,"_","P_"),MNU_GRAMAJE_REQUERIDO_TIPOC,"")))</f>
        <v>60</v>
      </c>
      <c r="AD43" s="257">
        <f t="shared" si="70"/>
        <v>7610</v>
      </c>
      <c r="AE43" s="257">
        <f t="shared" si="71"/>
        <v>129370</v>
      </c>
      <c r="AF43" s="446">
        <f t="shared" si="72"/>
        <v>367</v>
      </c>
      <c r="AG43" s="446">
        <f t="shared" si="73"/>
        <v>17.909599999999998</v>
      </c>
      <c r="AH43" s="446">
        <f t="shared" si="74"/>
        <v>0.31562587200000003</v>
      </c>
      <c r="AI43" s="446">
        <f t="shared" si="75"/>
        <v>385</v>
      </c>
      <c r="AJ43" s="258">
        <f t="shared" si="76"/>
        <v>47478790</v>
      </c>
      <c r="AK43" s="258">
        <f t="shared" si="77"/>
        <v>49807450</v>
      </c>
      <c r="AL43" s="426">
        <f t="shared" si="78"/>
        <v>17</v>
      </c>
      <c r="AM43" s="426">
        <f t="array" ref="AM43">MAX((IF(MNU_CODIGO_ALIMENTO_ENTREGA=CONCATENATE($E43,"_","P_"),MNU_GRAMAJE_REQUERIDO_TIPOM,"")))</f>
        <v>30</v>
      </c>
      <c r="AN43" s="259">
        <f t="shared" si="79"/>
        <v>243</v>
      </c>
      <c r="AO43" s="259">
        <f t="shared" si="80"/>
        <v>4131</v>
      </c>
      <c r="AP43" s="446">
        <f t="shared" si="81"/>
        <v>191</v>
      </c>
      <c r="AQ43" s="446">
        <f t="shared" si="82"/>
        <v>9.3208000000000002</v>
      </c>
      <c r="AR43" s="446">
        <f t="shared" si="83"/>
        <v>0.16426305600000002</v>
      </c>
      <c r="AS43" s="446">
        <f t="shared" si="84"/>
        <v>200</v>
      </c>
      <c r="AT43" s="260">
        <f t="shared" si="85"/>
        <v>789021</v>
      </c>
      <c r="AU43" s="260">
        <f t="shared" si="86"/>
        <v>826200</v>
      </c>
      <c r="AV43" s="425">
        <f t="shared" si="87"/>
        <v>17</v>
      </c>
      <c r="AW43" s="425">
        <f t="array" ref="AW43">MAX((IF(MNU_CODIGO_ALIMENTO_ENTREGA=CONCATENATE($E43,"_","P_"),MNU_GRAMAJE_REQUERIDO_TIPOH,"")))</f>
        <v>60</v>
      </c>
      <c r="AX43" s="257">
        <f t="shared" si="88"/>
        <v>220</v>
      </c>
      <c r="AY43" s="257">
        <f t="shared" si="89"/>
        <v>3740</v>
      </c>
      <c r="AZ43" s="446">
        <f t="shared" si="90"/>
        <v>367</v>
      </c>
      <c r="BA43" s="446">
        <f t="shared" si="91"/>
        <v>17.909599999999998</v>
      </c>
      <c r="BB43" s="446">
        <f t="shared" si="92"/>
        <v>0.31562587200000003</v>
      </c>
      <c r="BC43" s="446">
        <f t="shared" si="93"/>
        <v>385</v>
      </c>
      <c r="BD43" s="258">
        <f t="shared" si="94"/>
        <v>1372580</v>
      </c>
      <c r="BE43" s="258">
        <f t="shared" si="95"/>
        <v>1439900</v>
      </c>
      <c r="BF43" s="391">
        <f t="shared" si="96"/>
        <v>85976582</v>
      </c>
      <c r="BG43" s="391">
        <f t="shared" si="97"/>
        <v>90147974</v>
      </c>
    </row>
    <row r="44" spans="1:59" ht="15.75">
      <c r="A44" s="333">
        <v>3</v>
      </c>
      <c r="B44" s="333" t="str">
        <f t="shared" si="49"/>
        <v>CEREAL EMPACADO_3</v>
      </c>
      <c r="C44" s="333" t="str">
        <f t="shared" si="50"/>
        <v>25_3</v>
      </c>
      <c r="D44" s="333" t="s">
        <v>1607</v>
      </c>
      <c r="E44" s="256">
        <v>25</v>
      </c>
      <c r="F44" s="322" t="s">
        <v>64</v>
      </c>
      <c r="G44" s="256" t="s">
        <v>9</v>
      </c>
      <c r="H44" s="425">
        <f t="shared" si="51"/>
        <v>17</v>
      </c>
      <c r="I44" s="425">
        <f t="array" ref="I44">MAX((IF(MNU_CODIGO_ALIMENTO_ENTREGA=CONCATENATE($E44,"_","P_"),MNU_GRAMAJE_REQUERIDO_TIPOA,"")))</f>
        <v>40</v>
      </c>
      <c r="J44" s="257">
        <f t="shared" si="52"/>
        <v>6099</v>
      </c>
      <c r="K44" s="257">
        <f t="shared" si="53"/>
        <v>103683</v>
      </c>
      <c r="L44" s="446">
        <f t="shared" si="54"/>
        <v>244</v>
      </c>
      <c r="M44" s="446">
        <f t="shared" si="55"/>
        <v>11.9072</v>
      </c>
      <c r="N44" s="446">
        <f t="shared" si="56"/>
        <v>0.209843904</v>
      </c>
      <c r="O44" s="446">
        <f t="shared" si="57"/>
        <v>256</v>
      </c>
      <c r="P44" s="258">
        <f t="shared" si="58"/>
        <v>25298652</v>
      </c>
      <c r="Q44" s="258">
        <f t="shared" si="59"/>
        <v>26542848</v>
      </c>
      <c r="R44" s="426">
        <f t="shared" si="60"/>
        <v>17</v>
      </c>
      <c r="S44" s="426">
        <f t="array" ref="S44">MAX((IF(MNU_CODIGO_ALIMENTO_ENTREGA=CONCATENATE($E44,"_","P_"),MNU_GRAMAJE_REQUERIDO_TIPOB,"")))</f>
        <v>40</v>
      </c>
      <c r="T44" s="259">
        <f t="shared" si="61"/>
        <v>7295</v>
      </c>
      <c r="U44" s="259">
        <f t="shared" si="62"/>
        <v>124015</v>
      </c>
      <c r="V44" s="446">
        <f t="shared" si="63"/>
        <v>244</v>
      </c>
      <c r="W44" s="446">
        <f t="shared" si="64"/>
        <v>11.9072</v>
      </c>
      <c r="X44" s="446">
        <f t="shared" si="65"/>
        <v>0.209843904</v>
      </c>
      <c r="Y44" s="446">
        <f t="shared" si="66"/>
        <v>256</v>
      </c>
      <c r="Z44" s="260">
        <f t="shared" si="67"/>
        <v>30259660</v>
      </c>
      <c r="AA44" s="260">
        <f t="shared" si="68"/>
        <v>31747840</v>
      </c>
      <c r="AB44" s="425">
        <f t="shared" si="69"/>
        <v>17</v>
      </c>
      <c r="AC44" s="425">
        <f t="array" ref="AC44">MAX((IF(MNU_CODIGO_ALIMENTO_ENTREGA=CONCATENATE($E44,"_","P_"),MNU_GRAMAJE_REQUERIDO_TIPOC,"")))</f>
        <v>60</v>
      </c>
      <c r="AD44" s="257">
        <f t="shared" si="70"/>
        <v>7610</v>
      </c>
      <c r="AE44" s="257">
        <f t="shared" si="71"/>
        <v>129370</v>
      </c>
      <c r="AF44" s="446">
        <f t="shared" si="72"/>
        <v>366</v>
      </c>
      <c r="AG44" s="446">
        <f t="shared" si="73"/>
        <v>17.860800000000001</v>
      </c>
      <c r="AH44" s="446">
        <f t="shared" si="74"/>
        <v>0.31476585600000001</v>
      </c>
      <c r="AI44" s="446">
        <f t="shared" si="75"/>
        <v>384</v>
      </c>
      <c r="AJ44" s="258">
        <f t="shared" si="76"/>
        <v>47349420</v>
      </c>
      <c r="AK44" s="258">
        <f t="shared" si="77"/>
        <v>49678080</v>
      </c>
      <c r="AL44" s="426">
        <f t="shared" si="78"/>
        <v>17</v>
      </c>
      <c r="AM44" s="426">
        <f t="array" ref="AM44">MAX((IF(MNU_CODIGO_ALIMENTO_ENTREGA=CONCATENATE($E44,"_","P_"),MNU_GRAMAJE_REQUERIDO_TIPOM,"")))</f>
        <v>40</v>
      </c>
      <c r="AN44" s="259">
        <f t="shared" si="79"/>
        <v>243</v>
      </c>
      <c r="AO44" s="259">
        <f t="shared" si="80"/>
        <v>4131</v>
      </c>
      <c r="AP44" s="446">
        <f t="shared" si="81"/>
        <v>244</v>
      </c>
      <c r="AQ44" s="446">
        <f t="shared" si="82"/>
        <v>11.9072</v>
      </c>
      <c r="AR44" s="446">
        <f t="shared" si="83"/>
        <v>0.209843904</v>
      </c>
      <c r="AS44" s="446">
        <f t="shared" si="84"/>
        <v>256</v>
      </c>
      <c r="AT44" s="260">
        <f t="shared" si="85"/>
        <v>1007964</v>
      </c>
      <c r="AU44" s="260">
        <f t="shared" si="86"/>
        <v>1057536</v>
      </c>
      <c r="AV44" s="425">
        <f t="shared" si="87"/>
        <v>17</v>
      </c>
      <c r="AW44" s="425">
        <f t="array" ref="AW44">MAX((IF(MNU_CODIGO_ALIMENTO_ENTREGA=CONCATENATE($E44,"_","P_"),MNU_GRAMAJE_REQUERIDO_TIPOH,"")))</f>
        <v>60</v>
      </c>
      <c r="AX44" s="257">
        <f t="shared" si="88"/>
        <v>220</v>
      </c>
      <c r="AY44" s="257">
        <f t="shared" si="89"/>
        <v>3740</v>
      </c>
      <c r="AZ44" s="446">
        <f t="shared" si="90"/>
        <v>366</v>
      </c>
      <c r="BA44" s="446">
        <f t="shared" si="91"/>
        <v>17.860800000000001</v>
      </c>
      <c r="BB44" s="446">
        <f t="shared" si="92"/>
        <v>0.31476585600000001</v>
      </c>
      <c r="BC44" s="446">
        <f t="shared" si="93"/>
        <v>384</v>
      </c>
      <c r="BD44" s="258">
        <f t="shared" si="94"/>
        <v>1368840</v>
      </c>
      <c r="BE44" s="258">
        <f t="shared" si="95"/>
        <v>1436160</v>
      </c>
      <c r="BF44" s="391">
        <f t="shared" si="96"/>
        <v>105284536</v>
      </c>
      <c r="BG44" s="391">
        <f t="shared" si="97"/>
        <v>110462464</v>
      </c>
    </row>
    <row r="45" spans="1:59" ht="15.75">
      <c r="A45" s="333">
        <v>3</v>
      </c>
      <c r="B45" s="333" t="str">
        <f t="shared" si="49"/>
        <v>CEREAL EMPACADO_3</v>
      </c>
      <c r="C45" s="333" t="str">
        <f t="shared" si="50"/>
        <v>26_3</v>
      </c>
      <c r="D45" s="333" t="s">
        <v>1607</v>
      </c>
      <c r="E45" s="256">
        <v>26</v>
      </c>
      <c r="F45" s="322" t="s">
        <v>69</v>
      </c>
      <c r="G45" s="256" t="s">
        <v>9</v>
      </c>
      <c r="H45" s="425">
        <f t="shared" si="51"/>
        <v>6</v>
      </c>
      <c r="I45" s="425">
        <f t="array" ref="I45">MAX((IF(MNU_CODIGO_ALIMENTO_ENTREGA=CONCATENATE($E45,"_","P_"),MNU_GRAMAJE_REQUERIDO_TIPOA,"")))</f>
        <v>30</v>
      </c>
      <c r="J45" s="257">
        <f t="shared" si="52"/>
        <v>6099</v>
      </c>
      <c r="K45" s="257">
        <f t="shared" si="53"/>
        <v>36594</v>
      </c>
      <c r="L45" s="446">
        <f t="shared" si="54"/>
        <v>163</v>
      </c>
      <c r="M45" s="446">
        <f t="shared" si="55"/>
        <v>7.9543999999999997</v>
      </c>
      <c r="N45" s="446">
        <f t="shared" si="56"/>
        <v>0.14018260800000001</v>
      </c>
      <c r="O45" s="446">
        <f t="shared" si="57"/>
        <v>171</v>
      </c>
      <c r="P45" s="258">
        <f t="shared" si="58"/>
        <v>5964822</v>
      </c>
      <c r="Q45" s="258">
        <f t="shared" si="59"/>
        <v>6257574</v>
      </c>
      <c r="R45" s="426">
        <f t="shared" si="60"/>
        <v>6</v>
      </c>
      <c r="S45" s="426">
        <f t="array" ref="S45">MAX((IF(MNU_CODIGO_ALIMENTO_ENTREGA=CONCATENATE($E45,"_","P_"),MNU_GRAMAJE_REQUERIDO_TIPOB,"")))</f>
        <v>30</v>
      </c>
      <c r="T45" s="259">
        <f t="shared" si="61"/>
        <v>7295</v>
      </c>
      <c r="U45" s="259">
        <f t="shared" si="62"/>
        <v>43770</v>
      </c>
      <c r="V45" s="446">
        <f t="shared" si="63"/>
        <v>163</v>
      </c>
      <c r="W45" s="446">
        <f t="shared" si="64"/>
        <v>7.9543999999999997</v>
      </c>
      <c r="X45" s="446">
        <f t="shared" si="65"/>
        <v>0.14018260800000001</v>
      </c>
      <c r="Y45" s="446">
        <f t="shared" si="66"/>
        <v>171</v>
      </c>
      <c r="Z45" s="260">
        <f t="shared" si="67"/>
        <v>7134510</v>
      </c>
      <c r="AA45" s="260">
        <f t="shared" si="68"/>
        <v>7484670</v>
      </c>
      <c r="AB45" s="425">
        <f t="shared" si="69"/>
        <v>6</v>
      </c>
      <c r="AC45" s="425">
        <f t="array" ref="AC45">MAX((IF(MNU_CODIGO_ALIMENTO_ENTREGA=CONCATENATE($E45,"_","P_"),MNU_GRAMAJE_REQUERIDO_TIPOC,"")))</f>
        <v>30</v>
      </c>
      <c r="AD45" s="257">
        <f t="shared" si="70"/>
        <v>7610</v>
      </c>
      <c r="AE45" s="257">
        <f t="shared" si="71"/>
        <v>45660</v>
      </c>
      <c r="AF45" s="446">
        <f t="shared" si="72"/>
        <v>163</v>
      </c>
      <c r="AG45" s="446">
        <f t="shared" si="73"/>
        <v>7.9543999999999997</v>
      </c>
      <c r="AH45" s="446">
        <f t="shared" si="74"/>
        <v>0.14018260800000001</v>
      </c>
      <c r="AI45" s="446">
        <f t="shared" si="75"/>
        <v>171</v>
      </c>
      <c r="AJ45" s="258">
        <f t="shared" si="76"/>
        <v>7442580</v>
      </c>
      <c r="AK45" s="258">
        <f t="shared" si="77"/>
        <v>7807860</v>
      </c>
      <c r="AL45" s="426">
        <f t="shared" si="78"/>
        <v>6</v>
      </c>
      <c r="AM45" s="426">
        <f t="array" ref="AM45">MAX((IF(MNU_CODIGO_ALIMENTO_ENTREGA=CONCATENATE($E45,"_","P_"),MNU_GRAMAJE_REQUERIDO_TIPOM,"")))</f>
        <v>30</v>
      </c>
      <c r="AN45" s="259">
        <f t="shared" si="79"/>
        <v>243</v>
      </c>
      <c r="AO45" s="259">
        <f t="shared" si="80"/>
        <v>1458</v>
      </c>
      <c r="AP45" s="446">
        <f t="shared" si="81"/>
        <v>163</v>
      </c>
      <c r="AQ45" s="446">
        <f t="shared" si="82"/>
        <v>7.9543999999999997</v>
      </c>
      <c r="AR45" s="446">
        <f t="shared" si="83"/>
        <v>0.14018260800000001</v>
      </c>
      <c r="AS45" s="446">
        <f t="shared" si="84"/>
        <v>171</v>
      </c>
      <c r="AT45" s="260">
        <f t="shared" si="85"/>
        <v>237654</v>
      </c>
      <c r="AU45" s="260">
        <f t="shared" si="86"/>
        <v>249318</v>
      </c>
      <c r="AV45" s="425">
        <f t="shared" si="87"/>
        <v>6</v>
      </c>
      <c r="AW45" s="425">
        <f t="array" ref="AW45">MAX((IF(MNU_CODIGO_ALIMENTO_ENTREGA=CONCATENATE($E45,"_","P_"),MNU_GRAMAJE_REQUERIDO_TIPOH,"")))</f>
        <v>30</v>
      </c>
      <c r="AX45" s="257">
        <f t="shared" si="88"/>
        <v>220</v>
      </c>
      <c r="AY45" s="257">
        <f t="shared" si="89"/>
        <v>1320</v>
      </c>
      <c r="AZ45" s="446">
        <f t="shared" si="90"/>
        <v>163</v>
      </c>
      <c r="BA45" s="446">
        <f t="shared" si="91"/>
        <v>7.9543999999999997</v>
      </c>
      <c r="BB45" s="446">
        <f t="shared" si="92"/>
        <v>0.14018260800000001</v>
      </c>
      <c r="BC45" s="446">
        <f t="shared" si="93"/>
        <v>171</v>
      </c>
      <c r="BD45" s="258">
        <f t="shared" si="94"/>
        <v>215160</v>
      </c>
      <c r="BE45" s="258">
        <f t="shared" si="95"/>
        <v>225720</v>
      </c>
      <c r="BF45" s="391">
        <f t="shared" si="96"/>
        <v>20994726</v>
      </c>
      <c r="BG45" s="391">
        <f t="shared" si="97"/>
        <v>22025142</v>
      </c>
    </row>
    <row r="46" spans="1:59" ht="27">
      <c r="A46" s="333">
        <v>3</v>
      </c>
      <c r="B46" s="333" t="str">
        <f t="shared" si="49"/>
        <v>CEREAL EMPACADO_3</v>
      </c>
      <c r="C46" s="333" t="str">
        <f t="shared" si="50"/>
        <v>28_3</v>
      </c>
      <c r="D46" s="333" t="s">
        <v>1607</v>
      </c>
      <c r="E46" s="256">
        <v>28</v>
      </c>
      <c r="F46" s="322" t="s">
        <v>67</v>
      </c>
      <c r="G46" s="256" t="s">
        <v>9</v>
      </c>
      <c r="H46" s="425">
        <f t="shared" si="51"/>
        <v>6</v>
      </c>
      <c r="I46" s="425">
        <f t="array" ref="I46">MAX((IF(MNU_CODIGO_ALIMENTO_ENTREGA=CONCATENATE($E46,"_","P_"),MNU_GRAMAJE_REQUERIDO_TIPOA,"")))</f>
        <v>30</v>
      </c>
      <c r="J46" s="257">
        <f t="shared" si="52"/>
        <v>6099</v>
      </c>
      <c r="K46" s="257">
        <f t="shared" si="53"/>
        <v>36594</v>
      </c>
      <c r="L46" s="446">
        <f t="shared" si="54"/>
        <v>215</v>
      </c>
      <c r="M46" s="446">
        <f t="shared" si="55"/>
        <v>10.492000000000001</v>
      </c>
      <c r="N46" s="446">
        <f t="shared" si="56"/>
        <v>0.18490343999999997</v>
      </c>
      <c r="O46" s="446">
        <f t="shared" si="57"/>
        <v>226</v>
      </c>
      <c r="P46" s="258">
        <f t="shared" si="58"/>
        <v>7867710</v>
      </c>
      <c r="Q46" s="258">
        <f t="shared" si="59"/>
        <v>8270244</v>
      </c>
      <c r="R46" s="426">
        <f t="shared" si="60"/>
        <v>6</v>
      </c>
      <c r="S46" s="426">
        <f t="array" ref="S46">MAX((IF(MNU_CODIGO_ALIMENTO_ENTREGA=CONCATENATE($E46,"_","P_"),MNU_GRAMAJE_REQUERIDO_TIPOB,"")))</f>
        <v>40</v>
      </c>
      <c r="T46" s="259">
        <f t="shared" si="61"/>
        <v>7295</v>
      </c>
      <c r="U46" s="259">
        <f t="shared" si="62"/>
        <v>43770</v>
      </c>
      <c r="V46" s="446">
        <f t="shared" si="63"/>
        <v>287</v>
      </c>
      <c r="W46" s="446">
        <f t="shared" si="64"/>
        <v>14.005600000000001</v>
      </c>
      <c r="X46" s="446">
        <f t="shared" si="65"/>
        <v>0.24682459200000004</v>
      </c>
      <c r="Y46" s="446">
        <f t="shared" si="66"/>
        <v>301</v>
      </c>
      <c r="Z46" s="260">
        <f t="shared" si="67"/>
        <v>12561990</v>
      </c>
      <c r="AA46" s="260">
        <f t="shared" si="68"/>
        <v>13174770</v>
      </c>
      <c r="AB46" s="425">
        <f t="shared" si="69"/>
        <v>6</v>
      </c>
      <c r="AC46" s="425">
        <f t="array" ref="AC46">MAX((IF(MNU_CODIGO_ALIMENTO_ENTREGA=CONCATENATE($E46,"_","P_"),MNU_GRAMAJE_REQUERIDO_TIPOC,"")))</f>
        <v>60</v>
      </c>
      <c r="AD46" s="257">
        <f t="shared" si="70"/>
        <v>7610</v>
      </c>
      <c r="AE46" s="257">
        <f t="shared" si="71"/>
        <v>45660</v>
      </c>
      <c r="AF46" s="446">
        <f t="shared" si="72"/>
        <v>430</v>
      </c>
      <c r="AG46" s="446">
        <f t="shared" si="73"/>
        <v>20.984000000000002</v>
      </c>
      <c r="AH46" s="446">
        <f t="shared" si="74"/>
        <v>0.36980687999999995</v>
      </c>
      <c r="AI46" s="446">
        <f t="shared" si="75"/>
        <v>451</v>
      </c>
      <c r="AJ46" s="258">
        <f t="shared" si="76"/>
        <v>19633800</v>
      </c>
      <c r="AK46" s="258">
        <f t="shared" si="77"/>
        <v>20592660</v>
      </c>
      <c r="AL46" s="426">
        <f t="shared" si="78"/>
        <v>6</v>
      </c>
      <c r="AM46" s="426">
        <f t="array" ref="AM46">MAX((IF(MNU_CODIGO_ALIMENTO_ENTREGA=CONCATENATE($E46,"_","P_"),MNU_GRAMAJE_REQUERIDO_TIPOM,"")))</f>
        <v>40</v>
      </c>
      <c r="AN46" s="259">
        <f t="shared" si="79"/>
        <v>243</v>
      </c>
      <c r="AO46" s="259">
        <f t="shared" si="80"/>
        <v>1458</v>
      </c>
      <c r="AP46" s="446">
        <f t="shared" si="81"/>
        <v>287</v>
      </c>
      <c r="AQ46" s="446">
        <f t="shared" si="82"/>
        <v>14.005600000000001</v>
      </c>
      <c r="AR46" s="446">
        <f t="shared" si="83"/>
        <v>0.24682459200000004</v>
      </c>
      <c r="AS46" s="446">
        <f t="shared" si="84"/>
        <v>301</v>
      </c>
      <c r="AT46" s="260">
        <f t="shared" si="85"/>
        <v>418446</v>
      </c>
      <c r="AU46" s="260">
        <f t="shared" si="86"/>
        <v>438858</v>
      </c>
      <c r="AV46" s="425">
        <f t="shared" si="87"/>
        <v>6</v>
      </c>
      <c r="AW46" s="425">
        <f t="array" ref="AW46">MAX((IF(MNU_CODIGO_ALIMENTO_ENTREGA=CONCATENATE($E46,"_","P_"),MNU_GRAMAJE_REQUERIDO_TIPOH,"")))</f>
        <v>60</v>
      </c>
      <c r="AX46" s="257">
        <f t="shared" si="88"/>
        <v>220</v>
      </c>
      <c r="AY46" s="257">
        <f t="shared" si="89"/>
        <v>1320</v>
      </c>
      <c r="AZ46" s="446">
        <f t="shared" si="90"/>
        <v>430</v>
      </c>
      <c r="BA46" s="446">
        <f t="shared" si="91"/>
        <v>20.984000000000002</v>
      </c>
      <c r="BB46" s="446">
        <f t="shared" si="92"/>
        <v>0.36980687999999995</v>
      </c>
      <c r="BC46" s="446">
        <f t="shared" si="93"/>
        <v>451</v>
      </c>
      <c r="BD46" s="258">
        <f t="shared" si="94"/>
        <v>567600</v>
      </c>
      <c r="BE46" s="258">
        <f t="shared" si="95"/>
        <v>595320</v>
      </c>
      <c r="BF46" s="391">
        <f t="shared" si="96"/>
        <v>41049546</v>
      </c>
      <c r="BG46" s="391">
        <f t="shared" si="97"/>
        <v>43071852</v>
      </c>
    </row>
    <row r="47" spans="1:59" ht="15.75">
      <c r="A47" s="333">
        <v>3</v>
      </c>
      <c r="B47" s="333" t="str">
        <f t="shared" si="49"/>
        <v>CEREAL EMPACADO_3</v>
      </c>
      <c r="C47" s="333" t="str">
        <f t="shared" si="50"/>
        <v>30_3</v>
      </c>
      <c r="D47" s="333" t="s">
        <v>1607</v>
      </c>
      <c r="E47" s="256">
        <v>30</v>
      </c>
      <c r="F47" s="322" t="s">
        <v>63</v>
      </c>
      <c r="G47" s="256" t="s">
        <v>9</v>
      </c>
      <c r="H47" s="425">
        <f t="shared" si="51"/>
        <v>16</v>
      </c>
      <c r="I47" s="425">
        <f t="array" ref="I47">MAX((IF(MNU_CODIGO_ALIMENTO_ENTREGA=CONCATENATE($E47,"_","P_"),MNU_GRAMAJE_REQUERIDO_TIPOA,"")))</f>
        <v>30</v>
      </c>
      <c r="J47" s="257">
        <f t="shared" si="52"/>
        <v>6099</v>
      </c>
      <c r="K47" s="257">
        <f t="shared" si="53"/>
        <v>97584</v>
      </c>
      <c r="L47" s="446">
        <f t="shared" si="54"/>
        <v>316</v>
      </c>
      <c r="M47" s="446">
        <f t="shared" si="55"/>
        <v>15.4208</v>
      </c>
      <c r="N47" s="446">
        <f t="shared" si="56"/>
        <v>0.271765056</v>
      </c>
      <c r="O47" s="446">
        <f t="shared" si="57"/>
        <v>332</v>
      </c>
      <c r="P47" s="258">
        <f t="shared" si="58"/>
        <v>30836544</v>
      </c>
      <c r="Q47" s="258">
        <f t="shared" si="59"/>
        <v>32397888</v>
      </c>
      <c r="R47" s="426">
        <f t="shared" si="60"/>
        <v>16</v>
      </c>
      <c r="S47" s="426">
        <f t="array" ref="S47">MAX((IF(MNU_CODIGO_ALIMENTO_ENTREGA=CONCATENATE($E47,"_","P_"),MNU_GRAMAJE_REQUERIDO_TIPOB,"")))</f>
        <v>30</v>
      </c>
      <c r="T47" s="259">
        <f t="shared" si="61"/>
        <v>7295</v>
      </c>
      <c r="U47" s="259">
        <f t="shared" si="62"/>
        <v>116720</v>
      </c>
      <c r="V47" s="446">
        <f t="shared" si="63"/>
        <v>316</v>
      </c>
      <c r="W47" s="446">
        <f t="shared" si="64"/>
        <v>15.4208</v>
      </c>
      <c r="X47" s="446">
        <f t="shared" si="65"/>
        <v>0.271765056</v>
      </c>
      <c r="Y47" s="446">
        <f t="shared" si="66"/>
        <v>332</v>
      </c>
      <c r="Z47" s="260">
        <f t="shared" si="67"/>
        <v>36883520</v>
      </c>
      <c r="AA47" s="260">
        <f t="shared" si="68"/>
        <v>38751040</v>
      </c>
      <c r="AB47" s="425">
        <f t="shared" si="69"/>
        <v>16</v>
      </c>
      <c r="AC47" s="425">
        <f t="array" ref="AC47">MAX((IF(MNU_CODIGO_ALIMENTO_ENTREGA=CONCATENATE($E47,"_","P_"),MNU_GRAMAJE_REQUERIDO_TIPOC,"")))</f>
        <v>30</v>
      </c>
      <c r="AD47" s="257">
        <f t="shared" si="70"/>
        <v>7610</v>
      </c>
      <c r="AE47" s="257">
        <f t="shared" si="71"/>
        <v>121760</v>
      </c>
      <c r="AF47" s="446">
        <f t="shared" si="72"/>
        <v>316</v>
      </c>
      <c r="AG47" s="446">
        <f t="shared" si="73"/>
        <v>15.4208</v>
      </c>
      <c r="AH47" s="446">
        <f t="shared" si="74"/>
        <v>0.271765056</v>
      </c>
      <c r="AI47" s="446">
        <f t="shared" si="75"/>
        <v>332</v>
      </c>
      <c r="AJ47" s="258">
        <f t="shared" si="76"/>
        <v>38476160</v>
      </c>
      <c r="AK47" s="258">
        <f t="shared" si="77"/>
        <v>40424320</v>
      </c>
      <c r="AL47" s="426">
        <f t="shared" si="78"/>
        <v>16</v>
      </c>
      <c r="AM47" s="426">
        <f t="array" ref="AM47">MAX((IF(MNU_CODIGO_ALIMENTO_ENTREGA=CONCATENATE($E47,"_","P_"),MNU_GRAMAJE_REQUERIDO_TIPOM,"")))</f>
        <v>30</v>
      </c>
      <c r="AN47" s="259">
        <f t="shared" si="79"/>
        <v>243</v>
      </c>
      <c r="AO47" s="259">
        <f t="shared" si="80"/>
        <v>3888</v>
      </c>
      <c r="AP47" s="446">
        <f t="shared" si="81"/>
        <v>316</v>
      </c>
      <c r="AQ47" s="446">
        <f t="shared" si="82"/>
        <v>15.4208</v>
      </c>
      <c r="AR47" s="446">
        <f t="shared" si="83"/>
        <v>0.271765056</v>
      </c>
      <c r="AS47" s="446">
        <f t="shared" si="84"/>
        <v>332</v>
      </c>
      <c r="AT47" s="260">
        <f t="shared" si="85"/>
        <v>1228608</v>
      </c>
      <c r="AU47" s="260">
        <f t="shared" si="86"/>
        <v>1290816</v>
      </c>
      <c r="AV47" s="425">
        <f t="shared" si="87"/>
        <v>16</v>
      </c>
      <c r="AW47" s="425">
        <f t="array" ref="AW47">MAX((IF(MNU_CODIGO_ALIMENTO_ENTREGA=CONCATENATE($E47,"_","P_"),MNU_GRAMAJE_REQUERIDO_TIPOH,"")))</f>
        <v>30</v>
      </c>
      <c r="AX47" s="257">
        <f t="shared" si="88"/>
        <v>220</v>
      </c>
      <c r="AY47" s="257">
        <f t="shared" si="89"/>
        <v>3520</v>
      </c>
      <c r="AZ47" s="446">
        <f t="shared" si="90"/>
        <v>316</v>
      </c>
      <c r="BA47" s="446">
        <f t="shared" si="91"/>
        <v>15.4208</v>
      </c>
      <c r="BB47" s="446">
        <f t="shared" si="92"/>
        <v>0.271765056</v>
      </c>
      <c r="BC47" s="446">
        <f t="shared" si="93"/>
        <v>332</v>
      </c>
      <c r="BD47" s="258">
        <f t="shared" si="94"/>
        <v>1112320</v>
      </c>
      <c r="BE47" s="258">
        <f t="shared" si="95"/>
        <v>1168640</v>
      </c>
      <c r="BF47" s="391">
        <f t="shared" si="96"/>
        <v>108537152</v>
      </c>
      <c r="BG47" s="391">
        <f t="shared" si="97"/>
        <v>114032704</v>
      </c>
    </row>
    <row r="48" spans="1:59" ht="15.75">
      <c r="A48" s="333">
        <v>3</v>
      </c>
      <c r="B48" s="333" t="str">
        <f t="shared" si="49"/>
        <v>CEREAL EMPACADO_3</v>
      </c>
      <c r="C48" s="333" t="str">
        <f t="shared" si="50"/>
        <v>45_3</v>
      </c>
      <c r="D48" s="333" t="s">
        <v>1607</v>
      </c>
      <c r="E48" s="256">
        <v>45</v>
      </c>
      <c r="F48" s="459" t="s">
        <v>10</v>
      </c>
      <c r="G48" s="256" t="s">
        <v>9</v>
      </c>
      <c r="H48" s="425">
        <f t="shared" si="51"/>
        <v>16</v>
      </c>
      <c r="I48" s="425">
        <f t="array" ref="I48">MAX((IF(MNU_CODIGO_ALIMENTO_ENTREGA=CONCATENATE($E48,"_","P_"),MNU_GRAMAJE_REQUERIDO_TIPOA,"")))</f>
        <v>20</v>
      </c>
      <c r="J48" s="257">
        <f t="shared" si="52"/>
        <v>6099</v>
      </c>
      <c r="K48" s="257">
        <f t="shared" si="53"/>
        <v>97584</v>
      </c>
      <c r="L48" s="446">
        <f t="shared" si="54"/>
        <v>190</v>
      </c>
      <c r="M48" s="446">
        <f t="shared" si="55"/>
        <v>9.2720000000000002</v>
      </c>
      <c r="N48" s="446">
        <f t="shared" si="56"/>
        <v>0.16340304</v>
      </c>
      <c r="O48" s="446">
        <f t="shared" si="57"/>
        <v>199</v>
      </c>
      <c r="P48" s="258">
        <f t="shared" si="58"/>
        <v>18540960</v>
      </c>
      <c r="Q48" s="258">
        <f t="shared" si="59"/>
        <v>19419216</v>
      </c>
      <c r="R48" s="426">
        <f t="shared" si="60"/>
        <v>16</v>
      </c>
      <c r="S48" s="426">
        <f t="array" ref="S48">MAX((IF(MNU_CODIGO_ALIMENTO_ENTREGA=CONCATENATE($E48,"_","P_"),MNU_GRAMAJE_REQUERIDO_TIPOB,"")))</f>
        <v>30</v>
      </c>
      <c r="T48" s="259">
        <f t="shared" si="61"/>
        <v>7295</v>
      </c>
      <c r="U48" s="259">
        <f t="shared" si="62"/>
        <v>116720</v>
      </c>
      <c r="V48" s="446">
        <f t="shared" si="63"/>
        <v>284</v>
      </c>
      <c r="W48" s="446">
        <f t="shared" si="64"/>
        <v>13.8592</v>
      </c>
      <c r="X48" s="446">
        <f t="shared" si="65"/>
        <v>0.24424454399999998</v>
      </c>
      <c r="Y48" s="446">
        <f t="shared" si="66"/>
        <v>298</v>
      </c>
      <c r="Z48" s="260">
        <f t="shared" si="67"/>
        <v>33148480</v>
      </c>
      <c r="AA48" s="260">
        <f t="shared" si="68"/>
        <v>34782560</v>
      </c>
      <c r="AB48" s="425">
        <f t="shared" si="69"/>
        <v>16</v>
      </c>
      <c r="AC48" s="425">
        <f t="array" ref="AC48">MAX((IF(MNU_CODIGO_ALIMENTO_ENTREGA=CONCATENATE($E48,"_","P_"),MNU_GRAMAJE_REQUERIDO_TIPOC,"")))</f>
        <v>60</v>
      </c>
      <c r="AD48" s="257">
        <f t="shared" si="70"/>
        <v>7610</v>
      </c>
      <c r="AE48" s="257">
        <f t="shared" si="71"/>
        <v>121760</v>
      </c>
      <c r="AF48" s="446">
        <f t="shared" si="72"/>
        <v>569</v>
      </c>
      <c r="AG48" s="446">
        <f t="shared" si="73"/>
        <v>27.767199999999999</v>
      </c>
      <c r="AH48" s="446">
        <f t="shared" si="74"/>
        <v>0.48934910400000003</v>
      </c>
      <c r="AI48" s="446">
        <f t="shared" si="75"/>
        <v>597</v>
      </c>
      <c r="AJ48" s="258">
        <f t="shared" si="76"/>
        <v>69281440</v>
      </c>
      <c r="AK48" s="258">
        <f t="shared" si="77"/>
        <v>72690720</v>
      </c>
      <c r="AL48" s="426">
        <f t="shared" si="78"/>
        <v>16</v>
      </c>
      <c r="AM48" s="426">
        <f t="array" ref="AM48">MAX((IF(MNU_CODIGO_ALIMENTO_ENTREGA=CONCATENATE($E48,"_","P_"),MNU_GRAMAJE_REQUERIDO_TIPOM,"")))</f>
        <v>30</v>
      </c>
      <c r="AN48" s="259">
        <f t="shared" si="79"/>
        <v>243</v>
      </c>
      <c r="AO48" s="259">
        <f t="shared" si="80"/>
        <v>3888</v>
      </c>
      <c r="AP48" s="446">
        <f t="shared" si="81"/>
        <v>284</v>
      </c>
      <c r="AQ48" s="446">
        <f t="shared" si="82"/>
        <v>13.8592</v>
      </c>
      <c r="AR48" s="446">
        <f t="shared" si="83"/>
        <v>0.24424454399999998</v>
      </c>
      <c r="AS48" s="446">
        <f t="shared" si="84"/>
        <v>298</v>
      </c>
      <c r="AT48" s="260">
        <f t="shared" si="85"/>
        <v>1104192</v>
      </c>
      <c r="AU48" s="260">
        <f t="shared" si="86"/>
        <v>1158624</v>
      </c>
      <c r="AV48" s="425">
        <f t="shared" si="87"/>
        <v>16</v>
      </c>
      <c r="AW48" s="425">
        <f t="array" ref="AW48">MAX((IF(MNU_CODIGO_ALIMENTO_ENTREGA=CONCATENATE($E48,"_","P_"),MNU_GRAMAJE_REQUERIDO_TIPOH,"")))</f>
        <v>60</v>
      </c>
      <c r="AX48" s="257">
        <f t="shared" si="88"/>
        <v>220</v>
      </c>
      <c r="AY48" s="257">
        <f t="shared" si="89"/>
        <v>3520</v>
      </c>
      <c r="AZ48" s="446">
        <f t="shared" si="90"/>
        <v>569</v>
      </c>
      <c r="BA48" s="446">
        <f t="shared" si="91"/>
        <v>27.767199999999999</v>
      </c>
      <c r="BB48" s="446">
        <f t="shared" si="92"/>
        <v>0.48934910400000003</v>
      </c>
      <c r="BC48" s="446">
        <f t="shared" si="93"/>
        <v>597</v>
      </c>
      <c r="BD48" s="258">
        <f t="shared" si="94"/>
        <v>2002880</v>
      </c>
      <c r="BE48" s="258">
        <f t="shared" si="95"/>
        <v>2101440</v>
      </c>
      <c r="BF48" s="391">
        <f t="shared" si="96"/>
        <v>124077952</v>
      </c>
      <c r="BG48" s="391">
        <f t="shared" si="97"/>
        <v>130152560</v>
      </c>
    </row>
    <row r="49" spans="1:59" ht="15.75">
      <c r="A49" s="333">
        <v>3</v>
      </c>
      <c r="B49" s="333" t="str">
        <f t="shared" si="49"/>
        <v>CEREAL EMPACADO_3</v>
      </c>
      <c r="C49" s="333" t="str">
        <f t="shared" si="50"/>
        <v>50_3</v>
      </c>
      <c r="D49" s="333" t="s">
        <v>1607</v>
      </c>
      <c r="E49" s="256">
        <v>50</v>
      </c>
      <c r="F49" s="322" t="s">
        <v>65</v>
      </c>
      <c r="G49" s="256" t="s">
        <v>9</v>
      </c>
      <c r="H49" s="425">
        <f t="shared" si="51"/>
        <v>17</v>
      </c>
      <c r="I49" s="425">
        <f t="array" ref="I49">MAX((IF(MNU_CODIGO_ALIMENTO_ENTREGA=CONCATENATE($E49,"_","P_"),MNU_GRAMAJE_REQUERIDO_TIPOA,"")))</f>
        <v>30</v>
      </c>
      <c r="J49" s="257">
        <f t="shared" si="52"/>
        <v>6099</v>
      </c>
      <c r="K49" s="257">
        <f t="shared" si="53"/>
        <v>103683</v>
      </c>
      <c r="L49" s="446">
        <f t="shared" si="54"/>
        <v>306</v>
      </c>
      <c r="M49" s="446">
        <f t="shared" si="55"/>
        <v>14.9328</v>
      </c>
      <c r="N49" s="446">
        <f t="shared" si="56"/>
        <v>0.26316489599999998</v>
      </c>
      <c r="O49" s="446">
        <f t="shared" si="57"/>
        <v>321</v>
      </c>
      <c r="P49" s="258">
        <f t="shared" si="58"/>
        <v>31726998</v>
      </c>
      <c r="Q49" s="258">
        <f t="shared" si="59"/>
        <v>33282243</v>
      </c>
      <c r="R49" s="426">
        <f t="shared" si="60"/>
        <v>17</v>
      </c>
      <c r="S49" s="426">
        <f t="array" ref="S49">MAX((IF(MNU_CODIGO_ALIMENTO_ENTREGA=CONCATENATE($E49,"_","P_"),MNU_GRAMAJE_REQUERIDO_TIPOB,"")))</f>
        <v>40</v>
      </c>
      <c r="T49" s="259">
        <f t="shared" si="61"/>
        <v>7295</v>
      </c>
      <c r="U49" s="259">
        <f t="shared" si="62"/>
        <v>124015</v>
      </c>
      <c r="V49" s="446">
        <f t="shared" si="63"/>
        <v>408</v>
      </c>
      <c r="W49" s="446">
        <f t="shared" si="64"/>
        <v>19.910400000000003</v>
      </c>
      <c r="X49" s="446">
        <f t="shared" si="65"/>
        <v>0.35088652799999998</v>
      </c>
      <c r="Y49" s="446">
        <f t="shared" si="66"/>
        <v>428</v>
      </c>
      <c r="Z49" s="260">
        <f t="shared" si="67"/>
        <v>50598120</v>
      </c>
      <c r="AA49" s="260">
        <f t="shared" si="68"/>
        <v>53078420</v>
      </c>
      <c r="AB49" s="425">
        <f t="shared" si="69"/>
        <v>17</v>
      </c>
      <c r="AC49" s="425">
        <f t="array" ref="AC49">MAX((IF(MNU_CODIGO_ALIMENTO_ENTREGA=CONCATENATE($E49,"_","P_"),MNU_GRAMAJE_REQUERIDO_TIPOC,"")))</f>
        <v>80</v>
      </c>
      <c r="AD49" s="257">
        <f t="shared" si="70"/>
        <v>7610</v>
      </c>
      <c r="AE49" s="257">
        <f t="shared" si="71"/>
        <v>129370</v>
      </c>
      <c r="AF49" s="446">
        <f t="shared" si="72"/>
        <v>815</v>
      </c>
      <c r="AG49" s="446">
        <f t="shared" si="73"/>
        <v>39.772000000000006</v>
      </c>
      <c r="AH49" s="446">
        <f t="shared" si="74"/>
        <v>0.7009130400000001</v>
      </c>
      <c r="AI49" s="446">
        <f t="shared" si="75"/>
        <v>855</v>
      </c>
      <c r="AJ49" s="258">
        <f t="shared" si="76"/>
        <v>105436550</v>
      </c>
      <c r="AK49" s="258">
        <f t="shared" si="77"/>
        <v>110611350</v>
      </c>
      <c r="AL49" s="426">
        <f t="shared" si="78"/>
        <v>17</v>
      </c>
      <c r="AM49" s="426">
        <f t="array" ref="AM49">MAX((IF(MNU_CODIGO_ALIMENTO_ENTREGA=CONCATENATE($E49,"_","P_"),MNU_GRAMAJE_REQUERIDO_TIPOM,"")))</f>
        <v>40</v>
      </c>
      <c r="AN49" s="259">
        <f t="shared" si="79"/>
        <v>243</v>
      </c>
      <c r="AO49" s="259">
        <f t="shared" si="80"/>
        <v>4131</v>
      </c>
      <c r="AP49" s="446">
        <f t="shared" si="81"/>
        <v>408</v>
      </c>
      <c r="AQ49" s="446">
        <f t="shared" si="82"/>
        <v>19.910400000000003</v>
      </c>
      <c r="AR49" s="446">
        <f t="shared" si="83"/>
        <v>0.35088652799999998</v>
      </c>
      <c r="AS49" s="446">
        <f t="shared" si="84"/>
        <v>428</v>
      </c>
      <c r="AT49" s="260">
        <f t="shared" si="85"/>
        <v>1685448</v>
      </c>
      <c r="AU49" s="260">
        <f t="shared" si="86"/>
        <v>1768068</v>
      </c>
      <c r="AV49" s="425">
        <f t="shared" si="87"/>
        <v>17</v>
      </c>
      <c r="AW49" s="425">
        <f t="array" ref="AW49">MAX((IF(MNU_CODIGO_ALIMENTO_ENTREGA=CONCATENATE($E49,"_","P_"),MNU_GRAMAJE_REQUERIDO_TIPOH,"")))</f>
        <v>80</v>
      </c>
      <c r="AX49" s="257">
        <f t="shared" si="88"/>
        <v>220</v>
      </c>
      <c r="AY49" s="257">
        <f t="shared" si="89"/>
        <v>3740</v>
      </c>
      <c r="AZ49" s="446">
        <f t="shared" si="90"/>
        <v>815</v>
      </c>
      <c r="BA49" s="446">
        <f t="shared" si="91"/>
        <v>39.772000000000006</v>
      </c>
      <c r="BB49" s="446">
        <f t="shared" si="92"/>
        <v>0.7009130400000001</v>
      </c>
      <c r="BC49" s="446">
        <f t="shared" si="93"/>
        <v>855</v>
      </c>
      <c r="BD49" s="258">
        <f t="shared" si="94"/>
        <v>3048100</v>
      </c>
      <c r="BE49" s="258">
        <f t="shared" si="95"/>
        <v>3197700</v>
      </c>
      <c r="BF49" s="391">
        <f t="shared" si="96"/>
        <v>192495216</v>
      </c>
      <c r="BG49" s="391">
        <f t="shared" si="97"/>
        <v>201937781</v>
      </c>
    </row>
    <row r="50" spans="1:59" ht="15.75">
      <c r="A50" s="333">
        <v>3</v>
      </c>
      <c r="B50" s="333" t="str">
        <f t="shared" si="49"/>
        <v>CEREAL EMPACADO_3</v>
      </c>
      <c r="C50" s="333" t="str">
        <f t="shared" si="50"/>
        <v>61_3</v>
      </c>
      <c r="D50" s="333" t="s">
        <v>1607</v>
      </c>
      <c r="E50" s="256">
        <v>61</v>
      </c>
      <c r="F50" s="322" t="s">
        <v>13</v>
      </c>
      <c r="G50" s="256" t="s">
        <v>9</v>
      </c>
      <c r="H50" s="425">
        <f t="shared" si="51"/>
        <v>16</v>
      </c>
      <c r="I50" s="425">
        <f t="array" ref="I50">MAX((IF(MNU_CODIGO_ALIMENTO_ENTREGA=CONCATENATE($E50,"_","P_"),MNU_GRAMAJE_REQUERIDO_TIPOA,"")))</f>
        <v>20</v>
      </c>
      <c r="J50" s="257">
        <f t="shared" si="52"/>
        <v>6099</v>
      </c>
      <c r="K50" s="257">
        <f t="shared" si="53"/>
        <v>97584</v>
      </c>
      <c r="L50" s="446">
        <f t="shared" si="54"/>
        <v>222</v>
      </c>
      <c r="M50" s="446">
        <f t="shared" si="55"/>
        <v>10.833600000000001</v>
      </c>
      <c r="N50" s="446">
        <f t="shared" si="56"/>
        <v>0.190923552</v>
      </c>
      <c r="O50" s="446">
        <f t="shared" si="57"/>
        <v>233</v>
      </c>
      <c r="P50" s="258">
        <f t="shared" si="58"/>
        <v>21663648</v>
      </c>
      <c r="Q50" s="258">
        <f t="shared" si="59"/>
        <v>22737072</v>
      </c>
      <c r="R50" s="426">
        <f t="shared" si="60"/>
        <v>16</v>
      </c>
      <c r="S50" s="426">
        <f t="array" ref="S50">MAX((IF(MNU_CODIGO_ALIMENTO_ENTREGA=CONCATENATE($E50,"_","P_"),MNU_GRAMAJE_REQUERIDO_TIPOB,"")))</f>
        <v>30</v>
      </c>
      <c r="T50" s="259">
        <f t="shared" si="61"/>
        <v>7295</v>
      </c>
      <c r="U50" s="259">
        <f t="shared" si="62"/>
        <v>116720</v>
      </c>
      <c r="V50" s="446">
        <f t="shared" si="63"/>
        <v>334</v>
      </c>
      <c r="W50" s="446">
        <f t="shared" si="64"/>
        <v>16.299199999999999</v>
      </c>
      <c r="X50" s="446">
        <f t="shared" si="65"/>
        <v>0.28724534400000001</v>
      </c>
      <c r="Y50" s="446">
        <f t="shared" si="66"/>
        <v>351</v>
      </c>
      <c r="Z50" s="260">
        <f t="shared" si="67"/>
        <v>38984480</v>
      </c>
      <c r="AA50" s="260">
        <f t="shared" si="68"/>
        <v>40968720</v>
      </c>
      <c r="AB50" s="425">
        <f t="shared" si="69"/>
        <v>16</v>
      </c>
      <c r="AC50" s="425">
        <f t="array" ref="AC50">MAX((IF(MNU_CODIGO_ALIMENTO_ENTREGA=CONCATENATE($E50,"_","P_"),MNU_GRAMAJE_REQUERIDO_TIPOC,"")))</f>
        <v>70</v>
      </c>
      <c r="AD50" s="257">
        <f t="shared" si="70"/>
        <v>7610</v>
      </c>
      <c r="AE50" s="257">
        <f t="shared" si="71"/>
        <v>121760</v>
      </c>
      <c r="AF50" s="446">
        <f t="shared" si="72"/>
        <v>779</v>
      </c>
      <c r="AG50" s="446">
        <f t="shared" si="73"/>
        <v>38.0152</v>
      </c>
      <c r="AH50" s="446">
        <f t="shared" si="74"/>
        <v>0.66995246400000008</v>
      </c>
      <c r="AI50" s="446">
        <f t="shared" si="75"/>
        <v>818</v>
      </c>
      <c r="AJ50" s="258">
        <f t="shared" si="76"/>
        <v>94851040</v>
      </c>
      <c r="AK50" s="258">
        <f t="shared" si="77"/>
        <v>99599680</v>
      </c>
      <c r="AL50" s="426">
        <f t="shared" si="78"/>
        <v>16</v>
      </c>
      <c r="AM50" s="426">
        <f t="array" ref="AM50">MAX((IF(MNU_CODIGO_ALIMENTO_ENTREGA=CONCATENATE($E50,"_","P_"),MNU_GRAMAJE_REQUERIDO_TIPOM,"")))</f>
        <v>30</v>
      </c>
      <c r="AN50" s="259">
        <f t="shared" si="79"/>
        <v>243</v>
      </c>
      <c r="AO50" s="259">
        <f t="shared" si="80"/>
        <v>3888</v>
      </c>
      <c r="AP50" s="446">
        <f t="shared" si="81"/>
        <v>334</v>
      </c>
      <c r="AQ50" s="446">
        <f t="shared" si="82"/>
        <v>16.299199999999999</v>
      </c>
      <c r="AR50" s="446">
        <f t="shared" si="83"/>
        <v>0.28724534400000001</v>
      </c>
      <c r="AS50" s="446">
        <f t="shared" si="84"/>
        <v>351</v>
      </c>
      <c r="AT50" s="260">
        <f t="shared" si="85"/>
        <v>1298592</v>
      </c>
      <c r="AU50" s="260">
        <f t="shared" si="86"/>
        <v>1364688</v>
      </c>
      <c r="AV50" s="425">
        <f t="shared" si="87"/>
        <v>16</v>
      </c>
      <c r="AW50" s="425">
        <f t="array" ref="AW50">MAX((IF(MNU_CODIGO_ALIMENTO_ENTREGA=CONCATENATE($E50,"_","P_"),MNU_GRAMAJE_REQUERIDO_TIPOH,"")))</f>
        <v>70</v>
      </c>
      <c r="AX50" s="257">
        <f t="shared" si="88"/>
        <v>220</v>
      </c>
      <c r="AY50" s="257">
        <f t="shared" si="89"/>
        <v>3520</v>
      </c>
      <c r="AZ50" s="446">
        <f t="shared" si="90"/>
        <v>779</v>
      </c>
      <c r="BA50" s="446">
        <f t="shared" si="91"/>
        <v>38.0152</v>
      </c>
      <c r="BB50" s="446">
        <f t="shared" si="92"/>
        <v>0.66995246400000008</v>
      </c>
      <c r="BC50" s="446">
        <f t="shared" si="93"/>
        <v>818</v>
      </c>
      <c r="BD50" s="258">
        <f t="shared" si="94"/>
        <v>2742080</v>
      </c>
      <c r="BE50" s="258">
        <f t="shared" si="95"/>
        <v>2879360</v>
      </c>
      <c r="BF50" s="391">
        <f t="shared" si="96"/>
        <v>159539840</v>
      </c>
      <c r="BG50" s="391">
        <f t="shared" si="97"/>
        <v>167549520</v>
      </c>
    </row>
    <row r="51" spans="1:59" ht="15.75">
      <c r="A51" s="333">
        <v>3</v>
      </c>
      <c r="B51" s="333" t="str">
        <f t="shared" si="49"/>
        <v>CEREAL EMPACADO_3</v>
      </c>
      <c r="C51" s="333" t="str">
        <f t="shared" si="50"/>
        <v>62_3</v>
      </c>
      <c r="D51" s="333" t="s">
        <v>1607</v>
      </c>
      <c r="E51" s="256">
        <v>62</v>
      </c>
      <c r="F51" s="322" t="s">
        <v>68</v>
      </c>
      <c r="G51" s="256" t="s">
        <v>9</v>
      </c>
      <c r="H51" s="425">
        <f t="shared" si="51"/>
        <v>5</v>
      </c>
      <c r="I51" s="425">
        <f t="array" ref="I51">MAX((IF(MNU_CODIGO_ALIMENTO_ENTREGA=CONCATENATE($E51,"_","P_"),MNU_GRAMAJE_REQUERIDO_TIPOA,"")))</f>
        <v>50</v>
      </c>
      <c r="J51" s="257">
        <f t="shared" si="52"/>
        <v>6099</v>
      </c>
      <c r="K51" s="257">
        <f t="shared" si="53"/>
        <v>30495</v>
      </c>
      <c r="L51" s="446">
        <f t="shared" si="54"/>
        <v>595</v>
      </c>
      <c r="M51" s="446">
        <f t="shared" si="55"/>
        <v>29.036000000000001</v>
      </c>
      <c r="N51" s="446">
        <f t="shared" si="56"/>
        <v>0.51170952000000014</v>
      </c>
      <c r="O51" s="446">
        <f t="shared" si="57"/>
        <v>625</v>
      </c>
      <c r="P51" s="258">
        <f t="shared" si="58"/>
        <v>18144525</v>
      </c>
      <c r="Q51" s="258">
        <f t="shared" si="59"/>
        <v>19059375</v>
      </c>
      <c r="R51" s="426">
        <f t="shared" si="60"/>
        <v>5</v>
      </c>
      <c r="S51" s="426">
        <f t="array" ref="S51">MAX((IF(MNU_CODIGO_ALIMENTO_ENTREGA=CONCATENATE($E51,"_","P_"),MNU_GRAMAJE_REQUERIDO_TIPOB,"")))</f>
        <v>50</v>
      </c>
      <c r="T51" s="259">
        <f t="shared" si="61"/>
        <v>7295</v>
      </c>
      <c r="U51" s="259">
        <f t="shared" si="62"/>
        <v>36475</v>
      </c>
      <c r="V51" s="446">
        <f t="shared" si="63"/>
        <v>595</v>
      </c>
      <c r="W51" s="446">
        <f t="shared" si="64"/>
        <v>29.036000000000001</v>
      </c>
      <c r="X51" s="446">
        <f t="shared" si="65"/>
        <v>0.51170952000000014</v>
      </c>
      <c r="Y51" s="446">
        <f t="shared" si="66"/>
        <v>625</v>
      </c>
      <c r="Z51" s="260">
        <f t="shared" si="67"/>
        <v>21702625</v>
      </c>
      <c r="AA51" s="260">
        <f t="shared" si="68"/>
        <v>22796875</v>
      </c>
      <c r="AB51" s="425">
        <f t="shared" si="69"/>
        <v>5</v>
      </c>
      <c r="AC51" s="425">
        <f t="array" ref="AC51">MAX((IF(MNU_CODIGO_ALIMENTO_ENTREGA=CONCATENATE($E51,"_","P_"),MNU_GRAMAJE_REQUERIDO_TIPOC,"")))</f>
        <v>50</v>
      </c>
      <c r="AD51" s="257">
        <f t="shared" si="70"/>
        <v>7610</v>
      </c>
      <c r="AE51" s="257">
        <f t="shared" si="71"/>
        <v>38050</v>
      </c>
      <c r="AF51" s="446">
        <f t="shared" si="72"/>
        <v>595</v>
      </c>
      <c r="AG51" s="446">
        <f t="shared" si="73"/>
        <v>29.036000000000001</v>
      </c>
      <c r="AH51" s="446">
        <f t="shared" si="74"/>
        <v>0.51170952000000014</v>
      </c>
      <c r="AI51" s="446">
        <f t="shared" si="75"/>
        <v>625</v>
      </c>
      <c r="AJ51" s="258">
        <f t="shared" si="76"/>
        <v>22639750</v>
      </c>
      <c r="AK51" s="258">
        <f t="shared" si="77"/>
        <v>23781250</v>
      </c>
      <c r="AL51" s="426">
        <f t="shared" si="78"/>
        <v>5</v>
      </c>
      <c r="AM51" s="426">
        <f t="array" ref="AM51">MAX((IF(MNU_CODIGO_ALIMENTO_ENTREGA=CONCATENATE($E51,"_","P_"),MNU_GRAMAJE_REQUERIDO_TIPOM,"")))</f>
        <v>50</v>
      </c>
      <c r="AN51" s="259">
        <f t="shared" si="79"/>
        <v>243</v>
      </c>
      <c r="AO51" s="259">
        <f t="shared" si="80"/>
        <v>1215</v>
      </c>
      <c r="AP51" s="446">
        <f t="shared" si="81"/>
        <v>595</v>
      </c>
      <c r="AQ51" s="446">
        <f t="shared" si="82"/>
        <v>29.036000000000001</v>
      </c>
      <c r="AR51" s="446">
        <f t="shared" si="83"/>
        <v>0.51170952000000014</v>
      </c>
      <c r="AS51" s="446">
        <f t="shared" si="84"/>
        <v>625</v>
      </c>
      <c r="AT51" s="260">
        <f t="shared" si="85"/>
        <v>722925</v>
      </c>
      <c r="AU51" s="260">
        <f t="shared" si="86"/>
        <v>759375</v>
      </c>
      <c r="AV51" s="425">
        <f t="shared" si="87"/>
        <v>5</v>
      </c>
      <c r="AW51" s="425">
        <f t="array" ref="AW51">MAX((IF(MNU_CODIGO_ALIMENTO_ENTREGA=CONCATENATE($E51,"_","P_"),MNU_GRAMAJE_REQUERIDO_TIPOH,"")))</f>
        <v>50</v>
      </c>
      <c r="AX51" s="257">
        <f t="shared" si="88"/>
        <v>220</v>
      </c>
      <c r="AY51" s="257">
        <f t="shared" si="89"/>
        <v>1100</v>
      </c>
      <c r="AZ51" s="446">
        <f t="shared" si="90"/>
        <v>595</v>
      </c>
      <c r="BA51" s="446">
        <f t="shared" si="91"/>
        <v>29.036000000000001</v>
      </c>
      <c r="BB51" s="446">
        <f t="shared" si="92"/>
        <v>0.51170952000000014</v>
      </c>
      <c r="BC51" s="446">
        <f t="shared" si="93"/>
        <v>625</v>
      </c>
      <c r="BD51" s="258">
        <f t="shared" si="94"/>
        <v>654500</v>
      </c>
      <c r="BE51" s="258">
        <f t="shared" si="95"/>
        <v>687500</v>
      </c>
      <c r="BF51" s="391">
        <f t="shared" si="96"/>
        <v>63864325</v>
      </c>
      <c r="BG51" s="391">
        <f t="shared" si="97"/>
        <v>67084375</v>
      </c>
    </row>
    <row r="52" spans="1:59" ht="15.75">
      <c r="A52" s="333">
        <v>4</v>
      </c>
      <c r="B52" s="333" t="str">
        <f t="shared" si="49"/>
        <v>CEREAL EMPACADO_4</v>
      </c>
      <c r="C52" s="333" t="str">
        <f t="shared" si="50"/>
        <v>1_4</v>
      </c>
      <c r="D52" s="333" t="s">
        <v>1607</v>
      </c>
      <c r="E52" s="256">
        <v>1</v>
      </c>
      <c r="F52" s="322" t="s">
        <v>16</v>
      </c>
      <c r="G52" s="256" t="s">
        <v>9</v>
      </c>
      <c r="H52" s="425">
        <f t="shared" si="51"/>
        <v>15</v>
      </c>
      <c r="I52" s="425">
        <f t="array" ref="I52">MAX((IF(MNU_CODIGO_ALIMENTO_ENTREGA=CONCATENATE($E52,"_","P_"),MNU_GRAMAJE_REQUERIDO_TIPOA,"")))</f>
        <v>30</v>
      </c>
      <c r="J52" s="257">
        <f t="shared" si="52"/>
        <v>6341</v>
      </c>
      <c r="K52" s="257">
        <f t="shared" si="53"/>
        <v>95115</v>
      </c>
      <c r="L52" s="446">
        <f t="shared" si="54"/>
        <v>770</v>
      </c>
      <c r="M52" s="446">
        <f t="shared" si="55"/>
        <v>37.576000000000008</v>
      </c>
      <c r="N52" s="446">
        <f t="shared" si="56"/>
        <v>0.66221231999999997</v>
      </c>
      <c r="O52" s="446">
        <f t="shared" si="57"/>
        <v>808</v>
      </c>
      <c r="P52" s="258">
        <f t="shared" si="58"/>
        <v>73238550</v>
      </c>
      <c r="Q52" s="258">
        <f t="shared" si="59"/>
        <v>76852920</v>
      </c>
      <c r="R52" s="426">
        <f t="shared" si="60"/>
        <v>15</v>
      </c>
      <c r="S52" s="426">
        <f t="array" ref="S52">MAX((IF(MNU_CODIGO_ALIMENTO_ENTREGA=CONCATENATE($E52,"_","P_"),MNU_GRAMAJE_REQUERIDO_TIPOB,"")))</f>
        <v>40</v>
      </c>
      <c r="T52" s="259">
        <f t="shared" si="61"/>
        <v>8315</v>
      </c>
      <c r="U52" s="259">
        <f t="shared" si="62"/>
        <v>124725</v>
      </c>
      <c r="V52" s="446">
        <f t="shared" si="63"/>
        <v>1027</v>
      </c>
      <c r="W52" s="446">
        <f t="shared" si="64"/>
        <v>50.117600000000003</v>
      </c>
      <c r="X52" s="446">
        <f t="shared" si="65"/>
        <v>0.88323643200000013</v>
      </c>
      <c r="Y52" s="446">
        <f t="shared" si="66"/>
        <v>1078</v>
      </c>
      <c r="Z52" s="260">
        <f t="shared" si="67"/>
        <v>128092575</v>
      </c>
      <c r="AA52" s="260">
        <f t="shared" si="68"/>
        <v>134453550</v>
      </c>
      <c r="AB52" s="425">
        <f t="shared" si="69"/>
        <v>15</v>
      </c>
      <c r="AC52" s="425">
        <f t="array" ref="AC52">MAX((IF(MNU_CODIGO_ALIMENTO_ENTREGA=CONCATENATE($E52,"_","P_"),MNU_GRAMAJE_REQUERIDO_TIPOC,"")))</f>
        <v>60</v>
      </c>
      <c r="AD52" s="257">
        <f t="shared" si="70"/>
        <v>9092</v>
      </c>
      <c r="AE52" s="257">
        <f t="shared" si="71"/>
        <v>136380</v>
      </c>
      <c r="AF52" s="446">
        <f t="shared" si="72"/>
        <v>1540</v>
      </c>
      <c r="AG52" s="446">
        <f t="shared" si="73"/>
        <v>75.152000000000015</v>
      </c>
      <c r="AH52" s="446">
        <f t="shared" si="74"/>
        <v>1.3244246399999999</v>
      </c>
      <c r="AI52" s="446">
        <f t="shared" si="75"/>
        <v>1616</v>
      </c>
      <c r="AJ52" s="258">
        <f t="shared" si="76"/>
        <v>210025200</v>
      </c>
      <c r="AK52" s="258">
        <f t="shared" si="77"/>
        <v>220390080</v>
      </c>
      <c r="AL52" s="426">
        <f t="shared" si="78"/>
        <v>15</v>
      </c>
      <c r="AM52" s="426">
        <f t="array" ref="AM52">MAX((IF(MNU_CODIGO_ALIMENTO_ENTREGA=CONCATENATE($E52,"_","P_"),MNU_GRAMAJE_REQUERIDO_TIPOM,"")))</f>
        <v>40</v>
      </c>
      <c r="AN52" s="259">
        <f t="shared" si="79"/>
        <v>144</v>
      </c>
      <c r="AO52" s="259">
        <f t="shared" si="80"/>
        <v>2160</v>
      </c>
      <c r="AP52" s="446">
        <f t="shared" si="81"/>
        <v>1027</v>
      </c>
      <c r="AQ52" s="446">
        <f t="shared" si="82"/>
        <v>50.117600000000003</v>
      </c>
      <c r="AR52" s="446">
        <f t="shared" si="83"/>
        <v>0.88323643200000013</v>
      </c>
      <c r="AS52" s="446">
        <f t="shared" si="84"/>
        <v>1078</v>
      </c>
      <c r="AT52" s="260">
        <f t="shared" si="85"/>
        <v>2218320</v>
      </c>
      <c r="AU52" s="260">
        <f t="shared" si="86"/>
        <v>2328480</v>
      </c>
      <c r="AV52" s="425">
        <f t="shared" si="87"/>
        <v>15</v>
      </c>
      <c r="AW52" s="425">
        <f t="array" ref="AW52">MAX((IF(MNU_CODIGO_ALIMENTO_ENTREGA=CONCATENATE($E52,"_","P_"),MNU_GRAMAJE_REQUERIDO_TIPOH,"")))</f>
        <v>60</v>
      </c>
      <c r="AX52" s="257">
        <f t="shared" si="88"/>
        <v>144</v>
      </c>
      <c r="AY52" s="257">
        <f t="shared" si="89"/>
        <v>2160</v>
      </c>
      <c r="AZ52" s="446">
        <f t="shared" si="90"/>
        <v>1540</v>
      </c>
      <c r="BA52" s="446">
        <f t="shared" si="91"/>
        <v>75.152000000000015</v>
      </c>
      <c r="BB52" s="446">
        <f t="shared" si="92"/>
        <v>1.3244246399999999</v>
      </c>
      <c r="BC52" s="446">
        <f t="shared" si="93"/>
        <v>1616</v>
      </c>
      <c r="BD52" s="258">
        <f t="shared" si="94"/>
        <v>3326400</v>
      </c>
      <c r="BE52" s="258">
        <f t="shared" si="95"/>
        <v>3490560</v>
      </c>
      <c r="BF52" s="391">
        <f t="shared" si="96"/>
        <v>416901045</v>
      </c>
      <c r="BG52" s="391">
        <f t="shared" si="97"/>
        <v>437515590</v>
      </c>
    </row>
    <row r="53" spans="1:59" ht="15.75">
      <c r="A53" s="333">
        <v>4</v>
      </c>
      <c r="B53" s="333" t="str">
        <f t="shared" si="49"/>
        <v>CEREAL EMPACADO_4</v>
      </c>
      <c r="C53" s="333" t="str">
        <f t="shared" si="50"/>
        <v>3_4</v>
      </c>
      <c r="D53" s="333" t="s">
        <v>1607</v>
      </c>
      <c r="E53" s="256">
        <v>3</v>
      </c>
      <c r="F53" s="322" t="s">
        <v>12</v>
      </c>
      <c r="G53" s="256" t="s">
        <v>9</v>
      </c>
      <c r="H53" s="425">
        <f t="shared" si="51"/>
        <v>17</v>
      </c>
      <c r="I53" s="425">
        <f t="array" ref="I53">MAX((IF(MNU_CODIGO_ALIMENTO_ENTREGA=CONCATENATE($E53,"_","P_"),MNU_GRAMAJE_REQUERIDO_TIPOA,"")))</f>
        <v>50</v>
      </c>
      <c r="J53" s="257">
        <f t="shared" si="52"/>
        <v>6341</v>
      </c>
      <c r="K53" s="257">
        <f t="shared" si="53"/>
        <v>107797</v>
      </c>
      <c r="L53" s="446">
        <f t="shared" si="54"/>
        <v>481</v>
      </c>
      <c r="M53" s="446">
        <f t="shared" si="55"/>
        <v>23.472799999999999</v>
      </c>
      <c r="N53" s="446">
        <f t="shared" si="56"/>
        <v>0.41366769599999997</v>
      </c>
      <c r="O53" s="446">
        <f t="shared" si="57"/>
        <v>505</v>
      </c>
      <c r="P53" s="258">
        <f t="shared" si="58"/>
        <v>51850357</v>
      </c>
      <c r="Q53" s="258">
        <f t="shared" si="59"/>
        <v>54437485</v>
      </c>
      <c r="R53" s="426">
        <f t="shared" si="60"/>
        <v>17</v>
      </c>
      <c r="S53" s="426">
        <f t="array" ref="S53">MAX((IF(MNU_CODIGO_ALIMENTO_ENTREGA=CONCATENATE($E53,"_","P_"),MNU_GRAMAJE_REQUERIDO_TIPOB,"")))</f>
        <v>50</v>
      </c>
      <c r="T53" s="259">
        <f t="shared" si="61"/>
        <v>8315</v>
      </c>
      <c r="U53" s="259">
        <f t="shared" si="62"/>
        <v>141355</v>
      </c>
      <c r="V53" s="446">
        <f t="shared" si="63"/>
        <v>481</v>
      </c>
      <c r="W53" s="446">
        <f t="shared" si="64"/>
        <v>23.472799999999999</v>
      </c>
      <c r="X53" s="446">
        <f t="shared" si="65"/>
        <v>0.41366769599999997</v>
      </c>
      <c r="Y53" s="446">
        <f t="shared" si="66"/>
        <v>505</v>
      </c>
      <c r="Z53" s="260">
        <f t="shared" si="67"/>
        <v>67991755</v>
      </c>
      <c r="AA53" s="260">
        <f t="shared" si="68"/>
        <v>71384275</v>
      </c>
      <c r="AB53" s="425">
        <f t="shared" si="69"/>
        <v>17</v>
      </c>
      <c r="AC53" s="425">
        <f t="array" ref="AC53">MAX((IF(MNU_CODIGO_ALIMENTO_ENTREGA=CONCATENATE($E53,"_","P_"),MNU_GRAMAJE_REQUERIDO_TIPOC,"")))</f>
        <v>80</v>
      </c>
      <c r="AD53" s="257">
        <f t="shared" si="70"/>
        <v>9092</v>
      </c>
      <c r="AE53" s="257">
        <f t="shared" si="71"/>
        <v>154564</v>
      </c>
      <c r="AF53" s="446">
        <f t="shared" si="72"/>
        <v>727</v>
      </c>
      <c r="AG53" s="446">
        <f t="shared" si="73"/>
        <v>35.477600000000002</v>
      </c>
      <c r="AH53" s="446">
        <f t="shared" si="74"/>
        <v>0.62523163200000009</v>
      </c>
      <c r="AI53" s="446">
        <f t="shared" si="75"/>
        <v>763</v>
      </c>
      <c r="AJ53" s="258">
        <f t="shared" si="76"/>
        <v>112368028</v>
      </c>
      <c r="AK53" s="258">
        <f t="shared" si="77"/>
        <v>117932332</v>
      </c>
      <c r="AL53" s="426">
        <f t="shared" si="78"/>
        <v>17</v>
      </c>
      <c r="AM53" s="426">
        <f t="array" ref="AM53">MAX((IF(MNU_CODIGO_ALIMENTO_ENTREGA=CONCATENATE($E53,"_","P_"),MNU_GRAMAJE_REQUERIDO_TIPOM,"")))</f>
        <v>50</v>
      </c>
      <c r="AN53" s="259">
        <f t="shared" si="79"/>
        <v>144</v>
      </c>
      <c r="AO53" s="259">
        <f t="shared" si="80"/>
        <v>2448</v>
      </c>
      <c r="AP53" s="446">
        <f t="shared" si="81"/>
        <v>481</v>
      </c>
      <c r="AQ53" s="446">
        <f t="shared" si="82"/>
        <v>23.472799999999999</v>
      </c>
      <c r="AR53" s="446">
        <f t="shared" si="83"/>
        <v>0.41366769599999997</v>
      </c>
      <c r="AS53" s="446">
        <f t="shared" si="84"/>
        <v>505</v>
      </c>
      <c r="AT53" s="260">
        <f t="shared" si="85"/>
        <v>1177488</v>
      </c>
      <c r="AU53" s="260">
        <f t="shared" si="86"/>
        <v>1236240</v>
      </c>
      <c r="AV53" s="425">
        <f t="shared" si="87"/>
        <v>17</v>
      </c>
      <c r="AW53" s="425">
        <f t="array" ref="AW53">MAX((IF(MNU_CODIGO_ALIMENTO_ENTREGA=CONCATENATE($E53,"_","P_"),MNU_GRAMAJE_REQUERIDO_TIPOH,"")))</f>
        <v>80</v>
      </c>
      <c r="AX53" s="257">
        <f t="shared" si="88"/>
        <v>144</v>
      </c>
      <c r="AY53" s="257">
        <f t="shared" si="89"/>
        <v>2448</v>
      </c>
      <c r="AZ53" s="446">
        <f t="shared" si="90"/>
        <v>727</v>
      </c>
      <c r="BA53" s="446">
        <f t="shared" si="91"/>
        <v>35.477600000000002</v>
      </c>
      <c r="BB53" s="446">
        <f t="shared" si="92"/>
        <v>0.62523163200000009</v>
      </c>
      <c r="BC53" s="446">
        <f t="shared" si="93"/>
        <v>763</v>
      </c>
      <c r="BD53" s="258">
        <f t="shared" si="94"/>
        <v>1779696</v>
      </c>
      <c r="BE53" s="258">
        <f t="shared" si="95"/>
        <v>1867824</v>
      </c>
      <c r="BF53" s="391">
        <f t="shared" si="96"/>
        <v>235167324</v>
      </c>
      <c r="BG53" s="391">
        <f t="shared" si="97"/>
        <v>246858156</v>
      </c>
    </row>
    <row r="54" spans="1:59" ht="15.75">
      <c r="A54" s="333">
        <v>4</v>
      </c>
      <c r="B54" s="333" t="str">
        <f t="shared" si="49"/>
        <v>CEREAL EMPACADO_4</v>
      </c>
      <c r="C54" s="333" t="str">
        <f t="shared" si="50"/>
        <v>15_4</v>
      </c>
      <c r="D54" s="333" t="s">
        <v>1607</v>
      </c>
      <c r="E54" s="256">
        <v>15</v>
      </c>
      <c r="F54" s="322" t="s">
        <v>66</v>
      </c>
      <c r="G54" s="256" t="s">
        <v>9</v>
      </c>
      <c r="H54" s="425">
        <f t="shared" si="51"/>
        <v>17</v>
      </c>
      <c r="I54" s="425">
        <f t="array" ref="I54">MAX((IF(MNU_CODIGO_ALIMENTO_ENTREGA=CONCATENATE($E54,"_","P_"),MNU_GRAMAJE_REQUERIDO_TIPOA,"")))</f>
        <v>50</v>
      </c>
      <c r="J54" s="257">
        <f t="shared" si="52"/>
        <v>6341</v>
      </c>
      <c r="K54" s="257">
        <f t="shared" si="53"/>
        <v>107797</v>
      </c>
      <c r="L54" s="446">
        <f t="shared" si="54"/>
        <v>641</v>
      </c>
      <c r="M54" s="446">
        <f t="shared" si="55"/>
        <v>31.280800000000003</v>
      </c>
      <c r="N54" s="446">
        <f t="shared" si="56"/>
        <v>0.55127025600000001</v>
      </c>
      <c r="O54" s="446">
        <f t="shared" si="57"/>
        <v>673</v>
      </c>
      <c r="P54" s="258">
        <f t="shared" si="58"/>
        <v>69097877</v>
      </c>
      <c r="Q54" s="258">
        <f t="shared" si="59"/>
        <v>72547381</v>
      </c>
      <c r="R54" s="426">
        <f t="shared" si="60"/>
        <v>17</v>
      </c>
      <c r="S54" s="426">
        <f t="array" ref="S54">MAX((IF(MNU_CODIGO_ALIMENTO_ENTREGA=CONCATENATE($E54,"_","P_"),MNU_GRAMAJE_REQUERIDO_TIPOB,"")))</f>
        <v>50</v>
      </c>
      <c r="T54" s="259">
        <f t="shared" si="61"/>
        <v>8315</v>
      </c>
      <c r="U54" s="259">
        <f t="shared" si="62"/>
        <v>141355</v>
      </c>
      <c r="V54" s="446">
        <f t="shared" si="63"/>
        <v>641</v>
      </c>
      <c r="W54" s="446">
        <f t="shared" si="64"/>
        <v>31.280800000000003</v>
      </c>
      <c r="X54" s="446">
        <f t="shared" si="65"/>
        <v>0.55127025600000001</v>
      </c>
      <c r="Y54" s="446">
        <f t="shared" si="66"/>
        <v>673</v>
      </c>
      <c r="Z54" s="260">
        <f t="shared" si="67"/>
        <v>90608555</v>
      </c>
      <c r="AA54" s="260">
        <f t="shared" si="68"/>
        <v>95131915</v>
      </c>
      <c r="AB54" s="425">
        <f t="shared" si="69"/>
        <v>17</v>
      </c>
      <c r="AC54" s="425">
        <f t="array" ref="AC54">MAX((IF(MNU_CODIGO_ALIMENTO_ENTREGA=CONCATENATE($E54,"_","P_"),MNU_GRAMAJE_REQUERIDO_TIPOC,"")))</f>
        <v>80</v>
      </c>
      <c r="AD54" s="257">
        <f t="shared" si="70"/>
        <v>9092</v>
      </c>
      <c r="AE54" s="257">
        <f t="shared" si="71"/>
        <v>154564</v>
      </c>
      <c r="AF54" s="446">
        <f t="shared" si="72"/>
        <v>1025</v>
      </c>
      <c r="AG54" s="446">
        <f t="shared" si="73"/>
        <v>50.02</v>
      </c>
      <c r="AH54" s="446">
        <f t="shared" si="74"/>
        <v>0.88151640000000009</v>
      </c>
      <c r="AI54" s="446">
        <f t="shared" si="75"/>
        <v>1076</v>
      </c>
      <c r="AJ54" s="258">
        <f t="shared" si="76"/>
        <v>158428100</v>
      </c>
      <c r="AK54" s="258">
        <f t="shared" si="77"/>
        <v>166310864</v>
      </c>
      <c r="AL54" s="426">
        <f t="shared" si="78"/>
        <v>17</v>
      </c>
      <c r="AM54" s="426">
        <f t="array" ref="AM54">MAX((IF(MNU_CODIGO_ALIMENTO_ENTREGA=CONCATENATE($E54,"_","P_"),MNU_GRAMAJE_REQUERIDO_TIPOM,"")))</f>
        <v>50</v>
      </c>
      <c r="AN54" s="259">
        <f t="shared" si="79"/>
        <v>144</v>
      </c>
      <c r="AO54" s="259">
        <f t="shared" si="80"/>
        <v>2448</v>
      </c>
      <c r="AP54" s="446">
        <f t="shared" si="81"/>
        <v>641</v>
      </c>
      <c r="AQ54" s="446">
        <f t="shared" si="82"/>
        <v>31.280800000000003</v>
      </c>
      <c r="AR54" s="446">
        <f t="shared" si="83"/>
        <v>0.55127025600000001</v>
      </c>
      <c r="AS54" s="446">
        <f t="shared" si="84"/>
        <v>673</v>
      </c>
      <c r="AT54" s="260">
        <f t="shared" si="85"/>
        <v>1569168</v>
      </c>
      <c r="AU54" s="260">
        <f t="shared" si="86"/>
        <v>1647504</v>
      </c>
      <c r="AV54" s="425">
        <f t="shared" si="87"/>
        <v>17</v>
      </c>
      <c r="AW54" s="425">
        <f t="array" ref="AW54">MAX((IF(MNU_CODIGO_ALIMENTO_ENTREGA=CONCATENATE($E54,"_","P_"),MNU_GRAMAJE_REQUERIDO_TIPOH,"")))</f>
        <v>80</v>
      </c>
      <c r="AX54" s="257">
        <f t="shared" si="88"/>
        <v>144</v>
      </c>
      <c r="AY54" s="257">
        <f t="shared" si="89"/>
        <v>2448</v>
      </c>
      <c r="AZ54" s="446">
        <f t="shared" si="90"/>
        <v>1025</v>
      </c>
      <c r="BA54" s="446">
        <f t="shared" si="91"/>
        <v>50.02</v>
      </c>
      <c r="BB54" s="446">
        <f t="shared" si="92"/>
        <v>0.88151640000000009</v>
      </c>
      <c r="BC54" s="446">
        <f t="shared" si="93"/>
        <v>1076</v>
      </c>
      <c r="BD54" s="258">
        <f t="shared" si="94"/>
        <v>2509200</v>
      </c>
      <c r="BE54" s="258">
        <f t="shared" si="95"/>
        <v>2634048</v>
      </c>
      <c r="BF54" s="391">
        <f t="shared" si="96"/>
        <v>322212900</v>
      </c>
      <c r="BG54" s="391">
        <f t="shared" si="97"/>
        <v>338271712</v>
      </c>
    </row>
    <row r="55" spans="1:59" ht="15.75">
      <c r="A55" s="333">
        <v>4</v>
      </c>
      <c r="B55" s="333" t="str">
        <f t="shared" si="49"/>
        <v>CEREAL EMPACADO_4</v>
      </c>
      <c r="C55" s="333" t="str">
        <f t="shared" si="50"/>
        <v>24_4</v>
      </c>
      <c r="D55" s="333" t="s">
        <v>1607</v>
      </c>
      <c r="E55" s="256">
        <v>24</v>
      </c>
      <c r="F55" s="322" t="s">
        <v>61</v>
      </c>
      <c r="G55" s="256" t="s">
        <v>9</v>
      </c>
      <c r="H55" s="425">
        <f t="shared" si="51"/>
        <v>17</v>
      </c>
      <c r="I55" s="425">
        <f t="array" ref="I55">MAX((IF(MNU_CODIGO_ALIMENTO_ENTREGA=CONCATENATE($E55,"_","P_"),MNU_GRAMAJE_REQUERIDO_TIPOA,"")))</f>
        <v>20</v>
      </c>
      <c r="J55" s="257">
        <f t="shared" si="52"/>
        <v>6341</v>
      </c>
      <c r="K55" s="257">
        <f t="shared" si="53"/>
        <v>107797</v>
      </c>
      <c r="L55" s="446">
        <f t="shared" si="54"/>
        <v>122</v>
      </c>
      <c r="M55" s="446">
        <f t="shared" si="55"/>
        <v>5.9535999999999998</v>
      </c>
      <c r="N55" s="446">
        <f t="shared" si="56"/>
        <v>0.104921952</v>
      </c>
      <c r="O55" s="446">
        <f t="shared" si="57"/>
        <v>128</v>
      </c>
      <c r="P55" s="258">
        <f t="shared" si="58"/>
        <v>13151234</v>
      </c>
      <c r="Q55" s="258">
        <f t="shared" si="59"/>
        <v>13798016</v>
      </c>
      <c r="R55" s="426">
        <f t="shared" si="60"/>
        <v>17</v>
      </c>
      <c r="S55" s="426">
        <f t="array" ref="S55">MAX((IF(MNU_CODIGO_ALIMENTO_ENTREGA=CONCATENATE($E55,"_","P_"),MNU_GRAMAJE_REQUERIDO_TIPOB,"")))</f>
        <v>30</v>
      </c>
      <c r="T55" s="259">
        <f t="shared" si="61"/>
        <v>8315</v>
      </c>
      <c r="U55" s="259">
        <f t="shared" si="62"/>
        <v>141355</v>
      </c>
      <c r="V55" s="446">
        <f t="shared" si="63"/>
        <v>191</v>
      </c>
      <c r="W55" s="446">
        <f t="shared" si="64"/>
        <v>9.3208000000000002</v>
      </c>
      <c r="X55" s="446">
        <f t="shared" si="65"/>
        <v>0.16426305600000002</v>
      </c>
      <c r="Y55" s="446">
        <f t="shared" si="66"/>
        <v>200</v>
      </c>
      <c r="Z55" s="260">
        <f t="shared" si="67"/>
        <v>26998805</v>
      </c>
      <c r="AA55" s="260">
        <f t="shared" si="68"/>
        <v>28271000</v>
      </c>
      <c r="AB55" s="425">
        <f t="shared" si="69"/>
        <v>17</v>
      </c>
      <c r="AC55" s="425">
        <f t="array" ref="AC55">MAX((IF(MNU_CODIGO_ALIMENTO_ENTREGA=CONCATENATE($E55,"_","P_"),MNU_GRAMAJE_REQUERIDO_TIPOC,"")))</f>
        <v>60</v>
      </c>
      <c r="AD55" s="257">
        <f t="shared" si="70"/>
        <v>9092</v>
      </c>
      <c r="AE55" s="257">
        <f t="shared" si="71"/>
        <v>154564</v>
      </c>
      <c r="AF55" s="446">
        <f t="shared" si="72"/>
        <v>367</v>
      </c>
      <c r="AG55" s="446">
        <f t="shared" si="73"/>
        <v>17.909599999999998</v>
      </c>
      <c r="AH55" s="446">
        <f t="shared" si="74"/>
        <v>0.31562587200000003</v>
      </c>
      <c r="AI55" s="446">
        <f t="shared" si="75"/>
        <v>385</v>
      </c>
      <c r="AJ55" s="258">
        <f t="shared" si="76"/>
        <v>56724988</v>
      </c>
      <c r="AK55" s="258">
        <f t="shared" si="77"/>
        <v>59507140</v>
      </c>
      <c r="AL55" s="426">
        <f t="shared" si="78"/>
        <v>17</v>
      </c>
      <c r="AM55" s="426">
        <f t="array" ref="AM55">MAX((IF(MNU_CODIGO_ALIMENTO_ENTREGA=CONCATENATE($E55,"_","P_"),MNU_GRAMAJE_REQUERIDO_TIPOM,"")))</f>
        <v>30</v>
      </c>
      <c r="AN55" s="259">
        <f t="shared" si="79"/>
        <v>144</v>
      </c>
      <c r="AO55" s="259">
        <f t="shared" si="80"/>
        <v>2448</v>
      </c>
      <c r="AP55" s="446">
        <f t="shared" si="81"/>
        <v>191</v>
      </c>
      <c r="AQ55" s="446">
        <f t="shared" si="82"/>
        <v>9.3208000000000002</v>
      </c>
      <c r="AR55" s="446">
        <f t="shared" si="83"/>
        <v>0.16426305600000002</v>
      </c>
      <c r="AS55" s="446">
        <f t="shared" si="84"/>
        <v>200</v>
      </c>
      <c r="AT55" s="260">
        <f t="shared" si="85"/>
        <v>467568</v>
      </c>
      <c r="AU55" s="260">
        <f t="shared" si="86"/>
        <v>489600</v>
      </c>
      <c r="AV55" s="425">
        <f t="shared" si="87"/>
        <v>17</v>
      </c>
      <c r="AW55" s="425">
        <f t="array" ref="AW55">MAX((IF(MNU_CODIGO_ALIMENTO_ENTREGA=CONCATENATE($E55,"_","P_"),MNU_GRAMAJE_REQUERIDO_TIPOH,"")))</f>
        <v>60</v>
      </c>
      <c r="AX55" s="257">
        <f t="shared" si="88"/>
        <v>144</v>
      </c>
      <c r="AY55" s="257">
        <f t="shared" si="89"/>
        <v>2448</v>
      </c>
      <c r="AZ55" s="446">
        <f t="shared" si="90"/>
        <v>367</v>
      </c>
      <c r="BA55" s="446">
        <f t="shared" si="91"/>
        <v>17.909599999999998</v>
      </c>
      <c r="BB55" s="446">
        <f t="shared" si="92"/>
        <v>0.31562587200000003</v>
      </c>
      <c r="BC55" s="446">
        <f t="shared" si="93"/>
        <v>385</v>
      </c>
      <c r="BD55" s="258">
        <f t="shared" si="94"/>
        <v>898416</v>
      </c>
      <c r="BE55" s="258">
        <f t="shared" si="95"/>
        <v>942480</v>
      </c>
      <c r="BF55" s="391">
        <f t="shared" si="96"/>
        <v>98241011</v>
      </c>
      <c r="BG55" s="391">
        <f t="shared" si="97"/>
        <v>103008236</v>
      </c>
    </row>
    <row r="56" spans="1:59" ht="15.75">
      <c r="A56" s="333">
        <v>4</v>
      </c>
      <c r="B56" s="333" t="str">
        <f t="shared" si="49"/>
        <v>CEREAL EMPACADO_4</v>
      </c>
      <c r="C56" s="333" t="str">
        <f t="shared" si="50"/>
        <v>25_4</v>
      </c>
      <c r="D56" s="333" t="s">
        <v>1607</v>
      </c>
      <c r="E56" s="256">
        <v>25</v>
      </c>
      <c r="F56" s="322" t="s">
        <v>64</v>
      </c>
      <c r="G56" s="256" t="s">
        <v>9</v>
      </c>
      <c r="H56" s="425">
        <f t="shared" si="51"/>
        <v>17</v>
      </c>
      <c r="I56" s="425">
        <f t="array" ref="I56">MAX((IF(MNU_CODIGO_ALIMENTO_ENTREGA=CONCATENATE($E56,"_","P_"),MNU_GRAMAJE_REQUERIDO_TIPOA,"")))</f>
        <v>40</v>
      </c>
      <c r="J56" s="257">
        <f t="shared" si="52"/>
        <v>6341</v>
      </c>
      <c r="K56" s="257">
        <f t="shared" si="53"/>
        <v>107797</v>
      </c>
      <c r="L56" s="446">
        <f t="shared" si="54"/>
        <v>244</v>
      </c>
      <c r="M56" s="446">
        <f t="shared" si="55"/>
        <v>11.9072</v>
      </c>
      <c r="N56" s="446">
        <f t="shared" si="56"/>
        <v>0.209843904</v>
      </c>
      <c r="O56" s="446">
        <f t="shared" si="57"/>
        <v>256</v>
      </c>
      <c r="P56" s="258">
        <f t="shared" si="58"/>
        <v>26302468</v>
      </c>
      <c r="Q56" s="258">
        <f t="shared" si="59"/>
        <v>27596032</v>
      </c>
      <c r="R56" s="426">
        <f t="shared" si="60"/>
        <v>17</v>
      </c>
      <c r="S56" s="426">
        <f t="array" ref="S56">MAX((IF(MNU_CODIGO_ALIMENTO_ENTREGA=CONCATENATE($E56,"_","P_"),MNU_GRAMAJE_REQUERIDO_TIPOB,"")))</f>
        <v>40</v>
      </c>
      <c r="T56" s="259">
        <f t="shared" si="61"/>
        <v>8315</v>
      </c>
      <c r="U56" s="259">
        <f t="shared" si="62"/>
        <v>141355</v>
      </c>
      <c r="V56" s="446">
        <f t="shared" si="63"/>
        <v>244</v>
      </c>
      <c r="W56" s="446">
        <f t="shared" si="64"/>
        <v>11.9072</v>
      </c>
      <c r="X56" s="446">
        <f t="shared" si="65"/>
        <v>0.209843904</v>
      </c>
      <c r="Y56" s="446">
        <f t="shared" si="66"/>
        <v>256</v>
      </c>
      <c r="Z56" s="260">
        <f t="shared" si="67"/>
        <v>34490620</v>
      </c>
      <c r="AA56" s="260">
        <f t="shared" si="68"/>
        <v>36186880</v>
      </c>
      <c r="AB56" s="425">
        <f t="shared" si="69"/>
        <v>17</v>
      </c>
      <c r="AC56" s="425">
        <f t="array" ref="AC56">MAX((IF(MNU_CODIGO_ALIMENTO_ENTREGA=CONCATENATE($E56,"_","P_"),MNU_GRAMAJE_REQUERIDO_TIPOC,"")))</f>
        <v>60</v>
      </c>
      <c r="AD56" s="257">
        <f t="shared" si="70"/>
        <v>9092</v>
      </c>
      <c r="AE56" s="257">
        <f t="shared" si="71"/>
        <v>154564</v>
      </c>
      <c r="AF56" s="446">
        <f t="shared" si="72"/>
        <v>366</v>
      </c>
      <c r="AG56" s="446">
        <f t="shared" si="73"/>
        <v>17.860800000000001</v>
      </c>
      <c r="AH56" s="446">
        <f t="shared" si="74"/>
        <v>0.31476585600000001</v>
      </c>
      <c r="AI56" s="446">
        <f t="shared" si="75"/>
        <v>384</v>
      </c>
      <c r="AJ56" s="258">
        <f t="shared" si="76"/>
        <v>56570424</v>
      </c>
      <c r="AK56" s="258">
        <f t="shared" si="77"/>
        <v>59352576</v>
      </c>
      <c r="AL56" s="426">
        <f t="shared" si="78"/>
        <v>17</v>
      </c>
      <c r="AM56" s="426">
        <f t="array" ref="AM56">MAX((IF(MNU_CODIGO_ALIMENTO_ENTREGA=CONCATENATE($E56,"_","P_"),MNU_GRAMAJE_REQUERIDO_TIPOM,"")))</f>
        <v>40</v>
      </c>
      <c r="AN56" s="259">
        <f t="shared" si="79"/>
        <v>144</v>
      </c>
      <c r="AO56" s="259">
        <f t="shared" si="80"/>
        <v>2448</v>
      </c>
      <c r="AP56" s="446">
        <f t="shared" si="81"/>
        <v>244</v>
      </c>
      <c r="AQ56" s="446">
        <f t="shared" si="82"/>
        <v>11.9072</v>
      </c>
      <c r="AR56" s="446">
        <f t="shared" si="83"/>
        <v>0.209843904</v>
      </c>
      <c r="AS56" s="446">
        <f t="shared" si="84"/>
        <v>256</v>
      </c>
      <c r="AT56" s="260">
        <f t="shared" si="85"/>
        <v>597312</v>
      </c>
      <c r="AU56" s="260">
        <f t="shared" si="86"/>
        <v>626688</v>
      </c>
      <c r="AV56" s="425">
        <f t="shared" si="87"/>
        <v>17</v>
      </c>
      <c r="AW56" s="425">
        <f t="array" ref="AW56">MAX((IF(MNU_CODIGO_ALIMENTO_ENTREGA=CONCATENATE($E56,"_","P_"),MNU_GRAMAJE_REQUERIDO_TIPOH,"")))</f>
        <v>60</v>
      </c>
      <c r="AX56" s="257">
        <f t="shared" si="88"/>
        <v>144</v>
      </c>
      <c r="AY56" s="257">
        <f t="shared" si="89"/>
        <v>2448</v>
      </c>
      <c r="AZ56" s="446">
        <f t="shared" si="90"/>
        <v>366</v>
      </c>
      <c r="BA56" s="446">
        <f t="shared" si="91"/>
        <v>17.860800000000001</v>
      </c>
      <c r="BB56" s="446">
        <f t="shared" si="92"/>
        <v>0.31476585600000001</v>
      </c>
      <c r="BC56" s="446">
        <f t="shared" si="93"/>
        <v>384</v>
      </c>
      <c r="BD56" s="258">
        <f t="shared" si="94"/>
        <v>895968</v>
      </c>
      <c r="BE56" s="258">
        <f t="shared" si="95"/>
        <v>940032</v>
      </c>
      <c r="BF56" s="391">
        <f t="shared" si="96"/>
        <v>118856792</v>
      </c>
      <c r="BG56" s="391">
        <f t="shared" si="97"/>
        <v>124702208</v>
      </c>
    </row>
    <row r="57" spans="1:59" ht="15.75">
      <c r="A57" s="333">
        <v>4</v>
      </c>
      <c r="B57" s="333" t="str">
        <f t="shared" si="49"/>
        <v>CEREAL EMPACADO_4</v>
      </c>
      <c r="C57" s="333" t="str">
        <f t="shared" si="50"/>
        <v>26_4</v>
      </c>
      <c r="D57" s="333" t="s">
        <v>1607</v>
      </c>
      <c r="E57" s="256">
        <v>26</v>
      </c>
      <c r="F57" s="322" t="s">
        <v>69</v>
      </c>
      <c r="G57" s="256" t="s">
        <v>9</v>
      </c>
      <c r="H57" s="425">
        <f t="shared" si="51"/>
        <v>6</v>
      </c>
      <c r="I57" s="425">
        <f t="array" ref="I57">MAX((IF(MNU_CODIGO_ALIMENTO_ENTREGA=CONCATENATE($E57,"_","P_"),MNU_GRAMAJE_REQUERIDO_TIPOA,"")))</f>
        <v>30</v>
      </c>
      <c r="J57" s="257">
        <f t="shared" si="52"/>
        <v>6341</v>
      </c>
      <c r="K57" s="257">
        <f t="shared" si="53"/>
        <v>38046</v>
      </c>
      <c r="L57" s="446">
        <f t="shared" si="54"/>
        <v>163</v>
      </c>
      <c r="M57" s="446">
        <f t="shared" si="55"/>
        <v>7.9543999999999997</v>
      </c>
      <c r="N57" s="446">
        <f t="shared" si="56"/>
        <v>0.14018260800000001</v>
      </c>
      <c r="O57" s="446">
        <f t="shared" si="57"/>
        <v>171</v>
      </c>
      <c r="P57" s="258">
        <f t="shared" si="58"/>
        <v>6201498</v>
      </c>
      <c r="Q57" s="258">
        <f t="shared" si="59"/>
        <v>6505866</v>
      </c>
      <c r="R57" s="426">
        <f t="shared" si="60"/>
        <v>6</v>
      </c>
      <c r="S57" s="426">
        <f t="array" ref="S57">MAX((IF(MNU_CODIGO_ALIMENTO_ENTREGA=CONCATENATE($E57,"_","P_"),MNU_GRAMAJE_REQUERIDO_TIPOB,"")))</f>
        <v>30</v>
      </c>
      <c r="T57" s="259">
        <f t="shared" si="61"/>
        <v>8315</v>
      </c>
      <c r="U57" s="259">
        <f t="shared" si="62"/>
        <v>49890</v>
      </c>
      <c r="V57" s="446">
        <f t="shared" si="63"/>
        <v>163</v>
      </c>
      <c r="W57" s="446">
        <f t="shared" si="64"/>
        <v>7.9543999999999997</v>
      </c>
      <c r="X57" s="446">
        <f t="shared" si="65"/>
        <v>0.14018260800000001</v>
      </c>
      <c r="Y57" s="446">
        <f t="shared" si="66"/>
        <v>171</v>
      </c>
      <c r="Z57" s="260">
        <f t="shared" si="67"/>
        <v>8132070</v>
      </c>
      <c r="AA57" s="260">
        <f t="shared" si="68"/>
        <v>8531190</v>
      </c>
      <c r="AB57" s="425">
        <f t="shared" si="69"/>
        <v>6</v>
      </c>
      <c r="AC57" s="425">
        <f t="array" ref="AC57">MAX((IF(MNU_CODIGO_ALIMENTO_ENTREGA=CONCATENATE($E57,"_","P_"),MNU_GRAMAJE_REQUERIDO_TIPOC,"")))</f>
        <v>30</v>
      </c>
      <c r="AD57" s="257">
        <f t="shared" si="70"/>
        <v>9092</v>
      </c>
      <c r="AE57" s="257">
        <f t="shared" si="71"/>
        <v>54552</v>
      </c>
      <c r="AF57" s="446">
        <f t="shared" si="72"/>
        <v>163</v>
      </c>
      <c r="AG57" s="446">
        <f t="shared" si="73"/>
        <v>7.9543999999999997</v>
      </c>
      <c r="AH57" s="446">
        <f t="shared" si="74"/>
        <v>0.14018260800000001</v>
      </c>
      <c r="AI57" s="446">
        <f t="shared" si="75"/>
        <v>171</v>
      </c>
      <c r="AJ57" s="258">
        <f t="shared" si="76"/>
        <v>8891976</v>
      </c>
      <c r="AK57" s="258">
        <f t="shared" si="77"/>
        <v>9328392</v>
      </c>
      <c r="AL57" s="426">
        <f t="shared" si="78"/>
        <v>6</v>
      </c>
      <c r="AM57" s="426">
        <f t="array" ref="AM57">MAX((IF(MNU_CODIGO_ALIMENTO_ENTREGA=CONCATENATE($E57,"_","P_"),MNU_GRAMAJE_REQUERIDO_TIPOM,"")))</f>
        <v>30</v>
      </c>
      <c r="AN57" s="259">
        <f t="shared" si="79"/>
        <v>144</v>
      </c>
      <c r="AO57" s="259">
        <f t="shared" si="80"/>
        <v>864</v>
      </c>
      <c r="AP57" s="446">
        <f t="shared" si="81"/>
        <v>163</v>
      </c>
      <c r="AQ57" s="446">
        <f t="shared" si="82"/>
        <v>7.9543999999999997</v>
      </c>
      <c r="AR57" s="446">
        <f t="shared" si="83"/>
        <v>0.14018260800000001</v>
      </c>
      <c r="AS57" s="446">
        <f t="shared" si="84"/>
        <v>171</v>
      </c>
      <c r="AT57" s="260">
        <f t="shared" si="85"/>
        <v>140832</v>
      </c>
      <c r="AU57" s="260">
        <f t="shared" si="86"/>
        <v>147744</v>
      </c>
      <c r="AV57" s="425">
        <f t="shared" si="87"/>
        <v>6</v>
      </c>
      <c r="AW57" s="425">
        <f t="array" ref="AW57">MAX((IF(MNU_CODIGO_ALIMENTO_ENTREGA=CONCATENATE($E57,"_","P_"),MNU_GRAMAJE_REQUERIDO_TIPOH,"")))</f>
        <v>30</v>
      </c>
      <c r="AX57" s="257">
        <f t="shared" si="88"/>
        <v>144</v>
      </c>
      <c r="AY57" s="257">
        <f t="shared" si="89"/>
        <v>864</v>
      </c>
      <c r="AZ57" s="446">
        <f t="shared" si="90"/>
        <v>163</v>
      </c>
      <c r="BA57" s="446">
        <f t="shared" si="91"/>
        <v>7.9543999999999997</v>
      </c>
      <c r="BB57" s="446">
        <f t="shared" si="92"/>
        <v>0.14018260800000001</v>
      </c>
      <c r="BC57" s="446">
        <f t="shared" si="93"/>
        <v>171</v>
      </c>
      <c r="BD57" s="258">
        <f t="shared" si="94"/>
        <v>140832</v>
      </c>
      <c r="BE57" s="258">
        <f t="shared" si="95"/>
        <v>147744</v>
      </c>
      <c r="BF57" s="391">
        <f t="shared" si="96"/>
        <v>23507208</v>
      </c>
      <c r="BG57" s="391">
        <f t="shared" si="97"/>
        <v>24660936</v>
      </c>
    </row>
    <row r="58" spans="1:59" ht="27">
      <c r="A58" s="333">
        <v>4</v>
      </c>
      <c r="B58" s="333" t="str">
        <f t="shared" si="49"/>
        <v>CEREAL EMPACADO_4</v>
      </c>
      <c r="C58" s="333" t="str">
        <f t="shared" si="50"/>
        <v>28_4</v>
      </c>
      <c r="D58" s="333" t="s">
        <v>1607</v>
      </c>
      <c r="E58" s="256">
        <v>28</v>
      </c>
      <c r="F58" s="322" t="s">
        <v>67</v>
      </c>
      <c r="G58" s="256" t="s">
        <v>9</v>
      </c>
      <c r="H58" s="425">
        <f t="shared" si="51"/>
        <v>6</v>
      </c>
      <c r="I58" s="425">
        <f t="array" ref="I58">MAX((IF(MNU_CODIGO_ALIMENTO_ENTREGA=CONCATENATE($E58,"_","P_"),MNU_GRAMAJE_REQUERIDO_TIPOA,"")))</f>
        <v>30</v>
      </c>
      <c r="J58" s="257">
        <f t="shared" si="52"/>
        <v>6341</v>
      </c>
      <c r="K58" s="257">
        <f t="shared" si="53"/>
        <v>38046</v>
      </c>
      <c r="L58" s="446">
        <f t="shared" si="54"/>
        <v>215</v>
      </c>
      <c r="M58" s="446">
        <f t="shared" si="55"/>
        <v>10.492000000000001</v>
      </c>
      <c r="N58" s="446">
        <f t="shared" si="56"/>
        <v>0.18490343999999997</v>
      </c>
      <c r="O58" s="446">
        <f t="shared" si="57"/>
        <v>226</v>
      </c>
      <c r="P58" s="258">
        <f t="shared" si="58"/>
        <v>8179890</v>
      </c>
      <c r="Q58" s="258">
        <f t="shared" si="59"/>
        <v>8598396</v>
      </c>
      <c r="R58" s="426">
        <f t="shared" si="60"/>
        <v>6</v>
      </c>
      <c r="S58" s="426">
        <f t="array" ref="S58">MAX((IF(MNU_CODIGO_ALIMENTO_ENTREGA=CONCATENATE($E58,"_","P_"),MNU_GRAMAJE_REQUERIDO_TIPOB,"")))</f>
        <v>40</v>
      </c>
      <c r="T58" s="259">
        <f t="shared" si="61"/>
        <v>8315</v>
      </c>
      <c r="U58" s="259">
        <f t="shared" si="62"/>
        <v>49890</v>
      </c>
      <c r="V58" s="446">
        <f t="shared" si="63"/>
        <v>287</v>
      </c>
      <c r="W58" s="446">
        <f t="shared" si="64"/>
        <v>14.005600000000001</v>
      </c>
      <c r="X58" s="446">
        <f t="shared" si="65"/>
        <v>0.24682459200000004</v>
      </c>
      <c r="Y58" s="446">
        <f t="shared" si="66"/>
        <v>301</v>
      </c>
      <c r="Z58" s="260">
        <f t="shared" si="67"/>
        <v>14318430</v>
      </c>
      <c r="AA58" s="260">
        <f t="shared" si="68"/>
        <v>15016890</v>
      </c>
      <c r="AB58" s="425">
        <f t="shared" si="69"/>
        <v>6</v>
      </c>
      <c r="AC58" s="425">
        <f t="array" ref="AC58">MAX((IF(MNU_CODIGO_ALIMENTO_ENTREGA=CONCATENATE($E58,"_","P_"),MNU_GRAMAJE_REQUERIDO_TIPOC,"")))</f>
        <v>60</v>
      </c>
      <c r="AD58" s="257">
        <f t="shared" si="70"/>
        <v>9092</v>
      </c>
      <c r="AE58" s="257">
        <f t="shared" si="71"/>
        <v>54552</v>
      </c>
      <c r="AF58" s="446">
        <f t="shared" si="72"/>
        <v>430</v>
      </c>
      <c r="AG58" s="446">
        <f t="shared" si="73"/>
        <v>20.984000000000002</v>
      </c>
      <c r="AH58" s="446">
        <f t="shared" si="74"/>
        <v>0.36980687999999995</v>
      </c>
      <c r="AI58" s="446">
        <f t="shared" si="75"/>
        <v>451</v>
      </c>
      <c r="AJ58" s="258">
        <f t="shared" si="76"/>
        <v>23457360</v>
      </c>
      <c r="AK58" s="258">
        <f t="shared" si="77"/>
        <v>24602952</v>
      </c>
      <c r="AL58" s="426">
        <f t="shared" si="78"/>
        <v>6</v>
      </c>
      <c r="AM58" s="426">
        <f t="array" ref="AM58">MAX((IF(MNU_CODIGO_ALIMENTO_ENTREGA=CONCATENATE($E58,"_","P_"),MNU_GRAMAJE_REQUERIDO_TIPOM,"")))</f>
        <v>40</v>
      </c>
      <c r="AN58" s="259">
        <f t="shared" si="79"/>
        <v>144</v>
      </c>
      <c r="AO58" s="259">
        <f t="shared" si="80"/>
        <v>864</v>
      </c>
      <c r="AP58" s="446">
        <f t="shared" si="81"/>
        <v>287</v>
      </c>
      <c r="AQ58" s="446">
        <f t="shared" si="82"/>
        <v>14.005600000000001</v>
      </c>
      <c r="AR58" s="446">
        <f t="shared" si="83"/>
        <v>0.24682459200000004</v>
      </c>
      <c r="AS58" s="446">
        <f t="shared" si="84"/>
        <v>301</v>
      </c>
      <c r="AT58" s="260">
        <f t="shared" si="85"/>
        <v>247968</v>
      </c>
      <c r="AU58" s="260">
        <f t="shared" si="86"/>
        <v>260064</v>
      </c>
      <c r="AV58" s="425">
        <f t="shared" si="87"/>
        <v>6</v>
      </c>
      <c r="AW58" s="425">
        <f t="array" ref="AW58">MAX((IF(MNU_CODIGO_ALIMENTO_ENTREGA=CONCATENATE($E58,"_","P_"),MNU_GRAMAJE_REQUERIDO_TIPOH,"")))</f>
        <v>60</v>
      </c>
      <c r="AX58" s="257">
        <f t="shared" si="88"/>
        <v>144</v>
      </c>
      <c r="AY58" s="257">
        <f t="shared" si="89"/>
        <v>864</v>
      </c>
      <c r="AZ58" s="446">
        <f t="shared" si="90"/>
        <v>430</v>
      </c>
      <c r="BA58" s="446">
        <f t="shared" si="91"/>
        <v>20.984000000000002</v>
      </c>
      <c r="BB58" s="446">
        <f t="shared" si="92"/>
        <v>0.36980687999999995</v>
      </c>
      <c r="BC58" s="446">
        <f t="shared" si="93"/>
        <v>451</v>
      </c>
      <c r="BD58" s="258">
        <f t="shared" si="94"/>
        <v>371520</v>
      </c>
      <c r="BE58" s="258">
        <f t="shared" si="95"/>
        <v>389664</v>
      </c>
      <c r="BF58" s="391">
        <f t="shared" si="96"/>
        <v>46575168</v>
      </c>
      <c r="BG58" s="391">
        <f t="shared" si="97"/>
        <v>48867966</v>
      </c>
    </row>
    <row r="59" spans="1:59" ht="15.75">
      <c r="A59" s="333">
        <v>4</v>
      </c>
      <c r="B59" s="333" t="str">
        <f t="shared" si="49"/>
        <v>CEREAL EMPACADO_4</v>
      </c>
      <c r="C59" s="333" t="str">
        <f t="shared" si="50"/>
        <v>30_4</v>
      </c>
      <c r="D59" s="333" t="s">
        <v>1607</v>
      </c>
      <c r="E59" s="256">
        <v>30</v>
      </c>
      <c r="F59" s="322" t="s">
        <v>63</v>
      </c>
      <c r="G59" s="256" t="s">
        <v>9</v>
      </c>
      <c r="H59" s="425">
        <f t="shared" si="51"/>
        <v>16</v>
      </c>
      <c r="I59" s="425">
        <f t="array" ref="I59">MAX((IF(MNU_CODIGO_ALIMENTO_ENTREGA=CONCATENATE($E59,"_","P_"),MNU_GRAMAJE_REQUERIDO_TIPOA,"")))</f>
        <v>30</v>
      </c>
      <c r="J59" s="257">
        <f t="shared" si="52"/>
        <v>6341</v>
      </c>
      <c r="K59" s="257">
        <f t="shared" si="53"/>
        <v>101456</v>
      </c>
      <c r="L59" s="446">
        <f t="shared" si="54"/>
        <v>316</v>
      </c>
      <c r="M59" s="446">
        <f t="shared" si="55"/>
        <v>15.4208</v>
      </c>
      <c r="N59" s="446">
        <f t="shared" si="56"/>
        <v>0.271765056</v>
      </c>
      <c r="O59" s="446">
        <f t="shared" si="57"/>
        <v>332</v>
      </c>
      <c r="P59" s="258">
        <f t="shared" si="58"/>
        <v>32060096</v>
      </c>
      <c r="Q59" s="258">
        <f t="shared" si="59"/>
        <v>33683392</v>
      </c>
      <c r="R59" s="426">
        <f t="shared" si="60"/>
        <v>16</v>
      </c>
      <c r="S59" s="426">
        <f t="array" ref="S59">MAX((IF(MNU_CODIGO_ALIMENTO_ENTREGA=CONCATENATE($E59,"_","P_"),MNU_GRAMAJE_REQUERIDO_TIPOB,"")))</f>
        <v>30</v>
      </c>
      <c r="T59" s="259">
        <f t="shared" si="61"/>
        <v>8315</v>
      </c>
      <c r="U59" s="259">
        <f t="shared" si="62"/>
        <v>133040</v>
      </c>
      <c r="V59" s="446">
        <f t="shared" si="63"/>
        <v>316</v>
      </c>
      <c r="W59" s="446">
        <f t="shared" si="64"/>
        <v>15.4208</v>
      </c>
      <c r="X59" s="446">
        <f t="shared" si="65"/>
        <v>0.271765056</v>
      </c>
      <c r="Y59" s="446">
        <f t="shared" si="66"/>
        <v>332</v>
      </c>
      <c r="Z59" s="260">
        <f t="shared" si="67"/>
        <v>42040640</v>
      </c>
      <c r="AA59" s="260">
        <f t="shared" si="68"/>
        <v>44169280</v>
      </c>
      <c r="AB59" s="425">
        <f t="shared" si="69"/>
        <v>16</v>
      </c>
      <c r="AC59" s="425">
        <f t="array" ref="AC59">MAX((IF(MNU_CODIGO_ALIMENTO_ENTREGA=CONCATENATE($E59,"_","P_"),MNU_GRAMAJE_REQUERIDO_TIPOC,"")))</f>
        <v>30</v>
      </c>
      <c r="AD59" s="257">
        <f t="shared" si="70"/>
        <v>9092</v>
      </c>
      <c r="AE59" s="257">
        <f t="shared" si="71"/>
        <v>145472</v>
      </c>
      <c r="AF59" s="446">
        <f t="shared" si="72"/>
        <v>316</v>
      </c>
      <c r="AG59" s="446">
        <f t="shared" si="73"/>
        <v>15.4208</v>
      </c>
      <c r="AH59" s="446">
        <f t="shared" si="74"/>
        <v>0.271765056</v>
      </c>
      <c r="AI59" s="446">
        <f t="shared" si="75"/>
        <v>332</v>
      </c>
      <c r="AJ59" s="258">
        <f t="shared" si="76"/>
        <v>45969152</v>
      </c>
      <c r="AK59" s="258">
        <f t="shared" si="77"/>
        <v>48296704</v>
      </c>
      <c r="AL59" s="426">
        <f t="shared" si="78"/>
        <v>16</v>
      </c>
      <c r="AM59" s="426">
        <f t="array" ref="AM59">MAX((IF(MNU_CODIGO_ALIMENTO_ENTREGA=CONCATENATE($E59,"_","P_"),MNU_GRAMAJE_REQUERIDO_TIPOM,"")))</f>
        <v>30</v>
      </c>
      <c r="AN59" s="259">
        <f t="shared" si="79"/>
        <v>144</v>
      </c>
      <c r="AO59" s="259">
        <f t="shared" si="80"/>
        <v>2304</v>
      </c>
      <c r="AP59" s="446">
        <f t="shared" si="81"/>
        <v>316</v>
      </c>
      <c r="AQ59" s="446">
        <f t="shared" si="82"/>
        <v>15.4208</v>
      </c>
      <c r="AR59" s="446">
        <f t="shared" si="83"/>
        <v>0.271765056</v>
      </c>
      <c r="AS59" s="446">
        <f t="shared" si="84"/>
        <v>332</v>
      </c>
      <c r="AT59" s="260">
        <f t="shared" si="85"/>
        <v>728064</v>
      </c>
      <c r="AU59" s="260">
        <f t="shared" si="86"/>
        <v>764928</v>
      </c>
      <c r="AV59" s="425">
        <f t="shared" si="87"/>
        <v>16</v>
      </c>
      <c r="AW59" s="425">
        <f t="array" ref="AW59">MAX((IF(MNU_CODIGO_ALIMENTO_ENTREGA=CONCATENATE($E59,"_","P_"),MNU_GRAMAJE_REQUERIDO_TIPOH,"")))</f>
        <v>30</v>
      </c>
      <c r="AX59" s="257">
        <f t="shared" si="88"/>
        <v>144</v>
      </c>
      <c r="AY59" s="257">
        <f t="shared" si="89"/>
        <v>2304</v>
      </c>
      <c r="AZ59" s="446">
        <f t="shared" si="90"/>
        <v>316</v>
      </c>
      <c r="BA59" s="446">
        <f t="shared" si="91"/>
        <v>15.4208</v>
      </c>
      <c r="BB59" s="446">
        <f t="shared" si="92"/>
        <v>0.271765056</v>
      </c>
      <c r="BC59" s="446">
        <f t="shared" si="93"/>
        <v>332</v>
      </c>
      <c r="BD59" s="258">
        <f t="shared" si="94"/>
        <v>728064</v>
      </c>
      <c r="BE59" s="258">
        <f t="shared" si="95"/>
        <v>764928</v>
      </c>
      <c r="BF59" s="391">
        <f t="shared" si="96"/>
        <v>121526016</v>
      </c>
      <c r="BG59" s="391">
        <f t="shared" si="97"/>
        <v>127679232</v>
      </c>
    </row>
    <row r="60" spans="1:59" ht="15.75">
      <c r="A60" s="333">
        <v>4</v>
      </c>
      <c r="B60" s="333" t="str">
        <f t="shared" si="49"/>
        <v>CEREAL EMPACADO_4</v>
      </c>
      <c r="C60" s="333" t="str">
        <f t="shared" si="50"/>
        <v>45_4</v>
      </c>
      <c r="D60" s="333" t="s">
        <v>1607</v>
      </c>
      <c r="E60" s="256">
        <v>45</v>
      </c>
      <c r="F60" s="322" t="s">
        <v>10</v>
      </c>
      <c r="G60" s="256" t="s">
        <v>9</v>
      </c>
      <c r="H60" s="425">
        <f t="shared" si="51"/>
        <v>16</v>
      </c>
      <c r="I60" s="425">
        <f t="array" ref="I60">MAX((IF(MNU_CODIGO_ALIMENTO_ENTREGA=CONCATENATE($E60,"_","P_"),MNU_GRAMAJE_REQUERIDO_TIPOA,"")))</f>
        <v>20</v>
      </c>
      <c r="J60" s="257">
        <f t="shared" si="52"/>
        <v>6341</v>
      </c>
      <c r="K60" s="257">
        <f t="shared" si="53"/>
        <v>101456</v>
      </c>
      <c r="L60" s="446">
        <f t="shared" si="54"/>
        <v>190</v>
      </c>
      <c r="M60" s="446">
        <f t="shared" si="55"/>
        <v>9.2720000000000002</v>
      </c>
      <c r="N60" s="446">
        <f t="shared" si="56"/>
        <v>0.16340304</v>
      </c>
      <c r="O60" s="446">
        <f t="shared" si="57"/>
        <v>199</v>
      </c>
      <c r="P60" s="258">
        <f t="shared" si="58"/>
        <v>19276640</v>
      </c>
      <c r="Q60" s="258">
        <f t="shared" si="59"/>
        <v>20189744</v>
      </c>
      <c r="R60" s="426">
        <f t="shared" si="60"/>
        <v>16</v>
      </c>
      <c r="S60" s="426">
        <f t="array" ref="S60">MAX((IF(MNU_CODIGO_ALIMENTO_ENTREGA=CONCATENATE($E60,"_","P_"),MNU_GRAMAJE_REQUERIDO_TIPOB,"")))</f>
        <v>30</v>
      </c>
      <c r="T60" s="259">
        <f t="shared" si="61"/>
        <v>8315</v>
      </c>
      <c r="U60" s="259">
        <f t="shared" si="62"/>
        <v>133040</v>
      </c>
      <c r="V60" s="446">
        <f t="shared" si="63"/>
        <v>284</v>
      </c>
      <c r="W60" s="446">
        <f t="shared" si="64"/>
        <v>13.8592</v>
      </c>
      <c r="X60" s="446">
        <f t="shared" si="65"/>
        <v>0.24424454399999998</v>
      </c>
      <c r="Y60" s="446">
        <f t="shared" si="66"/>
        <v>298</v>
      </c>
      <c r="Z60" s="260">
        <f t="shared" si="67"/>
        <v>37783360</v>
      </c>
      <c r="AA60" s="260">
        <f t="shared" si="68"/>
        <v>39645920</v>
      </c>
      <c r="AB60" s="425">
        <f t="shared" si="69"/>
        <v>16</v>
      </c>
      <c r="AC60" s="425">
        <f t="array" ref="AC60">MAX((IF(MNU_CODIGO_ALIMENTO_ENTREGA=CONCATENATE($E60,"_","P_"),MNU_GRAMAJE_REQUERIDO_TIPOC,"")))</f>
        <v>60</v>
      </c>
      <c r="AD60" s="257">
        <f t="shared" si="70"/>
        <v>9092</v>
      </c>
      <c r="AE60" s="257">
        <f t="shared" si="71"/>
        <v>145472</v>
      </c>
      <c r="AF60" s="446">
        <f t="shared" si="72"/>
        <v>569</v>
      </c>
      <c r="AG60" s="446">
        <f t="shared" si="73"/>
        <v>27.767199999999999</v>
      </c>
      <c r="AH60" s="446">
        <f t="shared" si="74"/>
        <v>0.48934910400000003</v>
      </c>
      <c r="AI60" s="446">
        <f t="shared" si="75"/>
        <v>597</v>
      </c>
      <c r="AJ60" s="258">
        <f t="shared" si="76"/>
        <v>82773568</v>
      </c>
      <c r="AK60" s="258">
        <f t="shared" si="77"/>
        <v>86846784</v>
      </c>
      <c r="AL60" s="426">
        <f t="shared" si="78"/>
        <v>16</v>
      </c>
      <c r="AM60" s="426">
        <f t="array" ref="AM60">MAX((IF(MNU_CODIGO_ALIMENTO_ENTREGA=CONCATENATE($E60,"_","P_"),MNU_GRAMAJE_REQUERIDO_TIPOM,"")))</f>
        <v>30</v>
      </c>
      <c r="AN60" s="259">
        <f t="shared" si="79"/>
        <v>144</v>
      </c>
      <c r="AO60" s="259">
        <f t="shared" si="80"/>
        <v>2304</v>
      </c>
      <c r="AP60" s="446">
        <f t="shared" si="81"/>
        <v>284</v>
      </c>
      <c r="AQ60" s="446">
        <f t="shared" si="82"/>
        <v>13.8592</v>
      </c>
      <c r="AR60" s="446">
        <f t="shared" si="83"/>
        <v>0.24424454399999998</v>
      </c>
      <c r="AS60" s="446">
        <f t="shared" si="84"/>
        <v>298</v>
      </c>
      <c r="AT60" s="260">
        <f t="shared" si="85"/>
        <v>654336</v>
      </c>
      <c r="AU60" s="260">
        <f t="shared" si="86"/>
        <v>686592</v>
      </c>
      <c r="AV60" s="425">
        <f t="shared" si="87"/>
        <v>16</v>
      </c>
      <c r="AW60" s="425">
        <f t="array" ref="AW60">MAX((IF(MNU_CODIGO_ALIMENTO_ENTREGA=CONCATENATE($E60,"_","P_"),MNU_GRAMAJE_REQUERIDO_TIPOH,"")))</f>
        <v>60</v>
      </c>
      <c r="AX60" s="257">
        <f t="shared" si="88"/>
        <v>144</v>
      </c>
      <c r="AY60" s="257">
        <f t="shared" si="89"/>
        <v>2304</v>
      </c>
      <c r="AZ60" s="446">
        <f t="shared" si="90"/>
        <v>569</v>
      </c>
      <c r="BA60" s="446">
        <f t="shared" si="91"/>
        <v>27.767199999999999</v>
      </c>
      <c r="BB60" s="446">
        <f t="shared" si="92"/>
        <v>0.48934910400000003</v>
      </c>
      <c r="BC60" s="446">
        <f t="shared" si="93"/>
        <v>597</v>
      </c>
      <c r="BD60" s="258">
        <f t="shared" si="94"/>
        <v>1310976</v>
      </c>
      <c r="BE60" s="258">
        <f t="shared" si="95"/>
        <v>1375488</v>
      </c>
      <c r="BF60" s="391">
        <f t="shared" si="96"/>
        <v>141798880</v>
      </c>
      <c r="BG60" s="391">
        <f t="shared" si="97"/>
        <v>148744528</v>
      </c>
    </row>
    <row r="61" spans="1:59" ht="15.75">
      <c r="A61" s="333">
        <v>4</v>
      </c>
      <c r="B61" s="333" t="str">
        <f t="shared" si="49"/>
        <v>CEREAL EMPACADO_4</v>
      </c>
      <c r="C61" s="333" t="str">
        <f t="shared" si="50"/>
        <v>50_4</v>
      </c>
      <c r="D61" s="333" t="s">
        <v>1607</v>
      </c>
      <c r="E61" s="256">
        <v>50</v>
      </c>
      <c r="F61" s="322" t="s">
        <v>65</v>
      </c>
      <c r="G61" s="256" t="s">
        <v>9</v>
      </c>
      <c r="H61" s="425">
        <f t="shared" si="51"/>
        <v>17</v>
      </c>
      <c r="I61" s="425">
        <f t="array" ref="I61">MAX((IF(MNU_CODIGO_ALIMENTO_ENTREGA=CONCATENATE($E61,"_","P_"),MNU_GRAMAJE_REQUERIDO_TIPOA,"")))</f>
        <v>30</v>
      </c>
      <c r="J61" s="257">
        <f t="shared" si="52"/>
        <v>6341</v>
      </c>
      <c r="K61" s="257">
        <f t="shared" si="53"/>
        <v>107797</v>
      </c>
      <c r="L61" s="446">
        <f t="shared" si="54"/>
        <v>306</v>
      </c>
      <c r="M61" s="446">
        <f t="shared" si="55"/>
        <v>14.9328</v>
      </c>
      <c r="N61" s="446">
        <f t="shared" si="56"/>
        <v>0.26316489599999998</v>
      </c>
      <c r="O61" s="446">
        <f t="shared" si="57"/>
        <v>321</v>
      </c>
      <c r="P61" s="258">
        <f t="shared" si="58"/>
        <v>32985882</v>
      </c>
      <c r="Q61" s="258">
        <f t="shared" si="59"/>
        <v>34602837</v>
      </c>
      <c r="R61" s="426">
        <f t="shared" si="60"/>
        <v>17</v>
      </c>
      <c r="S61" s="426">
        <f t="array" ref="S61">MAX((IF(MNU_CODIGO_ALIMENTO_ENTREGA=CONCATENATE($E61,"_","P_"),MNU_GRAMAJE_REQUERIDO_TIPOB,"")))</f>
        <v>40</v>
      </c>
      <c r="T61" s="259">
        <f t="shared" si="61"/>
        <v>8315</v>
      </c>
      <c r="U61" s="259">
        <f t="shared" si="62"/>
        <v>141355</v>
      </c>
      <c r="V61" s="446">
        <f t="shared" si="63"/>
        <v>408</v>
      </c>
      <c r="W61" s="446">
        <f t="shared" si="64"/>
        <v>19.910400000000003</v>
      </c>
      <c r="X61" s="446">
        <f t="shared" si="65"/>
        <v>0.35088652799999998</v>
      </c>
      <c r="Y61" s="446">
        <f t="shared" si="66"/>
        <v>428</v>
      </c>
      <c r="Z61" s="260">
        <f t="shared" si="67"/>
        <v>57672840</v>
      </c>
      <c r="AA61" s="260">
        <f t="shared" si="68"/>
        <v>60499940</v>
      </c>
      <c r="AB61" s="425">
        <f t="shared" si="69"/>
        <v>17</v>
      </c>
      <c r="AC61" s="425">
        <f t="array" ref="AC61">MAX((IF(MNU_CODIGO_ALIMENTO_ENTREGA=CONCATENATE($E61,"_","P_"),MNU_GRAMAJE_REQUERIDO_TIPOC,"")))</f>
        <v>80</v>
      </c>
      <c r="AD61" s="257">
        <f t="shared" si="70"/>
        <v>9092</v>
      </c>
      <c r="AE61" s="257">
        <f t="shared" si="71"/>
        <v>154564</v>
      </c>
      <c r="AF61" s="446">
        <f t="shared" si="72"/>
        <v>815</v>
      </c>
      <c r="AG61" s="446">
        <f t="shared" si="73"/>
        <v>39.772000000000006</v>
      </c>
      <c r="AH61" s="446">
        <f t="shared" si="74"/>
        <v>0.7009130400000001</v>
      </c>
      <c r="AI61" s="446">
        <f t="shared" si="75"/>
        <v>855</v>
      </c>
      <c r="AJ61" s="258">
        <f t="shared" si="76"/>
        <v>125969660</v>
      </c>
      <c r="AK61" s="258">
        <f t="shared" si="77"/>
        <v>132152220</v>
      </c>
      <c r="AL61" s="426">
        <f t="shared" si="78"/>
        <v>17</v>
      </c>
      <c r="AM61" s="426">
        <f t="array" ref="AM61">MAX((IF(MNU_CODIGO_ALIMENTO_ENTREGA=CONCATENATE($E61,"_","P_"),MNU_GRAMAJE_REQUERIDO_TIPOM,"")))</f>
        <v>40</v>
      </c>
      <c r="AN61" s="259">
        <f t="shared" si="79"/>
        <v>144</v>
      </c>
      <c r="AO61" s="259">
        <f t="shared" si="80"/>
        <v>2448</v>
      </c>
      <c r="AP61" s="446">
        <f t="shared" si="81"/>
        <v>408</v>
      </c>
      <c r="AQ61" s="446">
        <f t="shared" si="82"/>
        <v>19.910400000000003</v>
      </c>
      <c r="AR61" s="446">
        <f t="shared" si="83"/>
        <v>0.35088652799999998</v>
      </c>
      <c r="AS61" s="446">
        <f t="shared" si="84"/>
        <v>428</v>
      </c>
      <c r="AT61" s="260">
        <f t="shared" si="85"/>
        <v>998784</v>
      </c>
      <c r="AU61" s="260">
        <f t="shared" si="86"/>
        <v>1047744</v>
      </c>
      <c r="AV61" s="425">
        <f t="shared" si="87"/>
        <v>17</v>
      </c>
      <c r="AW61" s="425">
        <f t="array" ref="AW61">MAX((IF(MNU_CODIGO_ALIMENTO_ENTREGA=CONCATENATE($E61,"_","P_"),MNU_GRAMAJE_REQUERIDO_TIPOH,"")))</f>
        <v>80</v>
      </c>
      <c r="AX61" s="257">
        <f t="shared" si="88"/>
        <v>144</v>
      </c>
      <c r="AY61" s="257">
        <f t="shared" si="89"/>
        <v>2448</v>
      </c>
      <c r="AZ61" s="446">
        <f t="shared" si="90"/>
        <v>815</v>
      </c>
      <c r="BA61" s="446">
        <f t="shared" si="91"/>
        <v>39.772000000000006</v>
      </c>
      <c r="BB61" s="446">
        <f t="shared" si="92"/>
        <v>0.7009130400000001</v>
      </c>
      <c r="BC61" s="446">
        <f t="shared" si="93"/>
        <v>855</v>
      </c>
      <c r="BD61" s="258">
        <f t="shared" si="94"/>
        <v>1995120</v>
      </c>
      <c r="BE61" s="258">
        <f t="shared" si="95"/>
        <v>2093040</v>
      </c>
      <c r="BF61" s="391">
        <f t="shared" si="96"/>
        <v>219622286</v>
      </c>
      <c r="BG61" s="391">
        <f t="shared" si="97"/>
        <v>230395781</v>
      </c>
    </row>
    <row r="62" spans="1:59" ht="15.75">
      <c r="A62" s="333">
        <v>4</v>
      </c>
      <c r="B62" s="333" t="str">
        <f t="shared" si="49"/>
        <v>CEREAL EMPACADO_4</v>
      </c>
      <c r="C62" s="333" t="str">
        <f t="shared" si="50"/>
        <v>61_4</v>
      </c>
      <c r="D62" s="333" t="s">
        <v>1607</v>
      </c>
      <c r="E62" s="256">
        <v>61</v>
      </c>
      <c r="F62" s="322" t="s">
        <v>13</v>
      </c>
      <c r="G62" s="256" t="s">
        <v>9</v>
      </c>
      <c r="H62" s="425">
        <f t="shared" si="51"/>
        <v>16</v>
      </c>
      <c r="I62" s="425">
        <f t="array" ref="I62">MAX((IF(MNU_CODIGO_ALIMENTO_ENTREGA=CONCATENATE($E62,"_","P_"),MNU_GRAMAJE_REQUERIDO_TIPOA,"")))</f>
        <v>20</v>
      </c>
      <c r="J62" s="257">
        <f t="shared" si="52"/>
        <v>6341</v>
      </c>
      <c r="K62" s="257">
        <f t="shared" si="53"/>
        <v>101456</v>
      </c>
      <c r="L62" s="446">
        <f t="shared" si="54"/>
        <v>222</v>
      </c>
      <c r="M62" s="446">
        <f t="shared" si="55"/>
        <v>10.833600000000001</v>
      </c>
      <c r="N62" s="446">
        <f t="shared" si="56"/>
        <v>0.190923552</v>
      </c>
      <c r="O62" s="446">
        <f t="shared" si="57"/>
        <v>233</v>
      </c>
      <c r="P62" s="258">
        <f t="shared" si="58"/>
        <v>22523232</v>
      </c>
      <c r="Q62" s="258">
        <f t="shared" si="59"/>
        <v>23639248</v>
      </c>
      <c r="R62" s="426">
        <f t="shared" si="60"/>
        <v>16</v>
      </c>
      <c r="S62" s="426">
        <f t="array" ref="S62">MAX((IF(MNU_CODIGO_ALIMENTO_ENTREGA=CONCATENATE($E62,"_","P_"),MNU_GRAMAJE_REQUERIDO_TIPOB,"")))</f>
        <v>30</v>
      </c>
      <c r="T62" s="259">
        <f t="shared" si="61"/>
        <v>8315</v>
      </c>
      <c r="U62" s="259">
        <f t="shared" si="62"/>
        <v>133040</v>
      </c>
      <c r="V62" s="446">
        <f t="shared" si="63"/>
        <v>334</v>
      </c>
      <c r="W62" s="446">
        <f t="shared" si="64"/>
        <v>16.299199999999999</v>
      </c>
      <c r="X62" s="446">
        <f t="shared" si="65"/>
        <v>0.28724534400000001</v>
      </c>
      <c r="Y62" s="446">
        <f t="shared" si="66"/>
        <v>351</v>
      </c>
      <c r="Z62" s="260">
        <f t="shared" si="67"/>
        <v>44435360</v>
      </c>
      <c r="AA62" s="260">
        <f t="shared" si="68"/>
        <v>46697040</v>
      </c>
      <c r="AB62" s="425">
        <f t="shared" si="69"/>
        <v>16</v>
      </c>
      <c r="AC62" s="425">
        <f t="array" ref="AC62">MAX((IF(MNU_CODIGO_ALIMENTO_ENTREGA=CONCATENATE($E62,"_","P_"),MNU_GRAMAJE_REQUERIDO_TIPOC,"")))</f>
        <v>70</v>
      </c>
      <c r="AD62" s="257">
        <f t="shared" si="70"/>
        <v>9092</v>
      </c>
      <c r="AE62" s="257">
        <f t="shared" si="71"/>
        <v>145472</v>
      </c>
      <c r="AF62" s="446">
        <f t="shared" si="72"/>
        <v>779</v>
      </c>
      <c r="AG62" s="446">
        <f t="shared" si="73"/>
        <v>38.0152</v>
      </c>
      <c r="AH62" s="446">
        <f t="shared" si="74"/>
        <v>0.66995246400000008</v>
      </c>
      <c r="AI62" s="446">
        <f t="shared" si="75"/>
        <v>818</v>
      </c>
      <c r="AJ62" s="258">
        <f t="shared" si="76"/>
        <v>113322688</v>
      </c>
      <c r="AK62" s="258">
        <f t="shared" si="77"/>
        <v>118996096</v>
      </c>
      <c r="AL62" s="426">
        <f t="shared" si="78"/>
        <v>16</v>
      </c>
      <c r="AM62" s="426">
        <f t="array" ref="AM62">MAX((IF(MNU_CODIGO_ALIMENTO_ENTREGA=CONCATENATE($E62,"_","P_"),MNU_GRAMAJE_REQUERIDO_TIPOM,"")))</f>
        <v>30</v>
      </c>
      <c r="AN62" s="259">
        <f t="shared" si="79"/>
        <v>144</v>
      </c>
      <c r="AO62" s="259">
        <f t="shared" si="80"/>
        <v>2304</v>
      </c>
      <c r="AP62" s="446">
        <f t="shared" si="81"/>
        <v>334</v>
      </c>
      <c r="AQ62" s="446">
        <f t="shared" si="82"/>
        <v>16.299199999999999</v>
      </c>
      <c r="AR62" s="446">
        <f t="shared" si="83"/>
        <v>0.28724534400000001</v>
      </c>
      <c r="AS62" s="446">
        <f t="shared" si="84"/>
        <v>351</v>
      </c>
      <c r="AT62" s="260">
        <f t="shared" si="85"/>
        <v>769536</v>
      </c>
      <c r="AU62" s="260">
        <f t="shared" si="86"/>
        <v>808704</v>
      </c>
      <c r="AV62" s="425">
        <f t="shared" si="87"/>
        <v>16</v>
      </c>
      <c r="AW62" s="425">
        <f t="array" ref="AW62">MAX((IF(MNU_CODIGO_ALIMENTO_ENTREGA=CONCATENATE($E62,"_","P_"),MNU_GRAMAJE_REQUERIDO_TIPOH,"")))</f>
        <v>70</v>
      </c>
      <c r="AX62" s="257">
        <f t="shared" si="88"/>
        <v>144</v>
      </c>
      <c r="AY62" s="257">
        <f t="shared" si="89"/>
        <v>2304</v>
      </c>
      <c r="AZ62" s="446">
        <f t="shared" si="90"/>
        <v>779</v>
      </c>
      <c r="BA62" s="446">
        <f t="shared" si="91"/>
        <v>38.0152</v>
      </c>
      <c r="BB62" s="446">
        <f t="shared" si="92"/>
        <v>0.66995246400000008</v>
      </c>
      <c r="BC62" s="446">
        <f t="shared" si="93"/>
        <v>818</v>
      </c>
      <c r="BD62" s="258">
        <f t="shared" si="94"/>
        <v>1794816</v>
      </c>
      <c r="BE62" s="258">
        <f t="shared" si="95"/>
        <v>1884672</v>
      </c>
      <c r="BF62" s="391">
        <f t="shared" si="96"/>
        <v>182845632</v>
      </c>
      <c r="BG62" s="391">
        <f t="shared" si="97"/>
        <v>192025760</v>
      </c>
    </row>
    <row r="63" spans="1:59" ht="15.75">
      <c r="A63" s="333">
        <v>4</v>
      </c>
      <c r="B63" s="333" t="str">
        <f t="shared" si="49"/>
        <v>CEREAL EMPACADO_4</v>
      </c>
      <c r="C63" s="333" t="str">
        <f t="shared" si="50"/>
        <v>62_4</v>
      </c>
      <c r="D63" s="333" t="s">
        <v>1607</v>
      </c>
      <c r="E63" s="256">
        <v>62</v>
      </c>
      <c r="F63" s="322" t="s">
        <v>68</v>
      </c>
      <c r="G63" s="256" t="s">
        <v>9</v>
      </c>
      <c r="H63" s="425">
        <f t="shared" si="51"/>
        <v>5</v>
      </c>
      <c r="I63" s="425">
        <f t="array" ref="I63">MAX((IF(MNU_CODIGO_ALIMENTO_ENTREGA=CONCATENATE($E63,"_","P_"),MNU_GRAMAJE_REQUERIDO_TIPOA,"")))</f>
        <v>50</v>
      </c>
      <c r="J63" s="257">
        <f t="shared" si="52"/>
        <v>6341</v>
      </c>
      <c r="K63" s="257">
        <f t="shared" si="53"/>
        <v>31705</v>
      </c>
      <c r="L63" s="446">
        <f t="shared" si="54"/>
        <v>595</v>
      </c>
      <c r="M63" s="446">
        <f t="shared" si="55"/>
        <v>29.036000000000001</v>
      </c>
      <c r="N63" s="446">
        <f t="shared" si="56"/>
        <v>0.51170952000000014</v>
      </c>
      <c r="O63" s="446">
        <f t="shared" si="57"/>
        <v>625</v>
      </c>
      <c r="P63" s="258">
        <f t="shared" si="58"/>
        <v>18864475</v>
      </c>
      <c r="Q63" s="258">
        <f t="shared" si="59"/>
        <v>19815625</v>
      </c>
      <c r="R63" s="426">
        <f t="shared" si="60"/>
        <v>5</v>
      </c>
      <c r="S63" s="426">
        <f t="array" ref="S63">MAX((IF(MNU_CODIGO_ALIMENTO_ENTREGA=CONCATENATE($E63,"_","P_"),MNU_GRAMAJE_REQUERIDO_TIPOB,"")))</f>
        <v>50</v>
      </c>
      <c r="T63" s="259">
        <f t="shared" si="61"/>
        <v>8315</v>
      </c>
      <c r="U63" s="259">
        <f t="shared" si="62"/>
        <v>41575</v>
      </c>
      <c r="V63" s="446">
        <f t="shared" si="63"/>
        <v>595</v>
      </c>
      <c r="W63" s="446">
        <f t="shared" si="64"/>
        <v>29.036000000000001</v>
      </c>
      <c r="X63" s="446">
        <f t="shared" si="65"/>
        <v>0.51170952000000014</v>
      </c>
      <c r="Y63" s="446">
        <f t="shared" si="66"/>
        <v>625</v>
      </c>
      <c r="Z63" s="260">
        <f t="shared" si="67"/>
        <v>24737125</v>
      </c>
      <c r="AA63" s="260">
        <f t="shared" si="68"/>
        <v>25984375</v>
      </c>
      <c r="AB63" s="425">
        <f t="shared" si="69"/>
        <v>5</v>
      </c>
      <c r="AC63" s="425">
        <f t="array" ref="AC63">MAX((IF(MNU_CODIGO_ALIMENTO_ENTREGA=CONCATENATE($E63,"_","P_"),MNU_GRAMAJE_REQUERIDO_TIPOC,"")))</f>
        <v>50</v>
      </c>
      <c r="AD63" s="257">
        <f t="shared" si="70"/>
        <v>9092</v>
      </c>
      <c r="AE63" s="257">
        <f t="shared" si="71"/>
        <v>45460</v>
      </c>
      <c r="AF63" s="446">
        <f t="shared" si="72"/>
        <v>595</v>
      </c>
      <c r="AG63" s="446">
        <f t="shared" si="73"/>
        <v>29.036000000000001</v>
      </c>
      <c r="AH63" s="446">
        <f t="shared" si="74"/>
        <v>0.51170952000000014</v>
      </c>
      <c r="AI63" s="446">
        <f t="shared" si="75"/>
        <v>625</v>
      </c>
      <c r="AJ63" s="258">
        <f t="shared" si="76"/>
        <v>27048700</v>
      </c>
      <c r="AK63" s="258">
        <f t="shared" si="77"/>
        <v>28412500</v>
      </c>
      <c r="AL63" s="426">
        <f t="shared" si="78"/>
        <v>5</v>
      </c>
      <c r="AM63" s="426">
        <f t="array" ref="AM63">MAX((IF(MNU_CODIGO_ALIMENTO_ENTREGA=CONCATENATE($E63,"_","P_"),MNU_GRAMAJE_REQUERIDO_TIPOM,"")))</f>
        <v>50</v>
      </c>
      <c r="AN63" s="259">
        <f t="shared" si="79"/>
        <v>144</v>
      </c>
      <c r="AO63" s="259">
        <f t="shared" si="80"/>
        <v>720</v>
      </c>
      <c r="AP63" s="446">
        <f t="shared" si="81"/>
        <v>595</v>
      </c>
      <c r="AQ63" s="446">
        <f t="shared" si="82"/>
        <v>29.036000000000001</v>
      </c>
      <c r="AR63" s="446">
        <f t="shared" si="83"/>
        <v>0.51170952000000014</v>
      </c>
      <c r="AS63" s="446">
        <f t="shared" si="84"/>
        <v>625</v>
      </c>
      <c r="AT63" s="260">
        <f t="shared" si="85"/>
        <v>428400</v>
      </c>
      <c r="AU63" s="260">
        <f t="shared" si="86"/>
        <v>450000</v>
      </c>
      <c r="AV63" s="425">
        <f t="shared" si="87"/>
        <v>5</v>
      </c>
      <c r="AW63" s="425">
        <f t="array" ref="AW63">MAX((IF(MNU_CODIGO_ALIMENTO_ENTREGA=CONCATENATE($E63,"_","P_"),MNU_GRAMAJE_REQUERIDO_TIPOH,"")))</f>
        <v>50</v>
      </c>
      <c r="AX63" s="257">
        <f t="shared" si="88"/>
        <v>144</v>
      </c>
      <c r="AY63" s="257">
        <f t="shared" si="89"/>
        <v>720</v>
      </c>
      <c r="AZ63" s="446">
        <f t="shared" si="90"/>
        <v>595</v>
      </c>
      <c r="BA63" s="446">
        <f t="shared" si="91"/>
        <v>29.036000000000001</v>
      </c>
      <c r="BB63" s="446">
        <f t="shared" si="92"/>
        <v>0.51170952000000014</v>
      </c>
      <c r="BC63" s="446">
        <f t="shared" si="93"/>
        <v>625</v>
      </c>
      <c r="BD63" s="258">
        <f t="shared" si="94"/>
        <v>428400</v>
      </c>
      <c r="BE63" s="258">
        <f t="shared" si="95"/>
        <v>450000</v>
      </c>
      <c r="BF63" s="391">
        <f t="shared" si="96"/>
        <v>71507100</v>
      </c>
      <c r="BG63" s="391">
        <f t="shared" si="97"/>
        <v>75112500</v>
      </c>
    </row>
    <row r="64" spans="1:59" ht="15.75">
      <c r="A64" s="333">
        <v>5</v>
      </c>
      <c r="B64" s="333" t="str">
        <f t="shared" si="49"/>
        <v>CEREAL EMPACADO_5</v>
      </c>
      <c r="C64" s="333" t="str">
        <f t="shared" si="50"/>
        <v>1_5</v>
      </c>
      <c r="D64" s="333" t="s">
        <v>1607</v>
      </c>
      <c r="E64" s="256">
        <v>1</v>
      </c>
      <c r="F64" s="322" t="s">
        <v>16</v>
      </c>
      <c r="G64" s="256" t="s">
        <v>9</v>
      </c>
      <c r="H64" s="425">
        <f t="shared" si="51"/>
        <v>15</v>
      </c>
      <c r="I64" s="425">
        <f t="array" ref="I64">MAX((IF(MNU_CODIGO_ALIMENTO_ENTREGA=CONCATENATE($E64,"_","P_"),MNU_GRAMAJE_REQUERIDO_TIPOA,"")))</f>
        <v>30</v>
      </c>
      <c r="J64" s="257">
        <f t="shared" si="52"/>
        <v>5184</v>
      </c>
      <c r="K64" s="257">
        <f t="shared" si="53"/>
        <v>77760</v>
      </c>
      <c r="L64" s="446">
        <f t="shared" si="54"/>
        <v>770</v>
      </c>
      <c r="M64" s="446">
        <f t="shared" si="55"/>
        <v>37.576000000000008</v>
      </c>
      <c r="N64" s="446">
        <f t="shared" si="56"/>
        <v>0.66221231999999997</v>
      </c>
      <c r="O64" s="446">
        <f t="shared" si="57"/>
        <v>808</v>
      </c>
      <c r="P64" s="258">
        <f t="shared" si="58"/>
        <v>59875200</v>
      </c>
      <c r="Q64" s="258">
        <f t="shared" si="59"/>
        <v>62830080</v>
      </c>
      <c r="R64" s="426">
        <f t="shared" si="60"/>
        <v>15</v>
      </c>
      <c r="S64" s="426">
        <f t="array" ref="S64">MAX((IF(MNU_CODIGO_ALIMENTO_ENTREGA=CONCATENATE($E64,"_","P_"),MNU_GRAMAJE_REQUERIDO_TIPOB,"")))</f>
        <v>40</v>
      </c>
      <c r="T64" s="259">
        <f t="shared" si="61"/>
        <v>6830</v>
      </c>
      <c r="U64" s="259">
        <f t="shared" si="62"/>
        <v>102450</v>
      </c>
      <c r="V64" s="446">
        <f t="shared" si="63"/>
        <v>1027</v>
      </c>
      <c r="W64" s="446">
        <f t="shared" si="64"/>
        <v>50.117600000000003</v>
      </c>
      <c r="X64" s="446">
        <f t="shared" si="65"/>
        <v>0.88323643200000013</v>
      </c>
      <c r="Y64" s="446">
        <f t="shared" si="66"/>
        <v>1078</v>
      </c>
      <c r="Z64" s="260">
        <f t="shared" si="67"/>
        <v>105216150</v>
      </c>
      <c r="AA64" s="260">
        <f t="shared" si="68"/>
        <v>110441100</v>
      </c>
      <c r="AB64" s="425">
        <f t="shared" si="69"/>
        <v>15</v>
      </c>
      <c r="AC64" s="425">
        <f t="array" ref="AC64">MAX((IF(MNU_CODIGO_ALIMENTO_ENTREGA=CONCATENATE($E64,"_","P_"),MNU_GRAMAJE_REQUERIDO_TIPOC,"")))</f>
        <v>60</v>
      </c>
      <c r="AD64" s="257">
        <f t="shared" si="70"/>
        <v>7991</v>
      </c>
      <c r="AE64" s="257">
        <f t="shared" si="71"/>
        <v>119865</v>
      </c>
      <c r="AF64" s="446">
        <f t="shared" si="72"/>
        <v>1540</v>
      </c>
      <c r="AG64" s="446">
        <f t="shared" si="73"/>
        <v>75.152000000000015</v>
      </c>
      <c r="AH64" s="446">
        <f t="shared" si="74"/>
        <v>1.3244246399999999</v>
      </c>
      <c r="AI64" s="446">
        <f t="shared" si="75"/>
        <v>1616</v>
      </c>
      <c r="AJ64" s="258">
        <f t="shared" si="76"/>
        <v>184592100</v>
      </c>
      <c r="AK64" s="258">
        <f t="shared" si="77"/>
        <v>193701840</v>
      </c>
      <c r="AL64" s="426">
        <f t="shared" si="78"/>
        <v>15</v>
      </c>
      <c r="AM64" s="426">
        <f t="array" ref="AM64">MAX((IF(MNU_CODIGO_ALIMENTO_ENTREGA=CONCATENATE($E64,"_","P_"),MNU_GRAMAJE_REQUERIDO_TIPOM,"")))</f>
        <v>40</v>
      </c>
      <c r="AN64" s="259">
        <f t="shared" si="79"/>
        <v>177</v>
      </c>
      <c r="AO64" s="259">
        <f t="shared" si="80"/>
        <v>2655</v>
      </c>
      <c r="AP64" s="446">
        <f t="shared" si="81"/>
        <v>1027</v>
      </c>
      <c r="AQ64" s="446">
        <f t="shared" si="82"/>
        <v>50.117600000000003</v>
      </c>
      <c r="AR64" s="446">
        <f t="shared" si="83"/>
        <v>0.88323643200000013</v>
      </c>
      <c r="AS64" s="446">
        <f t="shared" si="84"/>
        <v>1078</v>
      </c>
      <c r="AT64" s="260">
        <f t="shared" si="85"/>
        <v>2726685</v>
      </c>
      <c r="AU64" s="260">
        <f t="shared" si="86"/>
        <v>2862090</v>
      </c>
      <c r="AV64" s="425">
        <f t="shared" si="87"/>
        <v>15</v>
      </c>
      <c r="AW64" s="425">
        <f t="array" ref="AW64">MAX((IF(MNU_CODIGO_ALIMENTO_ENTREGA=CONCATENATE($E64,"_","P_"),MNU_GRAMAJE_REQUERIDO_TIPOH,"")))</f>
        <v>60</v>
      </c>
      <c r="AX64" s="257">
        <f t="shared" si="88"/>
        <v>152</v>
      </c>
      <c r="AY64" s="257">
        <f t="shared" si="89"/>
        <v>2280</v>
      </c>
      <c r="AZ64" s="446">
        <f t="shared" si="90"/>
        <v>1540</v>
      </c>
      <c r="BA64" s="446">
        <f t="shared" si="91"/>
        <v>75.152000000000015</v>
      </c>
      <c r="BB64" s="446">
        <f t="shared" si="92"/>
        <v>1.3244246399999999</v>
      </c>
      <c r="BC64" s="446">
        <f t="shared" si="93"/>
        <v>1616</v>
      </c>
      <c r="BD64" s="258">
        <f t="shared" si="94"/>
        <v>3511200</v>
      </c>
      <c r="BE64" s="258">
        <f t="shared" si="95"/>
        <v>3684480</v>
      </c>
      <c r="BF64" s="391">
        <f t="shared" si="96"/>
        <v>355921335</v>
      </c>
      <c r="BG64" s="391">
        <f t="shared" si="97"/>
        <v>373519590</v>
      </c>
    </row>
    <row r="65" spans="1:59" ht="15.75">
      <c r="A65" s="333">
        <v>5</v>
      </c>
      <c r="B65" s="333" t="str">
        <f t="shared" si="49"/>
        <v>CEREAL EMPACADO_5</v>
      </c>
      <c r="C65" s="333" t="str">
        <f t="shared" si="50"/>
        <v>3_5</v>
      </c>
      <c r="D65" s="333" t="s">
        <v>1607</v>
      </c>
      <c r="E65" s="256">
        <v>3</v>
      </c>
      <c r="F65" s="322" t="s">
        <v>12</v>
      </c>
      <c r="G65" s="256" t="s">
        <v>9</v>
      </c>
      <c r="H65" s="425">
        <f t="shared" si="51"/>
        <v>17</v>
      </c>
      <c r="I65" s="425">
        <f t="array" ref="I65">MAX((IF(MNU_CODIGO_ALIMENTO_ENTREGA=CONCATENATE($E65,"_","P_"),MNU_GRAMAJE_REQUERIDO_TIPOA,"")))</f>
        <v>50</v>
      </c>
      <c r="J65" s="257">
        <f t="shared" si="52"/>
        <v>5184</v>
      </c>
      <c r="K65" s="257">
        <f t="shared" si="53"/>
        <v>88128</v>
      </c>
      <c r="L65" s="446">
        <f t="shared" si="54"/>
        <v>481</v>
      </c>
      <c r="M65" s="446">
        <f t="shared" si="55"/>
        <v>23.472799999999999</v>
      </c>
      <c r="N65" s="446">
        <f t="shared" si="56"/>
        <v>0.41366769599999997</v>
      </c>
      <c r="O65" s="446">
        <f t="shared" si="57"/>
        <v>505</v>
      </c>
      <c r="P65" s="258">
        <f t="shared" si="58"/>
        <v>42389568</v>
      </c>
      <c r="Q65" s="258">
        <f t="shared" si="59"/>
        <v>44504640</v>
      </c>
      <c r="R65" s="426">
        <f t="shared" si="60"/>
        <v>17</v>
      </c>
      <c r="S65" s="426">
        <f t="array" ref="S65">MAX((IF(MNU_CODIGO_ALIMENTO_ENTREGA=CONCATENATE($E65,"_","P_"),MNU_GRAMAJE_REQUERIDO_TIPOB,"")))</f>
        <v>50</v>
      </c>
      <c r="T65" s="259">
        <f t="shared" si="61"/>
        <v>6830</v>
      </c>
      <c r="U65" s="259">
        <f t="shared" si="62"/>
        <v>116110</v>
      </c>
      <c r="V65" s="446">
        <f t="shared" si="63"/>
        <v>481</v>
      </c>
      <c r="W65" s="446">
        <f t="shared" si="64"/>
        <v>23.472799999999999</v>
      </c>
      <c r="X65" s="446">
        <f t="shared" si="65"/>
        <v>0.41366769599999997</v>
      </c>
      <c r="Y65" s="446">
        <f t="shared" si="66"/>
        <v>505</v>
      </c>
      <c r="Z65" s="260">
        <f t="shared" si="67"/>
        <v>55848910</v>
      </c>
      <c r="AA65" s="260">
        <f t="shared" si="68"/>
        <v>58635550</v>
      </c>
      <c r="AB65" s="425">
        <f t="shared" si="69"/>
        <v>17</v>
      </c>
      <c r="AC65" s="425">
        <f t="array" ref="AC65">MAX((IF(MNU_CODIGO_ALIMENTO_ENTREGA=CONCATENATE($E65,"_","P_"),MNU_GRAMAJE_REQUERIDO_TIPOC,"")))</f>
        <v>80</v>
      </c>
      <c r="AD65" s="257">
        <f t="shared" si="70"/>
        <v>7991</v>
      </c>
      <c r="AE65" s="257">
        <f t="shared" si="71"/>
        <v>135847</v>
      </c>
      <c r="AF65" s="446">
        <f t="shared" si="72"/>
        <v>727</v>
      </c>
      <c r="AG65" s="446">
        <f t="shared" si="73"/>
        <v>35.477600000000002</v>
      </c>
      <c r="AH65" s="446">
        <f t="shared" si="74"/>
        <v>0.62523163200000009</v>
      </c>
      <c r="AI65" s="446">
        <f t="shared" si="75"/>
        <v>763</v>
      </c>
      <c r="AJ65" s="258">
        <f t="shared" si="76"/>
        <v>98760769</v>
      </c>
      <c r="AK65" s="258">
        <f t="shared" si="77"/>
        <v>103651261</v>
      </c>
      <c r="AL65" s="426">
        <f t="shared" si="78"/>
        <v>17</v>
      </c>
      <c r="AM65" s="426">
        <f t="array" ref="AM65">MAX((IF(MNU_CODIGO_ALIMENTO_ENTREGA=CONCATENATE($E65,"_","P_"),MNU_GRAMAJE_REQUERIDO_TIPOM,"")))</f>
        <v>50</v>
      </c>
      <c r="AN65" s="259">
        <f t="shared" si="79"/>
        <v>177</v>
      </c>
      <c r="AO65" s="259">
        <f t="shared" si="80"/>
        <v>3009</v>
      </c>
      <c r="AP65" s="446">
        <f t="shared" si="81"/>
        <v>481</v>
      </c>
      <c r="AQ65" s="446">
        <f t="shared" si="82"/>
        <v>23.472799999999999</v>
      </c>
      <c r="AR65" s="446">
        <f t="shared" si="83"/>
        <v>0.41366769599999997</v>
      </c>
      <c r="AS65" s="446">
        <f t="shared" si="84"/>
        <v>505</v>
      </c>
      <c r="AT65" s="260">
        <f t="shared" si="85"/>
        <v>1447329</v>
      </c>
      <c r="AU65" s="260">
        <f t="shared" si="86"/>
        <v>1519545</v>
      </c>
      <c r="AV65" s="425">
        <f t="shared" si="87"/>
        <v>17</v>
      </c>
      <c r="AW65" s="425">
        <f t="array" ref="AW65">MAX((IF(MNU_CODIGO_ALIMENTO_ENTREGA=CONCATENATE($E65,"_","P_"),MNU_GRAMAJE_REQUERIDO_TIPOH,"")))</f>
        <v>80</v>
      </c>
      <c r="AX65" s="257">
        <f t="shared" si="88"/>
        <v>152</v>
      </c>
      <c r="AY65" s="257">
        <f t="shared" si="89"/>
        <v>2584</v>
      </c>
      <c r="AZ65" s="446">
        <f t="shared" si="90"/>
        <v>727</v>
      </c>
      <c r="BA65" s="446">
        <f t="shared" si="91"/>
        <v>35.477600000000002</v>
      </c>
      <c r="BB65" s="446">
        <f t="shared" si="92"/>
        <v>0.62523163200000009</v>
      </c>
      <c r="BC65" s="446">
        <f t="shared" si="93"/>
        <v>763</v>
      </c>
      <c r="BD65" s="258">
        <f t="shared" si="94"/>
        <v>1878568</v>
      </c>
      <c r="BE65" s="258">
        <f t="shared" si="95"/>
        <v>1971592</v>
      </c>
      <c r="BF65" s="391">
        <f t="shared" si="96"/>
        <v>200325144</v>
      </c>
      <c r="BG65" s="391">
        <f t="shared" si="97"/>
        <v>210282588</v>
      </c>
    </row>
    <row r="66" spans="1:59" ht="15.75">
      <c r="A66" s="333">
        <v>5</v>
      </c>
      <c r="B66" s="333" t="str">
        <f t="shared" si="49"/>
        <v>CEREAL EMPACADO_5</v>
      </c>
      <c r="C66" s="333" t="str">
        <f t="shared" si="50"/>
        <v>15_5</v>
      </c>
      <c r="D66" s="333" t="s">
        <v>1607</v>
      </c>
      <c r="E66" s="256">
        <v>15</v>
      </c>
      <c r="F66" s="322" t="s">
        <v>66</v>
      </c>
      <c r="G66" s="256" t="s">
        <v>9</v>
      </c>
      <c r="H66" s="425">
        <f t="shared" si="51"/>
        <v>17</v>
      </c>
      <c r="I66" s="425">
        <f t="array" ref="I66">MAX((IF(MNU_CODIGO_ALIMENTO_ENTREGA=CONCATENATE($E66,"_","P_"),MNU_GRAMAJE_REQUERIDO_TIPOA,"")))</f>
        <v>50</v>
      </c>
      <c r="J66" s="257">
        <f t="shared" si="52"/>
        <v>5184</v>
      </c>
      <c r="K66" s="257">
        <f t="shared" si="53"/>
        <v>88128</v>
      </c>
      <c r="L66" s="446">
        <f t="shared" si="54"/>
        <v>641</v>
      </c>
      <c r="M66" s="446">
        <f t="shared" si="55"/>
        <v>31.280800000000003</v>
      </c>
      <c r="N66" s="446">
        <f t="shared" si="56"/>
        <v>0.55127025600000001</v>
      </c>
      <c r="O66" s="446">
        <f t="shared" si="57"/>
        <v>673</v>
      </c>
      <c r="P66" s="258">
        <f t="shared" si="58"/>
        <v>56490048</v>
      </c>
      <c r="Q66" s="258">
        <f t="shared" si="59"/>
        <v>59310144</v>
      </c>
      <c r="R66" s="426">
        <f t="shared" si="60"/>
        <v>17</v>
      </c>
      <c r="S66" s="426">
        <f t="array" ref="S66">MAX((IF(MNU_CODIGO_ALIMENTO_ENTREGA=CONCATENATE($E66,"_","P_"),MNU_GRAMAJE_REQUERIDO_TIPOB,"")))</f>
        <v>50</v>
      </c>
      <c r="T66" s="259">
        <f t="shared" si="61"/>
        <v>6830</v>
      </c>
      <c r="U66" s="259">
        <f t="shared" si="62"/>
        <v>116110</v>
      </c>
      <c r="V66" s="446">
        <f t="shared" si="63"/>
        <v>641</v>
      </c>
      <c r="W66" s="446">
        <f t="shared" si="64"/>
        <v>31.280800000000003</v>
      </c>
      <c r="X66" s="446">
        <f t="shared" si="65"/>
        <v>0.55127025600000001</v>
      </c>
      <c r="Y66" s="446">
        <f t="shared" si="66"/>
        <v>673</v>
      </c>
      <c r="Z66" s="260">
        <f t="shared" si="67"/>
        <v>74426510</v>
      </c>
      <c r="AA66" s="260">
        <f t="shared" si="68"/>
        <v>78142030</v>
      </c>
      <c r="AB66" s="425">
        <f t="shared" si="69"/>
        <v>17</v>
      </c>
      <c r="AC66" s="425">
        <f t="array" ref="AC66">MAX((IF(MNU_CODIGO_ALIMENTO_ENTREGA=CONCATENATE($E66,"_","P_"),MNU_GRAMAJE_REQUERIDO_TIPOC,"")))</f>
        <v>80</v>
      </c>
      <c r="AD66" s="257">
        <f t="shared" si="70"/>
        <v>7991</v>
      </c>
      <c r="AE66" s="257">
        <f t="shared" si="71"/>
        <v>135847</v>
      </c>
      <c r="AF66" s="446">
        <f t="shared" si="72"/>
        <v>1025</v>
      </c>
      <c r="AG66" s="446">
        <f t="shared" si="73"/>
        <v>50.02</v>
      </c>
      <c r="AH66" s="446">
        <f t="shared" si="74"/>
        <v>0.88151640000000009</v>
      </c>
      <c r="AI66" s="446">
        <f t="shared" si="75"/>
        <v>1076</v>
      </c>
      <c r="AJ66" s="258">
        <f t="shared" si="76"/>
        <v>139243175</v>
      </c>
      <c r="AK66" s="258">
        <f t="shared" si="77"/>
        <v>146171372</v>
      </c>
      <c r="AL66" s="426">
        <f t="shared" si="78"/>
        <v>17</v>
      </c>
      <c r="AM66" s="426">
        <f t="array" ref="AM66">MAX((IF(MNU_CODIGO_ALIMENTO_ENTREGA=CONCATENATE($E66,"_","P_"),MNU_GRAMAJE_REQUERIDO_TIPOM,"")))</f>
        <v>50</v>
      </c>
      <c r="AN66" s="259">
        <f t="shared" si="79"/>
        <v>177</v>
      </c>
      <c r="AO66" s="259">
        <f t="shared" si="80"/>
        <v>3009</v>
      </c>
      <c r="AP66" s="446">
        <f t="shared" si="81"/>
        <v>641</v>
      </c>
      <c r="AQ66" s="446">
        <f t="shared" si="82"/>
        <v>31.280800000000003</v>
      </c>
      <c r="AR66" s="446">
        <f t="shared" si="83"/>
        <v>0.55127025600000001</v>
      </c>
      <c r="AS66" s="446">
        <f t="shared" si="84"/>
        <v>673</v>
      </c>
      <c r="AT66" s="260">
        <f t="shared" si="85"/>
        <v>1928769</v>
      </c>
      <c r="AU66" s="260">
        <f t="shared" si="86"/>
        <v>2025057</v>
      </c>
      <c r="AV66" s="425">
        <f t="shared" si="87"/>
        <v>17</v>
      </c>
      <c r="AW66" s="425">
        <f t="array" ref="AW66">MAX((IF(MNU_CODIGO_ALIMENTO_ENTREGA=CONCATENATE($E66,"_","P_"),MNU_GRAMAJE_REQUERIDO_TIPOH,"")))</f>
        <v>80</v>
      </c>
      <c r="AX66" s="257">
        <f t="shared" si="88"/>
        <v>152</v>
      </c>
      <c r="AY66" s="257">
        <f t="shared" si="89"/>
        <v>2584</v>
      </c>
      <c r="AZ66" s="446">
        <f t="shared" si="90"/>
        <v>1025</v>
      </c>
      <c r="BA66" s="446">
        <f t="shared" si="91"/>
        <v>50.02</v>
      </c>
      <c r="BB66" s="446">
        <f t="shared" si="92"/>
        <v>0.88151640000000009</v>
      </c>
      <c r="BC66" s="446">
        <f t="shared" si="93"/>
        <v>1076</v>
      </c>
      <c r="BD66" s="258">
        <f t="shared" si="94"/>
        <v>2648600</v>
      </c>
      <c r="BE66" s="258">
        <f t="shared" si="95"/>
        <v>2780384</v>
      </c>
      <c r="BF66" s="391">
        <f t="shared" si="96"/>
        <v>274737102</v>
      </c>
      <c r="BG66" s="391">
        <f t="shared" si="97"/>
        <v>288428987</v>
      </c>
    </row>
    <row r="67" spans="1:59" ht="15.75">
      <c r="A67" s="333">
        <v>5</v>
      </c>
      <c r="B67" s="333" t="str">
        <f t="shared" si="49"/>
        <v>CEREAL EMPACADO_5</v>
      </c>
      <c r="C67" s="333" t="str">
        <f t="shared" si="50"/>
        <v>24_5</v>
      </c>
      <c r="D67" s="333" t="s">
        <v>1607</v>
      </c>
      <c r="E67" s="256">
        <v>24</v>
      </c>
      <c r="F67" s="322" t="s">
        <v>61</v>
      </c>
      <c r="G67" s="256" t="s">
        <v>9</v>
      </c>
      <c r="H67" s="425">
        <f t="shared" si="51"/>
        <v>17</v>
      </c>
      <c r="I67" s="425">
        <f t="array" ref="I67">MAX((IF(MNU_CODIGO_ALIMENTO_ENTREGA=CONCATENATE($E67,"_","P_"),MNU_GRAMAJE_REQUERIDO_TIPOA,"")))</f>
        <v>20</v>
      </c>
      <c r="J67" s="257">
        <f t="shared" si="52"/>
        <v>5184</v>
      </c>
      <c r="K67" s="257">
        <f t="shared" si="53"/>
        <v>88128</v>
      </c>
      <c r="L67" s="446">
        <f t="shared" si="54"/>
        <v>122</v>
      </c>
      <c r="M67" s="446">
        <f t="shared" si="55"/>
        <v>5.9535999999999998</v>
      </c>
      <c r="N67" s="446">
        <f t="shared" si="56"/>
        <v>0.104921952</v>
      </c>
      <c r="O67" s="446">
        <f t="shared" si="57"/>
        <v>128</v>
      </c>
      <c r="P67" s="258">
        <f t="shared" si="58"/>
        <v>10751616</v>
      </c>
      <c r="Q67" s="258">
        <f t="shared" si="59"/>
        <v>11280384</v>
      </c>
      <c r="R67" s="426">
        <f t="shared" si="60"/>
        <v>17</v>
      </c>
      <c r="S67" s="426">
        <f t="array" ref="S67">MAX((IF(MNU_CODIGO_ALIMENTO_ENTREGA=CONCATENATE($E67,"_","P_"),MNU_GRAMAJE_REQUERIDO_TIPOB,"")))</f>
        <v>30</v>
      </c>
      <c r="T67" s="259">
        <f t="shared" si="61"/>
        <v>6830</v>
      </c>
      <c r="U67" s="259">
        <f t="shared" si="62"/>
        <v>116110</v>
      </c>
      <c r="V67" s="446">
        <f t="shared" si="63"/>
        <v>191</v>
      </c>
      <c r="W67" s="446">
        <f t="shared" si="64"/>
        <v>9.3208000000000002</v>
      </c>
      <c r="X67" s="446">
        <f t="shared" si="65"/>
        <v>0.16426305600000002</v>
      </c>
      <c r="Y67" s="446">
        <f t="shared" si="66"/>
        <v>200</v>
      </c>
      <c r="Z67" s="260">
        <f t="shared" si="67"/>
        <v>22177010</v>
      </c>
      <c r="AA67" s="260">
        <f t="shared" si="68"/>
        <v>23222000</v>
      </c>
      <c r="AB67" s="425">
        <f t="shared" si="69"/>
        <v>17</v>
      </c>
      <c r="AC67" s="425">
        <f t="array" ref="AC67">MAX((IF(MNU_CODIGO_ALIMENTO_ENTREGA=CONCATENATE($E67,"_","P_"),MNU_GRAMAJE_REQUERIDO_TIPOC,"")))</f>
        <v>60</v>
      </c>
      <c r="AD67" s="257">
        <f t="shared" si="70"/>
        <v>7991</v>
      </c>
      <c r="AE67" s="257">
        <f t="shared" si="71"/>
        <v>135847</v>
      </c>
      <c r="AF67" s="446">
        <f t="shared" si="72"/>
        <v>367</v>
      </c>
      <c r="AG67" s="446">
        <f t="shared" si="73"/>
        <v>17.909599999999998</v>
      </c>
      <c r="AH67" s="446">
        <f t="shared" si="74"/>
        <v>0.31562587200000003</v>
      </c>
      <c r="AI67" s="446">
        <f t="shared" si="75"/>
        <v>385</v>
      </c>
      <c r="AJ67" s="258">
        <f t="shared" si="76"/>
        <v>49855849</v>
      </c>
      <c r="AK67" s="258">
        <f t="shared" si="77"/>
        <v>52301095</v>
      </c>
      <c r="AL67" s="426">
        <f t="shared" si="78"/>
        <v>17</v>
      </c>
      <c r="AM67" s="426">
        <f t="array" ref="AM67">MAX((IF(MNU_CODIGO_ALIMENTO_ENTREGA=CONCATENATE($E67,"_","P_"),MNU_GRAMAJE_REQUERIDO_TIPOM,"")))</f>
        <v>30</v>
      </c>
      <c r="AN67" s="259">
        <f t="shared" si="79"/>
        <v>177</v>
      </c>
      <c r="AO67" s="259">
        <f t="shared" si="80"/>
        <v>3009</v>
      </c>
      <c r="AP67" s="446">
        <f t="shared" si="81"/>
        <v>191</v>
      </c>
      <c r="AQ67" s="446">
        <f t="shared" si="82"/>
        <v>9.3208000000000002</v>
      </c>
      <c r="AR67" s="446">
        <f t="shared" si="83"/>
        <v>0.16426305600000002</v>
      </c>
      <c r="AS67" s="446">
        <f t="shared" si="84"/>
        <v>200</v>
      </c>
      <c r="AT67" s="260">
        <f t="shared" si="85"/>
        <v>574719</v>
      </c>
      <c r="AU67" s="260">
        <f t="shared" si="86"/>
        <v>601800</v>
      </c>
      <c r="AV67" s="425">
        <f t="shared" si="87"/>
        <v>17</v>
      </c>
      <c r="AW67" s="425">
        <f t="array" ref="AW67">MAX((IF(MNU_CODIGO_ALIMENTO_ENTREGA=CONCATENATE($E67,"_","P_"),MNU_GRAMAJE_REQUERIDO_TIPOH,"")))</f>
        <v>60</v>
      </c>
      <c r="AX67" s="257">
        <f t="shared" si="88"/>
        <v>152</v>
      </c>
      <c r="AY67" s="257">
        <f t="shared" si="89"/>
        <v>2584</v>
      </c>
      <c r="AZ67" s="446">
        <f t="shared" si="90"/>
        <v>367</v>
      </c>
      <c r="BA67" s="446">
        <f t="shared" si="91"/>
        <v>17.909599999999998</v>
      </c>
      <c r="BB67" s="446">
        <f t="shared" si="92"/>
        <v>0.31562587200000003</v>
      </c>
      <c r="BC67" s="446">
        <f t="shared" si="93"/>
        <v>385</v>
      </c>
      <c r="BD67" s="258">
        <f t="shared" si="94"/>
        <v>948328</v>
      </c>
      <c r="BE67" s="258">
        <f t="shared" si="95"/>
        <v>994840</v>
      </c>
      <c r="BF67" s="391">
        <f t="shared" si="96"/>
        <v>84307522</v>
      </c>
      <c r="BG67" s="391">
        <f t="shared" si="97"/>
        <v>88400119</v>
      </c>
    </row>
    <row r="68" spans="1:59" ht="15.75">
      <c r="A68" s="333">
        <v>5</v>
      </c>
      <c r="B68" s="333" t="str">
        <f t="shared" si="49"/>
        <v>CEREAL EMPACADO_5</v>
      </c>
      <c r="C68" s="333" t="str">
        <f t="shared" si="50"/>
        <v>25_5</v>
      </c>
      <c r="D68" s="333" t="s">
        <v>1607</v>
      </c>
      <c r="E68" s="256">
        <v>25</v>
      </c>
      <c r="F68" s="322" t="s">
        <v>64</v>
      </c>
      <c r="G68" s="256" t="s">
        <v>9</v>
      </c>
      <c r="H68" s="425">
        <f t="shared" si="51"/>
        <v>17</v>
      </c>
      <c r="I68" s="425">
        <f t="array" ref="I68">MAX((IF(MNU_CODIGO_ALIMENTO_ENTREGA=CONCATENATE($E68,"_","P_"),MNU_GRAMAJE_REQUERIDO_TIPOA,"")))</f>
        <v>40</v>
      </c>
      <c r="J68" s="257">
        <f t="shared" si="52"/>
        <v>5184</v>
      </c>
      <c r="K68" s="257">
        <f t="shared" si="53"/>
        <v>88128</v>
      </c>
      <c r="L68" s="446">
        <f t="shared" si="54"/>
        <v>244</v>
      </c>
      <c r="M68" s="446">
        <f t="shared" si="55"/>
        <v>11.9072</v>
      </c>
      <c r="N68" s="446">
        <f t="shared" si="56"/>
        <v>0.209843904</v>
      </c>
      <c r="O68" s="446">
        <f t="shared" si="57"/>
        <v>256</v>
      </c>
      <c r="P68" s="258">
        <f t="shared" si="58"/>
        <v>21503232</v>
      </c>
      <c r="Q68" s="258">
        <f t="shared" si="59"/>
        <v>22560768</v>
      </c>
      <c r="R68" s="426">
        <f t="shared" si="60"/>
        <v>17</v>
      </c>
      <c r="S68" s="426">
        <f t="array" ref="S68">MAX((IF(MNU_CODIGO_ALIMENTO_ENTREGA=CONCATENATE($E68,"_","P_"),MNU_GRAMAJE_REQUERIDO_TIPOB,"")))</f>
        <v>40</v>
      </c>
      <c r="T68" s="259">
        <f t="shared" si="61"/>
        <v>6830</v>
      </c>
      <c r="U68" s="259">
        <f t="shared" si="62"/>
        <v>116110</v>
      </c>
      <c r="V68" s="446">
        <f t="shared" si="63"/>
        <v>244</v>
      </c>
      <c r="W68" s="446">
        <f t="shared" si="64"/>
        <v>11.9072</v>
      </c>
      <c r="X68" s="446">
        <f t="shared" si="65"/>
        <v>0.209843904</v>
      </c>
      <c r="Y68" s="446">
        <f t="shared" si="66"/>
        <v>256</v>
      </c>
      <c r="Z68" s="260">
        <f t="shared" si="67"/>
        <v>28330840</v>
      </c>
      <c r="AA68" s="260">
        <f t="shared" si="68"/>
        <v>29724160</v>
      </c>
      <c r="AB68" s="425">
        <f t="shared" si="69"/>
        <v>17</v>
      </c>
      <c r="AC68" s="425">
        <f t="array" ref="AC68">MAX((IF(MNU_CODIGO_ALIMENTO_ENTREGA=CONCATENATE($E68,"_","P_"),MNU_GRAMAJE_REQUERIDO_TIPOC,"")))</f>
        <v>60</v>
      </c>
      <c r="AD68" s="257">
        <f t="shared" si="70"/>
        <v>7991</v>
      </c>
      <c r="AE68" s="257">
        <f t="shared" si="71"/>
        <v>135847</v>
      </c>
      <c r="AF68" s="446">
        <f t="shared" si="72"/>
        <v>366</v>
      </c>
      <c r="AG68" s="446">
        <f t="shared" si="73"/>
        <v>17.860800000000001</v>
      </c>
      <c r="AH68" s="446">
        <f t="shared" si="74"/>
        <v>0.31476585600000001</v>
      </c>
      <c r="AI68" s="446">
        <f t="shared" si="75"/>
        <v>384</v>
      </c>
      <c r="AJ68" s="258">
        <f t="shared" si="76"/>
        <v>49720002</v>
      </c>
      <c r="AK68" s="258">
        <f t="shared" si="77"/>
        <v>52165248</v>
      </c>
      <c r="AL68" s="426">
        <f t="shared" si="78"/>
        <v>17</v>
      </c>
      <c r="AM68" s="426">
        <f t="array" ref="AM68">MAX((IF(MNU_CODIGO_ALIMENTO_ENTREGA=CONCATENATE($E68,"_","P_"),MNU_GRAMAJE_REQUERIDO_TIPOM,"")))</f>
        <v>40</v>
      </c>
      <c r="AN68" s="259">
        <f t="shared" si="79"/>
        <v>177</v>
      </c>
      <c r="AO68" s="259">
        <f t="shared" si="80"/>
        <v>3009</v>
      </c>
      <c r="AP68" s="446">
        <f t="shared" si="81"/>
        <v>244</v>
      </c>
      <c r="AQ68" s="446">
        <f t="shared" si="82"/>
        <v>11.9072</v>
      </c>
      <c r="AR68" s="446">
        <f t="shared" si="83"/>
        <v>0.209843904</v>
      </c>
      <c r="AS68" s="446">
        <f t="shared" si="84"/>
        <v>256</v>
      </c>
      <c r="AT68" s="260">
        <f t="shared" si="85"/>
        <v>734196</v>
      </c>
      <c r="AU68" s="260">
        <f t="shared" si="86"/>
        <v>770304</v>
      </c>
      <c r="AV68" s="425">
        <f t="shared" si="87"/>
        <v>17</v>
      </c>
      <c r="AW68" s="425">
        <f t="array" ref="AW68">MAX((IF(MNU_CODIGO_ALIMENTO_ENTREGA=CONCATENATE($E68,"_","P_"),MNU_GRAMAJE_REQUERIDO_TIPOH,"")))</f>
        <v>60</v>
      </c>
      <c r="AX68" s="257">
        <f t="shared" si="88"/>
        <v>152</v>
      </c>
      <c r="AY68" s="257">
        <f t="shared" si="89"/>
        <v>2584</v>
      </c>
      <c r="AZ68" s="446">
        <f t="shared" si="90"/>
        <v>366</v>
      </c>
      <c r="BA68" s="446">
        <f t="shared" si="91"/>
        <v>17.860800000000001</v>
      </c>
      <c r="BB68" s="446">
        <f t="shared" si="92"/>
        <v>0.31476585600000001</v>
      </c>
      <c r="BC68" s="446">
        <f t="shared" si="93"/>
        <v>384</v>
      </c>
      <c r="BD68" s="258">
        <f t="shared" si="94"/>
        <v>945744</v>
      </c>
      <c r="BE68" s="258">
        <f t="shared" si="95"/>
        <v>992256</v>
      </c>
      <c r="BF68" s="391">
        <f t="shared" si="96"/>
        <v>101234014</v>
      </c>
      <c r="BG68" s="391">
        <f t="shared" si="97"/>
        <v>106212736</v>
      </c>
    </row>
    <row r="69" spans="1:59" ht="15.75">
      <c r="A69" s="333">
        <v>5</v>
      </c>
      <c r="B69" s="333" t="str">
        <f t="shared" si="49"/>
        <v>CEREAL EMPACADO_5</v>
      </c>
      <c r="C69" s="333" t="str">
        <f t="shared" si="50"/>
        <v>26_5</v>
      </c>
      <c r="D69" s="333" t="s">
        <v>1607</v>
      </c>
      <c r="E69" s="256">
        <v>26</v>
      </c>
      <c r="F69" s="322" t="s">
        <v>69</v>
      </c>
      <c r="G69" s="256" t="s">
        <v>9</v>
      </c>
      <c r="H69" s="425">
        <f t="shared" si="51"/>
        <v>6</v>
      </c>
      <c r="I69" s="425">
        <f t="array" ref="I69">MAX((IF(MNU_CODIGO_ALIMENTO_ENTREGA=CONCATENATE($E69,"_","P_"),MNU_GRAMAJE_REQUERIDO_TIPOA,"")))</f>
        <v>30</v>
      </c>
      <c r="J69" s="257">
        <f t="shared" si="52"/>
        <v>5184</v>
      </c>
      <c r="K69" s="257">
        <f t="shared" si="53"/>
        <v>31104</v>
      </c>
      <c r="L69" s="446">
        <f t="shared" si="54"/>
        <v>163</v>
      </c>
      <c r="M69" s="446">
        <f t="shared" si="55"/>
        <v>7.9543999999999997</v>
      </c>
      <c r="N69" s="446">
        <f t="shared" si="56"/>
        <v>0.14018260800000001</v>
      </c>
      <c r="O69" s="446">
        <f t="shared" si="57"/>
        <v>171</v>
      </c>
      <c r="P69" s="258">
        <f t="shared" si="58"/>
        <v>5069952</v>
      </c>
      <c r="Q69" s="258">
        <f t="shared" si="59"/>
        <v>5318784</v>
      </c>
      <c r="R69" s="426">
        <f t="shared" si="60"/>
        <v>6</v>
      </c>
      <c r="S69" s="426">
        <f t="array" ref="S69">MAX((IF(MNU_CODIGO_ALIMENTO_ENTREGA=CONCATENATE($E69,"_","P_"),MNU_GRAMAJE_REQUERIDO_TIPOB,"")))</f>
        <v>30</v>
      </c>
      <c r="T69" s="259">
        <f t="shared" si="61"/>
        <v>6830</v>
      </c>
      <c r="U69" s="259">
        <f t="shared" si="62"/>
        <v>40980</v>
      </c>
      <c r="V69" s="446">
        <f t="shared" si="63"/>
        <v>163</v>
      </c>
      <c r="W69" s="446">
        <f t="shared" si="64"/>
        <v>7.9543999999999997</v>
      </c>
      <c r="X69" s="446">
        <f t="shared" si="65"/>
        <v>0.14018260800000001</v>
      </c>
      <c r="Y69" s="446">
        <f t="shared" si="66"/>
        <v>171</v>
      </c>
      <c r="Z69" s="260">
        <f t="shared" si="67"/>
        <v>6679740</v>
      </c>
      <c r="AA69" s="260">
        <f t="shared" si="68"/>
        <v>7007580</v>
      </c>
      <c r="AB69" s="425">
        <f t="shared" si="69"/>
        <v>6</v>
      </c>
      <c r="AC69" s="425">
        <f t="array" ref="AC69">MAX((IF(MNU_CODIGO_ALIMENTO_ENTREGA=CONCATENATE($E69,"_","P_"),MNU_GRAMAJE_REQUERIDO_TIPOC,"")))</f>
        <v>30</v>
      </c>
      <c r="AD69" s="257">
        <f t="shared" si="70"/>
        <v>7991</v>
      </c>
      <c r="AE69" s="257">
        <f t="shared" si="71"/>
        <v>47946</v>
      </c>
      <c r="AF69" s="446">
        <f t="shared" si="72"/>
        <v>163</v>
      </c>
      <c r="AG69" s="446">
        <f t="shared" si="73"/>
        <v>7.9543999999999997</v>
      </c>
      <c r="AH69" s="446">
        <f t="shared" si="74"/>
        <v>0.14018260800000001</v>
      </c>
      <c r="AI69" s="446">
        <f t="shared" si="75"/>
        <v>171</v>
      </c>
      <c r="AJ69" s="258">
        <f t="shared" si="76"/>
        <v>7815198</v>
      </c>
      <c r="AK69" s="258">
        <f t="shared" si="77"/>
        <v>8198766</v>
      </c>
      <c r="AL69" s="426">
        <f t="shared" si="78"/>
        <v>6</v>
      </c>
      <c r="AM69" s="426">
        <f t="array" ref="AM69">MAX((IF(MNU_CODIGO_ALIMENTO_ENTREGA=CONCATENATE($E69,"_","P_"),MNU_GRAMAJE_REQUERIDO_TIPOM,"")))</f>
        <v>30</v>
      </c>
      <c r="AN69" s="259">
        <f t="shared" si="79"/>
        <v>177</v>
      </c>
      <c r="AO69" s="259">
        <f t="shared" si="80"/>
        <v>1062</v>
      </c>
      <c r="AP69" s="446">
        <f t="shared" si="81"/>
        <v>163</v>
      </c>
      <c r="AQ69" s="446">
        <f t="shared" si="82"/>
        <v>7.9543999999999997</v>
      </c>
      <c r="AR69" s="446">
        <f t="shared" si="83"/>
        <v>0.14018260800000001</v>
      </c>
      <c r="AS69" s="446">
        <f t="shared" si="84"/>
        <v>171</v>
      </c>
      <c r="AT69" s="260">
        <f t="shared" si="85"/>
        <v>173106</v>
      </c>
      <c r="AU69" s="260">
        <f t="shared" si="86"/>
        <v>181602</v>
      </c>
      <c r="AV69" s="425">
        <f t="shared" si="87"/>
        <v>6</v>
      </c>
      <c r="AW69" s="425">
        <f t="array" ref="AW69">MAX((IF(MNU_CODIGO_ALIMENTO_ENTREGA=CONCATENATE($E69,"_","P_"),MNU_GRAMAJE_REQUERIDO_TIPOH,"")))</f>
        <v>30</v>
      </c>
      <c r="AX69" s="257">
        <f t="shared" si="88"/>
        <v>152</v>
      </c>
      <c r="AY69" s="257">
        <f t="shared" si="89"/>
        <v>912</v>
      </c>
      <c r="AZ69" s="446">
        <f t="shared" si="90"/>
        <v>163</v>
      </c>
      <c r="BA69" s="446">
        <f t="shared" si="91"/>
        <v>7.9543999999999997</v>
      </c>
      <c r="BB69" s="446">
        <f t="shared" si="92"/>
        <v>0.14018260800000001</v>
      </c>
      <c r="BC69" s="446">
        <f t="shared" si="93"/>
        <v>171</v>
      </c>
      <c r="BD69" s="258">
        <f t="shared" si="94"/>
        <v>148656</v>
      </c>
      <c r="BE69" s="258">
        <f t="shared" si="95"/>
        <v>155952</v>
      </c>
      <c r="BF69" s="391">
        <f t="shared" si="96"/>
        <v>19886652</v>
      </c>
      <c r="BG69" s="391">
        <f t="shared" si="97"/>
        <v>20862684</v>
      </c>
    </row>
    <row r="70" spans="1:59" ht="27">
      <c r="A70" s="333">
        <v>5</v>
      </c>
      <c r="B70" s="333" t="str">
        <f t="shared" si="49"/>
        <v>CEREAL EMPACADO_5</v>
      </c>
      <c r="C70" s="333" t="str">
        <f t="shared" si="50"/>
        <v>28_5</v>
      </c>
      <c r="D70" s="333" t="s">
        <v>1607</v>
      </c>
      <c r="E70" s="256">
        <v>28</v>
      </c>
      <c r="F70" s="322" t="s">
        <v>67</v>
      </c>
      <c r="G70" s="256" t="s">
        <v>9</v>
      </c>
      <c r="H70" s="425">
        <f t="shared" si="51"/>
        <v>6</v>
      </c>
      <c r="I70" s="425">
        <f t="array" ref="I70">MAX((IF(MNU_CODIGO_ALIMENTO_ENTREGA=CONCATENATE($E70,"_","P_"),MNU_GRAMAJE_REQUERIDO_TIPOA,"")))</f>
        <v>30</v>
      </c>
      <c r="J70" s="257">
        <f t="shared" si="52"/>
        <v>5184</v>
      </c>
      <c r="K70" s="257">
        <f t="shared" si="53"/>
        <v>31104</v>
      </c>
      <c r="L70" s="446">
        <f t="shared" si="54"/>
        <v>215</v>
      </c>
      <c r="M70" s="446">
        <f t="shared" si="55"/>
        <v>10.492000000000001</v>
      </c>
      <c r="N70" s="446">
        <f t="shared" si="56"/>
        <v>0.18490343999999997</v>
      </c>
      <c r="O70" s="446">
        <f t="shared" si="57"/>
        <v>226</v>
      </c>
      <c r="P70" s="258">
        <f t="shared" si="58"/>
        <v>6687360</v>
      </c>
      <c r="Q70" s="258">
        <f t="shared" si="59"/>
        <v>7029504</v>
      </c>
      <c r="R70" s="426">
        <f t="shared" si="60"/>
        <v>6</v>
      </c>
      <c r="S70" s="426">
        <f t="array" ref="S70">MAX((IF(MNU_CODIGO_ALIMENTO_ENTREGA=CONCATENATE($E70,"_","P_"),MNU_GRAMAJE_REQUERIDO_TIPOB,"")))</f>
        <v>40</v>
      </c>
      <c r="T70" s="259">
        <f t="shared" si="61"/>
        <v>6830</v>
      </c>
      <c r="U70" s="259">
        <f t="shared" si="62"/>
        <v>40980</v>
      </c>
      <c r="V70" s="446">
        <f t="shared" si="63"/>
        <v>287</v>
      </c>
      <c r="W70" s="446">
        <f t="shared" si="64"/>
        <v>14.005600000000001</v>
      </c>
      <c r="X70" s="446">
        <f t="shared" si="65"/>
        <v>0.24682459200000004</v>
      </c>
      <c r="Y70" s="446">
        <f t="shared" si="66"/>
        <v>301</v>
      </c>
      <c r="Z70" s="260">
        <f t="shared" si="67"/>
        <v>11761260</v>
      </c>
      <c r="AA70" s="260">
        <f t="shared" si="68"/>
        <v>12334980</v>
      </c>
      <c r="AB70" s="425">
        <f t="shared" si="69"/>
        <v>6</v>
      </c>
      <c r="AC70" s="425">
        <f t="array" ref="AC70">MAX((IF(MNU_CODIGO_ALIMENTO_ENTREGA=CONCATENATE($E70,"_","P_"),MNU_GRAMAJE_REQUERIDO_TIPOC,"")))</f>
        <v>60</v>
      </c>
      <c r="AD70" s="257">
        <f t="shared" si="70"/>
        <v>7991</v>
      </c>
      <c r="AE70" s="257">
        <f t="shared" si="71"/>
        <v>47946</v>
      </c>
      <c r="AF70" s="446">
        <f t="shared" si="72"/>
        <v>430</v>
      </c>
      <c r="AG70" s="446">
        <f t="shared" si="73"/>
        <v>20.984000000000002</v>
      </c>
      <c r="AH70" s="446">
        <f t="shared" si="74"/>
        <v>0.36980687999999995</v>
      </c>
      <c r="AI70" s="446">
        <f t="shared" si="75"/>
        <v>451</v>
      </c>
      <c r="AJ70" s="258">
        <f t="shared" si="76"/>
        <v>20616780</v>
      </c>
      <c r="AK70" s="258">
        <f t="shared" si="77"/>
        <v>21623646</v>
      </c>
      <c r="AL70" s="426">
        <f t="shared" si="78"/>
        <v>6</v>
      </c>
      <c r="AM70" s="426">
        <f t="array" ref="AM70">MAX((IF(MNU_CODIGO_ALIMENTO_ENTREGA=CONCATENATE($E70,"_","P_"),MNU_GRAMAJE_REQUERIDO_TIPOM,"")))</f>
        <v>40</v>
      </c>
      <c r="AN70" s="259">
        <f t="shared" si="79"/>
        <v>177</v>
      </c>
      <c r="AO70" s="259">
        <f t="shared" si="80"/>
        <v>1062</v>
      </c>
      <c r="AP70" s="446">
        <f t="shared" si="81"/>
        <v>287</v>
      </c>
      <c r="AQ70" s="446">
        <f t="shared" si="82"/>
        <v>14.005600000000001</v>
      </c>
      <c r="AR70" s="446">
        <f t="shared" si="83"/>
        <v>0.24682459200000004</v>
      </c>
      <c r="AS70" s="446">
        <f t="shared" si="84"/>
        <v>301</v>
      </c>
      <c r="AT70" s="260">
        <f t="shared" si="85"/>
        <v>304794</v>
      </c>
      <c r="AU70" s="260">
        <f t="shared" si="86"/>
        <v>319662</v>
      </c>
      <c r="AV70" s="425">
        <f t="shared" si="87"/>
        <v>6</v>
      </c>
      <c r="AW70" s="425">
        <f t="array" ref="AW70">MAX((IF(MNU_CODIGO_ALIMENTO_ENTREGA=CONCATENATE($E70,"_","P_"),MNU_GRAMAJE_REQUERIDO_TIPOH,"")))</f>
        <v>60</v>
      </c>
      <c r="AX70" s="257">
        <f t="shared" si="88"/>
        <v>152</v>
      </c>
      <c r="AY70" s="257">
        <f t="shared" si="89"/>
        <v>912</v>
      </c>
      <c r="AZ70" s="446">
        <f t="shared" si="90"/>
        <v>430</v>
      </c>
      <c r="BA70" s="446">
        <f t="shared" si="91"/>
        <v>20.984000000000002</v>
      </c>
      <c r="BB70" s="446">
        <f t="shared" si="92"/>
        <v>0.36980687999999995</v>
      </c>
      <c r="BC70" s="446">
        <f t="shared" si="93"/>
        <v>451</v>
      </c>
      <c r="BD70" s="258">
        <f t="shared" si="94"/>
        <v>392160</v>
      </c>
      <c r="BE70" s="258">
        <f t="shared" si="95"/>
        <v>411312</v>
      </c>
      <c r="BF70" s="391">
        <f t="shared" si="96"/>
        <v>39762354</v>
      </c>
      <c r="BG70" s="391">
        <f t="shared" si="97"/>
        <v>41719104</v>
      </c>
    </row>
    <row r="71" spans="1:59" ht="15.75">
      <c r="A71" s="333">
        <v>5</v>
      </c>
      <c r="B71" s="333" t="str">
        <f t="shared" si="49"/>
        <v>CEREAL EMPACADO_5</v>
      </c>
      <c r="C71" s="333" t="str">
        <f t="shared" si="50"/>
        <v>30_5</v>
      </c>
      <c r="D71" s="333" t="s">
        <v>1607</v>
      </c>
      <c r="E71" s="256">
        <v>30</v>
      </c>
      <c r="F71" s="322" t="s">
        <v>63</v>
      </c>
      <c r="G71" s="256" t="s">
        <v>9</v>
      </c>
      <c r="H71" s="425">
        <f t="shared" si="51"/>
        <v>16</v>
      </c>
      <c r="I71" s="425">
        <f t="array" ref="I71">MAX((IF(MNU_CODIGO_ALIMENTO_ENTREGA=CONCATENATE($E71,"_","P_"),MNU_GRAMAJE_REQUERIDO_TIPOA,"")))</f>
        <v>30</v>
      </c>
      <c r="J71" s="257">
        <f t="shared" si="52"/>
        <v>5184</v>
      </c>
      <c r="K71" s="257">
        <f t="shared" si="53"/>
        <v>82944</v>
      </c>
      <c r="L71" s="446">
        <f t="shared" si="54"/>
        <v>316</v>
      </c>
      <c r="M71" s="446">
        <f t="shared" si="55"/>
        <v>15.4208</v>
      </c>
      <c r="N71" s="446">
        <f t="shared" si="56"/>
        <v>0.271765056</v>
      </c>
      <c r="O71" s="446">
        <f t="shared" si="57"/>
        <v>332</v>
      </c>
      <c r="P71" s="258">
        <f t="shared" si="58"/>
        <v>26210304</v>
      </c>
      <c r="Q71" s="258">
        <f t="shared" si="59"/>
        <v>27537408</v>
      </c>
      <c r="R71" s="426">
        <f t="shared" si="60"/>
        <v>16</v>
      </c>
      <c r="S71" s="426">
        <f t="array" ref="S71">MAX((IF(MNU_CODIGO_ALIMENTO_ENTREGA=CONCATENATE($E71,"_","P_"),MNU_GRAMAJE_REQUERIDO_TIPOB,"")))</f>
        <v>30</v>
      </c>
      <c r="T71" s="259">
        <f t="shared" si="61"/>
        <v>6830</v>
      </c>
      <c r="U71" s="259">
        <f t="shared" si="62"/>
        <v>109280</v>
      </c>
      <c r="V71" s="446">
        <f t="shared" si="63"/>
        <v>316</v>
      </c>
      <c r="W71" s="446">
        <f t="shared" si="64"/>
        <v>15.4208</v>
      </c>
      <c r="X71" s="446">
        <f t="shared" si="65"/>
        <v>0.271765056</v>
      </c>
      <c r="Y71" s="446">
        <f t="shared" si="66"/>
        <v>332</v>
      </c>
      <c r="Z71" s="260">
        <f t="shared" si="67"/>
        <v>34532480</v>
      </c>
      <c r="AA71" s="260">
        <f t="shared" si="68"/>
        <v>36280960</v>
      </c>
      <c r="AB71" s="425">
        <f t="shared" si="69"/>
        <v>16</v>
      </c>
      <c r="AC71" s="425">
        <f t="array" ref="AC71">MAX((IF(MNU_CODIGO_ALIMENTO_ENTREGA=CONCATENATE($E71,"_","P_"),MNU_GRAMAJE_REQUERIDO_TIPOC,"")))</f>
        <v>30</v>
      </c>
      <c r="AD71" s="257">
        <f t="shared" si="70"/>
        <v>7991</v>
      </c>
      <c r="AE71" s="257">
        <f t="shared" si="71"/>
        <v>127856</v>
      </c>
      <c r="AF71" s="446">
        <f t="shared" si="72"/>
        <v>316</v>
      </c>
      <c r="AG71" s="446">
        <f t="shared" si="73"/>
        <v>15.4208</v>
      </c>
      <c r="AH71" s="446">
        <f t="shared" si="74"/>
        <v>0.271765056</v>
      </c>
      <c r="AI71" s="446">
        <f t="shared" si="75"/>
        <v>332</v>
      </c>
      <c r="AJ71" s="258">
        <f t="shared" si="76"/>
        <v>40402496</v>
      </c>
      <c r="AK71" s="258">
        <f t="shared" si="77"/>
        <v>42448192</v>
      </c>
      <c r="AL71" s="426">
        <f t="shared" si="78"/>
        <v>16</v>
      </c>
      <c r="AM71" s="426">
        <f t="array" ref="AM71">MAX((IF(MNU_CODIGO_ALIMENTO_ENTREGA=CONCATENATE($E71,"_","P_"),MNU_GRAMAJE_REQUERIDO_TIPOM,"")))</f>
        <v>30</v>
      </c>
      <c r="AN71" s="259">
        <f t="shared" si="79"/>
        <v>177</v>
      </c>
      <c r="AO71" s="259">
        <f t="shared" si="80"/>
        <v>2832</v>
      </c>
      <c r="AP71" s="446">
        <f t="shared" si="81"/>
        <v>316</v>
      </c>
      <c r="AQ71" s="446">
        <f t="shared" si="82"/>
        <v>15.4208</v>
      </c>
      <c r="AR71" s="446">
        <f t="shared" si="83"/>
        <v>0.271765056</v>
      </c>
      <c r="AS71" s="446">
        <f t="shared" si="84"/>
        <v>332</v>
      </c>
      <c r="AT71" s="260">
        <f t="shared" si="85"/>
        <v>894912</v>
      </c>
      <c r="AU71" s="260">
        <f t="shared" si="86"/>
        <v>940224</v>
      </c>
      <c r="AV71" s="425">
        <f t="shared" si="87"/>
        <v>16</v>
      </c>
      <c r="AW71" s="425">
        <f t="array" ref="AW71">MAX((IF(MNU_CODIGO_ALIMENTO_ENTREGA=CONCATENATE($E71,"_","P_"),MNU_GRAMAJE_REQUERIDO_TIPOH,"")))</f>
        <v>30</v>
      </c>
      <c r="AX71" s="257">
        <f t="shared" si="88"/>
        <v>152</v>
      </c>
      <c r="AY71" s="257">
        <f t="shared" si="89"/>
        <v>2432</v>
      </c>
      <c r="AZ71" s="446">
        <f t="shared" si="90"/>
        <v>316</v>
      </c>
      <c r="BA71" s="446">
        <f t="shared" si="91"/>
        <v>15.4208</v>
      </c>
      <c r="BB71" s="446">
        <f t="shared" si="92"/>
        <v>0.271765056</v>
      </c>
      <c r="BC71" s="446">
        <f t="shared" si="93"/>
        <v>332</v>
      </c>
      <c r="BD71" s="258">
        <f t="shared" si="94"/>
        <v>768512</v>
      </c>
      <c r="BE71" s="258">
        <f t="shared" si="95"/>
        <v>807424</v>
      </c>
      <c r="BF71" s="391">
        <f t="shared" si="96"/>
        <v>102808704</v>
      </c>
      <c r="BG71" s="391">
        <f t="shared" si="97"/>
        <v>108014208</v>
      </c>
    </row>
    <row r="72" spans="1:59" ht="15.75">
      <c r="A72" s="333">
        <v>5</v>
      </c>
      <c r="B72" s="333" t="str">
        <f t="shared" si="49"/>
        <v>CEREAL EMPACADO_5</v>
      </c>
      <c r="C72" s="333" t="str">
        <f t="shared" si="50"/>
        <v>45_5</v>
      </c>
      <c r="D72" s="333" t="s">
        <v>1607</v>
      </c>
      <c r="E72" s="256">
        <v>45</v>
      </c>
      <c r="F72" s="322" t="s">
        <v>10</v>
      </c>
      <c r="G72" s="256" t="s">
        <v>9</v>
      </c>
      <c r="H72" s="425">
        <f t="shared" si="51"/>
        <v>16</v>
      </c>
      <c r="I72" s="425">
        <f t="array" ref="I72">MAX((IF(MNU_CODIGO_ALIMENTO_ENTREGA=CONCATENATE($E72,"_","P_"),MNU_GRAMAJE_REQUERIDO_TIPOA,"")))</f>
        <v>20</v>
      </c>
      <c r="J72" s="257">
        <f t="shared" si="52"/>
        <v>5184</v>
      </c>
      <c r="K72" s="257">
        <f t="shared" si="53"/>
        <v>82944</v>
      </c>
      <c r="L72" s="446">
        <f t="shared" si="54"/>
        <v>190</v>
      </c>
      <c r="M72" s="446">
        <f t="shared" si="55"/>
        <v>9.2720000000000002</v>
      </c>
      <c r="N72" s="446">
        <f t="shared" si="56"/>
        <v>0.16340304</v>
      </c>
      <c r="O72" s="446">
        <f t="shared" si="57"/>
        <v>199</v>
      </c>
      <c r="P72" s="258">
        <f t="shared" si="58"/>
        <v>15759360</v>
      </c>
      <c r="Q72" s="258">
        <f t="shared" si="59"/>
        <v>16505856</v>
      </c>
      <c r="R72" s="426">
        <f t="shared" si="60"/>
        <v>16</v>
      </c>
      <c r="S72" s="426">
        <f t="array" ref="S72">MAX((IF(MNU_CODIGO_ALIMENTO_ENTREGA=CONCATENATE($E72,"_","P_"),MNU_GRAMAJE_REQUERIDO_TIPOB,"")))</f>
        <v>30</v>
      </c>
      <c r="T72" s="259">
        <f t="shared" si="61"/>
        <v>6830</v>
      </c>
      <c r="U72" s="259">
        <f t="shared" si="62"/>
        <v>109280</v>
      </c>
      <c r="V72" s="446">
        <f t="shared" si="63"/>
        <v>284</v>
      </c>
      <c r="W72" s="446">
        <f t="shared" si="64"/>
        <v>13.8592</v>
      </c>
      <c r="X72" s="446">
        <f t="shared" si="65"/>
        <v>0.24424454399999998</v>
      </c>
      <c r="Y72" s="446">
        <f t="shared" si="66"/>
        <v>298</v>
      </c>
      <c r="Z72" s="260">
        <f t="shared" si="67"/>
        <v>31035520</v>
      </c>
      <c r="AA72" s="260">
        <f t="shared" si="68"/>
        <v>32565440</v>
      </c>
      <c r="AB72" s="425">
        <f t="shared" si="69"/>
        <v>16</v>
      </c>
      <c r="AC72" s="425">
        <f t="array" ref="AC72">MAX((IF(MNU_CODIGO_ALIMENTO_ENTREGA=CONCATENATE($E72,"_","P_"),MNU_GRAMAJE_REQUERIDO_TIPOC,"")))</f>
        <v>60</v>
      </c>
      <c r="AD72" s="257">
        <f t="shared" si="70"/>
        <v>7991</v>
      </c>
      <c r="AE72" s="257">
        <f t="shared" si="71"/>
        <v>127856</v>
      </c>
      <c r="AF72" s="446">
        <f t="shared" si="72"/>
        <v>569</v>
      </c>
      <c r="AG72" s="446">
        <f t="shared" si="73"/>
        <v>27.767199999999999</v>
      </c>
      <c r="AH72" s="446">
        <f t="shared" si="74"/>
        <v>0.48934910400000003</v>
      </c>
      <c r="AI72" s="446">
        <f t="shared" si="75"/>
        <v>597</v>
      </c>
      <c r="AJ72" s="258">
        <f t="shared" si="76"/>
        <v>72750064</v>
      </c>
      <c r="AK72" s="258">
        <f t="shared" si="77"/>
        <v>76330032</v>
      </c>
      <c r="AL72" s="426">
        <f t="shared" si="78"/>
        <v>16</v>
      </c>
      <c r="AM72" s="426">
        <f t="array" ref="AM72">MAX((IF(MNU_CODIGO_ALIMENTO_ENTREGA=CONCATENATE($E72,"_","P_"),MNU_GRAMAJE_REQUERIDO_TIPOM,"")))</f>
        <v>30</v>
      </c>
      <c r="AN72" s="259">
        <f t="shared" si="79"/>
        <v>177</v>
      </c>
      <c r="AO72" s="259">
        <f t="shared" si="80"/>
        <v>2832</v>
      </c>
      <c r="AP72" s="446">
        <f t="shared" si="81"/>
        <v>284</v>
      </c>
      <c r="AQ72" s="446">
        <f t="shared" si="82"/>
        <v>13.8592</v>
      </c>
      <c r="AR72" s="446">
        <f t="shared" si="83"/>
        <v>0.24424454399999998</v>
      </c>
      <c r="AS72" s="446">
        <f t="shared" si="84"/>
        <v>298</v>
      </c>
      <c r="AT72" s="260">
        <f t="shared" si="85"/>
        <v>804288</v>
      </c>
      <c r="AU72" s="260">
        <f t="shared" si="86"/>
        <v>843936</v>
      </c>
      <c r="AV72" s="425">
        <f t="shared" si="87"/>
        <v>16</v>
      </c>
      <c r="AW72" s="425">
        <f t="array" ref="AW72">MAX((IF(MNU_CODIGO_ALIMENTO_ENTREGA=CONCATENATE($E72,"_","P_"),MNU_GRAMAJE_REQUERIDO_TIPOH,"")))</f>
        <v>60</v>
      </c>
      <c r="AX72" s="257">
        <f t="shared" si="88"/>
        <v>152</v>
      </c>
      <c r="AY72" s="257">
        <f t="shared" si="89"/>
        <v>2432</v>
      </c>
      <c r="AZ72" s="446">
        <f t="shared" si="90"/>
        <v>569</v>
      </c>
      <c r="BA72" s="446">
        <f t="shared" si="91"/>
        <v>27.767199999999999</v>
      </c>
      <c r="BB72" s="446">
        <f t="shared" si="92"/>
        <v>0.48934910400000003</v>
      </c>
      <c r="BC72" s="446">
        <f t="shared" si="93"/>
        <v>597</v>
      </c>
      <c r="BD72" s="258">
        <f t="shared" si="94"/>
        <v>1383808</v>
      </c>
      <c r="BE72" s="258">
        <f t="shared" si="95"/>
        <v>1451904</v>
      </c>
      <c r="BF72" s="391">
        <f t="shared" si="96"/>
        <v>121733040</v>
      </c>
      <c r="BG72" s="391">
        <f t="shared" si="97"/>
        <v>127697168</v>
      </c>
    </row>
    <row r="73" spans="1:59" ht="15.75">
      <c r="A73" s="333">
        <v>5</v>
      </c>
      <c r="B73" s="333" t="str">
        <f t="shared" si="49"/>
        <v>CEREAL EMPACADO_5</v>
      </c>
      <c r="C73" s="333" t="str">
        <f t="shared" si="50"/>
        <v>50_5</v>
      </c>
      <c r="D73" s="333" t="s">
        <v>1607</v>
      </c>
      <c r="E73" s="256">
        <v>50</v>
      </c>
      <c r="F73" s="322" t="s">
        <v>65</v>
      </c>
      <c r="G73" s="256" t="s">
        <v>9</v>
      </c>
      <c r="H73" s="425">
        <f t="shared" si="51"/>
        <v>17</v>
      </c>
      <c r="I73" s="425">
        <f t="array" ref="I73">MAX((IF(MNU_CODIGO_ALIMENTO_ENTREGA=CONCATENATE($E73,"_","P_"),MNU_GRAMAJE_REQUERIDO_TIPOA,"")))</f>
        <v>30</v>
      </c>
      <c r="J73" s="257">
        <f t="shared" si="52"/>
        <v>5184</v>
      </c>
      <c r="K73" s="257">
        <f t="shared" si="53"/>
        <v>88128</v>
      </c>
      <c r="L73" s="446">
        <f t="shared" si="54"/>
        <v>306</v>
      </c>
      <c r="M73" s="446">
        <f t="shared" si="55"/>
        <v>14.9328</v>
      </c>
      <c r="N73" s="446">
        <f t="shared" si="56"/>
        <v>0.26316489599999998</v>
      </c>
      <c r="O73" s="446">
        <f t="shared" si="57"/>
        <v>321</v>
      </c>
      <c r="P73" s="258">
        <f t="shared" si="58"/>
        <v>26967168</v>
      </c>
      <c r="Q73" s="258">
        <f t="shared" si="59"/>
        <v>28289088</v>
      </c>
      <c r="R73" s="426">
        <f t="shared" si="60"/>
        <v>17</v>
      </c>
      <c r="S73" s="426">
        <f t="array" ref="S73">MAX((IF(MNU_CODIGO_ALIMENTO_ENTREGA=CONCATENATE($E73,"_","P_"),MNU_GRAMAJE_REQUERIDO_TIPOB,"")))</f>
        <v>40</v>
      </c>
      <c r="T73" s="259">
        <f t="shared" si="61"/>
        <v>6830</v>
      </c>
      <c r="U73" s="259">
        <f t="shared" si="62"/>
        <v>116110</v>
      </c>
      <c r="V73" s="446">
        <f t="shared" si="63"/>
        <v>408</v>
      </c>
      <c r="W73" s="446">
        <f t="shared" si="64"/>
        <v>19.910400000000003</v>
      </c>
      <c r="X73" s="446">
        <f t="shared" si="65"/>
        <v>0.35088652799999998</v>
      </c>
      <c r="Y73" s="446">
        <f t="shared" si="66"/>
        <v>428</v>
      </c>
      <c r="Z73" s="260">
        <f t="shared" si="67"/>
        <v>47372880</v>
      </c>
      <c r="AA73" s="260">
        <f t="shared" si="68"/>
        <v>49695080</v>
      </c>
      <c r="AB73" s="425">
        <f t="shared" si="69"/>
        <v>17</v>
      </c>
      <c r="AC73" s="425">
        <f t="array" ref="AC73">MAX((IF(MNU_CODIGO_ALIMENTO_ENTREGA=CONCATENATE($E73,"_","P_"),MNU_GRAMAJE_REQUERIDO_TIPOC,"")))</f>
        <v>80</v>
      </c>
      <c r="AD73" s="257">
        <f t="shared" si="70"/>
        <v>7991</v>
      </c>
      <c r="AE73" s="257">
        <f t="shared" si="71"/>
        <v>135847</v>
      </c>
      <c r="AF73" s="446">
        <f t="shared" si="72"/>
        <v>815</v>
      </c>
      <c r="AG73" s="446">
        <f t="shared" si="73"/>
        <v>39.772000000000006</v>
      </c>
      <c r="AH73" s="446">
        <f t="shared" si="74"/>
        <v>0.7009130400000001</v>
      </c>
      <c r="AI73" s="446">
        <f t="shared" si="75"/>
        <v>855</v>
      </c>
      <c r="AJ73" s="258">
        <f t="shared" si="76"/>
        <v>110715305</v>
      </c>
      <c r="AK73" s="258">
        <f t="shared" si="77"/>
        <v>116149185</v>
      </c>
      <c r="AL73" s="426">
        <f t="shared" si="78"/>
        <v>17</v>
      </c>
      <c r="AM73" s="426">
        <f t="array" ref="AM73">MAX((IF(MNU_CODIGO_ALIMENTO_ENTREGA=CONCATENATE($E73,"_","P_"),MNU_GRAMAJE_REQUERIDO_TIPOM,"")))</f>
        <v>40</v>
      </c>
      <c r="AN73" s="259">
        <f t="shared" si="79"/>
        <v>177</v>
      </c>
      <c r="AO73" s="259">
        <f t="shared" si="80"/>
        <v>3009</v>
      </c>
      <c r="AP73" s="446">
        <f t="shared" si="81"/>
        <v>408</v>
      </c>
      <c r="AQ73" s="446">
        <f t="shared" si="82"/>
        <v>19.910400000000003</v>
      </c>
      <c r="AR73" s="446">
        <f t="shared" si="83"/>
        <v>0.35088652799999998</v>
      </c>
      <c r="AS73" s="446">
        <f t="shared" si="84"/>
        <v>428</v>
      </c>
      <c r="AT73" s="260">
        <f t="shared" si="85"/>
        <v>1227672</v>
      </c>
      <c r="AU73" s="260">
        <f t="shared" si="86"/>
        <v>1287852</v>
      </c>
      <c r="AV73" s="425">
        <f t="shared" si="87"/>
        <v>17</v>
      </c>
      <c r="AW73" s="425">
        <f t="array" ref="AW73">MAX((IF(MNU_CODIGO_ALIMENTO_ENTREGA=CONCATENATE($E73,"_","P_"),MNU_GRAMAJE_REQUERIDO_TIPOH,"")))</f>
        <v>80</v>
      </c>
      <c r="AX73" s="257">
        <f t="shared" si="88"/>
        <v>152</v>
      </c>
      <c r="AY73" s="257">
        <f t="shared" si="89"/>
        <v>2584</v>
      </c>
      <c r="AZ73" s="446">
        <f t="shared" si="90"/>
        <v>815</v>
      </c>
      <c r="BA73" s="446">
        <f t="shared" si="91"/>
        <v>39.772000000000006</v>
      </c>
      <c r="BB73" s="446">
        <f t="shared" si="92"/>
        <v>0.7009130400000001</v>
      </c>
      <c r="BC73" s="446">
        <f t="shared" si="93"/>
        <v>855</v>
      </c>
      <c r="BD73" s="258">
        <f t="shared" si="94"/>
        <v>2105960</v>
      </c>
      <c r="BE73" s="258">
        <f t="shared" si="95"/>
        <v>2209320</v>
      </c>
      <c r="BF73" s="391">
        <f t="shared" si="96"/>
        <v>188388985</v>
      </c>
      <c r="BG73" s="391">
        <f t="shared" si="97"/>
        <v>197630525</v>
      </c>
    </row>
    <row r="74" spans="1:59" ht="15.75">
      <c r="A74" s="333">
        <v>5</v>
      </c>
      <c r="B74" s="333" t="str">
        <f t="shared" si="49"/>
        <v>CEREAL EMPACADO_5</v>
      </c>
      <c r="C74" s="333" t="str">
        <f t="shared" si="50"/>
        <v>61_5</v>
      </c>
      <c r="D74" s="333" t="s">
        <v>1607</v>
      </c>
      <c r="E74" s="256">
        <v>61</v>
      </c>
      <c r="F74" s="322" t="s">
        <v>13</v>
      </c>
      <c r="G74" s="256" t="s">
        <v>9</v>
      </c>
      <c r="H74" s="425">
        <f t="shared" si="51"/>
        <v>16</v>
      </c>
      <c r="I74" s="425">
        <f t="array" ref="I74">MAX((IF(MNU_CODIGO_ALIMENTO_ENTREGA=CONCATENATE($E74,"_","P_"),MNU_GRAMAJE_REQUERIDO_TIPOA,"")))</f>
        <v>20</v>
      </c>
      <c r="J74" s="257">
        <f t="shared" si="52"/>
        <v>5184</v>
      </c>
      <c r="K74" s="257">
        <f t="shared" si="53"/>
        <v>82944</v>
      </c>
      <c r="L74" s="446">
        <f t="shared" si="54"/>
        <v>222</v>
      </c>
      <c r="M74" s="446">
        <f t="shared" si="55"/>
        <v>10.833600000000001</v>
      </c>
      <c r="N74" s="446">
        <f t="shared" si="56"/>
        <v>0.190923552</v>
      </c>
      <c r="O74" s="446">
        <f t="shared" si="57"/>
        <v>233</v>
      </c>
      <c r="P74" s="258">
        <f t="shared" si="58"/>
        <v>18413568</v>
      </c>
      <c r="Q74" s="258">
        <f t="shared" si="59"/>
        <v>19325952</v>
      </c>
      <c r="R74" s="426">
        <f t="shared" si="60"/>
        <v>16</v>
      </c>
      <c r="S74" s="426">
        <f t="array" ref="S74">MAX((IF(MNU_CODIGO_ALIMENTO_ENTREGA=CONCATENATE($E74,"_","P_"),MNU_GRAMAJE_REQUERIDO_TIPOB,"")))</f>
        <v>30</v>
      </c>
      <c r="T74" s="259">
        <f t="shared" si="61"/>
        <v>6830</v>
      </c>
      <c r="U74" s="259">
        <f t="shared" si="62"/>
        <v>109280</v>
      </c>
      <c r="V74" s="446">
        <f t="shared" si="63"/>
        <v>334</v>
      </c>
      <c r="W74" s="446">
        <f t="shared" si="64"/>
        <v>16.299199999999999</v>
      </c>
      <c r="X74" s="446">
        <f t="shared" si="65"/>
        <v>0.28724534400000001</v>
      </c>
      <c r="Y74" s="446">
        <f t="shared" si="66"/>
        <v>351</v>
      </c>
      <c r="Z74" s="260">
        <f t="shared" si="67"/>
        <v>36499520</v>
      </c>
      <c r="AA74" s="260">
        <f t="shared" si="68"/>
        <v>38357280</v>
      </c>
      <c r="AB74" s="425">
        <f t="shared" si="69"/>
        <v>16</v>
      </c>
      <c r="AC74" s="425">
        <f t="array" ref="AC74">MAX((IF(MNU_CODIGO_ALIMENTO_ENTREGA=CONCATENATE($E74,"_","P_"),MNU_GRAMAJE_REQUERIDO_TIPOC,"")))</f>
        <v>70</v>
      </c>
      <c r="AD74" s="257">
        <f t="shared" si="70"/>
        <v>7991</v>
      </c>
      <c r="AE74" s="257">
        <f t="shared" si="71"/>
        <v>127856</v>
      </c>
      <c r="AF74" s="446">
        <f t="shared" si="72"/>
        <v>779</v>
      </c>
      <c r="AG74" s="446">
        <f t="shared" si="73"/>
        <v>38.0152</v>
      </c>
      <c r="AH74" s="446">
        <f t="shared" si="74"/>
        <v>0.66995246400000008</v>
      </c>
      <c r="AI74" s="446">
        <f t="shared" si="75"/>
        <v>818</v>
      </c>
      <c r="AJ74" s="258">
        <f t="shared" si="76"/>
        <v>99599824</v>
      </c>
      <c r="AK74" s="258">
        <f t="shared" si="77"/>
        <v>104586208</v>
      </c>
      <c r="AL74" s="426">
        <f t="shared" si="78"/>
        <v>16</v>
      </c>
      <c r="AM74" s="426">
        <f t="array" ref="AM74">MAX((IF(MNU_CODIGO_ALIMENTO_ENTREGA=CONCATENATE($E74,"_","P_"),MNU_GRAMAJE_REQUERIDO_TIPOM,"")))</f>
        <v>30</v>
      </c>
      <c r="AN74" s="259">
        <f t="shared" si="79"/>
        <v>177</v>
      </c>
      <c r="AO74" s="259">
        <f t="shared" si="80"/>
        <v>2832</v>
      </c>
      <c r="AP74" s="446">
        <f t="shared" si="81"/>
        <v>334</v>
      </c>
      <c r="AQ74" s="446">
        <f t="shared" si="82"/>
        <v>16.299199999999999</v>
      </c>
      <c r="AR74" s="446">
        <f t="shared" si="83"/>
        <v>0.28724534400000001</v>
      </c>
      <c r="AS74" s="446">
        <f t="shared" si="84"/>
        <v>351</v>
      </c>
      <c r="AT74" s="260">
        <f t="shared" si="85"/>
        <v>945888</v>
      </c>
      <c r="AU74" s="260">
        <f t="shared" si="86"/>
        <v>994032</v>
      </c>
      <c r="AV74" s="425">
        <f t="shared" si="87"/>
        <v>16</v>
      </c>
      <c r="AW74" s="425">
        <f t="array" ref="AW74">MAX((IF(MNU_CODIGO_ALIMENTO_ENTREGA=CONCATENATE($E74,"_","P_"),MNU_GRAMAJE_REQUERIDO_TIPOH,"")))</f>
        <v>70</v>
      </c>
      <c r="AX74" s="257">
        <f t="shared" si="88"/>
        <v>152</v>
      </c>
      <c r="AY74" s="257">
        <f t="shared" si="89"/>
        <v>2432</v>
      </c>
      <c r="AZ74" s="446">
        <f t="shared" si="90"/>
        <v>779</v>
      </c>
      <c r="BA74" s="446">
        <f t="shared" si="91"/>
        <v>38.0152</v>
      </c>
      <c r="BB74" s="446">
        <f t="shared" si="92"/>
        <v>0.66995246400000008</v>
      </c>
      <c r="BC74" s="446">
        <f t="shared" si="93"/>
        <v>818</v>
      </c>
      <c r="BD74" s="258">
        <f t="shared" si="94"/>
        <v>1894528</v>
      </c>
      <c r="BE74" s="258">
        <f t="shared" si="95"/>
        <v>1989376</v>
      </c>
      <c r="BF74" s="391">
        <f t="shared" si="96"/>
        <v>157353328</v>
      </c>
      <c r="BG74" s="391">
        <f t="shared" si="97"/>
        <v>165252848</v>
      </c>
    </row>
    <row r="75" spans="1:59" ht="15.75">
      <c r="A75" s="333">
        <v>5</v>
      </c>
      <c r="B75" s="333" t="str">
        <f t="shared" si="49"/>
        <v>CEREAL EMPACADO_5</v>
      </c>
      <c r="C75" s="333" t="str">
        <f t="shared" si="50"/>
        <v>62_5</v>
      </c>
      <c r="D75" s="333" t="s">
        <v>1607</v>
      </c>
      <c r="E75" s="256">
        <v>62</v>
      </c>
      <c r="F75" s="322" t="s">
        <v>68</v>
      </c>
      <c r="G75" s="256" t="s">
        <v>9</v>
      </c>
      <c r="H75" s="425">
        <f t="shared" si="51"/>
        <v>5</v>
      </c>
      <c r="I75" s="425">
        <f t="array" ref="I75">MAX((IF(MNU_CODIGO_ALIMENTO_ENTREGA=CONCATENATE($E75,"_","P_"),MNU_GRAMAJE_REQUERIDO_TIPOA,"")))</f>
        <v>50</v>
      </c>
      <c r="J75" s="257">
        <f t="shared" si="52"/>
        <v>5184</v>
      </c>
      <c r="K75" s="257">
        <f t="shared" si="53"/>
        <v>25920</v>
      </c>
      <c r="L75" s="446">
        <f t="shared" si="54"/>
        <v>595</v>
      </c>
      <c r="M75" s="446">
        <f t="shared" si="55"/>
        <v>29.036000000000001</v>
      </c>
      <c r="N75" s="446">
        <f t="shared" si="56"/>
        <v>0.51170952000000014</v>
      </c>
      <c r="O75" s="446">
        <f t="shared" si="57"/>
        <v>625</v>
      </c>
      <c r="P75" s="258">
        <f t="shared" si="58"/>
        <v>15422400</v>
      </c>
      <c r="Q75" s="258">
        <f t="shared" si="59"/>
        <v>16200000</v>
      </c>
      <c r="R75" s="426">
        <f t="shared" si="60"/>
        <v>5</v>
      </c>
      <c r="S75" s="426">
        <f t="array" ref="S75">MAX((IF(MNU_CODIGO_ALIMENTO_ENTREGA=CONCATENATE($E75,"_","P_"),MNU_GRAMAJE_REQUERIDO_TIPOB,"")))</f>
        <v>50</v>
      </c>
      <c r="T75" s="259">
        <f t="shared" si="61"/>
        <v>6830</v>
      </c>
      <c r="U75" s="259">
        <f t="shared" si="62"/>
        <v>34150</v>
      </c>
      <c r="V75" s="446">
        <f t="shared" si="63"/>
        <v>595</v>
      </c>
      <c r="W75" s="446">
        <f t="shared" si="64"/>
        <v>29.036000000000001</v>
      </c>
      <c r="X75" s="446">
        <f t="shared" si="65"/>
        <v>0.51170952000000014</v>
      </c>
      <c r="Y75" s="446">
        <f t="shared" si="66"/>
        <v>625</v>
      </c>
      <c r="Z75" s="260">
        <f t="shared" si="67"/>
        <v>20319250</v>
      </c>
      <c r="AA75" s="260">
        <f t="shared" si="68"/>
        <v>21343750</v>
      </c>
      <c r="AB75" s="425">
        <f t="shared" si="69"/>
        <v>5</v>
      </c>
      <c r="AC75" s="425">
        <f t="array" ref="AC75">MAX((IF(MNU_CODIGO_ALIMENTO_ENTREGA=CONCATENATE($E75,"_","P_"),MNU_GRAMAJE_REQUERIDO_TIPOC,"")))</f>
        <v>50</v>
      </c>
      <c r="AD75" s="257">
        <f t="shared" si="70"/>
        <v>7991</v>
      </c>
      <c r="AE75" s="257">
        <f t="shared" si="71"/>
        <v>39955</v>
      </c>
      <c r="AF75" s="446">
        <f t="shared" si="72"/>
        <v>595</v>
      </c>
      <c r="AG75" s="446">
        <f t="shared" si="73"/>
        <v>29.036000000000001</v>
      </c>
      <c r="AH75" s="446">
        <f t="shared" si="74"/>
        <v>0.51170952000000014</v>
      </c>
      <c r="AI75" s="446">
        <f t="shared" si="75"/>
        <v>625</v>
      </c>
      <c r="AJ75" s="258">
        <f t="shared" si="76"/>
        <v>23773225</v>
      </c>
      <c r="AK75" s="258">
        <f t="shared" si="77"/>
        <v>24971875</v>
      </c>
      <c r="AL75" s="426">
        <f t="shared" si="78"/>
        <v>5</v>
      </c>
      <c r="AM75" s="426">
        <f t="array" ref="AM75">MAX((IF(MNU_CODIGO_ALIMENTO_ENTREGA=CONCATENATE($E75,"_","P_"),MNU_GRAMAJE_REQUERIDO_TIPOM,"")))</f>
        <v>50</v>
      </c>
      <c r="AN75" s="259">
        <f t="shared" si="79"/>
        <v>177</v>
      </c>
      <c r="AO75" s="259">
        <f t="shared" si="80"/>
        <v>885</v>
      </c>
      <c r="AP75" s="446">
        <f t="shared" si="81"/>
        <v>595</v>
      </c>
      <c r="AQ75" s="446">
        <f t="shared" si="82"/>
        <v>29.036000000000001</v>
      </c>
      <c r="AR75" s="446">
        <f t="shared" si="83"/>
        <v>0.51170952000000014</v>
      </c>
      <c r="AS75" s="446">
        <f t="shared" si="84"/>
        <v>625</v>
      </c>
      <c r="AT75" s="260">
        <f t="shared" si="85"/>
        <v>526575</v>
      </c>
      <c r="AU75" s="260">
        <f t="shared" si="86"/>
        <v>553125</v>
      </c>
      <c r="AV75" s="425">
        <f t="shared" si="87"/>
        <v>5</v>
      </c>
      <c r="AW75" s="425">
        <f t="array" ref="AW75">MAX((IF(MNU_CODIGO_ALIMENTO_ENTREGA=CONCATENATE($E75,"_","P_"),MNU_GRAMAJE_REQUERIDO_TIPOH,"")))</f>
        <v>50</v>
      </c>
      <c r="AX75" s="257">
        <f t="shared" si="88"/>
        <v>152</v>
      </c>
      <c r="AY75" s="257">
        <f t="shared" si="89"/>
        <v>760</v>
      </c>
      <c r="AZ75" s="446">
        <f t="shared" si="90"/>
        <v>595</v>
      </c>
      <c r="BA75" s="446">
        <f t="shared" si="91"/>
        <v>29.036000000000001</v>
      </c>
      <c r="BB75" s="446">
        <f t="shared" si="92"/>
        <v>0.51170952000000014</v>
      </c>
      <c r="BC75" s="446">
        <f t="shared" si="93"/>
        <v>625</v>
      </c>
      <c r="BD75" s="258">
        <f t="shared" si="94"/>
        <v>452200</v>
      </c>
      <c r="BE75" s="258">
        <f t="shared" si="95"/>
        <v>475000</v>
      </c>
      <c r="BF75" s="391">
        <f t="shared" si="96"/>
        <v>60493650</v>
      </c>
      <c r="BG75" s="391">
        <f t="shared" si="97"/>
        <v>63543750</v>
      </c>
    </row>
    <row r="76" spans="1:59" ht="15.75">
      <c r="A76" s="333">
        <v>6</v>
      </c>
      <c r="B76" s="333" t="str">
        <f t="shared" si="49"/>
        <v>CEREAL EMPACADO_6</v>
      </c>
      <c r="C76" s="333" t="str">
        <f t="shared" si="50"/>
        <v>1_6</v>
      </c>
      <c r="D76" s="333" t="s">
        <v>1607</v>
      </c>
      <c r="E76" s="256">
        <v>1</v>
      </c>
      <c r="F76" s="322" t="s">
        <v>16</v>
      </c>
      <c r="G76" s="256" t="s">
        <v>9</v>
      </c>
      <c r="H76" s="425">
        <f t="shared" si="51"/>
        <v>15</v>
      </c>
      <c r="I76" s="425">
        <f t="array" ref="I76">MAX((IF(MNU_CODIGO_ALIMENTO_ENTREGA=CONCATENATE($E76,"_","P_"),MNU_GRAMAJE_REQUERIDO_TIPOA,"")))</f>
        <v>30</v>
      </c>
      <c r="J76" s="257">
        <f t="shared" si="52"/>
        <v>2625</v>
      </c>
      <c r="K76" s="257">
        <f t="shared" si="53"/>
        <v>39375</v>
      </c>
      <c r="L76" s="446">
        <f t="shared" si="54"/>
        <v>770</v>
      </c>
      <c r="M76" s="446">
        <f t="shared" si="55"/>
        <v>37.576000000000008</v>
      </c>
      <c r="N76" s="446">
        <f t="shared" si="56"/>
        <v>0.66221231999999997</v>
      </c>
      <c r="O76" s="446">
        <f t="shared" si="57"/>
        <v>808</v>
      </c>
      <c r="P76" s="258">
        <f t="shared" si="58"/>
        <v>30318750</v>
      </c>
      <c r="Q76" s="258">
        <f t="shared" si="59"/>
        <v>31815000</v>
      </c>
      <c r="R76" s="426">
        <f t="shared" si="60"/>
        <v>15</v>
      </c>
      <c r="S76" s="426">
        <f t="array" ref="S76">MAX((IF(MNU_CODIGO_ALIMENTO_ENTREGA=CONCATENATE($E76,"_","P_"),MNU_GRAMAJE_REQUERIDO_TIPOB,"")))</f>
        <v>40</v>
      </c>
      <c r="T76" s="259">
        <f t="shared" si="61"/>
        <v>4826</v>
      </c>
      <c r="U76" s="259">
        <f t="shared" si="62"/>
        <v>72390</v>
      </c>
      <c r="V76" s="446">
        <f t="shared" si="63"/>
        <v>1027</v>
      </c>
      <c r="W76" s="446">
        <f t="shared" si="64"/>
        <v>50.117600000000003</v>
      </c>
      <c r="X76" s="446">
        <f t="shared" si="65"/>
        <v>0.88323643200000013</v>
      </c>
      <c r="Y76" s="446">
        <f t="shared" si="66"/>
        <v>1078</v>
      </c>
      <c r="Z76" s="260">
        <f t="shared" si="67"/>
        <v>74344530</v>
      </c>
      <c r="AA76" s="260">
        <f t="shared" si="68"/>
        <v>78036420</v>
      </c>
      <c r="AB76" s="425">
        <f t="shared" si="69"/>
        <v>15</v>
      </c>
      <c r="AC76" s="425">
        <f t="array" ref="AC76">MAX((IF(MNU_CODIGO_ALIMENTO_ENTREGA=CONCATENATE($E76,"_","P_"),MNU_GRAMAJE_REQUERIDO_TIPOC,"")))</f>
        <v>60</v>
      </c>
      <c r="AD76" s="257">
        <f t="shared" si="70"/>
        <v>6896</v>
      </c>
      <c r="AE76" s="257">
        <f t="shared" si="71"/>
        <v>103440</v>
      </c>
      <c r="AF76" s="446">
        <f t="shared" si="72"/>
        <v>1540</v>
      </c>
      <c r="AG76" s="446">
        <f t="shared" si="73"/>
        <v>75.152000000000015</v>
      </c>
      <c r="AH76" s="446">
        <f t="shared" si="74"/>
        <v>1.3244246399999999</v>
      </c>
      <c r="AI76" s="446">
        <f t="shared" si="75"/>
        <v>1616</v>
      </c>
      <c r="AJ76" s="258">
        <f t="shared" si="76"/>
        <v>159297600</v>
      </c>
      <c r="AK76" s="258">
        <f t="shared" si="77"/>
        <v>167159040</v>
      </c>
      <c r="AL76" s="426">
        <f t="shared" si="78"/>
        <v>15</v>
      </c>
      <c r="AM76" s="426">
        <f t="array" ref="AM76">MAX((IF(MNU_CODIGO_ALIMENTO_ENTREGA=CONCATENATE($E76,"_","P_"),MNU_GRAMAJE_REQUERIDO_TIPOM,"")))</f>
        <v>40</v>
      </c>
      <c r="AN76" s="259">
        <f t="shared" si="79"/>
        <v>0</v>
      </c>
      <c r="AO76" s="259">
        <f t="shared" si="80"/>
        <v>0</v>
      </c>
      <c r="AP76" s="446">
        <f t="shared" si="81"/>
        <v>1027</v>
      </c>
      <c r="AQ76" s="446">
        <f t="shared" si="82"/>
        <v>50.117600000000003</v>
      </c>
      <c r="AR76" s="446">
        <f t="shared" si="83"/>
        <v>0.88323643200000013</v>
      </c>
      <c r="AS76" s="446">
        <f t="shared" si="84"/>
        <v>1078</v>
      </c>
      <c r="AT76" s="260">
        <f t="shared" si="85"/>
        <v>0</v>
      </c>
      <c r="AU76" s="260">
        <f t="shared" si="86"/>
        <v>0</v>
      </c>
      <c r="AV76" s="425">
        <f t="shared" si="87"/>
        <v>15</v>
      </c>
      <c r="AW76" s="425">
        <f t="array" ref="AW76">MAX((IF(MNU_CODIGO_ALIMENTO_ENTREGA=CONCATENATE($E76,"_","P_"),MNU_GRAMAJE_REQUERIDO_TIPOH,"")))</f>
        <v>60</v>
      </c>
      <c r="AX76" s="257">
        <f t="shared" si="88"/>
        <v>0</v>
      </c>
      <c r="AY76" s="257">
        <f t="shared" si="89"/>
        <v>0</v>
      </c>
      <c r="AZ76" s="446">
        <f t="shared" si="90"/>
        <v>1540</v>
      </c>
      <c r="BA76" s="446">
        <f t="shared" si="91"/>
        <v>75.152000000000015</v>
      </c>
      <c r="BB76" s="446">
        <f t="shared" si="92"/>
        <v>1.3244246399999999</v>
      </c>
      <c r="BC76" s="446">
        <f t="shared" si="93"/>
        <v>1616</v>
      </c>
      <c r="BD76" s="258">
        <f t="shared" si="94"/>
        <v>0</v>
      </c>
      <c r="BE76" s="258">
        <f t="shared" si="95"/>
        <v>0</v>
      </c>
      <c r="BF76" s="391">
        <f t="shared" si="96"/>
        <v>263960880</v>
      </c>
      <c r="BG76" s="391">
        <f t="shared" si="97"/>
        <v>277010460</v>
      </c>
    </row>
    <row r="77" spans="1:59" ht="15.75">
      <c r="A77" s="333">
        <v>6</v>
      </c>
      <c r="B77" s="333" t="str">
        <f t="shared" si="49"/>
        <v>CEREAL EMPACADO_6</v>
      </c>
      <c r="C77" s="333" t="str">
        <f t="shared" si="50"/>
        <v>3_6</v>
      </c>
      <c r="D77" s="333" t="s">
        <v>1607</v>
      </c>
      <c r="E77" s="256">
        <v>3</v>
      </c>
      <c r="F77" s="322" t="s">
        <v>12</v>
      </c>
      <c r="G77" s="256" t="s">
        <v>9</v>
      </c>
      <c r="H77" s="425">
        <f t="shared" si="51"/>
        <v>17</v>
      </c>
      <c r="I77" s="425">
        <f t="array" ref="I77">MAX((IF(MNU_CODIGO_ALIMENTO_ENTREGA=CONCATENATE($E77,"_","P_"),MNU_GRAMAJE_REQUERIDO_TIPOA,"")))</f>
        <v>50</v>
      </c>
      <c r="J77" s="257">
        <f t="shared" si="52"/>
        <v>2625</v>
      </c>
      <c r="K77" s="257">
        <f t="shared" si="53"/>
        <v>44625</v>
      </c>
      <c r="L77" s="446">
        <f t="shared" si="54"/>
        <v>481</v>
      </c>
      <c r="M77" s="446">
        <f t="shared" si="55"/>
        <v>23.472799999999999</v>
      </c>
      <c r="N77" s="446">
        <f t="shared" si="56"/>
        <v>0.41366769599999997</v>
      </c>
      <c r="O77" s="446">
        <f t="shared" si="57"/>
        <v>505</v>
      </c>
      <c r="P77" s="258">
        <f t="shared" si="58"/>
        <v>21464625</v>
      </c>
      <c r="Q77" s="258">
        <f t="shared" si="59"/>
        <v>22535625</v>
      </c>
      <c r="R77" s="426">
        <f t="shared" si="60"/>
        <v>17</v>
      </c>
      <c r="S77" s="426">
        <f t="array" ref="S77">MAX((IF(MNU_CODIGO_ALIMENTO_ENTREGA=CONCATENATE($E77,"_","P_"),MNU_GRAMAJE_REQUERIDO_TIPOB,"")))</f>
        <v>50</v>
      </c>
      <c r="T77" s="259">
        <f t="shared" si="61"/>
        <v>4826</v>
      </c>
      <c r="U77" s="259">
        <f t="shared" si="62"/>
        <v>82042</v>
      </c>
      <c r="V77" s="446">
        <f t="shared" si="63"/>
        <v>481</v>
      </c>
      <c r="W77" s="446">
        <f t="shared" si="64"/>
        <v>23.472799999999999</v>
      </c>
      <c r="X77" s="446">
        <f t="shared" si="65"/>
        <v>0.41366769599999997</v>
      </c>
      <c r="Y77" s="446">
        <f t="shared" si="66"/>
        <v>505</v>
      </c>
      <c r="Z77" s="260">
        <f t="shared" si="67"/>
        <v>39462202</v>
      </c>
      <c r="AA77" s="260">
        <f t="shared" si="68"/>
        <v>41431210</v>
      </c>
      <c r="AB77" s="425">
        <f t="shared" si="69"/>
        <v>17</v>
      </c>
      <c r="AC77" s="425">
        <f t="array" ref="AC77">MAX((IF(MNU_CODIGO_ALIMENTO_ENTREGA=CONCATENATE($E77,"_","P_"),MNU_GRAMAJE_REQUERIDO_TIPOC,"")))</f>
        <v>80</v>
      </c>
      <c r="AD77" s="257">
        <f t="shared" si="70"/>
        <v>6896</v>
      </c>
      <c r="AE77" s="257">
        <f t="shared" si="71"/>
        <v>117232</v>
      </c>
      <c r="AF77" s="446">
        <f t="shared" si="72"/>
        <v>727</v>
      </c>
      <c r="AG77" s="446">
        <f t="shared" si="73"/>
        <v>35.477600000000002</v>
      </c>
      <c r="AH77" s="446">
        <f t="shared" si="74"/>
        <v>0.62523163200000009</v>
      </c>
      <c r="AI77" s="446">
        <f t="shared" si="75"/>
        <v>763</v>
      </c>
      <c r="AJ77" s="258">
        <f t="shared" si="76"/>
        <v>85227664</v>
      </c>
      <c r="AK77" s="258">
        <f t="shared" si="77"/>
        <v>89448016</v>
      </c>
      <c r="AL77" s="426">
        <f t="shared" si="78"/>
        <v>17</v>
      </c>
      <c r="AM77" s="426">
        <f t="array" ref="AM77">MAX((IF(MNU_CODIGO_ALIMENTO_ENTREGA=CONCATENATE($E77,"_","P_"),MNU_GRAMAJE_REQUERIDO_TIPOM,"")))</f>
        <v>50</v>
      </c>
      <c r="AN77" s="259">
        <f t="shared" si="79"/>
        <v>0</v>
      </c>
      <c r="AO77" s="259">
        <f t="shared" si="80"/>
        <v>0</v>
      </c>
      <c r="AP77" s="446">
        <f t="shared" si="81"/>
        <v>481</v>
      </c>
      <c r="AQ77" s="446">
        <f t="shared" si="82"/>
        <v>23.472799999999999</v>
      </c>
      <c r="AR77" s="446">
        <f t="shared" si="83"/>
        <v>0.41366769599999997</v>
      </c>
      <c r="AS77" s="446">
        <f t="shared" si="84"/>
        <v>505</v>
      </c>
      <c r="AT77" s="260">
        <f t="shared" si="85"/>
        <v>0</v>
      </c>
      <c r="AU77" s="260">
        <f t="shared" si="86"/>
        <v>0</v>
      </c>
      <c r="AV77" s="425">
        <f t="shared" si="87"/>
        <v>17</v>
      </c>
      <c r="AW77" s="425">
        <f t="array" ref="AW77">MAX((IF(MNU_CODIGO_ALIMENTO_ENTREGA=CONCATENATE($E77,"_","P_"),MNU_GRAMAJE_REQUERIDO_TIPOH,"")))</f>
        <v>80</v>
      </c>
      <c r="AX77" s="257">
        <f t="shared" si="88"/>
        <v>0</v>
      </c>
      <c r="AY77" s="257">
        <f t="shared" si="89"/>
        <v>0</v>
      </c>
      <c r="AZ77" s="446">
        <f t="shared" si="90"/>
        <v>727</v>
      </c>
      <c r="BA77" s="446">
        <f t="shared" si="91"/>
        <v>35.477600000000002</v>
      </c>
      <c r="BB77" s="446">
        <f t="shared" si="92"/>
        <v>0.62523163200000009</v>
      </c>
      <c r="BC77" s="446">
        <f t="shared" si="93"/>
        <v>763</v>
      </c>
      <c r="BD77" s="258">
        <f t="shared" si="94"/>
        <v>0</v>
      </c>
      <c r="BE77" s="258">
        <f t="shared" si="95"/>
        <v>0</v>
      </c>
      <c r="BF77" s="391">
        <f t="shared" si="96"/>
        <v>146154491</v>
      </c>
      <c r="BG77" s="391">
        <f t="shared" si="97"/>
        <v>153414851</v>
      </c>
    </row>
    <row r="78" spans="1:59" ht="15.75">
      <c r="A78" s="333">
        <v>6</v>
      </c>
      <c r="B78" s="333" t="str">
        <f t="shared" si="49"/>
        <v>CEREAL EMPACADO_6</v>
      </c>
      <c r="C78" s="333" t="str">
        <f t="shared" si="50"/>
        <v>15_6</v>
      </c>
      <c r="D78" s="333" t="s">
        <v>1607</v>
      </c>
      <c r="E78" s="256">
        <v>15</v>
      </c>
      <c r="F78" s="322" t="s">
        <v>66</v>
      </c>
      <c r="G78" s="256" t="s">
        <v>9</v>
      </c>
      <c r="H78" s="425">
        <f t="shared" si="51"/>
        <v>17</v>
      </c>
      <c r="I78" s="425">
        <f t="array" ref="I78">MAX((IF(MNU_CODIGO_ALIMENTO_ENTREGA=CONCATENATE($E78,"_","P_"),MNU_GRAMAJE_REQUERIDO_TIPOA,"")))</f>
        <v>50</v>
      </c>
      <c r="J78" s="257">
        <f t="shared" si="52"/>
        <v>2625</v>
      </c>
      <c r="K78" s="257">
        <f t="shared" si="53"/>
        <v>44625</v>
      </c>
      <c r="L78" s="446">
        <f t="shared" si="54"/>
        <v>641</v>
      </c>
      <c r="M78" s="446">
        <f t="shared" si="55"/>
        <v>31.280800000000003</v>
      </c>
      <c r="N78" s="446">
        <f t="shared" si="56"/>
        <v>0.55127025600000001</v>
      </c>
      <c r="O78" s="446">
        <f t="shared" si="57"/>
        <v>673</v>
      </c>
      <c r="P78" s="258">
        <f t="shared" si="58"/>
        <v>28604625</v>
      </c>
      <c r="Q78" s="258">
        <f t="shared" si="59"/>
        <v>30032625</v>
      </c>
      <c r="R78" s="426">
        <f t="shared" si="60"/>
        <v>17</v>
      </c>
      <c r="S78" s="426">
        <f t="array" ref="S78">MAX((IF(MNU_CODIGO_ALIMENTO_ENTREGA=CONCATENATE($E78,"_","P_"),MNU_GRAMAJE_REQUERIDO_TIPOB,"")))</f>
        <v>50</v>
      </c>
      <c r="T78" s="259">
        <f t="shared" si="61"/>
        <v>4826</v>
      </c>
      <c r="U78" s="259">
        <f t="shared" si="62"/>
        <v>82042</v>
      </c>
      <c r="V78" s="446">
        <f t="shared" si="63"/>
        <v>641</v>
      </c>
      <c r="W78" s="446">
        <f t="shared" si="64"/>
        <v>31.280800000000003</v>
      </c>
      <c r="X78" s="446">
        <f t="shared" si="65"/>
        <v>0.55127025600000001</v>
      </c>
      <c r="Y78" s="446">
        <f t="shared" si="66"/>
        <v>673</v>
      </c>
      <c r="Z78" s="260">
        <f t="shared" si="67"/>
        <v>52588922</v>
      </c>
      <c r="AA78" s="260">
        <f t="shared" si="68"/>
        <v>55214266</v>
      </c>
      <c r="AB78" s="425">
        <f t="shared" si="69"/>
        <v>17</v>
      </c>
      <c r="AC78" s="425">
        <f t="array" ref="AC78">MAX((IF(MNU_CODIGO_ALIMENTO_ENTREGA=CONCATENATE($E78,"_","P_"),MNU_GRAMAJE_REQUERIDO_TIPOC,"")))</f>
        <v>80</v>
      </c>
      <c r="AD78" s="257">
        <f t="shared" si="70"/>
        <v>6896</v>
      </c>
      <c r="AE78" s="257">
        <f t="shared" si="71"/>
        <v>117232</v>
      </c>
      <c r="AF78" s="446">
        <f t="shared" si="72"/>
        <v>1025</v>
      </c>
      <c r="AG78" s="446">
        <f t="shared" si="73"/>
        <v>50.02</v>
      </c>
      <c r="AH78" s="446">
        <f t="shared" si="74"/>
        <v>0.88151640000000009</v>
      </c>
      <c r="AI78" s="446">
        <f t="shared" si="75"/>
        <v>1076</v>
      </c>
      <c r="AJ78" s="258">
        <f t="shared" si="76"/>
        <v>120162800</v>
      </c>
      <c r="AK78" s="258">
        <f t="shared" si="77"/>
        <v>126141632</v>
      </c>
      <c r="AL78" s="426">
        <f t="shared" si="78"/>
        <v>17</v>
      </c>
      <c r="AM78" s="426">
        <f t="array" ref="AM78">MAX((IF(MNU_CODIGO_ALIMENTO_ENTREGA=CONCATENATE($E78,"_","P_"),MNU_GRAMAJE_REQUERIDO_TIPOM,"")))</f>
        <v>50</v>
      </c>
      <c r="AN78" s="259">
        <f t="shared" si="79"/>
        <v>0</v>
      </c>
      <c r="AO78" s="259">
        <f t="shared" si="80"/>
        <v>0</v>
      </c>
      <c r="AP78" s="446">
        <f t="shared" si="81"/>
        <v>641</v>
      </c>
      <c r="AQ78" s="446">
        <f t="shared" si="82"/>
        <v>31.280800000000003</v>
      </c>
      <c r="AR78" s="446">
        <f t="shared" si="83"/>
        <v>0.55127025600000001</v>
      </c>
      <c r="AS78" s="446">
        <f t="shared" si="84"/>
        <v>673</v>
      </c>
      <c r="AT78" s="260">
        <f t="shared" si="85"/>
        <v>0</v>
      </c>
      <c r="AU78" s="260">
        <f t="shared" si="86"/>
        <v>0</v>
      </c>
      <c r="AV78" s="425">
        <f t="shared" si="87"/>
        <v>17</v>
      </c>
      <c r="AW78" s="425">
        <f t="array" ref="AW78">MAX((IF(MNU_CODIGO_ALIMENTO_ENTREGA=CONCATENATE($E78,"_","P_"),MNU_GRAMAJE_REQUERIDO_TIPOH,"")))</f>
        <v>80</v>
      </c>
      <c r="AX78" s="257">
        <f t="shared" si="88"/>
        <v>0</v>
      </c>
      <c r="AY78" s="257">
        <f t="shared" si="89"/>
        <v>0</v>
      </c>
      <c r="AZ78" s="446">
        <f t="shared" si="90"/>
        <v>1025</v>
      </c>
      <c r="BA78" s="446">
        <f t="shared" si="91"/>
        <v>50.02</v>
      </c>
      <c r="BB78" s="446">
        <f t="shared" si="92"/>
        <v>0.88151640000000009</v>
      </c>
      <c r="BC78" s="446">
        <f t="shared" si="93"/>
        <v>1076</v>
      </c>
      <c r="BD78" s="258">
        <f t="shared" si="94"/>
        <v>0</v>
      </c>
      <c r="BE78" s="258">
        <f t="shared" si="95"/>
        <v>0</v>
      </c>
      <c r="BF78" s="391">
        <f t="shared" si="96"/>
        <v>201356347</v>
      </c>
      <c r="BG78" s="391">
        <f t="shared" si="97"/>
        <v>211388523</v>
      </c>
    </row>
    <row r="79" spans="1:59" ht="15.75">
      <c r="A79" s="333">
        <v>6</v>
      </c>
      <c r="B79" s="333" t="str">
        <f t="shared" si="49"/>
        <v>CEREAL EMPACADO_6</v>
      </c>
      <c r="C79" s="333" t="str">
        <f t="shared" si="50"/>
        <v>24_6</v>
      </c>
      <c r="D79" s="333" t="s">
        <v>1607</v>
      </c>
      <c r="E79" s="256">
        <v>24</v>
      </c>
      <c r="F79" s="322" t="s">
        <v>61</v>
      </c>
      <c r="G79" s="256" t="s">
        <v>9</v>
      </c>
      <c r="H79" s="425">
        <f t="shared" si="51"/>
        <v>17</v>
      </c>
      <c r="I79" s="425">
        <f t="array" ref="I79">MAX((IF(MNU_CODIGO_ALIMENTO_ENTREGA=CONCATENATE($E79,"_","P_"),MNU_GRAMAJE_REQUERIDO_TIPOA,"")))</f>
        <v>20</v>
      </c>
      <c r="J79" s="257">
        <f t="shared" si="52"/>
        <v>2625</v>
      </c>
      <c r="K79" s="257">
        <f t="shared" si="53"/>
        <v>44625</v>
      </c>
      <c r="L79" s="446">
        <f t="shared" si="54"/>
        <v>122</v>
      </c>
      <c r="M79" s="446">
        <f t="shared" si="55"/>
        <v>5.9535999999999998</v>
      </c>
      <c r="N79" s="446">
        <f t="shared" si="56"/>
        <v>0.104921952</v>
      </c>
      <c r="O79" s="446">
        <f t="shared" si="57"/>
        <v>128</v>
      </c>
      <c r="P79" s="258">
        <f t="shared" si="58"/>
        <v>5444250</v>
      </c>
      <c r="Q79" s="258">
        <f t="shared" si="59"/>
        <v>5712000</v>
      </c>
      <c r="R79" s="426">
        <f t="shared" si="60"/>
        <v>17</v>
      </c>
      <c r="S79" s="426">
        <f t="array" ref="S79">MAX((IF(MNU_CODIGO_ALIMENTO_ENTREGA=CONCATENATE($E79,"_","P_"),MNU_GRAMAJE_REQUERIDO_TIPOB,"")))</f>
        <v>30</v>
      </c>
      <c r="T79" s="259">
        <f t="shared" si="61"/>
        <v>4826</v>
      </c>
      <c r="U79" s="259">
        <f t="shared" si="62"/>
        <v>82042</v>
      </c>
      <c r="V79" s="446">
        <f t="shared" si="63"/>
        <v>191</v>
      </c>
      <c r="W79" s="446">
        <f t="shared" si="64"/>
        <v>9.3208000000000002</v>
      </c>
      <c r="X79" s="446">
        <f t="shared" si="65"/>
        <v>0.16426305600000002</v>
      </c>
      <c r="Y79" s="446">
        <f t="shared" si="66"/>
        <v>200</v>
      </c>
      <c r="Z79" s="260">
        <f t="shared" si="67"/>
        <v>15670022</v>
      </c>
      <c r="AA79" s="260">
        <f t="shared" si="68"/>
        <v>16408400</v>
      </c>
      <c r="AB79" s="425">
        <f t="shared" si="69"/>
        <v>17</v>
      </c>
      <c r="AC79" s="425">
        <f t="array" ref="AC79">MAX((IF(MNU_CODIGO_ALIMENTO_ENTREGA=CONCATENATE($E79,"_","P_"),MNU_GRAMAJE_REQUERIDO_TIPOC,"")))</f>
        <v>60</v>
      </c>
      <c r="AD79" s="257">
        <f t="shared" si="70"/>
        <v>6896</v>
      </c>
      <c r="AE79" s="257">
        <f t="shared" si="71"/>
        <v>117232</v>
      </c>
      <c r="AF79" s="446">
        <f t="shared" si="72"/>
        <v>367</v>
      </c>
      <c r="AG79" s="446">
        <f t="shared" si="73"/>
        <v>17.909599999999998</v>
      </c>
      <c r="AH79" s="446">
        <f t="shared" si="74"/>
        <v>0.31562587200000003</v>
      </c>
      <c r="AI79" s="446">
        <f t="shared" si="75"/>
        <v>385</v>
      </c>
      <c r="AJ79" s="258">
        <f t="shared" si="76"/>
        <v>43024144</v>
      </c>
      <c r="AK79" s="258">
        <f t="shared" si="77"/>
        <v>45134320</v>
      </c>
      <c r="AL79" s="426">
        <f t="shared" si="78"/>
        <v>17</v>
      </c>
      <c r="AM79" s="426">
        <f t="array" ref="AM79">MAX((IF(MNU_CODIGO_ALIMENTO_ENTREGA=CONCATENATE($E79,"_","P_"),MNU_GRAMAJE_REQUERIDO_TIPOM,"")))</f>
        <v>30</v>
      </c>
      <c r="AN79" s="259">
        <f t="shared" si="79"/>
        <v>0</v>
      </c>
      <c r="AO79" s="259">
        <f t="shared" si="80"/>
        <v>0</v>
      </c>
      <c r="AP79" s="446">
        <f t="shared" si="81"/>
        <v>191</v>
      </c>
      <c r="AQ79" s="446">
        <f t="shared" si="82"/>
        <v>9.3208000000000002</v>
      </c>
      <c r="AR79" s="446">
        <f t="shared" si="83"/>
        <v>0.16426305600000002</v>
      </c>
      <c r="AS79" s="446">
        <f t="shared" si="84"/>
        <v>200</v>
      </c>
      <c r="AT79" s="260">
        <f t="shared" si="85"/>
        <v>0</v>
      </c>
      <c r="AU79" s="260">
        <f t="shared" si="86"/>
        <v>0</v>
      </c>
      <c r="AV79" s="425">
        <f t="shared" si="87"/>
        <v>17</v>
      </c>
      <c r="AW79" s="425">
        <f t="array" ref="AW79">MAX((IF(MNU_CODIGO_ALIMENTO_ENTREGA=CONCATENATE($E79,"_","P_"),MNU_GRAMAJE_REQUERIDO_TIPOH,"")))</f>
        <v>60</v>
      </c>
      <c r="AX79" s="257">
        <f t="shared" si="88"/>
        <v>0</v>
      </c>
      <c r="AY79" s="257">
        <f t="shared" si="89"/>
        <v>0</v>
      </c>
      <c r="AZ79" s="446">
        <f t="shared" si="90"/>
        <v>367</v>
      </c>
      <c r="BA79" s="446">
        <f t="shared" si="91"/>
        <v>17.909599999999998</v>
      </c>
      <c r="BB79" s="446">
        <f t="shared" si="92"/>
        <v>0.31562587200000003</v>
      </c>
      <c r="BC79" s="446">
        <f t="shared" si="93"/>
        <v>385</v>
      </c>
      <c r="BD79" s="258">
        <f t="shared" si="94"/>
        <v>0</v>
      </c>
      <c r="BE79" s="258">
        <f t="shared" si="95"/>
        <v>0</v>
      </c>
      <c r="BF79" s="391">
        <f t="shared" si="96"/>
        <v>64138416</v>
      </c>
      <c r="BG79" s="391">
        <f t="shared" si="97"/>
        <v>67254720</v>
      </c>
    </row>
    <row r="80" spans="1:59" ht="15.75">
      <c r="A80" s="333">
        <v>6</v>
      </c>
      <c r="B80" s="333" t="str">
        <f t="shared" si="49"/>
        <v>CEREAL EMPACADO_6</v>
      </c>
      <c r="C80" s="333" t="str">
        <f t="shared" si="50"/>
        <v>25_6</v>
      </c>
      <c r="D80" s="333" t="s">
        <v>1607</v>
      </c>
      <c r="E80" s="256">
        <v>25</v>
      </c>
      <c r="F80" s="322" t="s">
        <v>64</v>
      </c>
      <c r="G80" s="256" t="s">
        <v>9</v>
      </c>
      <c r="H80" s="425">
        <f t="shared" si="51"/>
        <v>17</v>
      </c>
      <c r="I80" s="425">
        <f t="array" ref="I80">MAX((IF(MNU_CODIGO_ALIMENTO_ENTREGA=CONCATENATE($E80,"_","P_"),MNU_GRAMAJE_REQUERIDO_TIPOA,"")))</f>
        <v>40</v>
      </c>
      <c r="J80" s="257">
        <f t="shared" si="52"/>
        <v>2625</v>
      </c>
      <c r="K80" s="257">
        <f t="shared" si="53"/>
        <v>44625</v>
      </c>
      <c r="L80" s="446">
        <f t="shared" si="54"/>
        <v>244</v>
      </c>
      <c r="M80" s="446">
        <f t="shared" si="55"/>
        <v>11.9072</v>
      </c>
      <c r="N80" s="446">
        <f t="shared" si="56"/>
        <v>0.209843904</v>
      </c>
      <c r="O80" s="446">
        <f t="shared" si="57"/>
        <v>256</v>
      </c>
      <c r="P80" s="258">
        <f t="shared" si="58"/>
        <v>10888500</v>
      </c>
      <c r="Q80" s="258">
        <f t="shared" si="59"/>
        <v>11424000</v>
      </c>
      <c r="R80" s="426">
        <f t="shared" si="60"/>
        <v>17</v>
      </c>
      <c r="S80" s="426">
        <f t="array" ref="S80">MAX((IF(MNU_CODIGO_ALIMENTO_ENTREGA=CONCATENATE($E80,"_","P_"),MNU_GRAMAJE_REQUERIDO_TIPOB,"")))</f>
        <v>40</v>
      </c>
      <c r="T80" s="259">
        <f t="shared" si="61"/>
        <v>4826</v>
      </c>
      <c r="U80" s="259">
        <f t="shared" si="62"/>
        <v>82042</v>
      </c>
      <c r="V80" s="446">
        <f t="shared" si="63"/>
        <v>244</v>
      </c>
      <c r="W80" s="446">
        <f t="shared" si="64"/>
        <v>11.9072</v>
      </c>
      <c r="X80" s="446">
        <f t="shared" si="65"/>
        <v>0.209843904</v>
      </c>
      <c r="Y80" s="446">
        <f t="shared" si="66"/>
        <v>256</v>
      </c>
      <c r="Z80" s="260">
        <f t="shared" si="67"/>
        <v>20018248</v>
      </c>
      <c r="AA80" s="260">
        <f t="shared" si="68"/>
        <v>21002752</v>
      </c>
      <c r="AB80" s="425">
        <f t="shared" si="69"/>
        <v>17</v>
      </c>
      <c r="AC80" s="425">
        <f t="array" ref="AC80">MAX((IF(MNU_CODIGO_ALIMENTO_ENTREGA=CONCATENATE($E80,"_","P_"),MNU_GRAMAJE_REQUERIDO_TIPOC,"")))</f>
        <v>60</v>
      </c>
      <c r="AD80" s="257">
        <f t="shared" si="70"/>
        <v>6896</v>
      </c>
      <c r="AE80" s="257">
        <f t="shared" si="71"/>
        <v>117232</v>
      </c>
      <c r="AF80" s="446">
        <f t="shared" si="72"/>
        <v>366</v>
      </c>
      <c r="AG80" s="446">
        <f t="shared" si="73"/>
        <v>17.860800000000001</v>
      </c>
      <c r="AH80" s="446">
        <f t="shared" si="74"/>
        <v>0.31476585600000001</v>
      </c>
      <c r="AI80" s="446">
        <f t="shared" si="75"/>
        <v>384</v>
      </c>
      <c r="AJ80" s="258">
        <f t="shared" si="76"/>
        <v>42906912</v>
      </c>
      <c r="AK80" s="258">
        <f t="shared" si="77"/>
        <v>45017088</v>
      </c>
      <c r="AL80" s="426">
        <f t="shared" si="78"/>
        <v>17</v>
      </c>
      <c r="AM80" s="426">
        <f t="array" ref="AM80">MAX((IF(MNU_CODIGO_ALIMENTO_ENTREGA=CONCATENATE($E80,"_","P_"),MNU_GRAMAJE_REQUERIDO_TIPOM,"")))</f>
        <v>40</v>
      </c>
      <c r="AN80" s="259">
        <f t="shared" si="79"/>
        <v>0</v>
      </c>
      <c r="AO80" s="259">
        <f t="shared" si="80"/>
        <v>0</v>
      </c>
      <c r="AP80" s="446">
        <f t="shared" si="81"/>
        <v>244</v>
      </c>
      <c r="AQ80" s="446">
        <f t="shared" si="82"/>
        <v>11.9072</v>
      </c>
      <c r="AR80" s="446">
        <f t="shared" si="83"/>
        <v>0.209843904</v>
      </c>
      <c r="AS80" s="446">
        <f t="shared" si="84"/>
        <v>256</v>
      </c>
      <c r="AT80" s="260">
        <f t="shared" si="85"/>
        <v>0</v>
      </c>
      <c r="AU80" s="260">
        <f t="shared" si="86"/>
        <v>0</v>
      </c>
      <c r="AV80" s="425">
        <f t="shared" si="87"/>
        <v>17</v>
      </c>
      <c r="AW80" s="425">
        <f t="array" ref="AW80">MAX((IF(MNU_CODIGO_ALIMENTO_ENTREGA=CONCATENATE($E80,"_","P_"),MNU_GRAMAJE_REQUERIDO_TIPOH,"")))</f>
        <v>60</v>
      </c>
      <c r="AX80" s="257">
        <f t="shared" si="88"/>
        <v>0</v>
      </c>
      <c r="AY80" s="257">
        <f t="shared" si="89"/>
        <v>0</v>
      </c>
      <c r="AZ80" s="446">
        <f t="shared" si="90"/>
        <v>366</v>
      </c>
      <c r="BA80" s="446">
        <f t="shared" si="91"/>
        <v>17.860800000000001</v>
      </c>
      <c r="BB80" s="446">
        <f t="shared" si="92"/>
        <v>0.31476585600000001</v>
      </c>
      <c r="BC80" s="446">
        <f t="shared" si="93"/>
        <v>384</v>
      </c>
      <c r="BD80" s="258">
        <f t="shared" si="94"/>
        <v>0</v>
      </c>
      <c r="BE80" s="258">
        <f t="shared" si="95"/>
        <v>0</v>
      </c>
      <c r="BF80" s="391">
        <f t="shared" si="96"/>
        <v>73813660</v>
      </c>
      <c r="BG80" s="391">
        <f t="shared" si="97"/>
        <v>77443840</v>
      </c>
    </row>
    <row r="81" spans="1:59" ht="15.75">
      <c r="A81" s="333">
        <v>6</v>
      </c>
      <c r="B81" s="333" t="str">
        <f t="shared" si="49"/>
        <v>CEREAL EMPACADO_6</v>
      </c>
      <c r="C81" s="333" t="str">
        <f t="shared" si="50"/>
        <v>26_6</v>
      </c>
      <c r="D81" s="333" t="s">
        <v>1607</v>
      </c>
      <c r="E81" s="256">
        <v>26</v>
      </c>
      <c r="F81" s="322" t="s">
        <v>69</v>
      </c>
      <c r="G81" s="256" t="s">
        <v>9</v>
      </c>
      <c r="H81" s="425">
        <f t="shared" si="51"/>
        <v>6</v>
      </c>
      <c r="I81" s="425">
        <f t="array" ref="I81">MAX((IF(MNU_CODIGO_ALIMENTO_ENTREGA=CONCATENATE($E81,"_","P_"),MNU_GRAMAJE_REQUERIDO_TIPOA,"")))</f>
        <v>30</v>
      </c>
      <c r="J81" s="257">
        <f t="shared" si="52"/>
        <v>2625</v>
      </c>
      <c r="K81" s="257">
        <f t="shared" si="53"/>
        <v>15750</v>
      </c>
      <c r="L81" s="446">
        <f t="shared" si="54"/>
        <v>163</v>
      </c>
      <c r="M81" s="446">
        <f t="shared" si="55"/>
        <v>7.9543999999999997</v>
      </c>
      <c r="N81" s="446">
        <f t="shared" si="56"/>
        <v>0.14018260800000001</v>
      </c>
      <c r="O81" s="446">
        <f t="shared" si="57"/>
        <v>171</v>
      </c>
      <c r="P81" s="258">
        <f t="shared" si="58"/>
        <v>2567250</v>
      </c>
      <c r="Q81" s="258">
        <f t="shared" si="59"/>
        <v>2693250</v>
      </c>
      <c r="R81" s="426">
        <f t="shared" si="60"/>
        <v>6</v>
      </c>
      <c r="S81" s="426">
        <f t="array" ref="S81">MAX((IF(MNU_CODIGO_ALIMENTO_ENTREGA=CONCATENATE($E81,"_","P_"),MNU_GRAMAJE_REQUERIDO_TIPOB,"")))</f>
        <v>30</v>
      </c>
      <c r="T81" s="259">
        <f t="shared" si="61"/>
        <v>4826</v>
      </c>
      <c r="U81" s="259">
        <f t="shared" si="62"/>
        <v>28956</v>
      </c>
      <c r="V81" s="446">
        <f t="shared" si="63"/>
        <v>163</v>
      </c>
      <c r="W81" s="446">
        <f t="shared" si="64"/>
        <v>7.9543999999999997</v>
      </c>
      <c r="X81" s="446">
        <f t="shared" si="65"/>
        <v>0.14018260800000001</v>
      </c>
      <c r="Y81" s="446">
        <f t="shared" si="66"/>
        <v>171</v>
      </c>
      <c r="Z81" s="260">
        <f t="shared" si="67"/>
        <v>4719828</v>
      </c>
      <c r="AA81" s="260">
        <f t="shared" si="68"/>
        <v>4951476</v>
      </c>
      <c r="AB81" s="425">
        <f t="shared" si="69"/>
        <v>6</v>
      </c>
      <c r="AC81" s="425">
        <f t="array" ref="AC81">MAX((IF(MNU_CODIGO_ALIMENTO_ENTREGA=CONCATENATE($E81,"_","P_"),MNU_GRAMAJE_REQUERIDO_TIPOC,"")))</f>
        <v>30</v>
      </c>
      <c r="AD81" s="257">
        <f t="shared" si="70"/>
        <v>6896</v>
      </c>
      <c r="AE81" s="257">
        <f t="shared" si="71"/>
        <v>41376</v>
      </c>
      <c r="AF81" s="446">
        <f t="shared" si="72"/>
        <v>163</v>
      </c>
      <c r="AG81" s="446">
        <f t="shared" si="73"/>
        <v>7.9543999999999997</v>
      </c>
      <c r="AH81" s="446">
        <f t="shared" si="74"/>
        <v>0.14018260800000001</v>
      </c>
      <c r="AI81" s="446">
        <f t="shared" si="75"/>
        <v>171</v>
      </c>
      <c r="AJ81" s="258">
        <f t="shared" si="76"/>
        <v>6744288</v>
      </c>
      <c r="AK81" s="258">
        <f t="shared" si="77"/>
        <v>7075296</v>
      </c>
      <c r="AL81" s="426">
        <f t="shared" si="78"/>
        <v>6</v>
      </c>
      <c r="AM81" s="426">
        <f t="array" ref="AM81">MAX((IF(MNU_CODIGO_ALIMENTO_ENTREGA=CONCATENATE($E81,"_","P_"),MNU_GRAMAJE_REQUERIDO_TIPOM,"")))</f>
        <v>30</v>
      </c>
      <c r="AN81" s="259">
        <f t="shared" si="79"/>
        <v>0</v>
      </c>
      <c r="AO81" s="259">
        <f t="shared" si="80"/>
        <v>0</v>
      </c>
      <c r="AP81" s="446">
        <f t="shared" si="81"/>
        <v>163</v>
      </c>
      <c r="AQ81" s="446">
        <f t="shared" si="82"/>
        <v>7.9543999999999997</v>
      </c>
      <c r="AR81" s="446">
        <f t="shared" si="83"/>
        <v>0.14018260800000001</v>
      </c>
      <c r="AS81" s="446">
        <f t="shared" si="84"/>
        <v>171</v>
      </c>
      <c r="AT81" s="260">
        <f t="shared" si="85"/>
        <v>0</v>
      </c>
      <c r="AU81" s="260">
        <f t="shared" si="86"/>
        <v>0</v>
      </c>
      <c r="AV81" s="425">
        <f t="shared" si="87"/>
        <v>6</v>
      </c>
      <c r="AW81" s="425">
        <f t="array" ref="AW81">MAX((IF(MNU_CODIGO_ALIMENTO_ENTREGA=CONCATENATE($E81,"_","P_"),MNU_GRAMAJE_REQUERIDO_TIPOH,"")))</f>
        <v>30</v>
      </c>
      <c r="AX81" s="257">
        <f t="shared" si="88"/>
        <v>0</v>
      </c>
      <c r="AY81" s="257">
        <f t="shared" si="89"/>
        <v>0</v>
      </c>
      <c r="AZ81" s="446">
        <f t="shared" si="90"/>
        <v>163</v>
      </c>
      <c r="BA81" s="446">
        <f t="shared" si="91"/>
        <v>7.9543999999999997</v>
      </c>
      <c r="BB81" s="446">
        <f t="shared" si="92"/>
        <v>0.14018260800000001</v>
      </c>
      <c r="BC81" s="446">
        <f t="shared" si="93"/>
        <v>171</v>
      </c>
      <c r="BD81" s="258">
        <f t="shared" si="94"/>
        <v>0</v>
      </c>
      <c r="BE81" s="258">
        <f t="shared" si="95"/>
        <v>0</v>
      </c>
      <c r="BF81" s="391">
        <f t="shared" si="96"/>
        <v>14031366</v>
      </c>
      <c r="BG81" s="391">
        <f t="shared" si="97"/>
        <v>14720022</v>
      </c>
    </row>
    <row r="82" spans="1:59" ht="27">
      <c r="A82" s="333">
        <v>6</v>
      </c>
      <c r="B82" s="333" t="str">
        <f t="shared" si="49"/>
        <v>CEREAL EMPACADO_6</v>
      </c>
      <c r="C82" s="333" t="str">
        <f t="shared" si="50"/>
        <v>28_6</v>
      </c>
      <c r="D82" s="333" t="s">
        <v>1607</v>
      </c>
      <c r="E82" s="256">
        <v>28</v>
      </c>
      <c r="F82" s="322" t="s">
        <v>67</v>
      </c>
      <c r="G82" s="256" t="s">
        <v>9</v>
      </c>
      <c r="H82" s="425">
        <f t="shared" si="51"/>
        <v>6</v>
      </c>
      <c r="I82" s="425">
        <f t="array" ref="I82">MAX((IF(MNU_CODIGO_ALIMENTO_ENTREGA=CONCATENATE($E82,"_","P_"),MNU_GRAMAJE_REQUERIDO_TIPOA,"")))</f>
        <v>30</v>
      </c>
      <c r="J82" s="257">
        <f t="shared" si="52"/>
        <v>2625</v>
      </c>
      <c r="K82" s="257">
        <f t="shared" si="53"/>
        <v>15750</v>
      </c>
      <c r="L82" s="446">
        <f t="shared" si="54"/>
        <v>215</v>
      </c>
      <c r="M82" s="446">
        <f t="shared" si="55"/>
        <v>10.492000000000001</v>
      </c>
      <c r="N82" s="446">
        <f t="shared" si="56"/>
        <v>0.18490343999999997</v>
      </c>
      <c r="O82" s="446">
        <f t="shared" si="57"/>
        <v>226</v>
      </c>
      <c r="P82" s="258">
        <f t="shared" si="58"/>
        <v>3386250</v>
      </c>
      <c r="Q82" s="258">
        <f t="shared" si="59"/>
        <v>3559500</v>
      </c>
      <c r="R82" s="426">
        <f t="shared" si="60"/>
        <v>6</v>
      </c>
      <c r="S82" s="426">
        <f t="array" ref="S82">MAX((IF(MNU_CODIGO_ALIMENTO_ENTREGA=CONCATENATE($E82,"_","P_"),MNU_GRAMAJE_REQUERIDO_TIPOB,"")))</f>
        <v>40</v>
      </c>
      <c r="T82" s="259">
        <f t="shared" si="61"/>
        <v>4826</v>
      </c>
      <c r="U82" s="259">
        <f t="shared" si="62"/>
        <v>28956</v>
      </c>
      <c r="V82" s="446">
        <f t="shared" si="63"/>
        <v>287</v>
      </c>
      <c r="W82" s="446">
        <f t="shared" si="64"/>
        <v>14.005600000000001</v>
      </c>
      <c r="X82" s="446">
        <f t="shared" si="65"/>
        <v>0.24682459200000004</v>
      </c>
      <c r="Y82" s="446">
        <f t="shared" si="66"/>
        <v>301</v>
      </c>
      <c r="Z82" s="260">
        <f t="shared" si="67"/>
        <v>8310372</v>
      </c>
      <c r="AA82" s="260">
        <f t="shared" si="68"/>
        <v>8715756</v>
      </c>
      <c r="AB82" s="425">
        <f t="shared" si="69"/>
        <v>6</v>
      </c>
      <c r="AC82" s="425">
        <f t="array" ref="AC82">MAX((IF(MNU_CODIGO_ALIMENTO_ENTREGA=CONCATENATE($E82,"_","P_"),MNU_GRAMAJE_REQUERIDO_TIPOC,"")))</f>
        <v>60</v>
      </c>
      <c r="AD82" s="257">
        <f t="shared" si="70"/>
        <v>6896</v>
      </c>
      <c r="AE82" s="257">
        <f t="shared" si="71"/>
        <v>41376</v>
      </c>
      <c r="AF82" s="446">
        <f t="shared" si="72"/>
        <v>430</v>
      </c>
      <c r="AG82" s="446">
        <f t="shared" si="73"/>
        <v>20.984000000000002</v>
      </c>
      <c r="AH82" s="446">
        <f t="shared" si="74"/>
        <v>0.36980687999999995</v>
      </c>
      <c r="AI82" s="446">
        <f t="shared" si="75"/>
        <v>451</v>
      </c>
      <c r="AJ82" s="258">
        <f t="shared" si="76"/>
        <v>17791680</v>
      </c>
      <c r="AK82" s="258">
        <f t="shared" si="77"/>
        <v>18660576</v>
      </c>
      <c r="AL82" s="426">
        <f t="shared" si="78"/>
        <v>6</v>
      </c>
      <c r="AM82" s="426">
        <f t="array" ref="AM82">MAX((IF(MNU_CODIGO_ALIMENTO_ENTREGA=CONCATENATE($E82,"_","P_"),MNU_GRAMAJE_REQUERIDO_TIPOM,"")))</f>
        <v>40</v>
      </c>
      <c r="AN82" s="259">
        <f t="shared" si="79"/>
        <v>0</v>
      </c>
      <c r="AO82" s="259">
        <f t="shared" si="80"/>
        <v>0</v>
      </c>
      <c r="AP82" s="446">
        <f t="shared" si="81"/>
        <v>287</v>
      </c>
      <c r="AQ82" s="446">
        <f t="shared" si="82"/>
        <v>14.005600000000001</v>
      </c>
      <c r="AR82" s="446">
        <f t="shared" si="83"/>
        <v>0.24682459200000004</v>
      </c>
      <c r="AS82" s="446">
        <f t="shared" si="84"/>
        <v>301</v>
      </c>
      <c r="AT82" s="260">
        <f t="shared" si="85"/>
        <v>0</v>
      </c>
      <c r="AU82" s="260">
        <f t="shared" si="86"/>
        <v>0</v>
      </c>
      <c r="AV82" s="425">
        <f t="shared" si="87"/>
        <v>6</v>
      </c>
      <c r="AW82" s="425">
        <f t="array" ref="AW82">MAX((IF(MNU_CODIGO_ALIMENTO_ENTREGA=CONCATENATE($E82,"_","P_"),MNU_GRAMAJE_REQUERIDO_TIPOH,"")))</f>
        <v>60</v>
      </c>
      <c r="AX82" s="257">
        <f t="shared" si="88"/>
        <v>0</v>
      </c>
      <c r="AY82" s="257">
        <f t="shared" si="89"/>
        <v>0</v>
      </c>
      <c r="AZ82" s="446">
        <f t="shared" si="90"/>
        <v>430</v>
      </c>
      <c r="BA82" s="446">
        <f t="shared" si="91"/>
        <v>20.984000000000002</v>
      </c>
      <c r="BB82" s="446">
        <f t="shared" si="92"/>
        <v>0.36980687999999995</v>
      </c>
      <c r="BC82" s="446">
        <f t="shared" si="93"/>
        <v>451</v>
      </c>
      <c r="BD82" s="258">
        <f t="shared" si="94"/>
        <v>0</v>
      </c>
      <c r="BE82" s="258">
        <f t="shared" si="95"/>
        <v>0</v>
      </c>
      <c r="BF82" s="391">
        <f t="shared" si="96"/>
        <v>29488302</v>
      </c>
      <c r="BG82" s="391">
        <f t="shared" si="97"/>
        <v>30935832</v>
      </c>
    </row>
    <row r="83" spans="1:59" ht="15.75">
      <c r="A83" s="333">
        <v>6</v>
      </c>
      <c r="B83" s="333" t="str">
        <f t="shared" si="49"/>
        <v>CEREAL EMPACADO_6</v>
      </c>
      <c r="C83" s="333" t="str">
        <f t="shared" si="50"/>
        <v>30_6</v>
      </c>
      <c r="D83" s="333" t="s">
        <v>1607</v>
      </c>
      <c r="E83" s="256">
        <v>30</v>
      </c>
      <c r="F83" s="322" t="s">
        <v>63</v>
      </c>
      <c r="G83" s="256" t="s">
        <v>9</v>
      </c>
      <c r="H83" s="425">
        <f t="shared" si="51"/>
        <v>16</v>
      </c>
      <c r="I83" s="425">
        <f t="array" ref="I83">MAX((IF(MNU_CODIGO_ALIMENTO_ENTREGA=CONCATENATE($E83,"_","P_"),MNU_GRAMAJE_REQUERIDO_TIPOA,"")))</f>
        <v>30</v>
      </c>
      <c r="J83" s="257">
        <f t="shared" si="52"/>
        <v>2625</v>
      </c>
      <c r="K83" s="257">
        <f t="shared" si="53"/>
        <v>42000</v>
      </c>
      <c r="L83" s="446">
        <f t="shared" si="54"/>
        <v>316</v>
      </c>
      <c r="M83" s="446">
        <f t="shared" si="55"/>
        <v>15.4208</v>
      </c>
      <c r="N83" s="446">
        <f t="shared" si="56"/>
        <v>0.271765056</v>
      </c>
      <c r="O83" s="446">
        <f t="shared" si="57"/>
        <v>332</v>
      </c>
      <c r="P83" s="258">
        <f t="shared" si="58"/>
        <v>13272000</v>
      </c>
      <c r="Q83" s="258">
        <f t="shared" si="59"/>
        <v>13944000</v>
      </c>
      <c r="R83" s="426">
        <f t="shared" si="60"/>
        <v>16</v>
      </c>
      <c r="S83" s="426">
        <f t="array" ref="S83">MAX((IF(MNU_CODIGO_ALIMENTO_ENTREGA=CONCATENATE($E83,"_","P_"),MNU_GRAMAJE_REQUERIDO_TIPOB,"")))</f>
        <v>30</v>
      </c>
      <c r="T83" s="259">
        <f t="shared" si="61"/>
        <v>4826</v>
      </c>
      <c r="U83" s="259">
        <f t="shared" si="62"/>
        <v>77216</v>
      </c>
      <c r="V83" s="446">
        <f t="shared" si="63"/>
        <v>316</v>
      </c>
      <c r="W83" s="446">
        <f t="shared" si="64"/>
        <v>15.4208</v>
      </c>
      <c r="X83" s="446">
        <f t="shared" si="65"/>
        <v>0.271765056</v>
      </c>
      <c r="Y83" s="446">
        <f t="shared" si="66"/>
        <v>332</v>
      </c>
      <c r="Z83" s="260">
        <f t="shared" si="67"/>
        <v>24400256</v>
      </c>
      <c r="AA83" s="260">
        <f t="shared" si="68"/>
        <v>25635712</v>
      </c>
      <c r="AB83" s="425">
        <f t="shared" si="69"/>
        <v>16</v>
      </c>
      <c r="AC83" s="425">
        <f t="array" ref="AC83">MAX((IF(MNU_CODIGO_ALIMENTO_ENTREGA=CONCATENATE($E83,"_","P_"),MNU_GRAMAJE_REQUERIDO_TIPOC,"")))</f>
        <v>30</v>
      </c>
      <c r="AD83" s="257">
        <f t="shared" si="70"/>
        <v>6896</v>
      </c>
      <c r="AE83" s="257">
        <f t="shared" si="71"/>
        <v>110336</v>
      </c>
      <c r="AF83" s="446">
        <f t="shared" si="72"/>
        <v>316</v>
      </c>
      <c r="AG83" s="446">
        <f t="shared" si="73"/>
        <v>15.4208</v>
      </c>
      <c r="AH83" s="446">
        <f t="shared" si="74"/>
        <v>0.271765056</v>
      </c>
      <c r="AI83" s="446">
        <f t="shared" si="75"/>
        <v>332</v>
      </c>
      <c r="AJ83" s="258">
        <f t="shared" si="76"/>
        <v>34866176</v>
      </c>
      <c r="AK83" s="258">
        <f t="shared" si="77"/>
        <v>36631552</v>
      </c>
      <c r="AL83" s="426">
        <f t="shared" si="78"/>
        <v>16</v>
      </c>
      <c r="AM83" s="426">
        <f t="array" ref="AM83">MAX((IF(MNU_CODIGO_ALIMENTO_ENTREGA=CONCATENATE($E83,"_","P_"),MNU_GRAMAJE_REQUERIDO_TIPOM,"")))</f>
        <v>30</v>
      </c>
      <c r="AN83" s="259">
        <f t="shared" si="79"/>
        <v>0</v>
      </c>
      <c r="AO83" s="259">
        <f t="shared" si="80"/>
        <v>0</v>
      </c>
      <c r="AP83" s="446">
        <f t="shared" si="81"/>
        <v>316</v>
      </c>
      <c r="AQ83" s="446">
        <f t="shared" si="82"/>
        <v>15.4208</v>
      </c>
      <c r="AR83" s="446">
        <f t="shared" si="83"/>
        <v>0.271765056</v>
      </c>
      <c r="AS83" s="446">
        <f t="shared" si="84"/>
        <v>332</v>
      </c>
      <c r="AT83" s="260">
        <f t="shared" si="85"/>
        <v>0</v>
      </c>
      <c r="AU83" s="260">
        <f t="shared" si="86"/>
        <v>0</v>
      </c>
      <c r="AV83" s="425">
        <f t="shared" si="87"/>
        <v>16</v>
      </c>
      <c r="AW83" s="425">
        <f t="array" ref="AW83">MAX((IF(MNU_CODIGO_ALIMENTO_ENTREGA=CONCATENATE($E83,"_","P_"),MNU_GRAMAJE_REQUERIDO_TIPOH,"")))</f>
        <v>30</v>
      </c>
      <c r="AX83" s="257">
        <f t="shared" si="88"/>
        <v>0</v>
      </c>
      <c r="AY83" s="257">
        <f t="shared" si="89"/>
        <v>0</v>
      </c>
      <c r="AZ83" s="446">
        <f t="shared" si="90"/>
        <v>316</v>
      </c>
      <c r="BA83" s="446">
        <f t="shared" si="91"/>
        <v>15.4208</v>
      </c>
      <c r="BB83" s="446">
        <f t="shared" si="92"/>
        <v>0.271765056</v>
      </c>
      <c r="BC83" s="446">
        <f t="shared" si="93"/>
        <v>332</v>
      </c>
      <c r="BD83" s="258">
        <f t="shared" si="94"/>
        <v>0</v>
      </c>
      <c r="BE83" s="258">
        <f t="shared" si="95"/>
        <v>0</v>
      </c>
      <c r="BF83" s="391">
        <f t="shared" si="96"/>
        <v>72538432</v>
      </c>
      <c r="BG83" s="391">
        <f t="shared" si="97"/>
        <v>76211264</v>
      </c>
    </row>
    <row r="84" spans="1:59" ht="15.75">
      <c r="A84" s="333">
        <v>6</v>
      </c>
      <c r="B84" s="333" t="str">
        <f t="shared" si="49"/>
        <v>CEREAL EMPACADO_6</v>
      </c>
      <c r="C84" s="333" t="str">
        <f t="shared" si="50"/>
        <v>45_6</v>
      </c>
      <c r="D84" s="333" t="s">
        <v>1607</v>
      </c>
      <c r="E84" s="256">
        <v>45</v>
      </c>
      <c r="F84" s="322" t="s">
        <v>10</v>
      </c>
      <c r="G84" s="256" t="s">
        <v>9</v>
      </c>
      <c r="H84" s="425">
        <f t="shared" si="51"/>
        <v>16</v>
      </c>
      <c r="I84" s="425">
        <f t="array" ref="I84">MAX((IF(MNU_CODIGO_ALIMENTO_ENTREGA=CONCATENATE($E84,"_","P_"),MNU_GRAMAJE_REQUERIDO_TIPOA,"")))</f>
        <v>20</v>
      </c>
      <c r="J84" s="257">
        <f t="shared" si="52"/>
        <v>2625</v>
      </c>
      <c r="K84" s="257">
        <f t="shared" si="53"/>
        <v>42000</v>
      </c>
      <c r="L84" s="446">
        <f t="shared" si="54"/>
        <v>190</v>
      </c>
      <c r="M84" s="446">
        <f t="shared" si="55"/>
        <v>9.2720000000000002</v>
      </c>
      <c r="N84" s="446">
        <f t="shared" si="56"/>
        <v>0.16340304</v>
      </c>
      <c r="O84" s="446">
        <f t="shared" si="57"/>
        <v>199</v>
      </c>
      <c r="P84" s="258">
        <f t="shared" si="58"/>
        <v>7980000</v>
      </c>
      <c r="Q84" s="258">
        <f t="shared" si="59"/>
        <v>8358000</v>
      </c>
      <c r="R84" s="426">
        <f t="shared" si="60"/>
        <v>16</v>
      </c>
      <c r="S84" s="426">
        <f t="array" ref="S84">MAX((IF(MNU_CODIGO_ALIMENTO_ENTREGA=CONCATENATE($E84,"_","P_"),MNU_GRAMAJE_REQUERIDO_TIPOB,"")))</f>
        <v>30</v>
      </c>
      <c r="T84" s="259">
        <f t="shared" si="61"/>
        <v>4826</v>
      </c>
      <c r="U84" s="259">
        <f t="shared" si="62"/>
        <v>77216</v>
      </c>
      <c r="V84" s="446">
        <f t="shared" si="63"/>
        <v>284</v>
      </c>
      <c r="W84" s="446">
        <f t="shared" si="64"/>
        <v>13.8592</v>
      </c>
      <c r="X84" s="446">
        <f t="shared" si="65"/>
        <v>0.24424454399999998</v>
      </c>
      <c r="Y84" s="446">
        <f t="shared" si="66"/>
        <v>298</v>
      </c>
      <c r="Z84" s="260">
        <f t="shared" si="67"/>
        <v>21929344</v>
      </c>
      <c r="AA84" s="260">
        <f t="shared" si="68"/>
        <v>23010368</v>
      </c>
      <c r="AB84" s="425">
        <f t="shared" si="69"/>
        <v>16</v>
      </c>
      <c r="AC84" s="425">
        <f t="array" ref="AC84">MAX((IF(MNU_CODIGO_ALIMENTO_ENTREGA=CONCATENATE($E84,"_","P_"),MNU_GRAMAJE_REQUERIDO_TIPOC,"")))</f>
        <v>60</v>
      </c>
      <c r="AD84" s="257">
        <f t="shared" si="70"/>
        <v>6896</v>
      </c>
      <c r="AE84" s="257">
        <f t="shared" si="71"/>
        <v>110336</v>
      </c>
      <c r="AF84" s="446">
        <f t="shared" si="72"/>
        <v>569</v>
      </c>
      <c r="AG84" s="446">
        <f t="shared" si="73"/>
        <v>27.767199999999999</v>
      </c>
      <c r="AH84" s="446">
        <f t="shared" si="74"/>
        <v>0.48934910400000003</v>
      </c>
      <c r="AI84" s="446">
        <f t="shared" si="75"/>
        <v>597</v>
      </c>
      <c r="AJ84" s="258">
        <f t="shared" si="76"/>
        <v>62781184</v>
      </c>
      <c r="AK84" s="258">
        <f t="shared" si="77"/>
        <v>65870592</v>
      </c>
      <c r="AL84" s="426">
        <f t="shared" si="78"/>
        <v>16</v>
      </c>
      <c r="AM84" s="426">
        <f t="array" ref="AM84">MAX((IF(MNU_CODIGO_ALIMENTO_ENTREGA=CONCATENATE($E84,"_","P_"),MNU_GRAMAJE_REQUERIDO_TIPOM,"")))</f>
        <v>30</v>
      </c>
      <c r="AN84" s="259">
        <f t="shared" si="79"/>
        <v>0</v>
      </c>
      <c r="AO84" s="259">
        <f t="shared" si="80"/>
        <v>0</v>
      </c>
      <c r="AP84" s="446">
        <f t="shared" si="81"/>
        <v>284</v>
      </c>
      <c r="AQ84" s="446">
        <f t="shared" si="82"/>
        <v>13.8592</v>
      </c>
      <c r="AR84" s="446">
        <f t="shared" si="83"/>
        <v>0.24424454399999998</v>
      </c>
      <c r="AS84" s="446">
        <f t="shared" si="84"/>
        <v>298</v>
      </c>
      <c r="AT84" s="260">
        <f t="shared" si="85"/>
        <v>0</v>
      </c>
      <c r="AU84" s="260">
        <f t="shared" si="86"/>
        <v>0</v>
      </c>
      <c r="AV84" s="425">
        <f t="shared" si="87"/>
        <v>16</v>
      </c>
      <c r="AW84" s="425">
        <f t="array" ref="AW84">MAX((IF(MNU_CODIGO_ALIMENTO_ENTREGA=CONCATENATE($E84,"_","P_"),MNU_GRAMAJE_REQUERIDO_TIPOH,"")))</f>
        <v>60</v>
      </c>
      <c r="AX84" s="257">
        <f t="shared" si="88"/>
        <v>0</v>
      </c>
      <c r="AY84" s="257">
        <f t="shared" si="89"/>
        <v>0</v>
      </c>
      <c r="AZ84" s="446">
        <f t="shared" si="90"/>
        <v>569</v>
      </c>
      <c r="BA84" s="446">
        <f t="shared" si="91"/>
        <v>27.767199999999999</v>
      </c>
      <c r="BB84" s="446">
        <f t="shared" si="92"/>
        <v>0.48934910400000003</v>
      </c>
      <c r="BC84" s="446">
        <f t="shared" si="93"/>
        <v>597</v>
      </c>
      <c r="BD84" s="258">
        <f t="shared" si="94"/>
        <v>0</v>
      </c>
      <c r="BE84" s="258">
        <f t="shared" si="95"/>
        <v>0</v>
      </c>
      <c r="BF84" s="391">
        <f t="shared" si="96"/>
        <v>92690528</v>
      </c>
      <c r="BG84" s="391">
        <f t="shared" si="97"/>
        <v>97238960</v>
      </c>
    </row>
    <row r="85" spans="1:59" ht="15.75">
      <c r="A85" s="333">
        <v>6</v>
      </c>
      <c r="B85" s="333" t="str">
        <f t="shared" si="49"/>
        <v>CEREAL EMPACADO_6</v>
      </c>
      <c r="C85" s="333" t="str">
        <f t="shared" si="50"/>
        <v>50_6</v>
      </c>
      <c r="D85" s="333" t="s">
        <v>1607</v>
      </c>
      <c r="E85" s="256">
        <v>50</v>
      </c>
      <c r="F85" s="322" t="s">
        <v>65</v>
      </c>
      <c r="G85" s="256" t="s">
        <v>9</v>
      </c>
      <c r="H85" s="425">
        <f t="shared" si="51"/>
        <v>17</v>
      </c>
      <c r="I85" s="425">
        <f t="array" ref="I85">MAX((IF(MNU_CODIGO_ALIMENTO_ENTREGA=CONCATENATE($E85,"_","P_"),MNU_GRAMAJE_REQUERIDO_TIPOA,"")))</f>
        <v>30</v>
      </c>
      <c r="J85" s="257">
        <f t="shared" si="52"/>
        <v>2625</v>
      </c>
      <c r="K85" s="257">
        <f t="shared" si="53"/>
        <v>44625</v>
      </c>
      <c r="L85" s="446">
        <f t="shared" si="54"/>
        <v>306</v>
      </c>
      <c r="M85" s="446">
        <f t="shared" si="55"/>
        <v>14.9328</v>
      </c>
      <c r="N85" s="446">
        <f t="shared" si="56"/>
        <v>0.26316489599999998</v>
      </c>
      <c r="O85" s="446">
        <f t="shared" si="57"/>
        <v>321</v>
      </c>
      <c r="P85" s="258">
        <f t="shared" si="58"/>
        <v>13655250</v>
      </c>
      <c r="Q85" s="258">
        <f t="shared" si="59"/>
        <v>14324625</v>
      </c>
      <c r="R85" s="426">
        <f t="shared" si="60"/>
        <v>17</v>
      </c>
      <c r="S85" s="426">
        <f t="array" ref="S85">MAX((IF(MNU_CODIGO_ALIMENTO_ENTREGA=CONCATENATE($E85,"_","P_"),MNU_GRAMAJE_REQUERIDO_TIPOB,"")))</f>
        <v>40</v>
      </c>
      <c r="T85" s="259">
        <f t="shared" si="61"/>
        <v>4826</v>
      </c>
      <c r="U85" s="259">
        <f t="shared" si="62"/>
        <v>82042</v>
      </c>
      <c r="V85" s="446">
        <f t="shared" si="63"/>
        <v>408</v>
      </c>
      <c r="W85" s="446">
        <f t="shared" si="64"/>
        <v>19.910400000000003</v>
      </c>
      <c r="X85" s="446">
        <f t="shared" si="65"/>
        <v>0.35088652799999998</v>
      </c>
      <c r="Y85" s="446">
        <f t="shared" si="66"/>
        <v>428</v>
      </c>
      <c r="Z85" s="260">
        <f t="shared" si="67"/>
        <v>33473136</v>
      </c>
      <c r="AA85" s="260">
        <f t="shared" si="68"/>
        <v>35113976</v>
      </c>
      <c r="AB85" s="425">
        <f t="shared" si="69"/>
        <v>17</v>
      </c>
      <c r="AC85" s="425">
        <f t="array" ref="AC85">MAX((IF(MNU_CODIGO_ALIMENTO_ENTREGA=CONCATENATE($E85,"_","P_"),MNU_GRAMAJE_REQUERIDO_TIPOC,"")))</f>
        <v>80</v>
      </c>
      <c r="AD85" s="257">
        <f t="shared" si="70"/>
        <v>6896</v>
      </c>
      <c r="AE85" s="257">
        <f t="shared" si="71"/>
        <v>117232</v>
      </c>
      <c r="AF85" s="446">
        <f t="shared" si="72"/>
        <v>815</v>
      </c>
      <c r="AG85" s="446">
        <f t="shared" si="73"/>
        <v>39.772000000000006</v>
      </c>
      <c r="AH85" s="446">
        <f t="shared" si="74"/>
        <v>0.7009130400000001</v>
      </c>
      <c r="AI85" s="446">
        <f t="shared" si="75"/>
        <v>855</v>
      </c>
      <c r="AJ85" s="258">
        <f t="shared" si="76"/>
        <v>95544080</v>
      </c>
      <c r="AK85" s="258">
        <f t="shared" si="77"/>
        <v>100233360</v>
      </c>
      <c r="AL85" s="426">
        <f t="shared" si="78"/>
        <v>17</v>
      </c>
      <c r="AM85" s="426">
        <f t="array" ref="AM85">MAX((IF(MNU_CODIGO_ALIMENTO_ENTREGA=CONCATENATE($E85,"_","P_"),MNU_GRAMAJE_REQUERIDO_TIPOM,"")))</f>
        <v>40</v>
      </c>
      <c r="AN85" s="259">
        <f t="shared" si="79"/>
        <v>0</v>
      </c>
      <c r="AO85" s="259">
        <f t="shared" si="80"/>
        <v>0</v>
      </c>
      <c r="AP85" s="446">
        <f t="shared" si="81"/>
        <v>408</v>
      </c>
      <c r="AQ85" s="446">
        <f t="shared" si="82"/>
        <v>19.910400000000003</v>
      </c>
      <c r="AR85" s="446">
        <f t="shared" si="83"/>
        <v>0.35088652799999998</v>
      </c>
      <c r="AS85" s="446">
        <f t="shared" si="84"/>
        <v>428</v>
      </c>
      <c r="AT85" s="260">
        <f t="shared" si="85"/>
        <v>0</v>
      </c>
      <c r="AU85" s="260">
        <f t="shared" si="86"/>
        <v>0</v>
      </c>
      <c r="AV85" s="425">
        <f t="shared" si="87"/>
        <v>17</v>
      </c>
      <c r="AW85" s="425">
        <f t="array" ref="AW85">MAX((IF(MNU_CODIGO_ALIMENTO_ENTREGA=CONCATENATE($E85,"_","P_"),MNU_GRAMAJE_REQUERIDO_TIPOH,"")))</f>
        <v>80</v>
      </c>
      <c r="AX85" s="257">
        <f t="shared" si="88"/>
        <v>0</v>
      </c>
      <c r="AY85" s="257">
        <f t="shared" si="89"/>
        <v>0</v>
      </c>
      <c r="AZ85" s="446">
        <f t="shared" si="90"/>
        <v>815</v>
      </c>
      <c r="BA85" s="446">
        <f t="shared" si="91"/>
        <v>39.772000000000006</v>
      </c>
      <c r="BB85" s="446">
        <f t="shared" si="92"/>
        <v>0.7009130400000001</v>
      </c>
      <c r="BC85" s="446">
        <f t="shared" si="93"/>
        <v>855</v>
      </c>
      <c r="BD85" s="258">
        <f t="shared" si="94"/>
        <v>0</v>
      </c>
      <c r="BE85" s="258">
        <f t="shared" si="95"/>
        <v>0</v>
      </c>
      <c r="BF85" s="391">
        <f t="shared" si="96"/>
        <v>142672466</v>
      </c>
      <c r="BG85" s="391">
        <f t="shared" si="97"/>
        <v>149671961</v>
      </c>
    </row>
    <row r="86" spans="1:59" ht="15.75">
      <c r="A86" s="333">
        <v>6</v>
      </c>
      <c r="B86" s="333" t="str">
        <f t="shared" si="49"/>
        <v>CEREAL EMPACADO_6</v>
      </c>
      <c r="C86" s="333" t="str">
        <f t="shared" si="50"/>
        <v>61_6</v>
      </c>
      <c r="D86" s="333" t="s">
        <v>1607</v>
      </c>
      <c r="E86" s="256">
        <v>61</v>
      </c>
      <c r="F86" s="322" t="s">
        <v>13</v>
      </c>
      <c r="G86" s="256" t="s">
        <v>9</v>
      </c>
      <c r="H86" s="425">
        <f t="shared" si="51"/>
        <v>16</v>
      </c>
      <c r="I86" s="425">
        <f t="array" ref="I86">MAX((IF(MNU_CODIGO_ALIMENTO_ENTREGA=CONCATENATE($E86,"_","P_"),MNU_GRAMAJE_REQUERIDO_TIPOA,"")))</f>
        <v>20</v>
      </c>
      <c r="J86" s="257">
        <f t="shared" si="52"/>
        <v>2625</v>
      </c>
      <c r="K86" s="257">
        <f t="shared" si="53"/>
        <v>42000</v>
      </c>
      <c r="L86" s="446">
        <f t="shared" si="54"/>
        <v>222</v>
      </c>
      <c r="M86" s="446">
        <f t="shared" si="55"/>
        <v>10.833600000000001</v>
      </c>
      <c r="N86" s="446">
        <f t="shared" si="56"/>
        <v>0.190923552</v>
      </c>
      <c r="O86" s="446">
        <f t="shared" si="57"/>
        <v>233</v>
      </c>
      <c r="P86" s="258">
        <f t="shared" si="58"/>
        <v>9324000</v>
      </c>
      <c r="Q86" s="258">
        <f t="shared" si="59"/>
        <v>9786000</v>
      </c>
      <c r="R86" s="426">
        <f t="shared" si="60"/>
        <v>16</v>
      </c>
      <c r="S86" s="426">
        <f t="array" ref="S86">MAX((IF(MNU_CODIGO_ALIMENTO_ENTREGA=CONCATENATE($E86,"_","P_"),MNU_GRAMAJE_REQUERIDO_TIPOB,"")))</f>
        <v>30</v>
      </c>
      <c r="T86" s="259">
        <f t="shared" si="61"/>
        <v>4826</v>
      </c>
      <c r="U86" s="259">
        <f t="shared" si="62"/>
        <v>77216</v>
      </c>
      <c r="V86" s="446">
        <f t="shared" si="63"/>
        <v>334</v>
      </c>
      <c r="W86" s="446">
        <f t="shared" si="64"/>
        <v>16.299199999999999</v>
      </c>
      <c r="X86" s="446">
        <f t="shared" si="65"/>
        <v>0.28724534400000001</v>
      </c>
      <c r="Y86" s="446">
        <f t="shared" si="66"/>
        <v>351</v>
      </c>
      <c r="Z86" s="260">
        <f t="shared" si="67"/>
        <v>25790144</v>
      </c>
      <c r="AA86" s="260">
        <f t="shared" si="68"/>
        <v>27102816</v>
      </c>
      <c r="AB86" s="425">
        <f t="shared" si="69"/>
        <v>16</v>
      </c>
      <c r="AC86" s="425">
        <f t="array" ref="AC86">MAX((IF(MNU_CODIGO_ALIMENTO_ENTREGA=CONCATENATE($E86,"_","P_"),MNU_GRAMAJE_REQUERIDO_TIPOC,"")))</f>
        <v>70</v>
      </c>
      <c r="AD86" s="257">
        <f t="shared" si="70"/>
        <v>6896</v>
      </c>
      <c r="AE86" s="257">
        <f t="shared" si="71"/>
        <v>110336</v>
      </c>
      <c r="AF86" s="446">
        <f t="shared" si="72"/>
        <v>779</v>
      </c>
      <c r="AG86" s="446">
        <f t="shared" si="73"/>
        <v>38.0152</v>
      </c>
      <c r="AH86" s="446">
        <f t="shared" si="74"/>
        <v>0.66995246400000008</v>
      </c>
      <c r="AI86" s="446">
        <f t="shared" si="75"/>
        <v>818</v>
      </c>
      <c r="AJ86" s="258">
        <f t="shared" si="76"/>
        <v>85951744</v>
      </c>
      <c r="AK86" s="258">
        <f t="shared" si="77"/>
        <v>90254848</v>
      </c>
      <c r="AL86" s="426">
        <f t="shared" si="78"/>
        <v>16</v>
      </c>
      <c r="AM86" s="426">
        <f t="array" ref="AM86">MAX((IF(MNU_CODIGO_ALIMENTO_ENTREGA=CONCATENATE($E86,"_","P_"),MNU_GRAMAJE_REQUERIDO_TIPOM,"")))</f>
        <v>30</v>
      </c>
      <c r="AN86" s="259">
        <f t="shared" si="79"/>
        <v>0</v>
      </c>
      <c r="AO86" s="259">
        <f t="shared" si="80"/>
        <v>0</v>
      </c>
      <c r="AP86" s="446">
        <f t="shared" si="81"/>
        <v>334</v>
      </c>
      <c r="AQ86" s="446">
        <f t="shared" si="82"/>
        <v>16.299199999999999</v>
      </c>
      <c r="AR86" s="446">
        <f t="shared" si="83"/>
        <v>0.28724534400000001</v>
      </c>
      <c r="AS86" s="446">
        <f t="shared" si="84"/>
        <v>351</v>
      </c>
      <c r="AT86" s="260">
        <f t="shared" si="85"/>
        <v>0</v>
      </c>
      <c r="AU86" s="260">
        <f t="shared" si="86"/>
        <v>0</v>
      </c>
      <c r="AV86" s="425">
        <f t="shared" si="87"/>
        <v>16</v>
      </c>
      <c r="AW86" s="425">
        <f t="array" ref="AW86">MAX((IF(MNU_CODIGO_ALIMENTO_ENTREGA=CONCATENATE($E86,"_","P_"),MNU_GRAMAJE_REQUERIDO_TIPOH,"")))</f>
        <v>70</v>
      </c>
      <c r="AX86" s="257">
        <f t="shared" si="88"/>
        <v>0</v>
      </c>
      <c r="AY86" s="257">
        <f t="shared" si="89"/>
        <v>0</v>
      </c>
      <c r="AZ86" s="446">
        <f t="shared" si="90"/>
        <v>779</v>
      </c>
      <c r="BA86" s="446">
        <f t="shared" si="91"/>
        <v>38.0152</v>
      </c>
      <c r="BB86" s="446">
        <f t="shared" si="92"/>
        <v>0.66995246400000008</v>
      </c>
      <c r="BC86" s="446">
        <f t="shared" si="93"/>
        <v>818</v>
      </c>
      <c r="BD86" s="258">
        <f t="shared" si="94"/>
        <v>0</v>
      </c>
      <c r="BE86" s="258">
        <f t="shared" si="95"/>
        <v>0</v>
      </c>
      <c r="BF86" s="391">
        <f t="shared" si="96"/>
        <v>121065888</v>
      </c>
      <c r="BG86" s="391">
        <f t="shared" si="97"/>
        <v>127143664</v>
      </c>
    </row>
    <row r="87" spans="1:59" ht="15.75">
      <c r="A87" s="333">
        <v>6</v>
      </c>
      <c r="B87" s="333" t="str">
        <f t="shared" si="49"/>
        <v>CEREAL EMPACADO_6</v>
      </c>
      <c r="C87" s="333" t="str">
        <f t="shared" si="50"/>
        <v>62_6</v>
      </c>
      <c r="D87" s="333" t="s">
        <v>1607</v>
      </c>
      <c r="E87" s="256">
        <v>62</v>
      </c>
      <c r="F87" s="322" t="s">
        <v>68</v>
      </c>
      <c r="G87" s="256" t="s">
        <v>9</v>
      </c>
      <c r="H87" s="425">
        <f t="shared" si="51"/>
        <v>5</v>
      </c>
      <c r="I87" s="425">
        <f t="array" ref="I87">MAX((IF(MNU_CODIGO_ALIMENTO_ENTREGA=CONCATENATE($E87,"_","P_"),MNU_GRAMAJE_REQUERIDO_TIPOA,"")))</f>
        <v>50</v>
      </c>
      <c r="J87" s="257">
        <f t="shared" si="52"/>
        <v>2625</v>
      </c>
      <c r="K87" s="257">
        <f t="shared" si="53"/>
        <v>13125</v>
      </c>
      <c r="L87" s="446">
        <f t="shared" si="54"/>
        <v>595</v>
      </c>
      <c r="M87" s="446">
        <f t="shared" si="55"/>
        <v>29.036000000000001</v>
      </c>
      <c r="N87" s="446">
        <f t="shared" si="56"/>
        <v>0.51170952000000014</v>
      </c>
      <c r="O87" s="446">
        <f t="shared" si="57"/>
        <v>625</v>
      </c>
      <c r="P87" s="258">
        <f t="shared" si="58"/>
        <v>7809375</v>
      </c>
      <c r="Q87" s="258">
        <f t="shared" si="59"/>
        <v>8203125</v>
      </c>
      <c r="R87" s="426">
        <f t="shared" si="60"/>
        <v>5</v>
      </c>
      <c r="S87" s="426">
        <f t="array" ref="S87">MAX((IF(MNU_CODIGO_ALIMENTO_ENTREGA=CONCATENATE($E87,"_","P_"),MNU_GRAMAJE_REQUERIDO_TIPOB,"")))</f>
        <v>50</v>
      </c>
      <c r="T87" s="259">
        <f t="shared" si="61"/>
        <v>4826</v>
      </c>
      <c r="U87" s="259">
        <f t="shared" si="62"/>
        <v>24130</v>
      </c>
      <c r="V87" s="446">
        <f t="shared" si="63"/>
        <v>595</v>
      </c>
      <c r="W87" s="446">
        <f t="shared" si="64"/>
        <v>29.036000000000001</v>
      </c>
      <c r="X87" s="446">
        <f t="shared" si="65"/>
        <v>0.51170952000000014</v>
      </c>
      <c r="Y87" s="446">
        <f t="shared" si="66"/>
        <v>625</v>
      </c>
      <c r="Z87" s="260">
        <f t="shared" si="67"/>
        <v>14357350</v>
      </c>
      <c r="AA87" s="260">
        <f t="shared" si="68"/>
        <v>15081250</v>
      </c>
      <c r="AB87" s="425">
        <f t="shared" si="69"/>
        <v>5</v>
      </c>
      <c r="AC87" s="425">
        <f t="array" ref="AC87">MAX((IF(MNU_CODIGO_ALIMENTO_ENTREGA=CONCATENATE($E87,"_","P_"),MNU_GRAMAJE_REQUERIDO_TIPOC,"")))</f>
        <v>50</v>
      </c>
      <c r="AD87" s="257">
        <f t="shared" si="70"/>
        <v>6896</v>
      </c>
      <c r="AE87" s="257">
        <f t="shared" si="71"/>
        <v>34480</v>
      </c>
      <c r="AF87" s="446">
        <f t="shared" si="72"/>
        <v>595</v>
      </c>
      <c r="AG87" s="446">
        <f t="shared" si="73"/>
        <v>29.036000000000001</v>
      </c>
      <c r="AH87" s="446">
        <f t="shared" si="74"/>
        <v>0.51170952000000014</v>
      </c>
      <c r="AI87" s="446">
        <f t="shared" si="75"/>
        <v>625</v>
      </c>
      <c r="AJ87" s="258">
        <f t="shared" si="76"/>
        <v>20515600</v>
      </c>
      <c r="AK87" s="258">
        <f t="shared" si="77"/>
        <v>21550000</v>
      </c>
      <c r="AL87" s="426">
        <f t="shared" si="78"/>
        <v>5</v>
      </c>
      <c r="AM87" s="426">
        <f t="array" ref="AM87">MAX((IF(MNU_CODIGO_ALIMENTO_ENTREGA=CONCATENATE($E87,"_","P_"),MNU_GRAMAJE_REQUERIDO_TIPOM,"")))</f>
        <v>50</v>
      </c>
      <c r="AN87" s="259">
        <f t="shared" si="79"/>
        <v>0</v>
      </c>
      <c r="AO87" s="259">
        <f t="shared" si="80"/>
        <v>0</v>
      </c>
      <c r="AP87" s="446">
        <f t="shared" si="81"/>
        <v>595</v>
      </c>
      <c r="AQ87" s="446">
        <f t="shared" si="82"/>
        <v>29.036000000000001</v>
      </c>
      <c r="AR87" s="446">
        <f t="shared" si="83"/>
        <v>0.51170952000000014</v>
      </c>
      <c r="AS87" s="446">
        <f t="shared" si="84"/>
        <v>625</v>
      </c>
      <c r="AT87" s="260">
        <f t="shared" si="85"/>
        <v>0</v>
      </c>
      <c r="AU87" s="260">
        <f t="shared" si="86"/>
        <v>0</v>
      </c>
      <c r="AV87" s="425">
        <f t="shared" si="87"/>
        <v>5</v>
      </c>
      <c r="AW87" s="425">
        <f t="array" ref="AW87">MAX((IF(MNU_CODIGO_ALIMENTO_ENTREGA=CONCATENATE($E87,"_","P_"),MNU_GRAMAJE_REQUERIDO_TIPOH,"")))</f>
        <v>50</v>
      </c>
      <c r="AX87" s="257">
        <f t="shared" si="88"/>
        <v>0</v>
      </c>
      <c r="AY87" s="257">
        <f t="shared" si="89"/>
        <v>0</v>
      </c>
      <c r="AZ87" s="446">
        <f t="shared" si="90"/>
        <v>595</v>
      </c>
      <c r="BA87" s="446">
        <f t="shared" si="91"/>
        <v>29.036000000000001</v>
      </c>
      <c r="BB87" s="446">
        <f t="shared" si="92"/>
        <v>0.51170952000000014</v>
      </c>
      <c r="BC87" s="446">
        <f t="shared" si="93"/>
        <v>625</v>
      </c>
      <c r="BD87" s="258">
        <f t="shared" si="94"/>
        <v>0</v>
      </c>
      <c r="BE87" s="258">
        <f t="shared" si="95"/>
        <v>0</v>
      </c>
      <c r="BF87" s="391">
        <f t="shared" si="96"/>
        <v>42682325</v>
      </c>
      <c r="BG87" s="391">
        <f t="shared" si="97"/>
        <v>44834375</v>
      </c>
    </row>
    <row r="88" spans="1:59" ht="15.75">
      <c r="A88" s="333">
        <v>7</v>
      </c>
      <c r="B88" s="333" t="str">
        <f t="shared" si="49"/>
        <v>CEREAL EMPACADO_7</v>
      </c>
      <c r="C88" s="333" t="str">
        <f t="shared" si="50"/>
        <v>1_7</v>
      </c>
      <c r="D88" s="333" t="s">
        <v>1607</v>
      </c>
      <c r="E88" s="256">
        <v>1</v>
      </c>
      <c r="F88" s="322" t="s">
        <v>16</v>
      </c>
      <c r="G88" s="256" t="s">
        <v>9</v>
      </c>
      <c r="H88" s="425">
        <f t="shared" si="51"/>
        <v>15</v>
      </c>
      <c r="I88" s="425">
        <f t="array" ref="I88">MAX((IF(MNU_CODIGO_ALIMENTO_ENTREGA=CONCATENATE($E88,"_","P_"),MNU_GRAMAJE_REQUERIDO_TIPOA,"")))</f>
        <v>30</v>
      </c>
      <c r="J88" s="257">
        <f t="shared" si="52"/>
        <v>5424</v>
      </c>
      <c r="K88" s="257">
        <f t="shared" si="53"/>
        <v>81360</v>
      </c>
      <c r="L88" s="446">
        <f t="shared" si="54"/>
        <v>770</v>
      </c>
      <c r="M88" s="446">
        <f t="shared" si="55"/>
        <v>37.576000000000008</v>
      </c>
      <c r="N88" s="446">
        <f t="shared" si="56"/>
        <v>0.66221231999999997</v>
      </c>
      <c r="O88" s="446">
        <f t="shared" si="57"/>
        <v>808</v>
      </c>
      <c r="P88" s="258">
        <f t="shared" si="58"/>
        <v>62647200</v>
      </c>
      <c r="Q88" s="258">
        <f t="shared" si="59"/>
        <v>65738880</v>
      </c>
      <c r="R88" s="426">
        <f t="shared" si="60"/>
        <v>15</v>
      </c>
      <c r="S88" s="426">
        <f t="array" ref="S88">MAX((IF(MNU_CODIGO_ALIMENTO_ENTREGA=CONCATENATE($E88,"_","P_"),MNU_GRAMAJE_REQUERIDO_TIPOB,"")))</f>
        <v>40</v>
      </c>
      <c r="T88" s="259">
        <f t="shared" si="61"/>
        <v>8018</v>
      </c>
      <c r="U88" s="259">
        <f t="shared" si="62"/>
        <v>120270</v>
      </c>
      <c r="V88" s="446">
        <f t="shared" si="63"/>
        <v>1027</v>
      </c>
      <c r="W88" s="446">
        <f t="shared" si="64"/>
        <v>50.117600000000003</v>
      </c>
      <c r="X88" s="446">
        <f t="shared" si="65"/>
        <v>0.88323643200000013</v>
      </c>
      <c r="Y88" s="446">
        <f t="shared" si="66"/>
        <v>1078</v>
      </c>
      <c r="Z88" s="260">
        <f t="shared" si="67"/>
        <v>123517290</v>
      </c>
      <c r="AA88" s="260">
        <f t="shared" si="68"/>
        <v>129651060</v>
      </c>
      <c r="AB88" s="425">
        <f t="shared" si="69"/>
        <v>15</v>
      </c>
      <c r="AC88" s="425">
        <f t="array" ref="AC88">MAX((IF(MNU_CODIGO_ALIMENTO_ENTREGA=CONCATENATE($E88,"_","P_"),MNU_GRAMAJE_REQUERIDO_TIPOC,"")))</f>
        <v>60</v>
      </c>
      <c r="AD88" s="257">
        <f t="shared" si="70"/>
        <v>9814</v>
      </c>
      <c r="AE88" s="257">
        <f t="shared" si="71"/>
        <v>147210</v>
      </c>
      <c r="AF88" s="446">
        <f t="shared" si="72"/>
        <v>1540</v>
      </c>
      <c r="AG88" s="446">
        <f t="shared" si="73"/>
        <v>75.152000000000015</v>
      </c>
      <c r="AH88" s="446">
        <f t="shared" si="74"/>
        <v>1.3244246399999999</v>
      </c>
      <c r="AI88" s="446">
        <f t="shared" si="75"/>
        <v>1616</v>
      </c>
      <c r="AJ88" s="258">
        <f t="shared" si="76"/>
        <v>226703400</v>
      </c>
      <c r="AK88" s="258">
        <f t="shared" si="77"/>
        <v>237891360</v>
      </c>
      <c r="AL88" s="426">
        <f t="shared" si="78"/>
        <v>15</v>
      </c>
      <c r="AM88" s="426">
        <f t="array" ref="AM88">MAX((IF(MNU_CODIGO_ALIMENTO_ENTREGA=CONCATENATE($E88,"_","P_"),MNU_GRAMAJE_REQUERIDO_TIPOM,"")))</f>
        <v>40</v>
      </c>
      <c r="AN88" s="259">
        <f t="shared" si="79"/>
        <v>164</v>
      </c>
      <c r="AO88" s="259">
        <f t="shared" si="80"/>
        <v>2460</v>
      </c>
      <c r="AP88" s="446">
        <f t="shared" si="81"/>
        <v>1027</v>
      </c>
      <c r="AQ88" s="446">
        <f t="shared" si="82"/>
        <v>50.117600000000003</v>
      </c>
      <c r="AR88" s="446">
        <f t="shared" si="83"/>
        <v>0.88323643200000013</v>
      </c>
      <c r="AS88" s="446">
        <f t="shared" si="84"/>
        <v>1078</v>
      </c>
      <c r="AT88" s="260">
        <f t="shared" si="85"/>
        <v>2526420</v>
      </c>
      <c r="AU88" s="260">
        <f t="shared" si="86"/>
        <v>2651880</v>
      </c>
      <c r="AV88" s="425">
        <f t="shared" si="87"/>
        <v>15</v>
      </c>
      <c r="AW88" s="425">
        <f t="array" ref="AW88">MAX((IF(MNU_CODIGO_ALIMENTO_ENTREGA=CONCATENATE($E88,"_","P_"),MNU_GRAMAJE_REQUERIDO_TIPOH,"")))</f>
        <v>60</v>
      </c>
      <c r="AX88" s="257">
        <f t="shared" si="88"/>
        <v>160</v>
      </c>
      <c r="AY88" s="257">
        <f t="shared" si="89"/>
        <v>2400</v>
      </c>
      <c r="AZ88" s="446">
        <f t="shared" si="90"/>
        <v>1540</v>
      </c>
      <c r="BA88" s="446">
        <f t="shared" si="91"/>
        <v>75.152000000000015</v>
      </c>
      <c r="BB88" s="446">
        <f t="shared" si="92"/>
        <v>1.3244246399999999</v>
      </c>
      <c r="BC88" s="446">
        <f t="shared" si="93"/>
        <v>1616</v>
      </c>
      <c r="BD88" s="258">
        <f t="shared" si="94"/>
        <v>3696000</v>
      </c>
      <c r="BE88" s="258">
        <f t="shared" si="95"/>
        <v>3878400</v>
      </c>
      <c r="BF88" s="391">
        <f t="shared" si="96"/>
        <v>419090310</v>
      </c>
      <c r="BG88" s="391">
        <f t="shared" si="97"/>
        <v>439811580</v>
      </c>
    </row>
    <row r="89" spans="1:59" ht="15.75">
      <c r="A89" s="333">
        <v>7</v>
      </c>
      <c r="B89" s="333" t="str">
        <f t="shared" si="49"/>
        <v>CEREAL EMPACADO_7</v>
      </c>
      <c r="C89" s="333" t="str">
        <f t="shared" si="50"/>
        <v>3_7</v>
      </c>
      <c r="D89" s="333" t="s">
        <v>1607</v>
      </c>
      <c r="E89" s="256">
        <v>3</v>
      </c>
      <c r="F89" s="322" t="s">
        <v>12</v>
      </c>
      <c r="G89" s="256" t="s">
        <v>9</v>
      </c>
      <c r="H89" s="425">
        <f t="shared" si="51"/>
        <v>17</v>
      </c>
      <c r="I89" s="425">
        <f t="array" ref="I89">MAX((IF(MNU_CODIGO_ALIMENTO_ENTREGA=CONCATENATE($E89,"_","P_"),MNU_GRAMAJE_REQUERIDO_TIPOA,"")))</f>
        <v>50</v>
      </c>
      <c r="J89" s="257">
        <f t="shared" si="52"/>
        <v>5424</v>
      </c>
      <c r="K89" s="257">
        <f t="shared" si="53"/>
        <v>92208</v>
      </c>
      <c r="L89" s="446">
        <f t="shared" si="54"/>
        <v>481</v>
      </c>
      <c r="M89" s="446">
        <f t="shared" si="55"/>
        <v>23.472799999999999</v>
      </c>
      <c r="N89" s="446">
        <f t="shared" si="56"/>
        <v>0.41366769599999997</v>
      </c>
      <c r="O89" s="446">
        <f t="shared" si="57"/>
        <v>505</v>
      </c>
      <c r="P89" s="258">
        <f t="shared" si="58"/>
        <v>44352048</v>
      </c>
      <c r="Q89" s="258">
        <f t="shared" si="59"/>
        <v>46565040</v>
      </c>
      <c r="R89" s="426">
        <f t="shared" si="60"/>
        <v>17</v>
      </c>
      <c r="S89" s="426">
        <f t="array" ref="S89">MAX((IF(MNU_CODIGO_ALIMENTO_ENTREGA=CONCATENATE($E89,"_","P_"),MNU_GRAMAJE_REQUERIDO_TIPOB,"")))</f>
        <v>50</v>
      </c>
      <c r="T89" s="259">
        <f t="shared" si="61"/>
        <v>8018</v>
      </c>
      <c r="U89" s="259">
        <f t="shared" si="62"/>
        <v>136306</v>
      </c>
      <c r="V89" s="446">
        <f t="shared" si="63"/>
        <v>481</v>
      </c>
      <c r="W89" s="446">
        <f t="shared" si="64"/>
        <v>23.472799999999999</v>
      </c>
      <c r="X89" s="446">
        <f t="shared" si="65"/>
        <v>0.41366769599999997</v>
      </c>
      <c r="Y89" s="446">
        <f t="shared" si="66"/>
        <v>505</v>
      </c>
      <c r="Z89" s="260">
        <f t="shared" si="67"/>
        <v>65563186</v>
      </c>
      <c r="AA89" s="260">
        <f t="shared" si="68"/>
        <v>68834530</v>
      </c>
      <c r="AB89" s="425">
        <f t="shared" si="69"/>
        <v>17</v>
      </c>
      <c r="AC89" s="425">
        <f t="array" ref="AC89">MAX((IF(MNU_CODIGO_ALIMENTO_ENTREGA=CONCATENATE($E89,"_","P_"),MNU_GRAMAJE_REQUERIDO_TIPOC,"")))</f>
        <v>80</v>
      </c>
      <c r="AD89" s="257">
        <f t="shared" si="70"/>
        <v>9814</v>
      </c>
      <c r="AE89" s="257">
        <f t="shared" si="71"/>
        <v>166838</v>
      </c>
      <c r="AF89" s="446">
        <f t="shared" si="72"/>
        <v>727</v>
      </c>
      <c r="AG89" s="446">
        <f t="shared" si="73"/>
        <v>35.477600000000002</v>
      </c>
      <c r="AH89" s="446">
        <f t="shared" si="74"/>
        <v>0.62523163200000009</v>
      </c>
      <c r="AI89" s="446">
        <f t="shared" si="75"/>
        <v>763</v>
      </c>
      <c r="AJ89" s="258">
        <f t="shared" si="76"/>
        <v>121291226</v>
      </c>
      <c r="AK89" s="258">
        <f t="shared" si="77"/>
        <v>127297394</v>
      </c>
      <c r="AL89" s="426">
        <f t="shared" si="78"/>
        <v>17</v>
      </c>
      <c r="AM89" s="426">
        <f t="array" ref="AM89">MAX((IF(MNU_CODIGO_ALIMENTO_ENTREGA=CONCATENATE($E89,"_","P_"),MNU_GRAMAJE_REQUERIDO_TIPOM,"")))</f>
        <v>50</v>
      </c>
      <c r="AN89" s="259">
        <f t="shared" si="79"/>
        <v>164</v>
      </c>
      <c r="AO89" s="259">
        <f t="shared" si="80"/>
        <v>2788</v>
      </c>
      <c r="AP89" s="446">
        <f t="shared" si="81"/>
        <v>481</v>
      </c>
      <c r="AQ89" s="446">
        <f t="shared" si="82"/>
        <v>23.472799999999999</v>
      </c>
      <c r="AR89" s="446">
        <f t="shared" si="83"/>
        <v>0.41366769599999997</v>
      </c>
      <c r="AS89" s="446">
        <f t="shared" si="84"/>
        <v>505</v>
      </c>
      <c r="AT89" s="260">
        <f t="shared" si="85"/>
        <v>1341028</v>
      </c>
      <c r="AU89" s="260">
        <f t="shared" si="86"/>
        <v>1407940</v>
      </c>
      <c r="AV89" s="425">
        <f t="shared" si="87"/>
        <v>17</v>
      </c>
      <c r="AW89" s="425">
        <f t="array" ref="AW89">MAX((IF(MNU_CODIGO_ALIMENTO_ENTREGA=CONCATENATE($E89,"_","P_"),MNU_GRAMAJE_REQUERIDO_TIPOH,"")))</f>
        <v>80</v>
      </c>
      <c r="AX89" s="257">
        <f t="shared" si="88"/>
        <v>160</v>
      </c>
      <c r="AY89" s="257">
        <f t="shared" si="89"/>
        <v>2720</v>
      </c>
      <c r="AZ89" s="446">
        <f t="shared" si="90"/>
        <v>727</v>
      </c>
      <c r="BA89" s="446">
        <f t="shared" si="91"/>
        <v>35.477600000000002</v>
      </c>
      <c r="BB89" s="446">
        <f t="shared" si="92"/>
        <v>0.62523163200000009</v>
      </c>
      <c r="BC89" s="446">
        <f t="shared" si="93"/>
        <v>763</v>
      </c>
      <c r="BD89" s="258">
        <f t="shared" si="94"/>
        <v>1977440</v>
      </c>
      <c r="BE89" s="258">
        <f t="shared" si="95"/>
        <v>2075360</v>
      </c>
      <c r="BF89" s="391">
        <f t="shared" si="96"/>
        <v>234524928</v>
      </c>
      <c r="BG89" s="391">
        <f t="shared" si="97"/>
        <v>246180264</v>
      </c>
    </row>
    <row r="90" spans="1:59" ht="15.75">
      <c r="A90" s="333">
        <v>7</v>
      </c>
      <c r="B90" s="333" t="str">
        <f t="shared" si="49"/>
        <v>CEREAL EMPACADO_7</v>
      </c>
      <c r="C90" s="333" t="str">
        <f t="shared" si="50"/>
        <v>15_7</v>
      </c>
      <c r="D90" s="333" t="s">
        <v>1607</v>
      </c>
      <c r="E90" s="256">
        <v>15</v>
      </c>
      <c r="F90" s="322" t="s">
        <v>66</v>
      </c>
      <c r="G90" s="256" t="s">
        <v>9</v>
      </c>
      <c r="H90" s="425">
        <f t="shared" si="51"/>
        <v>17</v>
      </c>
      <c r="I90" s="425">
        <f t="array" ref="I90">MAX((IF(MNU_CODIGO_ALIMENTO_ENTREGA=CONCATENATE($E90,"_","P_"),MNU_GRAMAJE_REQUERIDO_TIPOA,"")))</f>
        <v>50</v>
      </c>
      <c r="J90" s="257">
        <f t="shared" si="52"/>
        <v>5424</v>
      </c>
      <c r="K90" s="257">
        <f t="shared" si="53"/>
        <v>92208</v>
      </c>
      <c r="L90" s="446">
        <f t="shared" si="54"/>
        <v>641</v>
      </c>
      <c r="M90" s="446">
        <f t="shared" si="55"/>
        <v>31.280800000000003</v>
      </c>
      <c r="N90" s="446">
        <f t="shared" si="56"/>
        <v>0.55127025600000001</v>
      </c>
      <c r="O90" s="446">
        <f t="shared" si="57"/>
        <v>673</v>
      </c>
      <c r="P90" s="258">
        <f t="shared" si="58"/>
        <v>59105328</v>
      </c>
      <c r="Q90" s="258">
        <f t="shared" si="59"/>
        <v>62055984</v>
      </c>
      <c r="R90" s="426">
        <f t="shared" si="60"/>
        <v>17</v>
      </c>
      <c r="S90" s="426">
        <f t="array" ref="S90">MAX((IF(MNU_CODIGO_ALIMENTO_ENTREGA=CONCATENATE($E90,"_","P_"),MNU_GRAMAJE_REQUERIDO_TIPOB,"")))</f>
        <v>50</v>
      </c>
      <c r="T90" s="259">
        <f t="shared" si="61"/>
        <v>8018</v>
      </c>
      <c r="U90" s="259">
        <f t="shared" si="62"/>
        <v>136306</v>
      </c>
      <c r="V90" s="446">
        <f t="shared" si="63"/>
        <v>641</v>
      </c>
      <c r="W90" s="446">
        <f t="shared" si="64"/>
        <v>31.280800000000003</v>
      </c>
      <c r="X90" s="446">
        <f t="shared" si="65"/>
        <v>0.55127025600000001</v>
      </c>
      <c r="Y90" s="446">
        <f t="shared" si="66"/>
        <v>673</v>
      </c>
      <c r="Z90" s="260">
        <f t="shared" si="67"/>
        <v>87372146</v>
      </c>
      <c r="AA90" s="260">
        <f t="shared" si="68"/>
        <v>91733938</v>
      </c>
      <c r="AB90" s="425">
        <f t="shared" si="69"/>
        <v>17</v>
      </c>
      <c r="AC90" s="425">
        <f t="array" ref="AC90">MAX((IF(MNU_CODIGO_ALIMENTO_ENTREGA=CONCATENATE($E90,"_","P_"),MNU_GRAMAJE_REQUERIDO_TIPOC,"")))</f>
        <v>80</v>
      </c>
      <c r="AD90" s="257">
        <f t="shared" si="70"/>
        <v>9814</v>
      </c>
      <c r="AE90" s="257">
        <f t="shared" si="71"/>
        <v>166838</v>
      </c>
      <c r="AF90" s="446">
        <f t="shared" si="72"/>
        <v>1025</v>
      </c>
      <c r="AG90" s="446">
        <f t="shared" si="73"/>
        <v>50.02</v>
      </c>
      <c r="AH90" s="446">
        <f t="shared" si="74"/>
        <v>0.88151640000000009</v>
      </c>
      <c r="AI90" s="446">
        <f t="shared" si="75"/>
        <v>1076</v>
      </c>
      <c r="AJ90" s="258">
        <f t="shared" si="76"/>
        <v>171008950</v>
      </c>
      <c r="AK90" s="258">
        <f t="shared" si="77"/>
        <v>179517688</v>
      </c>
      <c r="AL90" s="426">
        <f t="shared" si="78"/>
        <v>17</v>
      </c>
      <c r="AM90" s="426">
        <f t="array" ref="AM90">MAX((IF(MNU_CODIGO_ALIMENTO_ENTREGA=CONCATENATE($E90,"_","P_"),MNU_GRAMAJE_REQUERIDO_TIPOM,"")))</f>
        <v>50</v>
      </c>
      <c r="AN90" s="259">
        <f t="shared" si="79"/>
        <v>164</v>
      </c>
      <c r="AO90" s="259">
        <f t="shared" si="80"/>
        <v>2788</v>
      </c>
      <c r="AP90" s="446">
        <f t="shared" si="81"/>
        <v>641</v>
      </c>
      <c r="AQ90" s="446">
        <f t="shared" si="82"/>
        <v>31.280800000000003</v>
      </c>
      <c r="AR90" s="446">
        <f t="shared" si="83"/>
        <v>0.55127025600000001</v>
      </c>
      <c r="AS90" s="446">
        <f t="shared" si="84"/>
        <v>673</v>
      </c>
      <c r="AT90" s="260">
        <f t="shared" si="85"/>
        <v>1787108</v>
      </c>
      <c r="AU90" s="260">
        <f t="shared" si="86"/>
        <v>1876324</v>
      </c>
      <c r="AV90" s="425">
        <f t="shared" si="87"/>
        <v>17</v>
      </c>
      <c r="AW90" s="425">
        <f t="array" ref="AW90">MAX((IF(MNU_CODIGO_ALIMENTO_ENTREGA=CONCATENATE($E90,"_","P_"),MNU_GRAMAJE_REQUERIDO_TIPOH,"")))</f>
        <v>80</v>
      </c>
      <c r="AX90" s="257">
        <f t="shared" si="88"/>
        <v>160</v>
      </c>
      <c r="AY90" s="257">
        <f t="shared" si="89"/>
        <v>2720</v>
      </c>
      <c r="AZ90" s="446">
        <f t="shared" si="90"/>
        <v>1025</v>
      </c>
      <c r="BA90" s="446">
        <f t="shared" si="91"/>
        <v>50.02</v>
      </c>
      <c r="BB90" s="446">
        <f t="shared" si="92"/>
        <v>0.88151640000000009</v>
      </c>
      <c r="BC90" s="446">
        <f t="shared" si="93"/>
        <v>1076</v>
      </c>
      <c r="BD90" s="258">
        <f t="shared" si="94"/>
        <v>2788000</v>
      </c>
      <c r="BE90" s="258">
        <f t="shared" si="95"/>
        <v>2926720</v>
      </c>
      <c r="BF90" s="391">
        <f t="shared" si="96"/>
        <v>322061532</v>
      </c>
      <c r="BG90" s="391">
        <f t="shared" si="97"/>
        <v>338110654</v>
      </c>
    </row>
    <row r="91" spans="1:59" ht="15.75">
      <c r="A91" s="333">
        <v>7</v>
      </c>
      <c r="B91" s="333" t="str">
        <f t="shared" si="49"/>
        <v>CEREAL EMPACADO_7</v>
      </c>
      <c r="C91" s="333" t="str">
        <f t="shared" si="50"/>
        <v>24_7</v>
      </c>
      <c r="D91" s="333" t="s">
        <v>1607</v>
      </c>
      <c r="E91" s="256">
        <v>24</v>
      </c>
      <c r="F91" s="322" t="s">
        <v>61</v>
      </c>
      <c r="G91" s="256" t="s">
        <v>9</v>
      </c>
      <c r="H91" s="425">
        <f t="shared" si="51"/>
        <v>17</v>
      </c>
      <c r="I91" s="425">
        <f t="array" ref="I91">MAX((IF(MNU_CODIGO_ALIMENTO_ENTREGA=CONCATENATE($E91,"_","P_"),MNU_GRAMAJE_REQUERIDO_TIPOA,"")))</f>
        <v>20</v>
      </c>
      <c r="J91" s="257">
        <f t="shared" si="52"/>
        <v>5424</v>
      </c>
      <c r="K91" s="257">
        <f t="shared" si="53"/>
        <v>92208</v>
      </c>
      <c r="L91" s="446">
        <f t="shared" si="54"/>
        <v>122</v>
      </c>
      <c r="M91" s="446">
        <f t="shared" si="55"/>
        <v>5.9535999999999998</v>
      </c>
      <c r="N91" s="446">
        <f t="shared" si="56"/>
        <v>0.104921952</v>
      </c>
      <c r="O91" s="446">
        <f t="shared" si="57"/>
        <v>128</v>
      </c>
      <c r="P91" s="258">
        <f t="shared" si="58"/>
        <v>11249376</v>
      </c>
      <c r="Q91" s="258">
        <f t="shared" si="59"/>
        <v>11802624</v>
      </c>
      <c r="R91" s="426">
        <f t="shared" si="60"/>
        <v>17</v>
      </c>
      <c r="S91" s="426">
        <f t="array" ref="S91">MAX((IF(MNU_CODIGO_ALIMENTO_ENTREGA=CONCATENATE($E91,"_","P_"),MNU_GRAMAJE_REQUERIDO_TIPOB,"")))</f>
        <v>30</v>
      </c>
      <c r="T91" s="259">
        <f t="shared" si="61"/>
        <v>8018</v>
      </c>
      <c r="U91" s="259">
        <f t="shared" si="62"/>
        <v>136306</v>
      </c>
      <c r="V91" s="446">
        <f t="shared" si="63"/>
        <v>191</v>
      </c>
      <c r="W91" s="446">
        <f t="shared" si="64"/>
        <v>9.3208000000000002</v>
      </c>
      <c r="X91" s="446">
        <f t="shared" si="65"/>
        <v>0.16426305600000002</v>
      </c>
      <c r="Y91" s="446">
        <f t="shared" si="66"/>
        <v>200</v>
      </c>
      <c r="Z91" s="260">
        <f t="shared" si="67"/>
        <v>26034446</v>
      </c>
      <c r="AA91" s="260">
        <f t="shared" si="68"/>
        <v>27261200</v>
      </c>
      <c r="AB91" s="425">
        <f t="shared" si="69"/>
        <v>17</v>
      </c>
      <c r="AC91" s="425">
        <f t="array" ref="AC91">MAX((IF(MNU_CODIGO_ALIMENTO_ENTREGA=CONCATENATE($E91,"_","P_"),MNU_GRAMAJE_REQUERIDO_TIPOC,"")))</f>
        <v>60</v>
      </c>
      <c r="AD91" s="257">
        <f t="shared" si="70"/>
        <v>9814</v>
      </c>
      <c r="AE91" s="257">
        <f t="shared" si="71"/>
        <v>166838</v>
      </c>
      <c r="AF91" s="446">
        <f t="shared" si="72"/>
        <v>367</v>
      </c>
      <c r="AG91" s="446">
        <f t="shared" si="73"/>
        <v>17.909599999999998</v>
      </c>
      <c r="AH91" s="446">
        <f t="shared" si="74"/>
        <v>0.31562587200000003</v>
      </c>
      <c r="AI91" s="446">
        <f t="shared" si="75"/>
        <v>385</v>
      </c>
      <c r="AJ91" s="258">
        <f t="shared" si="76"/>
        <v>61229546</v>
      </c>
      <c r="AK91" s="258">
        <f t="shared" si="77"/>
        <v>64232630</v>
      </c>
      <c r="AL91" s="426">
        <f t="shared" si="78"/>
        <v>17</v>
      </c>
      <c r="AM91" s="426">
        <f t="array" ref="AM91">MAX((IF(MNU_CODIGO_ALIMENTO_ENTREGA=CONCATENATE($E91,"_","P_"),MNU_GRAMAJE_REQUERIDO_TIPOM,"")))</f>
        <v>30</v>
      </c>
      <c r="AN91" s="259">
        <f t="shared" si="79"/>
        <v>164</v>
      </c>
      <c r="AO91" s="259">
        <f t="shared" si="80"/>
        <v>2788</v>
      </c>
      <c r="AP91" s="446">
        <f t="shared" si="81"/>
        <v>191</v>
      </c>
      <c r="AQ91" s="446">
        <f t="shared" si="82"/>
        <v>9.3208000000000002</v>
      </c>
      <c r="AR91" s="446">
        <f t="shared" si="83"/>
        <v>0.16426305600000002</v>
      </c>
      <c r="AS91" s="446">
        <f t="shared" si="84"/>
        <v>200</v>
      </c>
      <c r="AT91" s="260">
        <f t="shared" si="85"/>
        <v>532508</v>
      </c>
      <c r="AU91" s="260">
        <f t="shared" si="86"/>
        <v>557600</v>
      </c>
      <c r="AV91" s="425">
        <f t="shared" si="87"/>
        <v>17</v>
      </c>
      <c r="AW91" s="425">
        <f t="array" ref="AW91">MAX((IF(MNU_CODIGO_ALIMENTO_ENTREGA=CONCATENATE($E91,"_","P_"),MNU_GRAMAJE_REQUERIDO_TIPOH,"")))</f>
        <v>60</v>
      </c>
      <c r="AX91" s="257">
        <f t="shared" si="88"/>
        <v>160</v>
      </c>
      <c r="AY91" s="257">
        <f t="shared" si="89"/>
        <v>2720</v>
      </c>
      <c r="AZ91" s="446">
        <f t="shared" si="90"/>
        <v>367</v>
      </c>
      <c r="BA91" s="446">
        <f t="shared" si="91"/>
        <v>17.909599999999998</v>
      </c>
      <c r="BB91" s="446">
        <f t="shared" si="92"/>
        <v>0.31562587200000003</v>
      </c>
      <c r="BC91" s="446">
        <f t="shared" si="93"/>
        <v>385</v>
      </c>
      <c r="BD91" s="258">
        <f t="shared" si="94"/>
        <v>998240</v>
      </c>
      <c r="BE91" s="258">
        <f t="shared" si="95"/>
        <v>1047200</v>
      </c>
      <c r="BF91" s="391">
        <f t="shared" si="96"/>
        <v>100044116</v>
      </c>
      <c r="BG91" s="391">
        <f t="shared" si="97"/>
        <v>104901254</v>
      </c>
    </row>
    <row r="92" spans="1:59" ht="15.75">
      <c r="A92" s="333">
        <v>7</v>
      </c>
      <c r="B92" s="333" t="str">
        <f t="shared" si="49"/>
        <v>CEREAL EMPACADO_7</v>
      </c>
      <c r="C92" s="333" t="str">
        <f t="shared" si="50"/>
        <v>25_7</v>
      </c>
      <c r="D92" s="333" t="s">
        <v>1607</v>
      </c>
      <c r="E92" s="256">
        <v>25</v>
      </c>
      <c r="F92" s="322" t="s">
        <v>64</v>
      </c>
      <c r="G92" s="256" t="s">
        <v>9</v>
      </c>
      <c r="H92" s="425">
        <f t="shared" si="51"/>
        <v>17</v>
      </c>
      <c r="I92" s="425">
        <f t="array" ref="I92">MAX((IF(MNU_CODIGO_ALIMENTO_ENTREGA=CONCATENATE($E92,"_","P_"),MNU_GRAMAJE_REQUERIDO_TIPOA,"")))</f>
        <v>40</v>
      </c>
      <c r="J92" s="257">
        <f t="shared" si="52"/>
        <v>5424</v>
      </c>
      <c r="K92" s="257">
        <f t="shared" si="53"/>
        <v>92208</v>
      </c>
      <c r="L92" s="446">
        <f t="shared" si="54"/>
        <v>244</v>
      </c>
      <c r="M92" s="446">
        <f t="shared" si="55"/>
        <v>11.9072</v>
      </c>
      <c r="N92" s="446">
        <f t="shared" si="56"/>
        <v>0.209843904</v>
      </c>
      <c r="O92" s="446">
        <f t="shared" si="57"/>
        <v>256</v>
      </c>
      <c r="P92" s="258">
        <f t="shared" si="58"/>
        <v>22498752</v>
      </c>
      <c r="Q92" s="258">
        <f t="shared" si="59"/>
        <v>23605248</v>
      </c>
      <c r="R92" s="426">
        <f t="shared" si="60"/>
        <v>17</v>
      </c>
      <c r="S92" s="426">
        <f t="array" ref="S92">MAX((IF(MNU_CODIGO_ALIMENTO_ENTREGA=CONCATENATE($E92,"_","P_"),MNU_GRAMAJE_REQUERIDO_TIPOB,"")))</f>
        <v>40</v>
      </c>
      <c r="T92" s="259">
        <f t="shared" si="61"/>
        <v>8018</v>
      </c>
      <c r="U92" s="259">
        <f t="shared" si="62"/>
        <v>136306</v>
      </c>
      <c r="V92" s="446">
        <f t="shared" si="63"/>
        <v>244</v>
      </c>
      <c r="W92" s="446">
        <f t="shared" si="64"/>
        <v>11.9072</v>
      </c>
      <c r="X92" s="446">
        <f t="shared" si="65"/>
        <v>0.209843904</v>
      </c>
      <c r="Y92" s="446">
        <f t="shared" si="66"/>
        <v>256</v>
      </c>
      <c r="Z92" s="260">
        <f t="shared" si="67"/>
        <v>33258664</v>
      </c>
      <c r="AA92" s="260">
        <f t="shared" si="68"/>
        <v>34894336</v>
      </c>
      <c r="AB92" s="425">
        <f t="shared" si="69"/>
        <v>17</v>
      </c>
      <c r="AC92" s="425">
        <f t="array" ref="AC92">MAX((IF(MNU_CODIGO_ALIMENTO_ENTREGA=CONCATENATE($E92,"_","P_"),MNU_GRAMAJE_REQUERIDO_TIPOC,"")))</f>
        <v>60</v>
      </c>
      <c r="AD92" s="257">
        <f t="shared" si="70"/>
        <v>9814</v>
      </c>
      <c r="AE92" s="257">
        <f t="shared" si="71"/>
        <v>166838</v>
      </c>
      <c r="AF92" s="446">
        <f t="shared" si="72"/>
        <v>366</v>
      </c>
      <c r="AG92" s="446">
        <f t="shared" si="73"/>
        <v>17.860800000000001</v>
      </c>
      <c r="AH92" s="446">
        <f t="shared" si="74"/>
        <v>0.31476585600000001</v>
      </c>
      <c r="AI92" s="446">
        <f t="shared" si="75"/>
        <v>384</v>
      </c>
      <c r="AJ92" s="258">
        <f t="shared" si="76"/>
        <v>61062708</v>
      </c>
      <c r="AK92" s="258">
        <f t="shared" si="77"/>
        <v>64065792</v>
      </c>
      <c r="AL92" s="426">
        <f t="shared" si="78"/>
        <v>17</v>
      </c>
      <c r="AM92" s="426">
        <f t="array" ref="AM92">MAX((IF(MNU_CODIGO_ALIMENTO_ENTREGA=CONCATENATE($E92,"_","P_"),MNU_GRAMAJE_REQUERIDO_TIPOM,"")))</f>
        <v>40</v>
      </c>
      <c r="AN92" s="259">
        <f t="shared" si="79"/>
        <v>164</v>
      </c>
      <c r="AO92" s="259">
        <f t="shared" si="80"/>
        <v>2788</v>
      </c>
      <c r="AP92" s="446">
        <f t="shared" si="81"/>
        <v>244</v>
      </c>
      <c r="AQ92" s="446">
        <f t="shared" si="82"/>
        <v>11.9072</v>
      </c>
      <c r="AR92" s="446">
        <f t="shared" si="83"/>
        <v>0.209843904</v>
      </c>
      <c r="AS92" s="446">
        <f t="shared" si="84"/>
        <v>256</v>
      </c>
      <c r="AT92" s="260">
        <f t="shared" si="85"/>
        <v>680272</v>
      </c>
      <c r="AU92" s="260">
        <f t="shared" si="86"/>
        <v>713728</v>
      </c>
      <c r="AV92" s="425">
        <f t="shared" si="87"/>
        <v>17</v>
      </c>
      <c r="AW92" s="425">
        <f t="array" ref="AW92">MAX((IF(MNU_CODIGO_ALIMENTO_ENTREGA=CONCATENATE($E92,"_","P_"),MNU_GRAMAJE_REQUERIDO_TIPOH,"")))</f>
        <v>60</v>
      </c>
      <c r="AX92" s="257">
        <f t="shared" si="88"/>
        <v>160</v>
      </c>
      <c r="AY92" s="257">
        <f t="shared" si="89"/>
        <v>2720</v>
      </c>
      <c r="AZ92" s="446">
        <f t="shared" si="90"/>
        <v>366</v>
      </c>
      <c r="BA92" s="446">
        <f t="shared" si="91"/>
        <v>17.860800000000001</v>
      </c>
      <c r="BB92" s="446">
        <f t="shared" si="92"/>
        <v>0.31476585600000001</v>
      </c>
      <c r="BC92" s="446">
        <f t="shared" si="93"/>
        <v>384</v>
      </c>
      <c r="BD92" s="258">
        <f t="shared" si="94"/>
        <v>995520</v>
      </c>
      <c r="BE92" s="258">
        <f t="shared" si="95"/>
        <v>1044480</v>
      </c>
      <c r="BF92" s="391">
        <f t="shared" si="96"/>
        <v>118495916</v>
      </c>
      <c r="BG92" s="391">
        <f t="shared" si="97"/>
        <v>124323584</v>
      </c>
    </row>
    <row r="93" spans="1:59" ht="15.75">
      <c r="A93" s="333">
        <v>7</v>
      </c>
      <c r="B93" s="333" t="str">
        <f t="shared" si="49"/>
        <v>CEREAL EMPACADO_7</v>
      </c>
      <c r="C93" s="333" t="str">
        <f t="shared" si="50"/>
        <v>26_7</v>
      </c>
      <c r="D93" s="333" t="s">
        <v>1607</v>
      </c>
      <c r="E93" s="256">
        <v>26</v>
      </c>
      <c r="F93" s="322" t="s">
        <v>69</v>
      </c>
      <c r="G93" s="256" t="s">
        <v>9</v>
      </c>
      <c r="H93" s="425">
        <f t="shared" si="51"/>
        <v>6</v>
      </c>
      <c r="I93" s="425">
        <f t="array" ref="I93">MAX((IF(MNU_CODIGO_ALIMENTO_ENTREGA=CONCATENATE($E93,"_","P_"),MNU_GRAMAJE_REQUERIDO_TIPOA,"")))</f>
        <v>30</v>
      </c>
      <c r="J93" s="257">
        <f t="shared" si="52"/>
        <v>5424</v>
      </c>
      <c r="K93" s="257">
        <f t="shared" si="53"/>
        <v>32544</v>
      </c>
      <c r="L93" s="446">
        <f t="shared" si="54"/>
        <v>163</v>
      </c>
      <c r="M93" s="446">
        <f t="shared" si="55"/>
        <v>7.9543999999999997</v>
      </c>
      <c r="N93" s="446">
        <f t="shared" si="56"/>
        <v>0.14018260800000001</v>
      </c>
      <c r="O93" s="446">
        <f t="shared" si="57"/>
        <v>171</v>
      </c>
      <c r="P93" s="258">
        <f t="shared" si="58"/>
        <v>5304672</v>
      </c>
      <c r="Q93" s="258">
        <f t="shared" si="59"/>
        <v>5565024</v>
      </c>
      <c r="R93" s="426">
        <f t="shared" si="60"/>
        <v>6</v>
      </c>
      <c r="S93" s="426">
        <f t="array" ref="S93">MAX((IF(MNU_CODIGO_ALIMENTO_ENTREGA=CONCATENATE($E93,"_","P_"),MNU_GRAMAJE_REQUERIDO_TIPOB,"")))</f>
        <v>30</v>
      </c>
      <c r="T93" s="259">
        <f t="shared" si="61"/>
        <v>8018</v>
      </c>
      <c r="U93" s="259">
        <f t="shared" si="62"/>
        <v>48108</v>
      </c>
      <c r="V93" s="446">
        <f t="shared" si="63"/>
        <v>163</v>
      </c>
      <c r="W93" s="446">
        <f t="shared" si="64"/>
        <v>7.9543999999999997</v>
      </c>
      <c r="X93" s="446">
        <f t="shared" si="65"/>
        <v>0.14018260800000001</v>
      </c>
      <c r="Y93" s="446">
        <f t="shared" si="66"/>
        <v>171</v>
      </c>
      <c r="Z93" s="260">
        <f t="shared" si="67"/>
        <v>7841604</v>
      </c>
      <c r="AA93" s="260">
        <f t="shared" si="68"/>
        <v>8226468</v>
      </c>
      <c r="AB93" s="425">
        <f t="shared" si="69"/>
        <v>6</v>
      </c>
      <c r="AC93" s="425">
        <f t="array" ref="AC93">MAX((IF(MNU_CODIGO_ALIMENTO_ENTREGA=CONCATENATE($E93,"_","P_"),MNU_GRAMAJE_REQUERIDO_TIPOC,"")))</f>
        <v>30</v>
      </c>
      <c r="AD93" s="257">
        <f t="shared" si="70"/>
        <v>9814</v>
      </c>
      <c r="AE93" s="257">
        <f t="shared" si="71"/>
        <v>58884</v>
      </c>
      <c r="AF93" s="446">
        <f t="shared" si="72"/>
        <v>163</v>
      </c>
      <c r="AG93" s="446">
        <f t="shared" si="73"/>
        <v>7.9543999999999997</v>
      </c>
      <c r="AH93" s="446">
        <f t="shared" si="74"/>
        <v>0.14018260800000001</v>
      </c>
      <c r="AI93" s="446">
        <f t="shared" si="75"/>
        <v>171</v>
      </c>
      <c r="AJ93" s="258">
        <f t="shared" si="76"/>
        <v>9598092</v>
      </c>
      <c r="AK93" s="258">
        <f t="shared" si="77"/>
        <v>10069164</v>
      </c>
      <c r="AL93" s="426">
        <f t="shared" si="78"/>
        <v>6</v>
      </c>
      <c r="AM93" s="426">
        <f t="array" ref="AM93">MAX((IF(MNU_CODIGO_ALIMENTO_ENTREGA=CONCATENATE($E93,"_","P_"),MNU_GRAMAJE_REQUERIDO_TIPOM,"")))</f>
        <v>30</v>
      </c>
      <c r="AN93" s="259">
        <f t="shared" si="79"/>
        <v>164</v>
      </c>
      <c r="AO93" s="259">
        <f t="shared" si="80"/>
        <v>984</v>
      </c>
      <c r="AP93" s="446">
        <f t="shared" si="81"/>
        <v>163</v>
      </c>
      <c r="AQ93" s="446">
        <f t="shared" si="82"/>
        <v>7.9543999999999997</v>
      </c>
      <c r="AR93" s="446">
        <f t="shared" si="83"/>
        <v>0.14018260800000001</v>
      </c>
      <c r="AS93" s="446">
        <f t="shared" si="84"/>
        <v>171</v>
      </c>
      <c r="AT93" s="260">
        <f t="shared" si="85"/>
        <v>160392</v>
      </c>
      <c r="AU93" s="260">
        <f t="shared" si="86"/>
        <v>168264</v>
      </c>
      <c r="AV93" s="425">
        <f t="shared" si="87"/>
        <v>6</v>
      </c>
      <c r="AW93" s="425">
        <f t="array" ref="AW93">MAX((IF(MNU_CODIGO_ALIMENTO_ENTREGA=CONCATENATE($E93,"_","P_"),MNU_GRAMAJE_REQUERIDO_TIPOH,"")))</f>
        <v>30</v>
      </c>
      <c r="AX93" s="257">
        <f t="shared" si="88"/>
        <v>160</v>
      </c>
      <c r="AY93" s="257">
        <f t="shared" si="89"/>
        <v>960</v>
      </c>
      <c r="AZ93" s="446">
        <f t="shared" si="90"/>
        <v>163</v>
      </c>
      <c r="BA93" s="446">
        <f t="shared" si="91"/>
        <v>7.9543999999999997</v>
      </c>
      <c r="BB93" s="446">
        <f t="shared" si="92"/>
        <v>0.14018260800000001</v>
      </c>
      <c r="BC93" s="446">
        <f t="shared" si="93"/>
        <v>171</v>
      </c>
      <c r="BD93" s="258">
        <f t="shared" si="94"/>
        <v>156480</v>
      </c>
      <c r="BE93" s="258">
        <f t="shared" si="95"/>
        <v>164160</v>
      </c>
      <c r="BF93" s="391">
        <f t="shared" si="96"/>
        <v>23061240</v>
      </c>
      <c r="BG93" s="391">
        <f t="shared" si="97"/>
        <v>24193080</v>
      </c>
    </row>
    <row r="94" spans="1:59" ht="27">
      <c r="A94" s="333">
        <v>7</v>
      </c>
      <c r="B94" s="333" t="str">
        <f t="shared" si="49"/>
        <v>CEREAL EMPACADO_7</v>
      </c>
      <c r="C94" s="333" t="str">
        <f t="shared" si="50"/>
        <v>28_7</v>
      </c>
      <c r="D94" s="333" t="s">
        <v>1607</v>
      </c>
      <c r="E94" s="256">
        <v>28</v>
      </c>
      <c r="F94" s="322" t="s">
        <v>67</v>
      </c>
      <c r="G94" s="256" t="s">
        <v>9</v>
      </c>
      <c r="H94" s="425">
        <f t="shared" si="51"/>
        <v>6</v>
      </c>
      <c r="I94" s="425">
        <f t="array" ref="I94">MAX((IF(MNU_CODIGO_ALIMENTO_ENTREGA=CONCATENATE($E94,"_","P_"),MNU_GRAMAJE_REQUERIDO_TIPOA,"")))</f>
        <v>30</v>
      </c>
      <c r="J94" s="257">
        <f t="shared" si="52"/>
        <v>5424</v>
      </c>
      <c r="K94" s="257">
        <f t="shared" si="53"/>
        <v>32544</v>
      </c>
      <c r="L94" s="446">
        <f t="shared" si="54"/>
        <v>215</v>
      </c>
      <c r="M94" s="446">
        <f t="shared" si="55"/>
        <v>10.492000000000001</v>
      </c>
      <c r="N94" s="446">
        <f t="shared" si="56"/>
        <v>0.18490343999999997</v>
      </c>
      <c r="O94" s="446">
        <f t="shared" si="57"/>
        <v>226</v>
      </c>
      <c r="P94" s="258">
        <f t="shared" si="58"/>
        <v>6996960</v>
      </c>
      <c r="Q94" s="258">
        <f t="shared" si="59"/>
        <v>7354944</v>
      </c>
      <c r="R94" s="426">
        <f t="shared" si="60"/>
        <v>6</v>
      </c>
      <c r="S94" s="426">
        <f t="array" ref="S94">MAX((IF(MNU_CODIGO_ALIMENTO_ENTREGA=CONCATENATE($E94,"_","P_"),MNU_GRAMAJE_REQUERIDO_TIPOB,"")))</f>
        <v>40</v>
      </c>
      <c r="T94" s="259">
        <f t="shared" si="61"/>
        <v>8018</v>
      </c>
      <c r="U94" s="259">
        <f t="shared" si="62"/>
        <v>48108</v>
      </c>
      <c r="V94" s="446">
        <f t="shared" si="63"/>
        <v>287</v>
      </c>
      <c r="W94" s="446">
        <f t="shared" si="64"/>
        <v>14.005600000000001</v>
      </c>
      <c r="X94" s="446">
        <f t="shared" si="65"/>
        <v>0.24682459200000004</v>
      </c>
      <c r="Y94" s="446">
        <f t="shared" si="66"/>
        <v>301</v>
      </c>
      <c r="Z94" s="260">
        <f t="shared" si="67"/>
        <v>13806996</v>
      </c>
      <c r="AA94" s="260">
        <f t="shared" si="68"/>
        <v>14480508</v>
      </c>
      <c r="AB94" s="425">
        <f t="shared" si="69"/>
        <v>6</v>
      </c>
      <c r="AC94" s="425">
        <f t="array" ref="AC94">MAX((IF(MNU_CODIGO_ALIMENTO_ENTREGA=CONCATENATE($E94,"_","P_"),MNU_GRAMAJE_REQUERIDO_TIPOC,"")))</f>
        <v>60</v>
      </c>
      <c r="AD94" s="257">
        <f t="shared" si="70"/>
        <v>9814</v>
      </c>
      <c r="AE94" s="257">
        <f t="shared" si="71"/>
        <v>58884</v>
      </c>
      <c r="AF94" s="446">
        <f t="shared" si="72"/>
        <v>430</v>
      </c>
      <c r="AG94" s="446">
        <f t="shared" si="73"/>
        <v>20.984000000000002</v>
      </c>
      <c r="AH94" s="446">
        <f t="shared" si="74"/>
        <v>0.36980687999999995</v>
      </c>
      <c r="AI94" s="446">
        <f t="shared" si="75"/>
        <v>451</v>
      </c>
      <c r="AJ94" s="258">
        <f t="shared" si="76"/>
        <v>25320120</v>
      </c>
      <c r="AK94" s="258">
        <f t="shared" si="77"/>
        <v>26556684</v>
      </c>
      <c r="AL94" s="426">
        <f t="shared" si="78"/>
        <v>6</v>
      </c>
      <c r="AM94" s="426">
        <f t="array" ref="AM94">MAX((IF(MNU_CODIGO_ALIMENTO_ENTREGA=CONCATENATE($E94,"_","P_"),MNU_GRAMAJE_REQUERIDO_TIPOM,"")))</f>
        <v>40</v>
      </c>
      <c r="AN94" s="259">
        <f t="shared" si="79"/>
        <v>164</v>
      </c>
      <c r="AO94" s="259">
        <f t="shared" si="80"/>
        <v>984</v>
      </c>
      <c r="AP94" s="446">
        <f t="shared" si="81"/>
        <v>287</v>
      </c>
      <c r="AQ94" s="446">
        <f t="shared" si="82"/>
        <v>14.005600000000001</v>
      </c>
      <c r="AR94" s="446">
        <f t="shared" si="83"/>
        <v>0.24682459200000004</v>
      </c>
      <c r="AS94" s="446">
        <f t="shared" si="84"/>
        <v>301</v>
      </c>
      <c r="AT94" s="260">
        <f t="shared" si="85"/>
        <v>282408</v>
      </c>
      <c r="AU94" s="260">
        <f t="shared" si="86"/>
        <v>296184</v>
      </c>
      <c r="AV94" s="425">
        <f t="shared" si="87"/>
        <v>6</v>
      </c>
      <c r="AW94" s="425">
        <f t="array" ref="AW94">MAX((IF(MNU_CODIGO_ALIMENTO_ENTREGA=CONCATENATE($E94,"_","P_"),MNU_GRAMAJE_REQUERIDO_TIPOH,"")))</f>
        <v>60</v>
      </c>
      <c r="AX94" s="257">
        <f t="shared" si="88"/>
        <v>160</v>
      </c>
      <c r="AY94" s="257">
        <f t="shared" si="89"/>
        <v>960</v>
      </c>
      <c r="AZ94" s="446">
        <f t="shared" si="90"/>
        <v>430</v>
      </c>
      <c r="BA94" s="446">
        <f t="shared" si="91"/>
        <v>20.984000000000002</v>
      </c>
      <c r="BB94" s="446">
        <f t="shared" si="92"/>
        <v>0.36980687999999995</v>
      </c>
      <c r="BC94" s="446">
        <f t="shared" si="93"/>
        <v>451</v>
      </c>
      <c r="BD94" s="258">
        <f t="shared" si="94"/>
        <v>412800</v>
      </c>
      <c r="BE94" s="258">
        <f t="shared" si="95"/>
        <v>432960</v>
      </c>
      <c r="BF94" s="391">
        <f t="shared" si="96"/>
        <v>46819284</v>
      </c>
      <c r="BG94" s="391">
        <f t="shared" si="97"/>
        <v>49121280</v>
      </c>
    </row>
    <row r="95" spans="1:59" ht="15.75">
      <c r="A95" s="333">
        <v>7</v>
      </c>
      <c r="B95" s="333" t="str">
        <f t="shared" si="49"/>
        <v>CEREAL EMPACADO_7</v>
      </c>
      <c r="C95" s="333" t="str">
        <f t="shared" si="50"/>
        <v>30_7</v>
      </c>
      <c r="D95" s="333" t="s">
        <v>1607</v>
      </c>
      <c r="E95" s="256">
        <v>30</v>
      </c>
      <c r="F95" s="322" t="s">
        <v>63</v>
      </c>
      <c r="G95" s="256" t="s">
        <v>9</v>
      </c>
      <c r="H95" s="425">
        <f t="shared" si="51"/>
        <v>16</v>
      </c>
      <c r="I95" s="425">
        <f t="array" ref="I95">MAX((IF(MNU_CODIGO_ALIMENTO_ENTREGA=CONCATENATE($E95,"_","P_"),MNU_GRAMAJE_REQUERIDO_TIPOA,"")))</f>
        <v>30</v>
      </c>
      <c r="J95" s="257">
        <f t="shared" si="52"/>
        <v>5424</v>
      </c>
      <c r="K95" s="257">
        <f t="shared" si="53"/>
        <v>86784</v>
      </c>
      <c r="L95" s="446">
        <f t="shared" si="54"/>
        <v>316</v>
      </c>
      <c r="M95" s="446">
        <f t="shared" si="55"/>
        <v>15.4208</v>
      </c>
      <c r="N95" s="446">
        <f t="shared" si="56"/>
        <v>0.271765056</v>
      </c>
      <c r="O95" s="446">
        <f t="shared" si="57"/>
        <v>332</v>
      </c>
      <c r="P95" s="258">
        <f t="shared" si="58"/>
        <v>27423744</v>
      </c>
      <c r="Q95" s="258">
        <f t="shared" si="59"/>
        <v>28812288</v>
      </c>
      <c r="R95" s="426">
        <f t="shared" si="60"/>
        <v>16</v>
      </c>
      <c r="S95" s="426">
        <f t="array" ref="S95">MAX((IF(MNU_CODIGO_ALIMENTO_ENTREGA=CONCATENATE($E95,"_","P_"),MNU_GRAMAJE_REQUERIDO_TIPOB,"")))</f>
        <v>30</v>
      </c>
      <c r="T95" s="259">
        <f t="shared" si="61"/>
        <v>8018</v>
      </c>
      <c r="U95" s="259">
        <f t="shared" si="62"/>
        <v>128288</v>
      </c>
      <c r="V95" s="446">
        <f t="shared" si="63"/>
        <v>316</v>
      </c>
      <c r="W95" s="446">
        <f t="shared" si="64"/>
        <v>15.4208</v>
      </c>
      <c r="X95" s="446">
        <f t="shared" si="65"/>
        <v>0.271765056</v>
      </c>
      <c r="Y95" s="446">
        <f t="shared" si="66"/>
        <v>332</v>
      </c>
      <c r="Z95" s="260">
        <f t="shared" si="67"/>
        <v>40539008</v>
      </c>
      <c r="AA95" s="260">
        <f t="shared" si="68"/>
        <v>42591616</v>
      </c>
      <c r="AB95" s="425">
        <f t="shared" si="69"/>
        <v>16</v>
      </c>
      <c r="AC95" s="425">
        <f t="array" ref="AC95">MAX((IF(MNU_CODIGO_ALIMENTO_ENTREGA=CONCATENATE($E95,"_","P_"),MNU_GRAMAJE_REQUERIDO_TIPOC,"")))</f>
        <v>30</v>
      </c>
      <c r="AD95" s="257">
        <f t="shared" si="70"/>
        <v>9814</v>
      </c>
      <c r="AE95" s="257">
        <f t="shared" si="71"/>
        <v>157024</v>
      </c>
      <c r="AF95" s="446">
        <f t="shared" si="72"/>
        <v>316</v>
      </c>
      <c r="AG95" s="446">
        <f t="shared" si="73"/>
        <v>15.4208</v>
      </c>
      <c r="AH95" s="446">
        <f t="shared" si="74"/>
        <v>0.271765056</v>
      </c>
      <c r="AI95" s="446">
        <f t="shared" si="75"/>
        <v>332</v>
      </c>
      <c r="AJ95" s="258">
        <f t="shared" si="76"/>
        <v>49619584</v>
      </c>
      <c r="AK95" s="258">
        <f t="shared" si="77"/>
        <v>52131968</v>
      </c>
      <c r="AL95" s="426">
        <f t="shared" si="78"/>
        <v>16</v>
      </c>
      <c r="AM95" s="426">
        <f t="array" ref="AM95">MAX((IF(MNU_CODIGO_ALIMENTO_ENTREGA=CONCATENATE($E95,"_","P_"),MNU_GRAMAJE_REQUERIDO_TIPOM,"")))</f>
        <v>30</v>
      </c>
      <c r="AN95" s="259">
        <f t="shared" si="79"/>
        <v>164</v>
      </c>
      <c r="AO95" s="259">
        <f t="shared" si="80"/>
        <v>2624</v>
      </c>
      <c r="AP95" s="446">
        <f t="shared" si="81"/>
        <v>316</v>
      </c>
      <c r="AQ95" s="446">
        <f t="shared" si="82"/>
        <v>15.4208</v>
      </c>
      <c r="AR95" s="446">
        <f t="shared" si="83"/>
        <v>0.271765056</v>
      </c>
      <c r="AS95" s="446">
        <f t="shared" si="84"/>
        <v>332</v>
      </c>
      <c r="AT95" s="260">
        <f t="shared" si="85"/>
        <v>829184</v>
      </c>
      <c r="AU95" s="260">
        <f t="shared" si="86"/>
        <v>871168</v>
      </c>
      <c r="AV95" s="425">
        <f t="shared" si="87"/>
        <v>16</v>
      </c>
      <c r="AW95" s="425">
        <f t="array" ref="AW95">MAX((IF(MNU_CODIGO_ALIMENTO_ENTREGA=CONCATENATE($E95,"_","P_"),MNU_GRAMAJE_REQUERIDO_TIPOH,"")))</f>
        <v>30</v>
      </c>
      <c r="AX95" s="257">
        <f t="shared" si="88"/>
        <v>160</v>
      </c>
      <c r="AY95" s="257">
        <f t="shared" si="89"/>
        <v>2560</v>
      </c>
      <c r="AZ95" s="446">
        <f t="shared" si="90"/>
        <v>316</v>
      </c>
      <c r="BA95" s="446">
        <f t="shared" si="91"/>
        <v>15.4208</v>
      </c>
      <c r="BB95" s="446">
        <f t="shared" si="92"/>
        <v>0.271765056</v>
      </c>
      <c r="BC95" s="446">
        <f t="shared" si="93"/>
        <v>332</v>
      </c>
      <c r="BD95" s="258">
        <f t="shared" si="94"/>
        <v>808960</v>
      </c>
      <c r="BE95" s="258">
        <f t="shared" si="95"/>
        <v>849920</v>
      </c>
      <c r="BF95" s="391">
        <f t="shared" si="96"/>
        <v>119220480</v>
      </c>
      <c r="BG95" s="391">
        <f t="shared" si="97"/>
        <v>125256960</v>
      </c>
    </row>
    <row r="96" spans="1:59" ht="15.75">
      <c r="A96" s="333">
        <v>7</v>
      </c>
      <c r="B96" s="333" t="str">
        <f t="shared" si="49"/>
        <v>CEREAL EMPACADO_7</v>
      </c>
      <c r="C96" s="333" t="str">
        <f t="shared" si="50"/>
        <v>45_7</v>
      </c>
      <c r="D96" s="333" t="s">
        <v>1607</v>
      </c>
      <c r="E96" s="256">
        <v>45</v>
      </c>
      <c r="F96" s="322" t="s">
        <v>10</v>
      </c>
      <c r="G96" s="256" t="s">
        <v>9</v>
      </c>
      <c r="H96" s="425">
        <f t="shared" si="51"/>
        <v>16</v>
      </c>
      <c r="I96" s="425">
        <f t="array" ref="I96">MAX((IF(MNU_CODIGO_ALIMENTO_ENTREGA=CONCATENATE($E96,"_","P_"),MNU_GRAMAJE_REQUERIDO_TIPOA,"")))</f>
        <v>20</v>
      </c>
      <c r="J96" s="257">
        <f t="shared" si="52"/>
        <v>5424</v>
      </c>
      <c r="K96" s="257">
        <f t="shared" si="53"/>
        <v>86784</v>
      </c>
      <c r="L96" s="446">
        <f t="shared" si="54"/>
        <v>190</v>
      </c>
      <c r="M96" s="446">
        <f t="shared" si="55"/>
        <v>9.2720000000000002</v>
      </c>
      <c r="N96" s="446">
        <f t="shared" si="56"/>
        <v>0.16340304</v>
      </c>
      <c r="O96" s="446">
        <f t="shared" si="57"/>
        <v>199</v>
      </c>
      <c r="P96" s="258">
        <f t="shared" si="58"/>
        <v>16488960</v>
      </c>
      <c r="Q96" s="258">
        <f t="shared" si="59"/>
        <v>17270016</v>
      </c>
      <c r="R96" s="426">
        <f t="shared" si="60"/>
        <v>16</v>
      </c>
      <c r="S96" s="426">
        <f t="array" ref="S96">MAX((IF(MNU_CODIGO_ALIMENTO_ENTREGA=CONCATENATE($E96,"_","P_"),MNU_GRAMAJE_REQUERIDO_TIPOB,"")))</f>
        <v>30</v>
      </c>
      <c r="T96" s="259">
        <f t="shared" si="61"/>
        <v>8018</v>
      </c>
      <c r="U96" s="259">
        <f t="shared" si="62"/>
        <v>128288</v>
      </c>
      <c r="V96" s="446">
        <f t="shared" si="63"/>
        <v>284</v>
      </c>
      <c r="W96" s="446">
        <f t="shared" si="64"/>
        <v>13.8592</v>
      </c>
      <c r="X96" s="446">
        <f t="shared" si="65"/>
        <v>0.24424454399999998</v>
      </c>
      <c r="Y96" s="446">
        <f t="shared" si="66"/>
        <v>298</v>
      </c>
      <c r="Z96" s="260">
        <f t="shared" si="67"/>
        <v>36433792</v>
      </c>
      <c r="AA96" s="260">
        <f t="shared" si="68"/>
        <v>38229824</v>
      </c>
      <c r="AB96" s="425">
        <f t="shared" si="69"/>
        <v>16</v>
      </c>
      <c r="AC96" s="425">
        <f t="array" ref="AC96">MAX((IF(MNU_CODIGO_ALIMENTO_ENTREGA=CONCATENATE($E96,"_","P_"),MNU_GRAMAJE_REQUERIDO_TIPOC,"")))</f>
        <v>60</v>
      </c>
      <c r="AD96" s="257">
        <f t="shared" si="70"/>
        <v>9814</v>
      </c>
      <c r="AE96" s="257">
        <f t="shared" si="71"/>
        <v>157024</v>
      </c>
      <c r="AF96" s="446">
        <f t="shared" si="72"/>
        <v>569</v>
      </c>
      <c r="AG96" s="446">
        <f t="shared" si="73"/>
        <v>27.767199999999999</v>
      </c>
      <c r="AH96" s="446">
        <f t="shared" si="74"/>
        <v>0.48934910400000003</v>
      </c>
      <c r="AI96" s="446">
        <f t="shared" si="75"/>
        <v>597</v>
      </c>
      <c r="AJ96" s="258">
        <f t="shared" si="76"/>
        <v>89346656</v>
      </c>
      <c r="AK96" s="258">
        <f t="shared" si="77"/>
        <v>93743328</v>
      </c>
      <c r="AL96" s="426">
        <f t="shared" si="78"/>
        <v>16</v>
      </c>
      <c r="AM96" s="426">
        <f t="array" ref="AM96">MAX((IF(MNU_CODIGO_ALIMENTO_ENTREGA=CONCATENATE($E96,"_","P_"),MNU_GRAMAJE_REQUERIDO_TIPOM,"")))</f>
        <v>30</v>
      </c>
      <c r="AN96" s="259">
        <f t="shared" si="79"/>
        <v>164</v>
      </c>
      <c r="AO96" s="259">
        <f t="shared" si="80"/>
        <v>2624</v>
      </c>
      <c r="AP96" s="446">
        <f t="shared" si="81"/>
        <v>284</v>
      </c>
      <c r="AQ96" s="446">
        <f t="shared" si="82"/>
        <v>13.8592</v>
      </c>
      <c r="AR96" s="446">
        <f t="shared" si="83"/>
        <v>0.24424454399999998</v>
      </c>
      <c r="AS96" s="446">
        <f t="shared" si="84"/>
        <v>298</v>
      </c>
      <c r="AT96" s="260">
        <f t="shared" si="85"/>
        <v>745216</v>
      </c>
      <c r="AU96" s="260">
        <f t="shared" si="86"/>
        <v>781952</v>
      </c>
      <c r="AV96" s="425">
        <f t="shared" si="87"/>
        <v>16</v>
      </c>
      <c r="AW96" s="425">
        <f t="array" ref="AW96">MAX((IF(MNU_CODIGO_ALIMENTO_ENTREGA=CONCATENATE($E96,"_","P_"),MNU_GRAMAJE_REQUERIDO_TIPOH,"")))</f>
        <v>60</v>
      </c>
      <c r="AX96" s="257">
        <f t="shared" si="88"/>
        <v>160</v>
      </c>
      <c r="AY96" s="257">
        <f t="shared" si="89"/>
        <v>2560</v>
      </c>
      <c r="AZ96" s="446">
        <f t="shared" si="90"/>
        <v>569</v>
      </c>
      <c r="BA96" s="446">
        <f t="shared" si="91"/>
        <v>27.767199999999999</v>
      </c>
      <c r="BB96" s="446">
        <f t="shared" si="92"/>
        <v>0.48934910400000003</v>
      </c>
      <c r="BC96" s="446">
        <f t="shared" si="93"/>
        <v>597</v>
      </c>
      <c r="BD96" s="258">
        <f t="shared" si="94"/>
        <v>1456640</v>
      </c>
      <c r="BE96" s="258">
        <f t="shared" si="95"/>
        <v>1528320</v>
      </c>
      <c r="BF96" s="391">
        <f t="shared" si="96"/>
        <v>144471264</v>
      </c>
      <c r="BG96" s="391">
        <f t="shared" si="97"/>
        <v>151553440</v>
      </c>
    </row>
    <row r="97" spans="1:59" ht="15.75">
      <c r="A97" s="333">
        <v>7</v>
      </c>
      <c r="B97" s="333" t="str">
        <f t="shared" si="49"/>
        <v>CEREAL EMPACADO_7</v>
      </c>
      <c r="C97" s="333" t="str">
        <f t="shared" si="50"/>
        <v>50_7</v>
      </c>
      <c r="D97" s="333" t="s">
        <v>1607</v>
      </c>
      <c r="E97" s="256">
        <v>50</v>
      </c>
      <c r="F97" s="322" t="s">
        <v>65</v>
      </c>
      <c r="G97" s="256" t="s">
        <v>9</v>
      </c>
      <c r="H97" s="425">
        <f t="shared" si="51"/>
        <v>17</v>
      </c>
      <c r="I97" s="425">
        <f t="array" ref="I97">MAX((IF(MNU_CODIGO_ALIMENTO_ENTREGA=CONCATENATE($E97,"_","P_"),MNU_GRAMAJE_REQUERIDO_TIPOA,"")))</f>
        <v>30</v>
      </c>
      <c r="J97" s="257">
        <f t="shared" si="52"/>
        <v>5424</v>
      </c>
      <c r="K97" s="257">
        <f t="shared" si="53"/>
        <v>92208</v>
      </c>
      <c r="L97" s="446">
        <f t="shared" si="54"/>
        <v>306</v>
      </c>
      <c r="M97" s="446">
        <f t="shared" si="55"/>
        <v>14.9328</v>
      </c>
      <c r="N97" s="446">
        <f t="shared" si="56"/>
        <v>0.26316489599999998</v>
      </c>
      <c r="O97" s="446">
        <f t="shared" si="57"/>
        <v>321</v>
      </c>
      <c r="P97" s="258">
        <f t="shared" si="58"/>
        <v>28215648</v>
      </c>
      <c r="Q97" s="258">
        <f t="shared" si="59"/>
        <v>29598768</v>
      </c>
      <c r="R97" s="426">
        <f t="shared" si="60"/>
        <v>17</v>
      </c>
      <c r="S97" s="426">
        <f t="array" ref="S97">MAX((IF(MNU_CODIGO_ALIMENTO_ENTREGA=CONCATENATE($E97,"_","P_"),MNU_GRAMAJE_REQUERIDO_TIPOB,"")))</f>
        <v>40</v>
      </c>
      <c r="T97" s="259">
        <f t="shared" si="61"/>
        <v>8018</v>
      </c>
      <c r="U97" s="259">
        <f t="shared" si="62"/>
        <v>136306</v>
      </c>
      <c r="V97" s="446">
        <f t="shared" si="63"/>
        <v>408</v>
      </c>
      <c r="W97" s="446">
        <f t="shared" si="64"/>
        <v>19.910400000000003</v>
      </c>
      <c r="X97" s="446">
        <f t="shared" si="65"/>
        <v>0.35088652799999998</v>
      </c>
      <c r="Y97" s="446">
        <f t="shared" si="66"/>
        <v>428</v>
      </c>
      <c r="Z97" s="260">
        <f t="shared" si="67"/>
        <v>55612848</v>
      </c>
      <c r="AA97" s="260">
        <f t="shared" si="68"/>
        <v>58338968</v>
      </c>
      <c r="AB97" s="425">
        <f t="shared" si="69"/>
        <v>17</v>
      </c>
      <c r="AC97" s="425">
        <f t="array" ref="AC97">MAX((IF(MNU_CODIGO_ALIMENTO_ENTREGA=CONCATENATE($E97,"_","P_"),MNU_GRAMAJE_REQUERIDO_TIPOC,"")))</f>
        <v>80</v>
      </c>
      <c r="AD97" s="257">
        <f t="shared" si="70"/>
        <v>9814</v>
      </c>
      <c r="AE97" s="257">
        <f t="shared" si="71"/>
        <v>166838</v>
      </c>
      <c r="AF97" s="446">
        <f t="shared" si="72"/>
        <v>815</v>
      </c>
      <c r="AG97" s="446">
        <f t="shared" si="73"/>
        <v>39.772000000000006</v>
      </c>
      <c r="AH97" s="446">
        <f t="shared" si="74"/>
        <v>0.7009130400000001</v>
      </c>
      <c r="AI97" s="446">
        <f t="shared" si="75"/>
        <v>855</v>
      </c>
      <c r="AJ97" s="258">
        <f t="shared" si="76"/>
        <v>135972970</v>
      </c>
      <c r="AK97" s="258">
        <f t="shared" si="77"/>
        <v>142646490</v>
      </c>
      <c r="AL97" s="426">
        <f t="shared" si="78"/>
        <v>17</v>
      </c>
      <c r="AM97" s="426">
        <f t="array" ref="AM97">MAX((IF(MNU_CODIGO_ALIMENTO_ENTREGA=CONCATENATE($E97,"_","P_"),MNU_GRAMAJE_REQUERIDO_TIPOM,"")))</f>
        <v>40</v>
      </c>
      <c r="AN97" s="259">
        <f t="shared" si="79"/>
        <v>164</v>
      </c>
      <c r="AO97" s="259">
        <f t="shared" si="80"/>
        <v>2788</v>
      </c>
      <c r="AP97" s="446">
        <f t="shared" si="81"/>
        <v>408</v>
      </c>
      <c r="AQ97" s="446">
        <f t="shared" si="82"/>
        <v>19.910400000000003</v>
      </c>
      <c r="AR97" s="446">
        <f t="shared" si="83"/>
        <v>0.35088652799999998</v>
      </c>
      <c r="AS97" s="446">
        <f t="shared" si="84"/>
        <v>428</v>
      </c>
      <c r="AT97" s="260">
        <f t="shared" si="85"/>
        <v>1137504</v>
      </c>
      <c r="AU97" s="260">
        <f t="shared" si="86"/>
        <v>1193264</v>
      </c>
      <c r="AV97" s="425">
        <f t="shared" si="87"/>
        <v>17</v>
      </c>
      <c r="AW97" s="425">
        <f t="array" ref="AW97">MAX((IF(MNU_CODIGO_ALIMENTO_ENTREGA=CONCATENATE($E97,"_","P_"),MNU_GRAMAJE_REQUERIDO_TIPOH,"")))</f>
        <v>80</v>
      </c>
      <c r="AX97" s="257">
        <f t="shared" si="88"/>
        <v>160</v>
      </c>
      <c r="AY97" s="257">
        <f t="shared" si="89"/>
        <v>2720</v>
      </c>
      <c r="AZ97" s="446">
        <f t="shared" si="90"/>
        <v>815</v>
      </c>
      <c r="BA97" s="446">
        <f t="shared" si="91"/>
        <v>39.772000000000006</v>
      </c>
      <c r="BB97" s="446">
        <f t="shared" si="92"/>
        <v>0.7009130400000001</v>
      </c>
      <c r="BC97" s="446">
        <f t="shared" si="93"/>
        <v>855</v>
      </c>
      <c r="BD97" s="258">
        <f t="shared" si="94"/>
        <v>2216800</v>
      </c>
      <c r="BE97" s="258">
        <f t="shared" si="95"/>
        <v>2325600</v>
      </c>
      <c r="BF97" s="391">
        <f t="shared" si="96"/>
        <v>223155770</v>
      </c>
      <c r="BG97" s="391">
        <f t="shared" si="97"/>
        <v>234103090</v>
      </c>
    </row>
    <row r="98" spans="1:59" ht="15.75">
      <c r="A98" s="333">
        <v>7</v>
      </c>
      <c r="B98" s="333" t="str">
        <f t="shared" si="49"/>
        <v>CEREAL EMPACADO_7</v>
      </c>
      <c r="C98" s="333" t="str">
        <f t="shared" si="50"/>
        <v>61_7</v>
      </c>
      <c r="D98" s="333" t="s">
        <v>1607</v>
      </c>
      <c r="E98" s="256">
        <v>61</v>
      </c>
      <c r="F98" s="322" t="s">
        <v>13</v>
      </c>
      <c r="G98" s="256" t="s">
        <v>9</v>
      </c>
      <c r="H98" s="425">
        <f t="shared" si="51"/>
        <v>16</v>
      </c>
      <c r="I98" s="425">
        <f t="array" ref="I98">MAX((IF(MNU_CODIGO_ALIMENTO_ENTREGA=CONCATENATE($E98,"_","P_"),MNU_GRAMAJE_REQUERIDO_TIPOA,"")))</f>
        <v>20</v>
      </c>
      <c r="J98" s="257">
        <f t="shared" si="52"/>
        <v>5424</v>
      </c>
      <c r="K98" s="257">
        <f t="shared" si="53"/>
        <v>86784</v>
      </c>
      <c r="L98" s="446">
        <f t="shared" si="54"/>
        <v>222</v>
      </c>
      <c r="M98" s="446">
        <f t="shared" si="55"/>
        <v>10.833600000000001</v>
      </c>
      <c r="N98" s="446">
        <f t="shared" si="56"/>
        <v>0.190923552</v>
      </c>
      <c r="O98" s="446">
        <f t="shared" si="57"/>
        <v>233</v>
      </c>
      <c r="P98" s="258">
        <f t="shared" si="58"/>
        <v>19266048</v>
      </c>
      <c r="Q98" s="258">
        <f t="shared" si="59"/>
        <v>20220672</v>
      </c>
      <c r="R98" s="426">
        <f t="shared" si="60"/>
        <v>16</v>
      </c>
      <c r="S98" s="426">
        <f t="array" ref="S98">MAX((IF(MNU_CODIGO_ALIMENTO_ENTREGA=CONCATENATE($E98,"_","P_"),MNU_GRAMAJE_REQUERIDO_TIPOB,"")))</f>
        <v>30</v>
      </c>
      <c r="T98" s="259">
        <f t="shared" si="61"/>
        <v>8018</v>
      </c>
      <c r="U98" s="259">
        <f t="shared" si="62"/>
        <v>128288</v>
      </c>
      <c r="V98" s="446">
        <f t="shared" si="63"/>
        <v>334</v>
      </c>
      <c r="W98" s="446">
        <f t="shared" si="64"/>
        <v>16.299199999999999</v>
      </c>
      <c r="X98" s="446">
        <f t="shared" si="65"/>
        <v>0.28724534400000001</v>
      </c>
      <c r="Y98" s="446">
        <f t="shared" si="66"/>
        <v>351</v>
      </c>
      <c r="Z98" s="260">
        <f t="shared" si="67"/>
        <v>42848192</v>
      </c>
      <c r="AA98" s="260">
        <f t="shared" si="68"/>
        <v>45029088</v>
      </c>
      <c r="AB98" s="425">
        <f t="shared" si="69"/>
        <v>16</v>
      </c>
      <c r="AC98" s="425">
        <f t="array" ref="AC98">MAX((IF(MNU_CODIGO_ALIMENTO_ENTREGA=CONCATENATE($E98,"_","P_"),MNU_GRAMAJE_REQUERIDO_TIPOC,"")))</f>
        <v>70</v>
      </c>
      <c r="AD98" s="257">
        <f t="shared" si="70"/>
        <v>9814</v>
      </c>
      <c r="AE98" s="257">
        <f t="shared" si="71"/>
        <v>157024</v>
      </c>
      <c r="AF98" s="446">
        <f t="shared" si="72"/>
        <v>779</v>
      </c>
      <c r="AG98" s="446">
        <f t="shared" si="73"/>
        <v>38.0152</v>
      </c>
      <c r="AH98" s="446">
        <f t="shared" si="74"/>
        <v>0.66995246400000008</v>
      </c>
      <c r="AI98" s="446">
        <f t="shared" si="75"/>
        <v>818</v>
      </c>
      <c r="AJ98" s="258">
        <f t="shared" si="76"/>
        <v>122321696</v>
      </c>
      <c r="AK98" s="258">
        <f t="shared" si="77"/>
        <v>128445632</v>
      </c>
      <c r="AL98" s="426">
        <f t="shared" si="78"/>
        <v>16</v>
      </c>
      <c r="AM98" s="426">
        <f t="array" ref="AM98">MAX((IF(MNU_CODIGO_ALIMENTO_ENTREGA=CONCATENATE($E98,"_","P_"),MNU_GRAMAJE_REQUERIDO_TIPOM,"")))</f>
        <v>30</v>
      </c>
      <c r="AN98" s="259">
        <f t="shared" si="79"/>
        <v>164</v>
      </c>
      <c r="AO98" s="259">
        <f t="shared" si="80"/>
        <v>2624</v>
      </c>
      <c r="AP98" s="446">
        <f t="shared" si="81"/>
        <v>334</v>
      </c>
      <c r="AQ98" s="446">
        <f t="shared" si="82"/>
        <v>16.299199999999999</v>
      </c>
      <c r="AR98" s="446">
        <f t="shared" si="83"/>
        <v>0.28724534400000001</v>
      </c>
      <c r="AS98" s="446">
        <f t="shared" si="84"/>
        <v>351</v>
      </c>
      <c r="AT98" s="260">
        <f t="shared" si="85"/>
        <v>876416</v>
      </c>
      <c r="AU98" s="260">
        <f t="shared" si="86"/>
        <v>921024</v>
      </c>
      <c r="AV98" s="425">
        <f t="shared" si="87"/>
        <v>16</v>
      </c>
      <c r="AW98" s="425">
        <f t="array" ref="AW98">MAX((IF(MNU_CODIGO_ALIMENTO_ENTREGA=CONCATENATE($E98,"_","P_"),MNU_GRAMAJE_REQUERIDO_TIPOH,"")))</f>
        <v>70</v>
      </c>
      <c r="AX98" s="257">
        <f t="shared" si="88"/>
        <v>160</v>
      </c>
      <c r="AY98" s="257">
        <f t="shared" si="89"/>
        <v>2560</v>
      </c>
      <c r="AZ98" s="446">
        <f t="shared" si="90"/>
        <v>779</v>
      </c>
      <c r="BA98" s="446">
        <f t="shared" si="91"/>
        <v>38.0152</v>
      </c>
      <c r="BB98" s="446">
        <f t="shared" si="92"/>
        <v>0.66995246400000008</v>
      </c>
      <c r="BC98" s="446">
        <f t="shared" si="93"/>
        <v>818</v>
      </c>
      <c r="BD98" s="258">
        <f t="shared" si="94"/>
        <v>1994240</v>
      </c>
      <c r="BE98" s="258">
        <f t="shared" si="95"/>
        <v>2094080</v>
      </c>
      <c r="BF98" s="391">
        <f t="shared" si="96"/>
        <v>187306592</v>
      </c>
      <c r="BG98" s="391">
        <f t="shared" si="97"/>
        <v>196710496</v>
      </c>
    </row>
    <row r="99" spans="1:59" ht="15.75">
      <c r="A99" s="333">
        <v>7</v>
      </c>
      <c r="B99" s="333" t="str">
        <f t="shared" si="49"/>
        <v>CEREAL EMPACADO_7</v>
      </c>
      <c r="C99" s="333" t="str">
        <f t="shared" si="50"/>
        <v>62_7</v>
      </c>
      <c r="D99" s="333" t="s">
        <v>1607</v>
      </c>
      <c r="E99" s="256">
        <v>62</v>
      </c>
      <c r="F99" s="322" t="s">
        <v>68</v>
      </c>
      <c r="G99" s="256" t="s">
        <v>9</v>
      </c>
      <c r="H99" s="425">
        <f t="shared" si="51"/>
        <v>5</v>
      </c>
      <c r="I99" s="425">
        <f t="array" ref="I99">MAX((IF(MNU_CODIGO_ALIMENTO_ENTREGA=CONCATENATE($E99,"_","P_"),MNU_GRAMAJE_REQUERIDO_TIPOA,"")))</f>
        <v>50</v>
      </c>
      <c r="J99" s="257">
        <f t="shared" si="52"/>
        <v>5424</v>
      </c>
      <c r="K99" s="257">
        <f t="shared" si="53"/>
        <v>27120</v>
      </c>
      <c r="L99" s="446">
        <f t="shared" si="54"/>
        <v>595</v>
      </c>
      <c r="M99" s="446">
        <f t="shared" si="55"/>
        <v>29.036000000000001</v>
      </c>
      <c r="N99" s="446">
        <f t="shared" si="56"/>
        <v>0.51170952000000014</v>
      </c>
      <c r="O99" s="446">
        <f t="shared" si="57"/>
        <v>625</v>
      </c>
      <c r="P99" s="258">
        <f t="shared" si="58"/>
        <v>16136400</v>
      </c>
      <c r="Q99" s="258">
        <f t="shared" si="59"/>
        <v>16950000</v>
      </c>
      <c r="R99" s="426">
        <f t="shared" si="60"/>
        <v>5</v>
      </c>
      <c r="S99" s="426">
        <f t="array" ref="S99">MAX((IF(MNU_CODIGO_ALIMENTO_ENTREGA=CONCATENATE($E99,"_","P_"),MNU_GRAMAJE_REQUERIDO_TIPOB,"")))</f>
        <v>50</v>
      </c>
      <c r="T99" s="259">
        <f t="shared" si="61"/>
        <v>8018</v>
      </c>
      <c r="U99" s="259">
        <f t="shared" si="62"/>
        <v>40090</v>
      </c>
      <c r="V99" s="446">
        <f t="shared" si="63"/>
        <v>595</v>
      </c>
      <c r="W99" s="446">
        <f t="shared" si="64"/>
        <v>29.036000000000001</v>
      </c>
      <c r="X99" s="446">
        <f t="shared" si="65"/>
        <v>0.51170952000000014</v>
      </c>
      <c r="Y99" s="446">
        <f t="shared" si="66"/>
        <v>625</v>
      </c>
      <c r="Z99" s="260">
        <f t="shared" si="67"/>
        <v>23853550</v>
      </c>
      <c r="AA99" s="260">
        <f t="shared" si="68"/>
        <v>25056250</v>
      </c>
      <c r="AB99" s="425">
        <f t="shared" si="69"/>
        <v>5</v>
      </c>
      <c r="AC99" s="425">
        <f t="array" ref="AC99">MAX((IF(MNU_CODIGO_ALIMENTO_ENTREGA=CONCATENATE($E99,"_","P_"),MNU_GRAMAJE_REQUERIDO_TIPOC,"")))</f>
        <v>50</v>
      </c>
      <c r="AD99" s="257">
        <f t="shared" si="70"/>
        <v>9814</v>
      </c>
      <c r="AE99" s="257">
        <f t="shared" si="71"/>
        <v>49070</v>
      </c>
      <c r="AF99" s="446">
        <f t="shared" si="72"/>
        <v>595</v>
      </c>
      <c r="AG99" s="446">
        <f t="shared" si="73"/>
        <v>29.036000000000001</v>
      </c>
      <c r="AH99" s="446">
        <f t="shared" si="74"/>
        <v>0.51170952000000014</v>
      </c>
      <c r="AI99" s="446">
        <f t="shared" si="75"/>
        <v>625</v>
      </c>
      <c r="AJ99" s="258">
        <f t="shared" si="76"/>
        <v>29196650</v>
      </c>
      <c r="AK99" s="258">
        <f t="shared" si="77"/>
        <v>30668750</v>
      </c>
      <c r="AL99" s="426">
        <f t="shared" si="78"/>
        <v>5</v>
      </c>
      <c r="AM99" s="426">
        <f t="array" ref="AM99">MAX((IF(MNU_CODIGO_ALIMENTO_ENTREGA=CONCATENATE($E99,"_","P_"),MNU_GRAMAJE_REQUERIDO_TIPOM,"")))</f>
        <v>50</v>
      </c>
      <c r="AN99" s="259">
        <f t="shared" si="79"/>
        <v>164</v>
      </c>
      <c r="AO99" s="259">
        <f t="shared" si="80"/>
        <v>820</v>
      </c>
      <c r="AP99" s="446">
        <f t="shared" si="81"/>
        <v>595</v>
      </c>
      <c r="AQ99" s="446">
        <f t="shared" si="82"/>
        <v>29.036000000000001</v>
      </c>
      <c r="AR99" s="446">
        <f t="shared" si="83"/>
        <v>0.51170952000000014</v>
      </c>
      <c r="AS99" s="446">
        <f t="shared" si="84"/>
        <v>625</v>
      </c>
      <c r="AT99" s="260">
        <f t="shared" si="85"/>
        <v>487900</v>
      </c>
      <c r="AU99" s="260">
        <f t="shared" si="86"/>
        <v>512500</v>
      </c>
      <c r="AV99" s="425">
        <f t="shared" si="87"/>
        <v>5</v>
      </c>
      <c r="AW99" s="425">
        <f t="array" ref="AW99">MAX((IF(MNU_CODIGO_ALIMENTO_ENTREGA=CONCATENATE($E99,"_","P_"),MNU_GRAMAJE_REQUERIDO_TIPOH,"")))</f>
        <v>50</v>
      </c>
      <c r="AX99" s="257">
        <f t="shared" si="88"/>
        <v>160</v>
      </c>
      <c r="AY99" s="257">
        <f t="shared" si="89"/>
        <v>800</v>
      </c>
      <c r="AZ99" s="446">
        <f t="shared" si="90"/>
        <v>595</v>
      </c>
      <c r="BA99" s="446">
        <f t="shared" si="91"/>
        <v>29.036000000000001</v>
      </c>
      <c r="BB99" s="446">
        <f t="shared" si="92"/>
        <v>0.51170952000000014</v>
      </c>
      <c r="BC99" s="446">
        <f t="shared" si="93"/>
        <v>625</v>
      </c>
      <c r="BD99" s="258">
        <f t="shared" si="94"/>
        <v>476000</v>
      </c>
      <c r="BE99" s="258">
        <f t="shared" si="95"/>
        <v>500000</v>
      </c>
      <c r="BF99" s="391">
        <f t="shared" si="96"/>
        <v>70150500</v>
      </c>
      <c r="BG99" s="391">
        <f t="shared" si="97"/>
        <v>73687500</v>
      </c>
    </row>
    <row r="100" spans="1:59" ht="15.75">
      <c r="A100" s="333">
        <v>8</v>
      </c>
      <c r="B100" s="333" t="str">
        <f t="shared" ref="B100:B163" si="98">CONCATENATE(D100,"_",A100)</f>
        <v>CEREAL EMPACADO_8</v>
      </c>
      <c r="C100" s="333" t="str">
        <f t="shared" ref="C100:C163" si="99">CONCATENATE(E100,"_",A100)</f>
        <v>1_8</v>
      </c>
      <c r="D100" s="333" t="s">
        <v>1607</v>
      </c>
      <c r="E100" s="256">
        <v>1</v>
      </c>
      <c r="F100" s="322" t="s">
        <v>16</v>
      </c>
      <c r="G100" s="256" t="s">
        <v>9</v>
      </c>
      <c r="H100" s="425">
        <f t="shared" ref="H100:H163" si="100">SUMIF(MNU_CODIGO_ALIMENTO_ENTREGA,CONCATENATE($E100,"_","P_"),MNU_FRECUENCIAS_LAV_TIPOA)</f>
        <v>15</v>
      </c>
      <c r="I100" s="425">
        <f t="array" ref="I100">MAX((IF(MNU_CODIGO_ALIMENTO_ENTREGA=CONCATENATE($E100,"_","P_"),MNU_GRAMAJE_REQUERIDO_TIPOA,"")))</f>
        <v>30</v>
      </c>
      <c r="J100" s="257">
        <f t="shared" ref="J100:J163" si="101">SUMIF(VOL_GRUPO,CONCATENATE($A100,"1052-1NO"),VOL_TIPOA)</f>
        <v>3905</v>
      </c>
      <c r="K100" s="257">
        <f t="shared" ref="K100:K163" si="102">H100*J100</f>
        <v>58575</v>
      </c>
      <c r="L100" s="446">
        <f t="shared" ref="L100:L163" si="103">IF(ISERROR(AVERAGEIFS(MNU_COSTO_UNITARIO_TIPOA_SELECCIONADO,MNU_CODIGO_ALIMENTO_ENTREGA,CONCATENATE($E100,"_","P_"))),0,AVERAGEIFS(MNU_COSTO_UNITARIO_TIPOA_SELECCIONADO,MNU_CODIGO_ALIMENTO_ENTREGA,CONCATENATE($E100,"_","P_")))</f>
        <v>770</v>
      </c>
      <c r="M100" s="446">
        <f t="shared" ref="M100:M163" si="104">(L100*0.01)+(L100*0.005)+(L100*0.02)+(L100*(13.8/1000))</f>
        <v>37.576000000000008</v>
      </c>
      <c r="N100" s="446">
        <f t="shared" ref="N100:N163" si="105">((L100+M100)*0.00071)+((L100+M100)*0.00011)</f>
        <v>0.66221231999999997</v>
      </c>
      <c r="O100" s="446">
        <f t="shared" ref="O100:O163" si="106">ROUND(L100+M100+N100,0)</f>
        <v>808</v>
      </c>
      <c r="P100" s="258">
        <f t="shared" ref="P100:P163" si="107">H100*J100*L100</f>
        <v>45102750</v>
      </c>
      <c r="Q100" s="258">
        <f t="shared" ref="Q100:Q163" si="108">H100*J100*O100</f>
        <v>47328600</v>
      </c>
      <c r="R100" s="426">
        <f t="shared" ref="R100:R163" si="109">SUMIF(MNU_CODIGO_ALIMENTO_ENTREGA,CONCATENATE($E100,"_","P_"),MNU_FRECUENCIAS_LAV_TIPOB)</f>
        <v>15</v>
      </c>
      <c r="S100" s="426">
        <f t="array" ref="S100">MAX((IF(MNU_CODIGO_ALIMENTO_ENTREGA=CONCATENATE($E100,"_","P_"),MNU_GRAMAJE_REQUERIDO_TIPOB,"")))</f>
        <v>40</v>
      </c>
      <c r="T100" s="259">
        <f t="shared" ref="T100:T163" si="110">SUMIF(VOL_GRUPO,CONCATENATE($A100,"1052-1NO"),VOL_TIPOB)</f>
        <v>5347</v>
      </c>
      <c r="U100" s="259">
        <f t="shared" ref="U100:U163" si="111">R100*T100</f>
        <v>80205</v>
      </c>
      <c r="V100" s="446">
        <f t="shared" ref="V100:V163" si="112">IF(ISERROR(AVERAGEIFS(MNU_COSTO_UNITARIO_TIPOB_SELECCIONADO,MNU_CODIGO_ALIMENTO_ENTREGA,CONCATENATE($E100,"_","P_"))),0,AVERAGEIFS(MNU_COSTO_UNITARIO_TIPOB_SELECCIONADO,MNU_CODIGO_ALIMENTO_ENTREGA,CONCATENATE($E100,"_","P_")))</f>
        <v>1027</v>
      </c>
      <c r="W100" s="446">
        <f t="shared" ref="W100:W163" si="113">(V100*0.01)+(V100*0.005)+(V100*0.02)+(V100*(13.8/1000))</f>
        <v>50.117600000000003</v>
      </c>
      <c r="X100" s="446">
        <f t="shared" ref="X100:X163" si="114">((V100+W100)*0.00071)+((V100+W100)*0.00011)</f>
        <v>0.88323643200000013</v>
      </c>
      <c r="Y100" s="446">
        <f t="shared" ref="Y100:Y163" si="115">ROUND(V100+W100+X100,0)</f>
        <v>1078</v>
      </c>
      <c r="Z100" s="260">
        <f t="shared" ref="Z100:Z163" si="116">R100*T100*V100</f>
        <v>82370535</v>
      </c>
      <c r="AA100" s="260">
        <f t="shared" ref="AA100:AA163" si="117">R100*T100*Y100</f>
        <v>86460990</v>
      </c>
      <c r="AB100" s="425">
        <f t="shared" ref="AB100:AB163" si="118">SUMIF(MNU_CODIGO_ALIMENTO_ENTREGA,CONCATENATE($E100,"_","P_"),MNU_FRECUENCIAS_LAV_TIPOC)</f>
        <v>15</v>
      </c>
      <c r="AC100" s="425">
        <f t="array" ref="AC100">MAX((IF(MNU_CODIGO_ALIMENTO_ENTREGA=CONCATENATE($E100,"_","P_"),MNU_GRAMAJE_REQUERIDO_TIPOC,"")))</f>
        <v>60</v>
      </c>
      <c r="AD100" s="257">
        <f t="shared" ref="AD100:AD163" si="119">SUMIF(VOL_GRUPO,CONCATENATE($A100,"1052-1NO"),VOL_TIPOC)</f>
        <v>5513</v>
      </c>
      <c r="AE100" s="257">
        <f t="shared" ref="AE100:AE163" si="120">AB100*AD100</f>
        <v>82695</v>
      </c>
      <c r="AF100" s="446">
        <f t="shared" ref="AF100:AF163" si="121">IF(ISERROR(AVERAGEIFS(MNU_COSTO_UNITARIO_TIPOC_SELECCIONADO,MNU_CODIGO_ALIMENTO_ENTREGA,CONCATENATE($E100,"_","P_"))),0,AVERAGEIFS(MNU_COSTO_UNITARIO_TIPOC_SELECCIONADO,MNU_CODIGO_ALIMENTO_ENTREGA,CONCATENATE($E100,"_","P_")))</f>
        <v>1540</v>
      </c>
      <c r="AG100" s="446">
        <f t="shared" ref="AG100:AG163" si="122">(AF100*0.01)+(AF100*0.005)+(AF100*0.02)+(AF100*(13.8/1000))</f>
        <v>75.152000000000015</v>
      </c>
      <c r="AH100" s="446">
        <f t="shared" ref="AH100:AH163" si="123">((AF100+AG100)*0.00071)+((AF100+AG100)*0.00011)</f>
        <v>1.3244246399999999</v>
      </c>
      <c r="AI100" s="446">
        <f t="shared" ref="AI100:AI163" si="124">ROUND(AF100+AG100+AH100,0)</f>
        <v>1616</v>
      </c>
      <c r="AJ100" s="258">
        <f t="shared" ref="AJ100:AJ163" si="125">AB100*AD100*AF100</f>
        <v>127350300</v>
      </c>
      <c r="AK100" s="258">
        <f t="shared" ref="AK100:AK163" si="126">AB100*AD100*AI100</f>
        <v>133635120</v>
      </c>
      <c r="AL100" s="426">
        <f t="shared" ref="AL100:AL163" si="127">SUMIF(MNU_CODIGO_ALIMENTO_ENTREGA,CONCATENATE($E100,"_","P_"),MNU_FRECUENCIAS_LAV_TIPOM)</f>
        <v>15</v>
      </c>
      <c r="AM100" s="426">
        <f t="array" ref="AM100">MAX((IF(MNU_CODIGO_ALIMENTO_ENTREGA=CONCATENATE($E100,"_","P_"),MNU_GRAMAJE_REQUERIDO_TIPOM,"")))</f>
        <v>40</v>
      </c>
      <c r="AN100" s="259">
        <f t="shared" ref="AN100:AN163" si="128">SUMIF(VOL_GRUPO,CONCATENATE($A100,"1052-1NO"),VOL_TIPOM)</f>
        <v>235</v>
      </c>
      <c r="AO100" s="259">
        <f t="shared" ref="AO100:AO163" si="129">AL100*AN100</f>
        <v>3525</v>
      </c>
      <c r="AP100" s="446">
        <f t="shared" ref="AP100:AP163" si="130">IF(ISERROR(AVERAGEIFS(MNU_COSTO_UNITARIO_TIPOM_SELECCIONADO,MNU_CODIGO_ALIMENTO_ENTREGA,CONCATENATE($E100,"_","P_"))),0,AVERAGEIFS(MNU_COSTO_UNITARIO_TIPOM_SELECCIONADO,MNU_CODIGO_ALIMENTO_ENTREGA,CONCATENATE($E100,"_","P_")))</f>
        <v>1027</v>
      </c>
      <c r="AQ100" s="446">
        <f t="shared" ref="AQ100:AQ163" si="131">(AP100*0.01)+(AP100*0.005)+(AP100*0.02)+(AP100*(13.8/1000))</f>
        <v>50.117600000000003</v>
      </c>
      <c r="AR100" s="446">
        <f t="shared" ref="AR100:AR163" si="132">((AP100+AQ100)*0.00071)+((AP100+AQ100)*0.00011)</f>
        <v>0.88323643200000013</v>
      </c>
      <c r="AS100" s="446">
        <f t="shared" ref="AS100:AS163" si="133">ROUND(AP100+AQ100+AR100,0)</f>
        <v>1078</v>
      </c>
      <c r="AT100" s="260">
        <f t="shared" ref="AT100:AT163" si="134">AL100*AN100*AP100</f>
        <v>3620175</v>
      </c>
      <c r="AU100" s="260">
        <f t="shared" ref="AU100:AU163" si="135">AL100*AN100*AS100</f>
        <v>3799950</v>
      </c>
      <c r="AV100" s="425">
        <f t="shared" ref="AV100:AV163" si="136">SUMIF(MNU_CODIGO_ALIMENTO_ENTREGA,CONCATENATE($E100,"_","P_"),MNU_FRECUENCIAS_LAV_TIPOH)</f>
        <v>15</v>
      </c>
      <c r="AW100" s="425">
        <f t="array" ref="AW100">MAX((IF(MNU_CODIGO_ALIMENTO_ENTREGA=CONCATENATE($E100,"_","P_"),MNU_GRAMAJE_REQUERIDO_TIPOH,"")))</f>
        <v>60</v>
      </c>
      <c r="AX100" s="257">
        <f t="shared" ref="AX100:AX163" si="137">SUMIF(VOL_GRUPO,CONCATENATE($A100,"1052-1NO"),VOL_TIPOH)</f>
        <v>243</v>
      </c>
      <c r="AY100" s="257">
        <f t="shared" ref="AY100:AY163" si="138">AV100*AX100</f>
        <v>3645</v>
      </c>
      <c r="AZ100" s="446">
        <f t="shared" ref="AZ100:AZ163" si="139">IF(ISERROR(AVERAGEIFS(MNU_COSTO_UNITARIO_TIPOH_SELECCIONADO,MNU_CODIGO_ALIMENTO_ENTREGA,CONCATENATE($E100,"_","P_"))),0,AVERAGEIFS(MNU_COSTO_UNITARIO_TIPOH_SELECCIONADO,MNU_CODIGO_ALIMENTO_ENTREGA,CONCATENATE($E100,"_","P_")))</f>
        <v>1540</v>
      </c>
      <c r="BA100" s="446">
        <f t="shared" ref="BA100:BA163" si="140">(AZ100*0.01)+(AZ100*0.005)+(AZ100*0.02)+(AZ100*(13.8/1000))</f>
        <v>75.152000000000015</v>
      </c>
      <c r="BB100" s="446">
        <f t="shared" ref="BB100:BB163" si="141">((AZ100+BA100)*0.00071)+((AZ100+BA100)*0.00011)</f>
        <v>1.3244246399999999</v>
      </c>
      <c r="BC100" s="446">
        <f t="shared" ref="BC100:BC163" si="142">ROUND(AZ100+BA100+BB100,0)</f>
        <v>1616</v>
      </c>
      <c r="BD100" s="258">
        <f t="shared" ref="BD100:BD163" si="143">AV100*AX100*AZ100</f>
        <v>5613300</v>
      </c>
      <c r="BE100" s="258">
        <f t="shared" ref="BE100:BE163" si="144">AV100*AX100*BC100</f>
        <v>5890320</v>
      </c>
      <c r="BF100" s="391">
        <f t="shared" ref="BF100:BF163" si="145">BD100+AT100+AJ100+Z100+P100</f>
        <v>264057060</v>
      </c>
      <c r="BG100" s="391">
        <f t="shared" ref="BG100:BG163" si="146">BE100+AU100+AK100+AA100+Q100</f>
        <v>277114980</v>
      </c>
    </row>
    <row r="101" spans="1:59" ht="15.75">
      <c r="A101" s="333">
        <v>8</v>
      </c>
      <c r="B101" s="333" t="str">
        <f t="shared" si="98"/>
        <v>CEREAL EMPACADO_8</v>
      </c>
      <c r="C101" s="333" t="str">
        <f t="shared" si="99"/>
        <v>3_8</v>
      </c>
      <c r="D101" s="333" t="s">
        <v>1607</v>
      </c>
      <c r="E101" s="256">
        <v>3</v>
      </c>
      <c r="F101" s="322" t="s">
        <v>12</v>
      </c>
      <c r="G101" s="256" t="s">
        <v>9</v>
      </c>
      <c r="H101" s="425">
        <f t="shared" si="100"/>
        <v>17</v>
      </c>
      <c r="I101" s="425">
        <f t="array" ref="I101">MAX((IF(MNU_CODIGO_ALIMENTO_ENTREGA=CONCATENATE($E101,"_","P_"),MNU_GRAMAJE_REQUERIDO_TIPOA,"")))</f>
        <v>50</v>
      </c>
      <c r="J101" s="257">
        <f t="shared" si="101"/>
        <v>3905</v>
      </c>
      <c r="K101" s="257">
        <f t="shared" si="102"/>
        <v>66385</v>
      </c>
      <c r="L101" s="446">
        <f t="shared" si="103"/>
        <v>481</v>
      </c>
      <c r="M101" s="446">
        <f t="shared" si="104"/>
        <v>23.472799999999999</v>
      </c>
      <c r="N101" s="446">
        <f t="shared" si="105"/>
        <v>0.41366769599999997</v>
      </c>
      <c r="O101" s="446">
        <f t="shared" si="106"/>
        <v>505</v>
      </c>
      <c r="P101" s="258">
        <f t="shared" si="107"/>
        <v>31931185</v>
      </c>
      <c r="Q101" s="258">
        <f t="shared" si="108"/>
        <v>33524425</v>
      </c>
      <c r="R101" s="426">
        <f t="shared" si="109"/>
        <v>17</v>
      </c>
      <c r="S101" s="426">
        <f t="array" ref="S101">MAX((IF(MNU_CODIGO_ALIMENTO_ENTREGA=CONCATENATE($E101,"_","P_"),MNU_GRAMAJE_REQUERIDO_TIPOB,"")))</f>
        <v>50</v>
      </c>
      <c r="T101" s="259">
        <f t="shared" si="110"/>
        <v>5347</v>
      </c>
      <c r="U101" s="259">
        <f t="shared" si="111"/>
        <v>90899</v>
      </c>
      <c r="V101" s="446">
        <f t="shared" si="112"/>
        <v>481</v>
      </c>
      <c r="W101" s="446">
        <f t="shared" si="113"/>
        <v>23.472799999999999</v>
      </c>
      <c r="X101" s="446">
        <f t="shared" si="114"/>
        <v>0.41366769599999997</v>
      </c>
      <c r="Y101" s="446">
        <f t="shared" si="115"/>
        <v>505</v>
      </c>
      <c r="Z101" s="260">
        <f t="shared" si="116"/>
        <v>43722419</v>
      </c>
      <c r="AA101" s="260">
        <f t="shared" si="117"/>
        <v>45903995</v>
      </c>
      <c r="AB101" s="425">
        <f t="shared" si="118"/>
        <v>17</v>
      </c>
      <c r="AC101" s="425">
        <f t="array" ref="AC101">MAX((IF(MNU_CODIGO_ALIMENTO_ENTREGA=CONCATENATE($E101,"_","P_"),MNU_GRAMAJE_REQUERIDO_TIPOC,"")))</f>
        <v>80</v>
      </c>
      <c r="AD101" s="257">
        <f t="shared" si="119"/>
        <v>5513</v>
      </c>
      <c r="AE101" s="257">
        <f t="shared" si="120"/>
        <v>93721</v>
      </c>
      <c r="AF101" s="446">
        <f t="shared" si="121"/>
        <v>727</v>
      </c>
      <c r="AG101" s="446">
        <f t="shared" si="122"/>
        <v>35.477600000000002</v>
      </c>
      <c r="AH101" s="446">
        <f t="shared" si="123"/>
        <v>0.62523163200000009</v>
      </c>
      <c r="AI101" s="446">
        <f t="shared" si="124"/>
        <v>763</v>
      </c>
      <c r="AJ101" s="258">
        <f t="shared" si="125"/>
        <v>68135167</v>
      </c>
      <c r="AK101" s="258">
        <f t="shared" si="126"/>
        <v>71509123</v>
      </c>
      <c r="AL101" s="426">
        <f t="shared" si="127"/>
        <v>17</v>
      </c>
      <c r="AM101" s="426">
        <f t="array" ref="AM101">MAX((IF(MNU_CODIGO_ALIMENTO_ENTREGA=CONCATENATE($E101,"_","P_"),MNU_GRAMAJE_REQUERIDO_TIPOM,"")))</f>
        <v>50</v>
      </c>
      <c r="AN101" s="259">
        <f t="shared" si="128"/>
        <v>235</v>
      </c>
      <c r="AO101" s="259">
        <f t="shared" si="129"/>
        <v>3995</v>
      </c>
      <c r="AP101" s="446">
        <f t="shared" si="130"/>
        <v>481</v>
      </c>
      <c r="AQ101" s="446">
        <f t="shared" si="131"/>
        <v>23.472799999999999</v>
      </c>
      <c r="AR101" s="446">
        <f t="shared" si="132"/>
        <v>0.41366769599999997</v>
      </c>
      <c r="AS101" s="446">
        <f t="shared" si="133"/>
        <v>505</v>
      </c>
      <c r="AT101" s="260">
        <f t="shared" si="134"/>
        <v>1921595</v>
      </c>
      <c r="AU101" s="260">
        <f t="shared" si="135"/>
        <v>2017475</v>
      </c>
      <c r="AV101" s="425">
        <f t="shared" si="136"/>
        <v>17</v>
      </c>
      <c r="AW101" s="425">
        <f t="array" ref="AW101">MAX((IF(MNU_CODIGO_ALIMENTO_ENTREGA=CONCATENATE($E101,"_","P_"),MNU_GRAMAJE_REQUERIDO_TIPOH,"")))</f>
        <v>80</v>
      </c>
      <c r="AX101" s="257">
        <f t="shared" si="137"/>
        <v>243</v>
      </c>
      <c r="AY101" s="257">
        <f t="shared" si="138"/>
        <v>4131</v>
      </c>
      <c r="AZ101" s="446">
        <f t="shared" si="139"/>
        <v>727</v>
      </c>
      <c r="BA101" s="446">
        <f t="shared" si="140"/>
        <v>35.477600000000002</v>
      </c>
      <c r="BB101" s="446">
        <f t="shared" si="141"/>
        <v>0.62523163200000009</v>
      </c>
      <c r="BC101" s="446">
        <f t="shared" si="142"/>
        <v>763</v>
      </c>
      <c r="BD101" s="258">
        <f t="shared" si="143"/>
        <v>3003237</v>
      </c>
      <c r="BE101" s="258">
        <f t="shared" si="144"/>
        <v>3151953</v>
      </c>
      <c r="BF101" s="391">
        <f t="shared" si="145"/>
        <v>148713603</v>
      </c>
      <c r="BG101" s="391">
        <f t="shared" si="146"/>
        <v>156106971</v>
      </c>
    </row>
    <row r="102" spans="1:59" ht="15.75">
      <c r="A102" s="333">
        <v>8</v>
      </c>
      <c r="B102" s="333" t="str">
        <f t="shared" si="98"/>
        <v>CEREAL EMPACADO_8</v>
      </c>
      <c r="C102" s="333" t="str">
        <f t="shared" si="99"/>
        <v>15_8</v>
      </c>
      <c r="D102" s="333" t="s">
        <v>1607</v>
      </c>
      <c r="E102" s="256">
        <v>15</v>
      </c>
      <c r="F102" s="322" t="s">
        <v>66</v>
      </c>
      <c r="G102" s="256" t="s">
        <v>9</v>
      </c>
      <c r="H102" s="425">
        <f t="shared" si="100"/>
        <v>17</v>
      </c>
      <c r="I102" s="425">
        <f t="array" ref="I102">MAX((IF(MNU_CODIGO_ALIMENTO_ENTREGA=CONCATENATE($E102,"_","P_"),MNU_GRAMAJE_REQUERIDO_TIPOA,"")))</f>
        <v>50</v>
      </c>
      <c r="J102" s="257">
        <f t="shared" si="101"/>
        <v>3905</v>
      </c>
      <c r="K102" s="257">
        <f t="shared" si="102"/>
        <v>66385</v>
      </c>
      <c r="L102" s="446">
        <f t="shared" si="103"/>
        <v>641</v>
      </c>
      <c r="M102" s="446">
        <f t="shared" si="104"/>
        <v>31.280800000000003</v>
      </c>
      <c r="N102" s="446">
        <f t="shared" si="105"/>
        <v>0.55127025600000001</v>
      </c>
      <c r="O102" s="446">
        <f t="shared" si="106"/>
        <v>673</v>
      </c>
      <c r="P102" s="258">
        <f t="shared" si="107"/>
        <v>42552785</v>
      </c>
      <c r="Q102" s="258">
        <f t="shared" si="108"/>
        <v>44677105</v>
      </c>
      <c r="R102" s="426">
        <f t="shared" si="109"/>
        <v>17</v>
      </c>
      <c r="S102" s="426">
        <f t="array" ref="S102">MAX((IF(MNU_CODIGO_ALIMENTO_ENTREGA=CONCATENATE($E102,"_","P_"),MNU_GRAMAJE_REQUERIDO_TIPOB,"")))</f>
        <v>50</v>
      </c>
      <c r="T102" s="259">
        <f t="shared" si="110"/>
        <v>5347</v>
      </c>
      <c r="U102" s="259">
        <f t="shared" si="111"/>
        <v>90899</v>
      </c>
      <c r="V102" s="446">
        <f t="shared" si="112"/>
        <v>641</v>
      </c>
      <c r="W102" s="446">
        <f t="shared" si="113"/>
        <v>31.280800000000003</v>
      </c>
      <c r="X102" s="446">
        <f t="shared" si="114"/>
        <v>0.55127025600000001</v>
      </c>
      <c r="Y102" s="446">
        <f t="shared" si="115"/>
        <v>673</v>
      </c>
      <c r="Z102" s="260">
        <f t="shared" si="116"/>
        <v>58266259</v>
      </c>
      <c r="AA102" s="260">
        <f t="shared" si="117"/>
        <v>61175027</v>
      </c>
      <c r="AB102" s="425">
        <f t="shared" si="118"/>
        <v>17</v>
      </c>
      <c r="AC102" s="425">
        <f t="array" ref="AC102">MAX((IF(MNU_CODIGO_ALIMENTO_ENTREGA=CONCATENATE($E102,"_","P_"),MNU_GRAMAJE_REQUERIDO_TIPOC,"")))</f>
        <v>80</v>
      </c>
      <c r="AD102" s="257">
        <f t="shared" si="119"/>
        <v>5513</v>
      </c>
      <c r="AE102" s="257">
        <f t="shared" si="120"/>
        <v>93721</v>
      </c>
      <c r="AF102" s="446">
        <f t="shared" si="121"/>
        <v>1025</v>
      </c>
      <c r="AG102" s="446">
        <f t="shared" si="122"/>
        <v>50.02</v>
      </c>
      <c r="AH102" s="446">
        <f t="shared" si="123"/>
        <v>0.88151640000000009</v>
      </c>
      <c r="AI102" s="446">
        <f t="shared" si="124"/>
        <v>1076</v>
      </c>
      <c r="AJ102" s="258">
        <f t="shared" si="125"/>
        <v>96064025</v>
      </c>
      <c r="AK102" s="258">
        <f t="shared" si="126"/>
        <v>100843796</v>
      </c>
      <c r="AL102" s="426">
        <f t="shared" si="127"/>
        <v>17</v>
      </c>
      <c r="AM102" s="426">
        <f t="array" ref="AM102">MAX((IF(MNU_CODIGO_ALIMENTO_ENTREGA=CONCATENATE($E102,"_","P_"),MNU_GRAMAJE_REQUERIDO_TIPOM,"")))</f>
        <v>50</v>
      </c>
      <c r="AN102" s="259">
        <f t="shared" si="128"/>
        <v>235</v>
      </c>
      <c r="AO102" s="259">
        <f t="shared" si="129"/>
        <v>3995</v>
      </c>
      <c r="AP102" s="446">
        <f t="shared" si="130"/>
        <v>641</v>
      </c>
      <c r="AQ102" s="446">
        <f t="shared" si="131"/>
        <v>31.280800000000003</v>
      </c>
      <c r="AR102" s="446">
        <f t="shared" si="132"/>
        <v>0.55127025600000001</v>
      </c>
      <c r="AS102" s="446">
        <f t="shared" si="133"/>
        <v>673</v>
      </c>
      <c r="AT102" s="260">
        <f t="shared" si="134"/>
        <v>2560795</v>
      </c>
      <c r="AU102" s="260">
        <f t="shared" si="135"/>
        <v>2688635</v>
      </c>
      <c r="AV102" s="425">
        <f t="shared" si="136"/>
        <v>17</v>
      </c>
      <c r="AW102" s="425">
        <f t="array" ref="AW102">MAX((IF(MNU_CODIGO_ALIMENTO_ENTREGA=CONCATENATE($E102,"_","P_"),MNU_GRAMAJE_REQUERIDO_TIPOH,"")))</f>
        <v>80</v>
      </c>
      <c r="AX102" s="257">
        <f t="shared" si="137"/>
        <v>243</v>
      </c>
      <c r="AY102" s="257">
        <f t="shared" si="138"/>
        <v>4131</v>
      </c>
      <c r="AZ102" s="446">
        <f t="shared" si="139"/>
        <v>1025</v>
      </c>
      <c r="BA102" s="446">
        <f t="shared" si="140"/>
        <v>50.02</v>
      </c>
      <c r="BB102" s="446">
        <f t="shared" si="141"/>
        <v>0.88151640000000009</v>
      </c>
      <c r="BC102" s="446">
        <f t="shared" si="142"/>
        <v>1076</v>
      </c>
      <c r="BD102" s="258">
        <f t="shared" si="143"/>
        <v>4234275</v>
      </c>
      <c r="BE102" s="258">
        <f t="shared" si="144"/>
        <v>4444956</v>
      </c>
      <c r="BF102" s="391">
        <f t="shared" si="145"/>
        <v>203678139</v>
      </c>
      <c r="BG102" s="391">
        <f t="shared" si="146"/>
        <v>213829519</v>
      </c>
    </row>
    <row r="103" spans="1:59" ht="15.75">
      <c r="A103" s="333">
        <v>8</v>
      </c>
      <c r="B103" s="333" t="str">
        <f t="shared" si="98"/>
        <v>CEREAL EMPACADO_8</v>
      </c>
      <c r="C103" s="333" t="str">
        <f t="shared" si="99"/>
        <v>24_8</v>
      </c>
      <c r="D103" s="333" t="s">
        <v>1607</v>
      </c>
      <c r="E103" s="256">
        <v>24</v>
      </c>
      <c r="F103" s="322" t="s">
        <v>61</v>
      </c>
      <c r="G103" s="256" t="s">
        <v>9</v>
      </c>
      <c r="H103" s="425">
        <f t="shared" si="100"/>
        <v>17</v>
      </c>
      <c r="I103" s="425">
        <f t="array" ref="I103">MAX((IF(MNU_CODIGO_ALIMENTO_ENTREGA=CONCATENATE($E103,"_","P_"),MNU_GRAMAJE_REQUERIDO_TIPOA,"")))</f>
        <v>20</v>
      </c>
      <c r="J103" s="257">
        <f t="shared" si="101"/>
        <v>3905</v>
      </c>
      <c r="K103" s="257">
        <f t="shared" si="102"/>
        <v>66385</v>
      </c>
      <c r="L103" s="446">
        <f t="shared" si="103"/>
        <v>122</v>
      </c>
      <c r="M103" s="446">
        <f t="shared" si="104"/>
        <v>5.9535999999999998</v>
      </c>
      <c r="N103" s="446">
        <f t="shared" si="105"/>
        <v>0.104921952</v>
      </c>
      <c r="O103" s="446">
        <f t="shared" si="106"/>
        <v>128</v>
      </c>
      <c r="P103" s="258">
        <f t="shared" si="107"/>
        <v>8098970</v>
      </c>
      <c r="Q103" s="258">
        <f t="shared" si="108"/>
        <v>8497280</v>
      </c>
      <c r="R103" s="426">
        <f t="shared" si="109"/>
        <v>17</v>
      </c>
      <c r="S103" s="426">
        <f t="array" ref="S103">MAX((IF(MNU_CODIGO_ALIMENTO_ENTREGA=CONCATENATE($E103,"_","P_"),MNU_GRAMAJE_REQUERIDO_TIPOB,"")))</f>
        <v>30</v>
      </c>
      <c r="T103" s="259">
        <f t="shared" si="110"/>
        <v>5347</v>
      </c>
      <c r="U103" s="259">
        <f t="shared" si="111"/>
        <v>90899</v>
      </c>
      <c r="V103" s="446">
        <f t="shared" si="112"/>
        <v>191</v>
      </c>
      <c r="W103" s="446">
        <f t="shared" si="113"/>
        <v>9.3208000000000002</v>
      </c>
      <c r="X103" s="446">
        <f t="shared" si="114"/>
        <v>0.16426305600000002</v>
      </c>
      <c r="Y103" s="446">
        <f t="shared" si="115"/>
        <v>200</v>
      </c>
      <c r="Z103" s="260">
        <f t="shared" si="116"/>
        <v>17361709</v>
      </c>
      <c r="AA103" s="260">
        <f t="shared" si="117"/>
        <v>18179800</v>
      </c>
      <c r="AB103" s="425">
        <f t="shared" si="118"/>
        <v>17</v>
      </c>
      <c r="AC103" s="425">
        <f t="array" ref="AC103">MAX((IF(MNU_CODIGO_ALIMENTO_ENTREGA=CONCATENATE($E103,"_","P_"),MNU_GRAMAJE_REQUERIDO_TIPOC,"")))</f>
        <v>60</v>
      </c>
      <c r="AD103" s="257">
        <f t="shared" si="119"/>
        <v>5513</v>
      </c>
      <c r="AE103" s="257">
        <f t="shared" si="120"/>
        <v>93721</v>
      </c>
      <c r="AF103" s="446">
        <f t="shared" si="121"/>
        <v>367</v>
      </c>
      <c r="AG103" s="446">
        <f t="shared" si="122"/>
        <v>17.909599999999998</v>
      </c>
      <c r="AH103" s="446">
        <f t="shared" si="123"/>
        <v>0.31562587200000003</v>
      </c>
      <c r="AI103" s="446">
        <f t="shared" si="124"/>
        <v>385</v>
      </c>
      <c r="AJ103" s="258">
        <f t="shared" si="125"/>
        <v>34395607</v>
      </c>
      <c r="AK103" s="258">
        <f t="shared" si="126"/>
        <v>36082585</v>
      </c>
      <c r="AL103" s="426">
        <f t="shared" si="127"/>
        <v>17</v>
      </c>
      <c r="AM103" s="426">
        <f t="array" ref="AM103">MAX((IF(MNU_CODIGO_ALIMENTO_ENTREGA=CONCATENATE($E103,"_","P_"),MNU_GRAMAJE_REQUERIDO_TIPOM,"")))</f>
        <v>30</v>
      </c>
      <c r="AN103" s="259">
        <f t="shared" si="128"/>
        <v>235</v>
      </c>
      <c r="AO103" s="259">
        <f t="shared" si="129"/>
        <v>3995</v>
      </c>
      <c r="AP103" s="446">
        <f t="shared" si="130"/>
        <v>191</v>
      </c>
      <c r="AQ103" s="446">
        <f t="shared" si="131"/>
        <v>9.3208000000000002</v>
      </c>
      <c r="AR103" s="446">
        <f t="shared" si="132"/>
        <v>0.16426305600000002</v>
      </c>
      <c r="AS103" s="446">
        <f t="shared" si="133"/>
        <v>200</v>
      </c>
      <c r="AT103" s="260">
        <f t="shared" si="134"/>
        <v>763045</v>
      </c>
      <c r="AU103" s="260">
        <f t="shared" si="135"/>
        <v>799000</v>
      </c>
      <c r="AV103" s="425">
        <f t="shared" si="136"/>
        <v>17</v>
      </c>
      <c r="AW103" s="425">
        <f t="array" ref="AW103">MAX((IF(MNU_CODIGO_ALIMENTO_ENTREGA=CONCATENATE($E103,"_","P_"),MNU_GRAMAJE_REQUERIDO_TIPOH,"")))</f>
        <v>60</v>
      </c>
      <c r="AX103" s="257">
        <f t="shared" si="137"/>
        <v>243</v>
      </c>
      <c r="AY103" s="257">
        <f t="shared" si="138"/>
        <v>4131</v>
      </c>
      <c r="AZ103" s="446">
        <f t="shared" si="139"/>
        <v>367</v>
      </c>
      <c r="BA103" s="446">
        <f t="shared" si="140"/>
        <v>17.909599999999998</v>
      </c>
      <c r="BB103" s="446">
        <f t="shared" si="141"/>
        <v>0.31562587200000003</v>
      </c>
      <c r="BC103" s="446">
        <f t="shared" si="142"/>
        <v>385</v>
      </c>
      <c r="BD103" s="258">
        <f t="shared" si="143"/>
        <v>1516077</v>
      </c>
      <c r="BE103" s="258">
        <f t="shared" si="144"/>
        <v>1590435</v>
      </c>
      <c r="BF103" s="391">
        <f t="shared" si="145"/>
        <v>62135408</v>
      </c>
      <c r="BG103" s="391">
        <f t="shared" si="146"/>
        <v>65149100</v>
      </c>
    </row>
    <row r="104" spans="1:59" ht="15.75">
      <c r="A104" s="333">
        <v>8</v>
      </c>
      <c r="B104" s="333" t="str">
        <f t="shared" si="98"/>
        <v>CEREAL EMPACADO_8</v>
      </c>
      <c r="C104" s="333" t="str">
        <f t="shared" si="99"/>
        <v>25_8</v>
      </c>
      <c r="D104" s="333" t="s">
        <v>1607</v>
      </c>
      <c r="E104" s="256">
        <v>25</v>
      </c>
      <c r="F104" s="322" t="s">
        <v>64</v>
      </c>
      <c r="G104" s="256" t="s">
        <v>9</v>
      </c>
      <c r="H104" s="425">
        <f t="shared" si="100"/>
        <v>17</v>
      </c>
      <c r="I104" s="425">
        <f t="array" ref="I104">MAX((IF(MNU_CODIGO_ALIMENTO_ENTREGA=CONCATENATE($E104,"_","P_"),MNU_GRAMAJE_REQUERIDO_TIPOA,"")))</f>
        <v>40</v>
      </c>
      <c r="J104" s="257">
        <f t="shared" si="101"/>
        <v>3905</v>
      </c>
      <c r="K104" s="257">
        <f t="shared" si="102"/>
        <v>66385</v>
      </c>
      <c r="L104" s="446">
        <f t="shared" si="103"/>
        <v>244</v>
      </c>
      <c r="M104" s="446">
        <f t="shared" si="104"/>
        <v>11.9072</v>
      </c>
      <c r="N104" s="446">
        <f t="shared" si="105"/>
        <v>0.209843904</v>
      </c>
      <c r="O104" s="446">
        <f t="shared" si="106"/>
        <v>256</v>
      </c>
      <c r="P104" s="258">
        <f t="shared" si="107"/>
        <v>16197940</v>
      </c>
      <c r="Q104" s="258">
        <f t="shared" si="108"/>
        <v>16994560</v>
      </c>
      <c r="R104" s="426">
        <f t="shared" si="109"/>
        <v>17</v>
      </c>
      <c r="S104" s="426">
        <f t="array" ref="S104">MAX((IF(MNU_CODIGO_ALIMENTO_ENTREGA=CONCATENATE($E104,"_","P_"),MNU_GRAMAJE_REQUERIDO_TIPOB,"")))</f>
        <v>40</v>
      </c>
      <c r="T104" s="259">
        <f t="shared" si="110"/>
        <v>5347</v>
      </c>
      <c r="U104" s="259">
        <f t="shared" si="111"/>
        <v>90899</v>
      </c>
      <c r="V104" s="446">
        <f t="shared" si="112"/>
        <v>244</v>
      </c>
      <c r="W104" s="446">
        <f t="shared" si="113"/>
        <v>11.9072</v>
      </c>
      <c r="X104" s="446">
        <f t="shared" si="114"/>
        <v>0.209843904</v>
      </c>
      <c r="Y104" s="446">
        <f t="shared" si="115"/>
        <v>256</v>
      </c>
      <c r="Z104" s="260">
        <f t="shared" si="116"/>
        <v>22179356</v>
      </c>
      <c r="AA104" s="260">
        <f t="shared" si="117"/>
        <v>23270144</v>
      </c>
      <c r="AB104" s="425">
        <f t="shared" si="118"/>
        <v>17</v>
      </c>
      <c r="AC104" s="425">
        <f t="array" ref="AC104">MAX((IF(MNU_CODIGO_ALIMENTO_ENTREGA=CONCATENATE($E104,"_","P_"),MNU_GRAMAJE_REQUERIDO_TIPOC,"")))</f>
        <v>60</v>
      </c>
      <c r="AD104" s="257">
        <f t="shared" si="119"/>
        <v>5513</v>
      </c>
      <c r="AE104" s="257">
        <f t="shared" si="120"/>
        <v>93721</v>
      </c>
      <c r="AF104" s="446">
        <f t="shared" si="121"/>
        <v>366</v>
      </c>
      <c r="AG104" s="446">
        <f t="shared" si="122"/>
        <v>17.860800000000001</v>
      </c>
      <c r="AH104" s="446">
        <f t="shared" si="123"/>
        <v>0.31476585600000001</v>
      </c>
      <c r="AI104" s="446">
        <f t="shared" si="124"/>
        <v>384</v>
      </c>
      <c r="AJ104" s="258">
        <f t="shared" si="125"/>
        <v>34301886</v>
      </c>
      <c r="AK104" s="258">
        <f t="shared" si="126"/>
        <v>35988864</v>
      </c>
      <c r="AL104" s="426">
        <f t="shared" si="127"/>
        <v>17</v>
      </c>
      <c r="AM104" s="426">
        <f t="array" ref="AM104">MAX((IF(MNU_CODIGO_ALIMENTO_ENTREGA=CONCATENATE($E104,"_","P_"),MNU_GRAMAJE_REQUERIDO_TIPOM,"")))</f>
        <v>40</v>
      </c>
      <c r="AN104" s="259">
        <f t="shared" si="128"/>
        <v>235</v>
      </c>
      <c r="AO104" s="259">
        <f t="shared" si="129"/>
        <v>3995</v>
      </c>
      <c r="AP104" s="446">
        <f t="shared" si="130"/>
        <v>244</v>
      </c>
      <c r="AQ104" s="446">
        <f t="shared" si="131"/>
        <v>11.9072</v>
      </c>
      <c r="AR104" s="446">
        <f t="shared" si="132"/>
        <v>0.209843904</v>
      </c>
      <c r="AS104" s="446">
        <f t="shared" si="133"/>
        <v>256</v>
      </c>
      <c r="AT104" s="260">
        <f t="shared" si="134"/>
        <v>974780</v>
      </c>
      <c r="AU104" s="260">
        <f t="shared" si="135"/>
        <v>1022720</v>
      </c>
      <c r="AV104" s="425">
        <f t="shared" si="136"/>
        <v>17</v>
      </c>
      <c r="AW104" s="425">
        <f t="array" ref="AW104">MAX((IF(MNU_CODIGO_ALIMENTO_ENTREGA=CONCATENATE($E104,"_","P_"),MNU_GRAMAJE_REQUERIDO_TIPOH,"")))</f>
        <v>60</v>
      </c>
      <c r="AX104" s="257">
        <f t="shared" si="137"/>
        <v>243</v>
      </c>
      <c r="AY104" s="257">
        <f t="shared" si="138"/>
        <v>4131</v>
      </c>
      <c r="AZ104" s="446">
        <f t="shared" si="139"/>
        <v>366</v>
      </c>
      <c r="BA104" s="446">
        <f t="shared" si="140"/>
        <v>17.860800000000001</v>
      </c>
      <c r="BB104" s="446">
        <f t="shared" si="141"/>
        <v>0.31476585600000001</v>
      </c>
      <c r="BC104" s="446">
        <f t="shared" si="142"/>
        <v>384</v>
      </c>
      <c r="BD104" s="258">
        <f t="shared" si="143"/>
        <v>1511946</v>
      </c>
      <c r="BE104" s="258">
        <f t="shared" si="144"/>
        <v>1586304</v>
      </c>
      <c r="BF104" s="391">
        <f t="shared" si="145"/>
        <v>75165908</v>
      </c>
      <c r="BG104" s="391">
        <f t="shared" si="146"/>
        <v>78862592</v>
      </c>
    </row>
    <row r="105" spans="1:59" ht="15.75">
      <c r="A105" s="333">
        <v>8</v>
      </c>
      <c r="B105" s="333" t="str">
        <f t="shared" si="98"/>
        <v>CEREAL EMPACADO_8</v>
      </c>
      <c r="C105" s="333" t="str">
        <f t="shared" si="99"/>
        <v>26_8</v>
      </c>
      <c r="D105" s="333" t="s">
        <v>1607</v>
      </c>
      <c r="E105" s="256">
        <v>26</v>
      </c>
      <c r="F105" s="322" t="s">
        <v>69</v>
      </c>
      <c r="G105" s="256" t="s">
        <v>9</v>
      </c>
      <c r="H105" s="425">
        <f t="shared" si="100"/>
        <v>6</v>
      </c>
      <c r="I105" s="425">
        <f t="array" ref="I105">MAX((IF(MNU_CODIGO_ALIMENTO_ENTREGA=CONCATENATE($E105,"_","P_"),MNU_GRAMAJE_REQUERIDO_TIPOA,"")))</f>
        <v>30</v>
      </c>
      <c r="J105" s="257">
        <f t="shared" si="101"/>
        <v>3905</v>
      </c>
      <c r="K105" s="257">
        <f t="shared" si="102"/>
        <v>23430</v>
      </c>
      <c r="L105" s="446">
        <f t="shared" si="103"/>
        <v>163</v>
      </c>
      <c r="M105" s="446">
        <f t="shared" si="104"/>
        <v>7.9543999999999997</v>
      </c>
      <c r="N105" s="446">
        <f t="shared" si="105"/>
        <v>0.14018260800000001</v>
      </c>
      <c r="O105" s="446">
        <f t="shared" si="106"/>
        <v>171</v>
      </c>
      <c r="P105" s="258">
        <f t="shared" si="107"/>
        <v>3819090</v>
      </c>
      <c r="Q105" s="258">
        <f t="shared" si="108"/>
        <v>4006530</v>
      </c>
      <c r="R105" s="426">
        <f t="shared" si="109"/>
        <v>6</v>
      </c>
      <c r="S105" s="426">
        <f t="array" ref="S105">MAX((IF(MNU_CODIGO_ALIMENTO_ENTREGA=CONCATENATE($E105,"_","P_"),MNU_GRAMAJE_REQUERIDO_TIPOB,"")))</f>
        <v>30</v>
      </c>
      <c r="T105" s="259">
        <f t="shared" si="110"/>
        <v>5347</v>
      </c>
      <c r="U105" s="259">
        <f t="shared" si="111"/>
        <v>32082</v>
      </c>
      <c r="V105" s="446">
        <f t="shared" si="112"/>
        <v>163</v>
      </c>
      <c r="W105" s="446">
        <f t="shared" si="113"/>
        <v>7.9543999999999997</v>
      </c>
      <c r="X105" s="446">
        <f t="shared" si="114"/>
        <v>0.14018260800000001</v>
      </c>
      <c r="Y105" s="446">
        <f t="shared" si="115"/>
        <v>171</v>
      </c>
      <c r="Z105" s="260">
        <f t="shared" si="116"/>
        <v>5229366</v>
      </c>
      <c r="AA105" s="260">
        <f t="shared" si="117"/>
        <v>5486022</v>
      </c>
      <c r="AB105" s="425">
        <f t="shared" si="118"/>
        <v>6</v>
      </c>
      <c r="AC105" s="425">
        <f t="array" ref="AC105">MAX((IF(MNU_CODIGO_ALIMENTO_ENTREGA=CONCATENATE($E105,"_","P_"),MNU_GRAMAJE_REQUERIDO_TIPOC,"")))</f>
        <v>30</v>
      </c>
      <c r="AD105" s="257">
        <f t="shared" si="119"/>
        <v>5513</v>
      </c>
      <c r="AE105" s="257">
        <f t="shared" si="120"/>
        <v>33078</v>
      </c>
      <c r="AF105" s="446">
        <f t="shared" si="121"/>
        <v>163</v>
      </c>
      <c r="AG105" s="446">
        <f t="shared" si="122"/>
        <v>7.9543999999999997</v>
      </c>
      <c r="AH105" s="446">
        <f t="shared" si="123"/>
        <v>0.14018260800000001</v>
      </c>
      <c r="AI105" s="446">
        <f t="shared" si="124"/>
        <v>171</v>
      </c>
      <c r="AJ105" s="258">
        <f t="shared" si="125"/>
        <v>5391714</v>
      </c>
      <c r="AK105" s="258">
        <f t="shared" si="126"/>
        <v>5656338</v>
      </c>
      <c r="AL105" s="426">
        <f t="shared" si="127"/>
        <v>6</v>
      </c>
      <c r="AM105" s="426">
        <f t="array" ref="AM105">MAX((IF(MNU_CODIGO_ALIMENTO_ENTREGA=CONCATENATE($E105,"_","P_"),MNU_GRAMAJE_REQUERIDO_TIPOM,"")))</f>
        <v>30</v>
      </c>
      <c r="AN105" s="259">
        <f t="shared" si="128"/>
        <v>235</v>
      </c>
      <c r="AO105" s="259">
        <f t="shared" si="129"/>
        <v>1410</v>
      </c>
      <c r="AP105" s="446">
        <f t="shared" si="130"/>
        <v>163</v>
      </c>
      <c r="AQ105" s="446">
        <f t="shared" si="131"/>
        <v>7.9543999999999997</v>
      </c>
      <c r="AR105" s="446">
        <f t="shared" si="132"/>
        <v>0.14018260800000001</v>
      </c>
      <c r="AS105" s="446">
        <f t="shared" si="133"/>
        <v>171</v>
      </c>
      <c r="AT105" s="260">
        <f t="shared" si="134"/>
        <v>229830</v>
      </c>
      <c r="AU105" s="260">
        <f t="shared" si="135"/>
        <v>241110</v>
      </c>
      <c r="AV105" s="425">
        <f t="shared" si="136"/>
        <v>6</v>
      </c>
      <c r="AW105" s="425">
        <f t="array" ref="AW105">MAX((IF(MNU_CODIGO_ALIMENTO_ENTREGA=CONCATENATE($E105,"_","P_"),MNU_GRAMAJE_REQUERIDO_TIPOH,"")))</f>
        <v>30</v>
      </c>
      <c r="AX105" s="257">
        <f t="shared" si="137"/>
        <v>243</v>
      </c>
      <c r="AY105" s="257">
        <f t="shared" si="138"/>
        <v>1458</v>
      </c>
      <c r="AZ105" s="446">
        <f t="shared" si="139"/>
        <v>163</v>
      </c>
      <c r="BA105" s="446">
        <f t="shared" si="140"/>
        <v>7.9543999999999997</v>
      </c>
      <c r="BB105" s="446">
        <f t="shared" si="141"/>
        <v>0.14018260800000001</v>
      </c>
      <c r="BC105" s="446">
        <f t="shared" si="142"/>
        <v>171</v>
      </c>
      <c r="BD105" s="258">
        <f t="shared" si="143"/>
        <v>237654</v>
      </c>
      <c r="BE105" s="258">
        <f t="shared" si="144"/>
        <v>249318</v>
      </c>
      <c r="BF105" s="391">
        <f t="shared" si="145"/>
        <v>14907654</v>
      </c>
      <c r="BG105" s="391">
        <f t="shared" si="146"/>
        <v>15639318</v>
      </c>
    </row>
    <row r="106" spans="1:59" ht="27">
      <c r="A106" s="333">
        <v>8</v>
      </c>
      <c r="B106" s="333" t="str">
        <f t="shared" si="98"/>
        <v>CEREAL EMPACADO_8</v>
      </c>
      <c r="C106" s="333" t="str">
        <f t="shared" si="99"/>
        <v>28_8</v>
      </c>
      <c r="D106" s="333" t="s">
        <v>1607</v>
      </c>
      <c r="E106" s="256">
        <v>28</v>
      </c>
      <c r="F106" s="322" t="s">
        <v>67</v>
      </c>
      <c r="G106" s="256" t="s">
        <v>9</v>
      </c>
      <c r="H106" s="425">
        <f t="shared" si="100"/>
        <v>6</v>
      </c>
      <c r="I106" s="425">
        <f t="array" ref="I106">MAX((IF(MNU_CODIGO_ALIMENTO_ENTREGA=CONCATENATE($E106,"_","P_"),MNU_GRAMAJE_REQUERIDO_TIPOA,"")))</f>
        <v>30</v>
      </c>
      <c r="J106" s="257">
        <f t="shared" si="101"/>
        <v>3905</v>
      </c>
      <c r="K106" s="257">
        <f t="shared" si="102"/>
        <v>23430</v>
      </c>
      <c r="L106" s="446">
        <f t="shared" si="103"/>
        <v>215</v>
      </c>
      <c r="M106" s="446">
        <f t="shared" si="104"/>
        <v>10.492000000000001</v>
      </c>
      <c r="N106" s="446">
        <f t="shared" si="105"/>
        <v>0.18490343999999997</v>
      </c>
      <c r="O106" s="446">
        <f t="shared" si="106"/>
        <v>226</v>
      </c>
      <c r="P106" s="258">
        <f t="shared" si="107"/>
        <v>5037450</v>
      </c>
      <c r="Q106" s="258">
        <f t="shared" si="108"/>
        <v>5295180</v>
      </c>
      <c r="R106" s="426">
        <f t="shared" si="109"/>
        <v>6</v>
      </c>
      <c r="S106" s="426">
        <f t="array" ref="S106">MAX((IF(MNU_CODIGO_ALIMENTO_ENTREGA=CONCATENATE($E106,"_","P_"),MNU_GRAMAJE_REQUERIDO_TIPOB,"")))</f>
        <v>40</v>
      </c>
      <c r="T106" s="259">
        <f t="shared" si="110"/>
        <v>5347</v>
      </c>
      <c r="U106" s="259">
        <f t="shared" si="111"/>
        <v>32082</v>
      </c>
      <c r="V106" s="446">
        <f t="shared" si="112"/>
        <v>287</v>
      </c>
      <c r="W106" s="446">
        <f t="shared" si="113"/>
        <v>14.005600000000001</v>
      </c>
      <c r="X106" s="446">
        <f t="shared" si="114"/>
        <v>0.24682459200000004</v>
      </c>
      <c r="Y106" s="446">
        <f t="shared" si="115"/>
        <v>301</v>
      </c>
      <c r="Z106" s="260">
        <f t="shared" si="116"/>
        <v>9207534</v>
      </c>
      <c r="AA106" s="260">
        <f t="shared" si="117"/>
        <v>9656682</v>
      </c>
      <c r="AB106" s="425">
        <f t="shared" si="118"/>
        <v>6</v>
      </c>
      <c r="AC106" s="425">
        <f t="array" ref="AC106">MAX((IF(MNU_CODIGO_ALIMENTO_ENTREGA=CONCATENATE($E106,"_","P_"),MNU_GRAMAJE_REQUERIDO_TIPOC,"")))</f>
        <v>60</v>
      </c>
      <c r="AD106" s="257">
        <f t="shared" si="119"/>
        <v>5513</v>
      </c>
      <c r="AE106" s="257">
        <f t="shared" si="120"/>
        <v>33078</v>
      </c>
      <c r="AF106" s="446">
        <f t="shared" si="121"/>
        <v>430</v>
      </c>
      <c r="AG106" s="446">
        <f t="shared" si="122"/>
        <v>20.984000000000002</v>
      </c>
      <c r="AH106" s="446">
        <f t="shared" si="123"/>
        <v>0.36980687999999995</v>
      </c>
      <c r="AI106" s="446">
        <f t="shared" si="124"/>
        <v>451</v>
      </c>
      <c r="AJ106" s="258">
        <f t="shared" si="125"/>
        <v>14223540</v>
      </c>
      <c r="AK106" s="258">
        <f t="shared" si="126"/>
        <v>14918178</v>
      </c>
      <c r="AL106" s="426">
        <f t="shared" si="127"/>
        <v>6</v>
      </c>
      <c r="AM106" s="426">
        <f t="array" ref="AM106">MAX((IF(MNU_CODIGO_ALIMENTO_ENTREGA=CONCATENATE($E106,"_","P_"),MNU_GRAMAJE_REQUERIDO_TIPOM,"")))</f>
        <v>40</v>
      </c>
      <c r="AN106" s="259">
        <f t="shared" si="128"/>
        <v>235</v>
      </c>
      <c r="AO106" s="259">
        <f t="shared" si="129"/>
        <v>1410</v>
      </c>
      <c r="AP106" s="446">
        <f t="shared" si="130"/>
        <v>287</v>
      </c>
      <c r="AQ106" s="446">
        <f t="shared" si="131"/>
        <v>14.005600000000001</v>
      </c>
      <c r="AR106" s="446">
        <f t="shared" si="132"/>
        <v>0.24682459200000004</v>
      </c>
      <c r="AS106" s="446">
        <f t="shared" si="133"/>
        <v>301</v>
      </c>
      <c r="AT106" s="260">
        <f t="shared" si="134"/>
        <v>404670</v>
      </c>
      <c r="AU106" s="260">
        <f t="shared" si="135"/>
        <v>424410</v>
      </c>
      <c r="AV106" s="425">
        <f t="shared" si="136"/>
        <v>6</v>
      </c>
      <c r="AW106" s="425">
        <f t="array" ref="AW106">MAX((IF(MNU_CODIGO_ALIMENTO_ENTREGA=CONCATENATE($E106,"_","P_"),MNU_GRAMAJE_REQUERIDO_TIPOH,"")))</f>
        <v>60</v>
      </c>
      <c r="AX106" s="257">
        <f t="shared" si="137"/>
        <v>243</v>
      </c>
      <c r="AY106" s="257">
        <f t="shared" si="138"/>
        <v>1458</v>
      </c>
      <c r="AZ106" s="446">
        <f t="shared" si="139"/>
        <v>430</v>
      </c>
      <c r="BA106" s="446">
        <f t="shared" si="140"/>
        <v>20.984000000000002</v>
      </c>
      <c r="BB106" s="446">
        <f t="shared" si="141"/>
        <v>0.36980687999999995</v>
      </c>
      <c r="BC106" s="446">
        <f t="shared" si="142"/>
        <v>451</v>
      </c>
      <c r="BD106" s="258">
        <f t="shared" si="143"/>
        <v>626940</v>
      </c>
      <c r="BE106" s="258">
        <f t="shared" si="144"/>
        <v>657558</v>
      </c>
      <c r="BF106" s="391">
        <f t="shared" si="145"/>
        <v>29500134</v>
      </c>
      <c r="BG106" s="391">
        <f t="shared" si="146"/>
        <v>30952008</v>
      </c>
    </row>
    <row r="107" spans="1:59" ht="15.75">
      <c r="A107" s="333">
        <v>8</v>
      </c>
      <c r="B107" s="333" t="str">
        <f t="shared" si="98"/>
        <v>CEREAL EMPACADO_8</v>
      </c>
      <c r="C107" s="333" t="str">
        <f t="shared" si="99"/>
        <v>30_8</v>
      </c>
      <c r="D107" s="333" t="s">
        <v>1607</v>
      </c>
      <c r="E107" s="256">
        <v>30</v>
      </c>
      <c r="F107" s="459" t="s">
        <v>63</v>
      </c>
      <c r="G107" s="256" t="s">
        <v>9</v>
      </c>
      <c r="H107" s="425">
        <f t="shared" si="100"/>
        <v>16</v>
      </c>
      <c r="I107" s="425">
        <f t="array" ref="I107">MAX((IF(MNU_CODIGO_ALIMENTO_ENTREGA=CONCATENATE($E107,"_","P_"),MNU_GRAMAJE_REQUERIDO_TIPOA,"")))</f>
        <v>30</v>
      </c>
      <c r="J107" s="257">
        <f t="shared" si="101"/>
        <v>3905</v>
      </c>
      <c r="K107" s="257">
        <f t="shared" si="102"/>
        <v>62480</v>
      </c>
      <c r="L107" s="446">
        <f t="shared" si="103"/>
        <v>316</v>
      </c>
      <c r="M107" s="446">
        <f t="shared" si="104"/>
        <v>15.4208</v>
      </c>
      <c r="N107" s="446">
        <f t="shared" si="105"/>
        <v>0.271765056</v>
      </c>
      <c r="O107" s="446">
        <f t="shared" si="106"/>
        <v>332</v>
      </c>
      <c r="P107" s="258">
        <f t="shared" si="107"/>
        <v>19743680</v>
      </c>
      <c r="Q107" s="258">
        <f t="shared" si="108"/>
        <v>20743360</v>
      </c>
      <c r="R107" s="426">
        <f t="shared" si="109"/>
        <v>16</v>
      </c>
      <c r="S107" s="426">
        <f t="array" ref="S107">MAX((IF(MNU_CODIGO_ALIMENTO_ENTREGA=CONCATENATE($E107,"_","P_"),MNU_GRAMAJE_REQUERIDO_TIPOB,"")))</f>
        <v>30</v>
      </c>
      <c r="T107" s="259">
        <f t="shared" si="110"/>
        <v>5347</v>
      </c>
      <c r="U107" s="259">
        <f t="shared" si="111"/>
        <v>85552</v>
      </c>
      <c r="V107" s="446">
        <f t="shared" si="112"/>
        <v>316</v>
      </c>
      <c r="W107" s="446">
        <f t="shared" si="113"/>
        <v>15.4208</v>
      </c>
      <c r="X107" s="446">
        <f t="shared" si="114"/>
        <v>0.271765056</v>
      </c>
      <c r="Y107" s="446">
        <f t="shared" si="115"/>
        <v>332</v>
      </c>
      <c r="Z107" s="260">
        <f t="shared" si="116"/>
        <v>27034432</v>
      </c>
      <c r="AA107" s="260">
        <f t="shared" si="117"/>
        <v>28403264</v>
      </c>
      <c r="AB107" s="425">
        <f t="shared" si="118"/>
        <v>16</v>
      </c>
      <c r="AC107" s="425">
        <f t="array" ref="AC107">MAX((IF(MNU_CODIGO_ALIMENTO_ENTREGA=CONCATENATE($E107,"_","P_"),MNU_GRAMAJE_REQUERIDO_TIPOC,"")))</f>
        <v>30</v>
      </c>
      <c r="AD107" s="257">
        <f t="shared" si="119"/>
        <v>5513</v>
      </c>
      <c r="AE107" s="257">
        <f t="shared" si="120"/>
        <v>88208</v>
      </c>
      <c r="AF107" s="446">
        <f t="shared" si="121"/>
        <v>316</v>
      </c>
      <c r="AG107" s="446">
        <f t="shared" si="122"/>
        <v>15.4208</v>
      </c>
      <c r="AH107" s="446">
        <f t="shared" si="123"/>
        <v>0.271765056</v>
      </c>
      <c r="AI107" s="446">
        <f t="shared" si="124"/>
        <v>332</v>
      </c>
      <c r="AJ107" s="258">
        <f t="shared" si="125"/>
        <v>27873728</v>
      </c>
      <c r="AK107" s="258">
        <f t="shared" si="126"/>
        <v>29285056</v>
      </c>
      <c r="AL107" s="426">
        <f t="shared" si="127"/>
        <v>16</v>
      </c>
      <c r="AM107" s="426">
        <f t="array" ref="AM107">MAX((IF(MNU_CODIGO_ALIMENTO_ENTREGA=CONCATENATE($E107,"_","P_"),MNU_GRAMAJE_REQUERIDO_TIPOM,"")))</f>
        <v>30</v>
      </c>
      <c r="AN107" s="259">
        <f t="shared" si="128"/>
        <v>235</v>
      </c>
      <c r="AO107" s="259">
        <f t="shared" si="129"/>
        <v>3760</v>
      </c>
      <c r="AP107" s="446">
        <f t="shared" si="130"/>
        <v>316</v>
      </c>
      <c r="AQ107" s="446">
        <f t="shared" si="131"/>
        <v>15.4208</v>
      </c>
      <c r="AR107" s="446">
        <f t="shared" si="132"/>
        <v>0.271765056</v>
      </c>
      <c r="AS107" s="446">
        <f t="shared" si="133"/>
        <v>332</v>
      </c>
      <c r="AT107" s="260">
        <f t="shared" si="134"/>
        <v>1188160</v>
      </c>
      <c r="AU107" s="260">
        <f t="shared" si="135"/>
        <v>1248320</v>
      </c>
      <c r="AV107" s="425">
        <f t="shared" si="136"/>
        <v>16</v>
      </c>
      <c r="AW107" s="425">
        <f t="array" ref="AW107">MAX((IF(MNU_CODIGO_ALIMENTO_ENTREGA=CONCATENATE($E107,"_","P_"),MNU_GRAMAJE_REQUERIDO_TIPOH,"")))</f>
        <v>30</v>
      </c>
      <c r="AX107" s="257">
        <f t="shared" si="137"/>
        <v>243</v>
      </c>
      <c r="AY107" s="257">
        <f t="shared" si="138"/>
        <v>3888</v>
      </c>
      <c r="AZ107" s="446">
        <f t="shared" si="139"/>
        <v>316</v>
      </c>
      <c r="BA107" s="446">
        <f t="shared" si="140"/>
        <v>15.4208</v>
      </c>
      <c r="BB107" s="446">
        <f t="shared" si="141"/>
        <v>0.271765056</v>
      </c>
      <c r="BC107" s="446">
        <f t="shared" si="142"/>
        <v>332</v>
      </c>
      <c r="BD107" s="258">
        <f t="shared" si="143"/>
        <v>1228608</v>
      </c>
      <c r="BE107" s="258">
        <f t="shared" si="144"/>
        <v>1290816</v>
      </c>
      <c r="BF107" s="391">
        <f t="shared" si="145"/>
        <v>77068608</v>
      </c>
      <c r="BG107" s="391">
        <f t="shared" si="146"/>
        <v>80970816</v>
      </c>
    </row>
    <row r="108" spans="1:59" ht="15.75">
      <c r="A108" s="333">
        <v>8</v>
      </c>
      <c r="B108" s="333" t="str">
        <f t="shared" si="98"/>
        <v>CEREAL EMPACADO_8</v>
      </c>
      <c r="C108" s="333" t="str">
        <f t="shared" si="99"/>
        <v>45_8</v>
      </c>
      <c r="D108" s="333" t="s">
        <v>1607</v>
      </c>
      <c r="E108" s="256">
        <v>45</v>
      </c>
      <c r="F108" s="322" t="s">
        <v>10</v>
      </c>
      <c r="G108" s="256" t="s">
        <v>9</v>
      </c>
      <c r="H108" s="425">
        <f t="shared" si="100"/>
        <v>16</v>
      </c>
      <c r="I108" s="425">
        <f t="array" ref="I108">MAX((IF(MNU_CODIGO_ALIMENTO_ENTREGA=CONCATENATE($E108,"_","P_"),MNU_GRAMAJE_REQUERIDO_TIPOA,"")))</f>
        <v>20</v>
      </c>
      <c r="J108" s="257">
        <f t="shared" si="101"/>
        <v>3905</v>
      </c>
      <c r="K108" s="257">
        <f t="shared" si="102"/>
        <v>62480</v>
      </c>
      <c r="L108" s="446">
        <f t="shared" si="103"/>
        <v>190</v>
      </c>
      <c r="M108" s="446">
        <f t="shared" si="104"/>
        <v>9.2720000000000002</v>
      </c>
      <c r="N108" s="446">
        <f t="shared" si="105"/>
        <v>0.16340304</v>
      </c>
      <c r="O108" s="446">
        <f t="shared" si="106"/>
        <v>199</v>
      </c>
      <c r="P108" s="258">
        <f t="shared" si="107"/>
        <v>11871200</v>
      </c>
      <c r="Q108" s="258">
        <f t="shared" si="108"/>
        <v>12433520</v>
      </c>
      <c r="R108" s="426">
        <f t="shared" si="109"/>
        <v>16</v>
      </c>
      <c r="S108" s="426">
        <f t="array" ref="S108">MAX((IF(MNU_CODIGO_ALIMENTO_ENTREGA=CONCATENATE($E108,"_","P_"),MNU_GRAMAJE_REQUERIDO_TIPOB,"")))</f>
        <v>30</v>
      </c>
      <c r="T108" s="259">
        <f t="shared" si="110"/>
        <v>5347</v>
      </c>
      <c r="U108" s="259">
        <f t="shared" si="111"/>
        <v>85552</v>
      </c>
      <c r="V108" s="446">
        <f t="shared" si="112"/>
        <v>284</v>
      </c>
      <c r="W108" s="446">
        <f t="shared" si="113"/>
        <v>13.8592</v>
      </c>
      <c r="X108" s="446">
        <f t="shared" si="114"/>
        <v>0.24424454399999998</v>
      </c>
      <c r="Y108" s="446">
        <f t="shared" si="115"/>
        <v>298</v>
      </c>
      <c r="Z108" s="260">
        <f t="shared" si="116"/>
        <v>24296768</v>
      </c>
      <c r="AA108" s="260">
        <f t="shared" si="117"/>
        <v>25494496</v>
      </c>
      <c r="AB108" s="425">
        <f t="shared" si="118"/>
        <v>16</v>
      </c>
      <c r="AC108" s="425">
        <f t="array" ref="AC108">MAX((IF(MNU_CODIGO_ALIMENTO_ENTREGA=CONCATENATE($E108,"_","P_"),MNU_GRAMAJE_REQUERIDO_TIPOC,"")))</f>
        <v>60</v>
      </c>
      <c r="AD108" s="257">
        <f t="shared" si="119"/>
        <v>5513</v>
      </c>
      <c r="AE108" s="257">
        <f t="shared" si="120"/>
        <v>88208</v>
      </c>
      <c r="AF108" s="446">
        <f t="shared" si="121"/>
        <v>569</v>
      </c>
      <c r="AG108" s="446">
        <f t="shared" si="122"/>
        <v>27.767199999999999</v>
      </c>
      <c r="AH108" s="446">
        <f t="shared" si="123"/>
        <v>0.48934910400000003</v>
      </c>
      <c r="AI108" s="446">
        <f t="shared" si="124"/>
        <v>597</v>
      </c>
      <c r="AJ108" s="258">
        <f t="shared" si="125"/>
        <v>50190352</v>
      </c>
      <c r="AK108" s="258">
        <f t="shared" si="126"/>
        <v>52660176</v>
      </c>
      <c r="AL108" s="426">
        <f t="shared" si="127"/>
        <v>16</v>
      </c>
      <c r="AM108" s="426">
        <f t="array" ref="AM108">MAX((IF(MNU_CODIGO_ALIMENTO_ENTREGA=CONCATENATE($E108,"_","P_"),MNU_GRAMAJE_REQUERIDO_TIPOM,"")))</f>
        <v>30</v>
      </c>
      <c r="AN108" s="259">
        <f t="shared" si="128"/>
        <v>235</v>
      </c>
      <c r="AO108" s="259">
        <f t="shared" si="129"/>
        <v>3760</v>
      </c>
      <c r="AP108" s="446">
        <f t="shared" si="130"/>
        <v>284</v>
      </c>
      <c r="AQ108" s="446">
        <f t="shared" si="131"/>
        <v>13.8592</v>
      </c>
      <c r="AR108" s="446">
        <f t="shared" si="132"/>
        <v>0.24424454399999998</v>
      </c>
      <c r="AS108" s="446">
        <f t="shared" si="133"/>
        <v>298</v>
      </c>
      <c r="AT108" s="260">
        <f t="shared" si="134"/>
        <v>1067840</v>
      </c>
      <c r="AU108" s="260">
        <f t="shared" si="135"/>
        <v>1120480</v>
      </c>
      <c r="AV108" s="425">
        <f t="shared" si="136"/>
        <v>16</v>
      </c>
      <c r="AW108" s="425">
        <f t="array" ref="AW108">MAX((IF(MNU_CODIGO_ALIMENTO_ENTREGA=CONCATENATE($E108,"_","P_"),MNU_GRAMAJE_REQUERIDO_TIPOH,"")))</f>
        <v>60</v>
      </c>
      <c r="AX108" s="257">
        <f t="shared" si="137"/>
        <v>243</v>
      </c>
      <c r="AY108" s="257">
        <f t="shared" si="138"/>
        <v>3888</v>
      </c>
      <c r="AZ108" s="446">
        <f t="shared" si="139"/>
        <v>569</v>
      </c>
      <c r="BA108" s="446">
        <f t="shared" si="140"/>
        <v>27.767199999999999</v>
      </c>
      <c r="BB108" s="446">
        <f t="shared" si="141"/>
        <v>0.48934910400000003</v>
      </c>
      <c r="BC108" s="446">
        <f t="shared" si="142"/>
        <v>597</v>
      </c>
      <c r="BD108" s="258">
        <f t="shared" si="143"/>
        <v>2212272</v>
      </c>
      <c r="BE108" s="258">
        <f t="shared" si="144"/>
        <v>2321136</v>
      </c>
      <c r="BF108" s="391">
        <f t="shared" si="145"/>
        <v>89638432</v>
      </c>
      <c r="BG108" s="391">
        <f t="shared" si="146"/>
        <v>94029808</v>
      </c>
    </row>
    <row r="109" spans="1:59" ht="15.75">
      <c r="A109" s="333">
        <v>8</v>
      </c>
      <c r="B109" s="333" t="str">
        <f t="shared" si="98"/>
        <v>CEREAL EMPACADO_8</v>
      </c>
      <c r="C109" s="333" t="str">
        <f t="shared" si="99"/>
        <v>50_8</v>
      </c>
      <c r="D109" s="333" t="s">
        <v>1607</v>
      </c>
      <c r="E109" s="256">
        <v>50</v>
      </c>
      <c r="F109" s="322" t="s">
        <v>65</v>
      </c>
      <c r="G109" s="256" t="s">
        <v>9</v>
      </c>
      <c r="H109" s="425">
        <f t="shared" si="100"/>
        <v>17</v>
      </c>
      <c r="I109" s="425">
        <f t="array" ref="I109">MAX((IF(MNU_CODIGO_ALIMENTO_ENTREGA=CONCATENATE($E109,"_","P_"),MNU_GRAMAJE_REQUERIDO_TIPOA,"")))</f>
        <v>30</v>
      </c>
      <c r="J109" s="257">
        <f t="shared" si="101"/>
        <v>3905</v>
      </c>
      <c r="K109" s="257">
        <f t="shared" si="102"/>
        <v>66385</v>
      </c>
      <c r="L109" s="446">
        <f t="shared" si="103"/>
        <v>306</v>
      </c>
      <c r="M109" s="446">
        <f t="shared" si="104"/>
        <v>14.9328</v>
      </c>
      <c r="N109" s="446">
        <f t="shared" si="105"/>
        <v>0.26316489599999998</v>
      </c>
      <c r="O109" s="446">
        <f t="shared" si="106"/>
        <v>321</v>
      </c>
      <c r="P109" s="258">
        <f t="shared" si="107"/>
        <v>20313810</v>
      </c>
      <c r="Q109" s="258">
        <f t="shared" si="108"/>
        <v>21309585</v>
      </c>
      <c r="R109" s="426">
        <f t="shared" si="109"/>
        <v>17</v>
      </c>
      <c r="S109" s="426">
        <f t="array" ref="S109">MAX((IF(MNU_CODIGO_ALIMENTO_ENTREGA=CONCATENATE($E109,"_","P_"),MNU_GRAMAJE_REQUERIDO_TIPOB,"")))</f>
        <v>40</v>
      </c>
      <c r="T109" s="259">
        <f t="shared" si="110"/>
        <v>5347</v>
      </c>
      <c r="U109" s="259">
        <f t="shared" si="111"/>
        <v>90899</v>
      </c>
      <c r="V109" s="446">
        <f t="shared" si="112"/>
        <v>408</v>
      </c>
      <c r="W109" s="446">
        <f t="shared" si="113"/>
        <v>19.910400000000003</v>
      </c>
      <c r="X109" s="446">
        <f t="shared" si="114"/>
        <v>0.35088652799999998</v>
      </c>
      <c r="Y109" s="446">
        <f t="shared" si="115"/>
        <v>428</v>
      </c>
      <c r="Z109" s="260">
        <f t="shared" si="116"/>
        <v>37086792</v>
      </c>
      <c r="AA109" s="260">
        <f t="shared" si="117"/>
        <v>38904772</v>
      </c>
      <c r="AB109" s="425">
        <f t="shared" si="118"/>
        <v>17</v>
      </c>
      <c r="AC109" s="425">
        <f t="array" ref="AC109">MAX((IF(MNU_CODIGO_ALIMENTO_ENTREGA=CONCATENATE($E109,"_","P_"),MNU_GRAMAJE_REQUERIDO_TIPOC,"")))</f>
        <v>80</v>
      </c>
      <c r="AD109" s="257">
        <f t="shared" si="119"/>
        <v>5513</v>
      </c>
      <c r="AE109" s="257">
        <f t="shared" si="120"/>
        <v>93721</v>
      </c>
      <c r="AF109" s="446">
        <f t="shared" si="121"/>
        <v>815</v>
      </c>
      <c r="AG109" s="446">
        <f t="shared" si="122"/>
        <v>39.772000000000006</v>
      </c>
      <c r="AH109" s="446">
        <f t="shared" si="123"/>
        <v>0.7009130400000001</v>
      </c>
      <c r="AI109" s="446">
        <f t="shared" si="124"/>
        <v>855</v>
      </c>
      <c r="AJ109" s="258">
        <f t="shared" si="125"/>
        <v>76382615</v>
      </c>
      <c r="AK109" s="258">
        <f t="shared" si="126"/>
        <v>80131455</v>
      </c>
      <c r="AL109" s="426">
        <f t="shared" si="127"/>
        <v>17</v>
      </c>
      <c r="AM109" s="426">
        <f t="array" ref="AM109">MAX((IF(MNU_CODIGO_ALIMENTO_ENTREGA=CONCATENATE($E109,"_","P_"),MNU_GRAMAJE_REQUERIDO_TIPOM,"")))</f>
        <v>40</v>
      </c>
      <c r="AN109" s="259">
        <f t="shared" si="128"/>
        <v>235</v>
      </c>
      <c r="AO109" s="259">
        <f t="shared" si="129"/>
        <v>3995</v>
      </c>
      <c r="AP109" s="446">
        <f t="shared" si="130"/>
        <v>408</v>
      </c>
      <c r="AQ109" s="446">
        <f t="shared" si="131"/>
        <v>19.910400000000003</v>
      </c>
      <c r="AR109" s="446">
        <f t="shared" si="132"/>
        <v>0.35088652799999998</v>
      </c>
      <c r="AS109" s="446">
        <f t="shared" si="133"/>
        <v>428</v>
      </c>
      <c r="AT109" s="260">
        <f t="shared" si="134"/>
        <v>1629960</v>
      </c>
      <c r="AU109" s="260">
        <f t="shared" si="135"/>
        <v>1709860</v>
      </c>
      <c r="AV109" s="425">
        <f t="shared" si="136"/>
        <v>17</v>
      </c>
      <c r="AW109" s="425">
        <f t="array" ref="AW109">MAX((IF(MNU_CODIGO_ALIMENTO_ENTREGA=CONCATENATE($E109,"_","P_"),MNU_GRAMAJE_REQUERIDO_TIPOH,"")))</f>
        <v>80</v>
      </c>
      <c r="AX109" s="257">
        <f t="shared" si="137"/>
        <v>243</v>
      </c>
      <c r="AY109" s="257">
        <f t="shared" si="138"/>
        <v>4131</v>
      </c>
      <c r="AZ109" s="446">
        <f t="shared" si="139"/>
        <v>815</v>
      </c>
      <c r="BA109" s="446">
        <f t="shared" si="140"/>
        <v>39.772000000000006</v>
      </c>
      <c r="BB109" s="446">
        <f t="shared" si="141"/>
        <v>0.7009130400000001</v>
      </c>
      <c r="BC109" s="446">
        <f t="shared" si="142"/>
        <v>855</v>
      </c>
      <c r="BD109" s="258">
        <f t="shared" si="143"/>
        <v>3366765</v>
      </c>
      <c r="BE109" s="258">
        <f t="shared" si="144"/>
        <v>3532005</v>
      </c>
      <c r="BF109" s="391">
        <f t="shared" si="145"/>
        <v>138779942</v>
      </c>
      <c r="BG109" s="391">
        <f t="shared" si="146"/>
        <v>145587677</v>
      </c>
    </row>
    <row r="110" spans="1:59" ht="15.75">
      <c r="A110" s="333">
        <v>8</v>
      </c>
      <c r="B110" s="333" t="str">
        <f t="shared" si="98"/>
        <v>CEREAL EMPACADO_8</v>
      </c>
      <c r="C110" s="333" t="str">
        <f t="shared" si="99"/>
        <v>61_8</v>
      </c>
      <c r="D110" s="333" t="s">
        <v>1607</v>
      </c>
      <c r="E110" s="256">
        <v>61</v>
      </c>
      <c r="F110" s="322" t="s">
        <v>13</v>
      </c>
      <c r="G110" s="256" t="s">
        <v>9</v>
      </c>
      <c r="H110" s="425">
        <f t="shared" si="100"/>
        <v>16</v>
      </c>
      <c r="I110" s="425">
        <f t="array" ref="I110">MAX((IF(MNU_CODIGO_ALIMENTO_ENTREGA=CONCATENATE($E110,"_","P_"),MNU_GRAMAJE_REQUERIDO_TIPOA,"")))</f>
        <v>20</v>
      </c>
      <c r="J110" s="257">
        <f t="shared" si="101"/>
        <v>3905</v>
      </c>
      <c r="K110" s="257">
        <f t="shared" si="102"/>
        <v>62480</v>
      </c>
      <c r="L110" s="446">
        <f t="shared" si="103"/>
        <v>222</v>
      </c>
      <c r="M110" s="446">
        <f t="shared" si="104"/>
        <v>10.833600000000001</v>
      </c>
      <c r="N110" s="446">
        <f t="shared" si="105"/>
        <v>0.190923552</v>
      </c>
      <c r="O110" s="446">
        <f t="shared" si="106"/>
        <v>233</v>
      </c>
      <c r="P110" s="258">
        <f t="shared" si="107"/>
        <v>13870560</v>
      </c>
      <c r="Q110" s="258">
        <f t="shared" si="108"/>
        <v>14557840</v>
      </c>
      <c r="R110" s="426">
        <f t="shared" si="109"/>
        <v>16</v>
      </c>
      <c r="S110" s="426">
        <f t="array" ref="S110">MAX((IF(MNU_CODIGO_ALIMENTO_ENTREGA=CONCATENATE($E110,"_","P_"),MNU_GRAMAJE_REQUERIDO_TIPOB,"")))</f>
        <v>30</v>
      </c>
      <c r="T110" s="259">
        <f t="shared" si="110"/>
        <v>5347</v>
      </c>
      <c r="U110" s="259">
        <f t="shared" si="111"/>
        <v>85552</v>
      </c>
      <c r="V110" s="446">
        <f t="shared" si="112"/>
        <v>334</v>
      </c>
      <c r="W110" s="446">
        <f t="shared" si="113"/>
        <v>16.299199999999999</v>
      </c>
      <c r="X110" s="446">
        <f t="shared" si="114"/>
        <v>0.28724534400000001</v>
      </c>
      <c r="Y110" s="446">
        <f t="shared" si="115"/>
        <v>351</v>
      </c>
      <c r="Z110" s="260">
        <f t="shared" si="116"/>
        <v>28574368</v>
      </c>
      <c r="AA110" s="260">
        <f t="shared" si="117"/>
        <v>30028752</v>
      </c>
      <c r="AB110" s="425">
        <f t="shared" si="118"/>
        <v>16</v>
      </c>
      <c r="AC110" s="425">
        <f t="array" ref="AC110">MAX((IF(MNU_CODIGO_ALIMENTO_ENTREGA=CONCATENATE($E110,"_","P_"),MNU_GRAMAJE_REQUERIDO_TIPOC,"")))</f>
        <v>70</v>
      </c>
      <c r="AD110" s="257">
        <f t="shared" si="119"/>
        <v>5513</v>
      </c>
      <c r="AE110" s="257">
        <f t="shared" si="120"/>
        <v>88208</v>
      </c>
      <c r="AF110" s="446">
        <f t="shared" si="121"/>
        <v>779</v>
      </c>
      <c r="AG110" s="446">
        <f t="shared" si="122"/>
        <v>38.0152</v>
      </c>
      <c r="AH110" s="446">
        <f t="shared" si="123"/>
        <v>0.66995246400000008</v>
      </c>
      <c r="AI110" s="446">
        <f t="shared" si="124"/>
        <v>818</v>
      </c>
      <c r="AJ110" s="258">
        <f t="shared" si="125"/>
        <v>68714032</v>
      </c>
      <c r="AK110" s="258">
        <f t="shared" si="126"/>
        <v>72154144</v>
      </c>
      <c r="AL110" s="426">
        <f t="shared" si="127"/>
        <v>16</v>
      </c>
      <c r="AM110" s="426">
        <f t="array" ref="AM110">MAX((IF(MNU_CODIGO_ALIMENTO_ENTREGA=CONCATENATE($E110,"_","P_"),MNU_GRAMAJE_REQUERIDO_TIPOM,"")))</f>
        <v>30</v>
      </c>
      <c r="AN110" s="259">
        <f t="shared" si="128"/>
        <v>235</v>
      </c>
      <c r="AO110" s="259">
        <f t="shared" si="129"/>
        <v>3760</v>
      </c>
      <c r="AP110" s="446">
        <f t="shared" si="130"/>
        <v>334</v>
      </c>
      <c r="AQ110" s="446">
        <f t="shared" si="131"/>
        <v>16.299199999999999</v>
      </c>
      <c r="AR110" s="446">
        <f t="shared" si="132"/>
        <v>0.28724534400000001</v>
      </c>
      <c r="AS110" s="446">
        <f t="shared" si="133"/>
        <v>351</v>
      </c>
      <c r="AT110" s="260">
        <f t="shared" si="134"/>
        <v>1255840</v>
      </c>
      <c r="AU110" s="260">
        <f t="shared" si="135"/>
        <v>1319760</v>
      </c>
      <c r="AV110" s="425">
        <f t="shared" si="136"/>
        <v>16</v>
      </c>
      <c r="AW110" s="425">
        <f t="array" ref="AW110">MAX((IF(MNU_CODIGO_ALIMENTO_ENTREGA=CONCATENATE($E110,"_","P_"),MNU_GRAMAJE_REQUERIDO_TIPOH,"")))</f>
        <v>70</v>
      </c>
      <c r="AX110" s="257">
        <f t="shared" si="137"/>
        <v>243</v>
      </c>
      <c r="AY110" s="257">
        <f t="shared" si="138"/>
        <v>3888</v>
      </c>
      <c r="AZ110" s="446">
        <f t="shared" si="139"/>
        <v>779</v>
      </c>
      <c r="BA110" s="446">
        <f t="shared" si="140"/>
        <v>38.0152</v>
      </c>
      <c r="BB110" s="446">
        <f t="shared" si="141"/>
        <v>0.66995246400000008</v>
      </c>
      <c r="BC110" s="446">
        <f t="shared" si="142"/>
        <v>818</v>
      </c>
      <c r="BD110" s="258">
        <f t="shared" si="143"/>
        <v>3028752</v>
      </c>
      <c r="BE110" s="258">
        <f t="shared" si="144"/>
        <v>3180384</v>
      </c>
      <c r="BF110" s="391">
        <f t="shared" si="145"/>
        <v>115443552</v>
      </c>
      <c r="BG110" s="391">
        <f t="shared" si="146"/>
        <v>121240880</v>
      </c>
    </row>
    <row r="111" spans="1:59" ht="15.75">
      <c r="A111" s="333">
        <v>8</v>
      </c>
      <c r="B111" s="333" t="str">
        <f t="shared" si="98"/>
        <v>CEREAL EMPACADO_8</v>
      </c>
      <c r="C111" s="333" t="str">
        <f t="shared" si="99"/>
        <v>62_8</v>
      </c>
      <c r="D111" s="333" t="s">
        <v>1607</v>
      </c>
      <c r="E111" s="256">
        <v>62</v>
      </c>
      <c r="F111" s="322" t="s">
        <v>68</v>
      </c>
      <c r="G111" s="256" t="s">
        <v>9</v>
      </c>
      <c r="H111" s="425">
        <f t="shared" si="100"/>
        <v>5</v>
      </c>
      <c r="I111" s="425">
        <f t="array" ref="I111">MAX((IF(MNU_CODIGO_ALIMENTO_ENTREGA=CONCATENATE($E111,"_","P_"),MNU_GRAMAJE_REQUERIDO_TIPOA,"")))</f>
        <v>50</v>
      </c>
      <c r="J111" s="257">
        <f t="shared" si="101"/>
        <v>3905</v>
      </c>
      <c r="K111" s="257">
        <f t="shared" si="102"/>
        <v>19525</v>
      </c>
      <c r="L111" s="446">
        <f t="shared" si="103"/>
        <v>595</v>
      </c>
      <c r="M111" s="446">
        <f t="shared" si="104"/>
        <v>29.036000000000001</v>
      </c>
      <c r="N111" s="446">
        <f t="shared" si="105"/>
        <v>0.51170952000000014</v>
      </c>
      <c r="O111" s="446">
        <f t="shared" si="106"/>
        <v>625</v>
      </c>
      <c r="P111" s="258">
        <f t="shared" si="107"/>
        <v>11617375</v>
      </c>
      <c r="Q111" s="258">
        <f t="shared" si="108"/>
        <v>12203125</v>
      </c>
      <c r="R111" s="426">
        <f t="shared" si="109"/>
        <v>5</v>
      </c>
      <c r="S111" s="426">
        <f t="array" ref="S111">MAX((IF(MNU_CODIGO_ALIMENTO_ENTREGA=CONCATENATE($E111,"_","P_"),MNU_GRAMAJE_REQUERIDO_TIPOB,"")))</f>
        <v>50</v>
      </c>
      <c r="T111" s="259">
        <f t="shared" si="110"/>
        <v>5347</v>
      </c>
      <c r="U111" s="259">
        <f t="shared" si="111"/>
        <v>26735</v>
      </c>
      <c r="V111" s="446">
        <f t="shared" si="112"/>
        <v>595</v>
      </c>
      <c r="W111" s="446">
        <f t="shared" si="113"/>
        <v>29.036000000000001</v>
      </c>
      <c r="X111" s="446">
        <f t="shared" si="114"/>
        <v>0.51170952000000014</v>
      </c>
      <c r="Y111" s="446">
        <f t="shared" si="115"/>
        <v>625</v>
      </c>
      <c r="Z111" s="260">
        <f t="shared" si="116"/>
        <v>15907325</v>
      </c>
      <c r="AA111" s="260">
        <f t="shared" si="117"/>
        <v>16709375</v>
      </c>
      <c r="AB111" s="425">
        <f t="shared" si="118"/>
        <v>5</v>
      </c>
      <c r="AC111" s="425">
        <f t="array" ref="AC111">MAX((IF(MNU_CODIGO_ALIMENTO_ENTREGA=CONCATENATE($E111,"_","P_"),MNU_GRAMAJE_REQUERIDO_TIPOC,"")))</f>
        <v>50</v>
      </c>
      <c r="AD111" s="257">
        <f t="shared" si="119"/>
        <v>5513</v>
      </c>
      <c r="AE111" s="257">
        <f t="shared" si="120"/>
        <v>27565</v>
      </c>
      <c r="AF111" s="446">
        <f t="shared" si="121"/>
        <v>595</v>
      </c>
      <c r="AG111" s="446">
        <f t="shared" si="122"/>
        <v>29.036000000000001</v>
      </c>
      <c r="AH111" s="446">
        <f t="shared" si="123"/>
        <v>0.51170952000000014</v>
      </c>
      <c r="AI111" s="446">
        <f t="shared" si="124"/>
        <v>625</v>
      </c>
      <c r="AJ111" s="258">
        <f t="shared" si="125"/>
        <v>16401175</v>
      </c>
      <c r="AK111" s="258">
        <f t="shared" si="126"/>
        <v>17228125</v>
      </c>
      <c r="AL111" s="426">
        <f t="shared" si="127"/>
        <v>5</v>
      </c>
      <c r="AM111" s="426">
        <f t="array" ref="AM111">MAX((IF(MNU_CODIGO_ALIMENTO_ENTREGA=CONCATENATE($E111,"_","P_"),MNU_GRAMAJE_REQUERIDO_TIPOM,"")))</f>
        <v>50</v>
      </c>
      <c r="AN111" s="259">
        <f t="shared" si="128"/>
        <v>235</v>
      </c>
      <c r="AO111" s="259">
        <f t="shared" si="129"/>
        <v>1175</v>
      </c>
      <c r="AP111" s="446">
        <f t="shared" si="130"/>
        <v>595</v>
      </c>
      <c r="AQ111" s="446">
        <f t="shared" si="131"/>
        <v>29.036000000000001</v>
      </c>
      <c r="AR111" s="446">
        <f t="shared" si="132"/>
        <v>0.51170952000000014</v>
      </c>
      <c r="AS111" s="446">
        <f t="shared" si="133"/>
        <v>625</v>
      </c>
      <c r="AT111" s="260">
        <f t="shared" si="134"/>
        <v>699125</v>
      </c>
      <c r="AU111" s="260">
        <f t="shared" si="135"/>
        <v>734375</v>
      </c>
      <c r="AV111" s="425">
        <f t="shared" si="136"/>
        <v>5</v>
      </c>
      <c r="AW111" s="425">
        <f t="array" ref="AW111">MAX((IF(MNU_CODIGO_ALIMENTO_ENTREGA=CONCATENATE($E111,"_","P_"),MNU_GRAMAJE_REQUERIDO_TIPOH,"")))</f>
        <v>50</v>
      </c>
      <c r="AX111" s="257">
        <f t="shared" si="137"/>
        <v>243</v>
      </c>
      <c r="AY111" s="257">
        <f t="shared" si="138"/>
        <v>1215</v>
      </c>
      <c r="AZ111" s="446">
        <f t="shared" si="139"/>
        <v>595</v>
      </c>
      <c r="BA111" s="446">
        <f t="shared" si="140"/>
        <v>29.036000000000001</v>
      </c>
      <c r="BB111" s="446">
        <f t="shared" si="141"/>
        <v>0.51170952000000014</v>
      </c>
      <c r="BC111" s="446">
        <f t="shared" si="142"/>
        <v>625</v>
      </c>
      <c r="BD111" s="258">
        <f t="shared" si="143"/>
        <v>722925</v>
      </c>
      <c r="BE111" s="258">
        <f t="shared" si="144"/>
        <v>759375</v>
      </c>
      <c r="BF111" s="391">
        <f t="shared" si="145"/>
        <v>45347925</v>
      </c>
      <c r="BG111" s="391">
        <f t="shared" si="146"/>
        <v>47634375</v>
      </c>
    </row>
    <row r="112" spans="1:59" ht="15.75">
      <c r="A112" s="333">
        <v>9</v>
      </c>
      <c r="B112" s="333" t="str">
        <f t="shared" si="98"/>
        <v>CEREAL EMPACADO_9</v>
      </c>
      <c r="C112" s="333" t="str">
        <f t="shared" si="99"/>
        <v>1_9</v>
      </c>
      <c r="D112" s="333" t="s">
        <v>1607</v>
      </c>
      <c r="E112" s="256">
        <v>1</v>
      </c>
      <c r="F112" s="322" t="s">
        <v>16</v>
      </c>
      <c r="G112" s="256" t="s">
        <v>9</v>
      </c>
      <c r="H112" s="425">
        <f t="shared" si="100"/>
        <v>15</v>
      </c>
      <c r="I112" s="425">
        <f t="array" ref="I112">MAX((IF(MNU_CODIGO_ALIMENTO_ENTREGA=CONCATENATE($E112,"_","P_"),MNU_GRAMAJE_REQUERIDO_TIPOA,"")))</f>
        <v>30</v>
      </c>
      <c r="J112" s="257">
        <f t="shared" si="101"/>
        <v>5351</v>
      </c>
      <c r="K112" s="257">
        <f t="shared" si="102"/>
        <v>80265</v>
      </c>
      <c r="L112" s="446">
        <f t="shared" si="103"/>
        <v>770</v>
      </c>
      <c r="M112" s="446">
        <f t="shared" si="104"/>
        <v>37.576000000000008</v>
      </c>
      <c r="N112" s="446">
        <f t="shared" si="105"/>
        <v>0.66221231999999997</v>
      </c>
      <c r="O112" s="446">
        <f t="shared" si="106"/>
        <v>808</v>
      </c>
      <c r="P112" s="258">
        <f t="shared" si="107"/>
        <v>61804050</v>
      </c>
      <c r="Q112" s="258">
        <f t="shared" si="108"/>
        <v>64854120</v>
      </c>
      <c r="R112" s="426">
        <f t="shared" si="109"/>
        <v>15</v>
      </c>
      <c r="S112" s="426">
        <f t="array" ref="S112">MAX((IF(MNU_CODIGO_ALIMENTO_ENTREGA=CONCATENATE($E112,"_","P_"),MNU_GRAMAJE_REQUERIDO_TIPOB,"")))</f>
        <v>40</v>
      </c>
      <c r="T112" s="259">
        <f t="shared" si="110"/>
        <v>7228</v>
      </c>
      <c r="U112" s="259">
        <f t="shared" si="111"/>
        <v>108420</v>
      </c>
      <c r="V112" s="446">
        <f t="shared" si="112"/>
        <v>1027</v>
      </c>
      <c r="W112" s="446">
        <f t="shared" si="113"/>
        <v>50.117600000000003</v>
      </c>
      <c r="X112" s="446">
        <f t="shared" si="114"/>
        <v>0.88323643200000013</v>
      </c>
      <c r="Y112" s="446">
        <f t="shared" si="115"/>
        <v>1078</v>
      </c>
      <c r="Z112" s="260">
        <f t="shared" si="116"/>
        <v>111347340</v>
      </c>
      <c r="AA112" s="260">
        <f t="shared" si="117"/>
        <v>116876760</v>
      </c>
      <c r="AB112" s="425">
        <f t="shared" si="118"/>
        <v>15</v>
      </c>
      <c r="AC112" s="425">
        <f t="array" ref="AC112">MAX((IF(MNU_CODIGO_ALIMENTO_ENTREGA=CONCATENATE($E112,"_","P_"),MNU_GRAMAJE_REQUERIDO_TIPOC,"")))</f>
        <v>60</v>
      </c>
      <c r="AD112" s="257">
        <f t="shared" si="119"/>
        <v>7156</v>
      </c>
      <c r="AE112" s="257">
        <f t="shared" si="120"/>
        <v>107340</v>
      </c>
      <c r="AF112" s="446">
        <f t="shared" si="121"/>
        <v>1540</v>
      </c>
      <c r="AG112" s="446">
        <f t="shared" si="122"/>
        <v>75.152000000000015</v>
      </c>
      <c r="AH112" s="446">
        <f t="shared" si="123"/>
        <v>1.3244246399999999</v>
      </c>
      <c r="AI112" s="446">
        <f t="shared" si="124"/>
        <v>1616</v>
      </c>
      <c r="AJ112" s="258">
        <f t="shared" si="125"/>
        <v>165303600</v>
      </c>
      <c r="AK112" s="258">
        <f t="shared" si="126"/>
        <v>173461440</v>
      </c>
      <c r="AL112" s="426">
        <f t="shared" si="127"/>
        <v>15</v>
      </c>
      <c r="AM112" s="426">
        <f t="array" ref="AM112">MAX((IF(MNU_CODIGO_ALIMENTO_ENTREGA=CONCATENATE($E112,"_","P_"),MNU_GRAMAJE_REQUERIDO_TIPOM,"")))</f>
        <v>40</v>
      </c>
      <c r="AN112" s="259">
        <f t="shared" si="128"/>
        <v>371</v>
      </c>
      <c r="AO112" s="259">
        <f t="shared" si="129"/>
        <v>5565</v>
      </c>
      <c r="AP112" s="446">
        <f t="shared" si="130"/>
        <v>1027</v>
      </c>
      <c r="AQ112" s="446">
        <f t="shared" si="131"/>
        <v>50.117600000000003</v>
      </c>
      <c r="AR112" s="446">
        <f t="shared" si="132"/>
        <v>0.88323643200000013</v>
      </c>
      <c r="AS112" s="446">
        <f t="shared" si="133"/>
        <v>1078</v>
      </c>
      <c r="AT112" s="260">
        <f t="shared" si="134"/>
        <v>5715255</v>
      </c>
      <c r="AU112" s="260">
        <f t="shared" si="135"/>
        <v>5999070</v>
      </c>
      <c r="AV112" s="425">
        <f t="shared" si="136"/>
        <v>15</v>
      </c>
      <c r="AW112" s="425">
        <f t="array" ref="AW112">MAX((IF(MNU_CODIGO_ALIMENTO_ENTREGA=CONCATENATE($E112,"_","P_"),MNU_GRAMAJE_REQUERIDO_TIPOH,"")))</f>
        <v>60</v>
      </c>
      <c r="AX112" s="257">
        <f t="shared" si="137"/>
        <v>419</v>
      </c>
      <c r="AY112" s="257">
        <f t="shared" si="138"/>
        <v>6285</v>
      </c>
      <c r="AZ112" s="446">
        <f t="shared" si="139"/>
        <v>1540</v>
      </c>
      <c r="BA112" s="446">
        <f t="shared" si="140"/>
        <v>75.152000000000015</v>
      </c>
      <c r="BB112" s="446">
        <f t="shared" si="141"/>
        <v>1.3244246399999999</v>
      </c>
      <c r="BC112" s="446">
        <f t="shared" si="142"/>
        <v>1616</v>
      </c>
      <c r="BD112" s="258">
        <f t="shared" si="143"/>
        <v>9678900</v>
      </c>
      <c r="BE112" s="258">
        <f t="shared" si="144"/>
        <v>10156560</v>
      </c>
      <c r="BF112" s="391">
        <f t="shared" si="145"/>
        <v>353849145</v>
      </c>
      <c r="BG112" s="391">
        <f t="shared" si="146"/>
        <v>371347950</v>
      </c>
    </row>
    <row r="113" spans="1:59" ht="15.75">
      <c r="A113" s="333">
        <v>9</v>
      </c>
      <c r="B113" s="333" t="str">
        <f t="shared" si="98"/>
        <v>CEREAL EMPACADO_9</v>
      </c>
      <c r="C113" s="333" t="str">
        <f t="shared" si="99"/>
        <v>3_9</v>
      </c>
      <c r="D113" s="333" t="s">
        <v>1607</v>
      </c>
      <c r="E113" s="256">
        <v>3</v>
      </c>
      <c r="F113" s="322" t="s">
        <v>12</v>
      </c>
      <c r="G113" s="256" t="s">
        <v>9</v>
      </c>
      <c r="H113" s="425">
        <f t="shared" si="100"/>
        <v>17</v>
      </c>
      <c r="I113" s="425">
        <f t="array" ref="I113">MAX((IF(MNU_CODIGO_ALIMENTO_ENTREGA=CONCATENATE($E113,"_","P_"),MNU_GRAMAJE_REQUERIDO_TIPOA,"")))</f>
        <v>50</v>
      </c>
      <c r="J113" s="257">
        <f t="shared" si="101"/>
        <v>5351</v>
      </c>
      <c r="K113" s="257">
        <f t="shared" si="102"/>
        <v>90967</v>
      </c>
      <c r="L113" s="446">
        <f t="shared" si="103"/>
        <v>481</v>
      </c>
      <c r="M113" s="446">
        <f t="shared" si="104"/>
        <v>23.472799999999999</v>
      </c>
      <c r="N113" s="446">
        <f t="shared" si="105"/>
        <v>0.41366769599999997</v>
      </c>
      <c r="O113" s="446">
        <f t="shared" si="106"/>
        <v>505</v>
      </c>
      <c r="P113" s="258">
        <f t="shared" si="107"/>
        <v>43755127</v>
      </c>
      <c r="Q113" s="258">
        <f t="shared" si="108"/>
        <v>45938335</v>
      </c>
      <c r="R113" s="426">
        <f t="shared" si="109"/>
        <v>17</v>
      </c>
      <c r="S113" s="426">
        <f t="array" ref="S113">MAX((IF(MNU_CODIGO_ALIMENTO_ENTREGA=CONCATENATE($E113,"_","P_"),MNU_GRAMAJE_REQUERIDO_TIPOB,"")))</f>
        <v>50</v>
      </c>
      <c r="T113" s="259">
        <f t="shared" si="110"/>
        <v>7228</v>
      </c>
      <c r="U113" s="259">
        <f t="shared" si="111"/>
        <v>122876</v>
      </c>
      <c r="V113" s="446">
        <f t="shared" si="112"/>
        <v>481</v>
      </c>
      <c r="W113" s="446">
        <f t="shared" si="113"/>
        <v>23.472799999999999</v>
      </c>
      <c r="X113" s="446">
        <f t="shared" si="114"/>
        <v>0.41366769599999997</v>
      </c>
      <c r="Y113" s="446">
        <f t="shared" si="115"/>
        <v>505</v>
      </c>
      <c r="Z113" s="260">
        <f t="shared" si="116"/>
        <v>59103356</v>
      </c>
      <c r="AA113" s="260">
        <f t="shared" si="117"/>
        <v>62052380</v>
      </c>
      <c r="AB113" s="425">
        <f t="shared" si="118"/>
        <v>17</v>
      </c>
      <c r="AC113" s="425">
        <f t="array" ref="AC113">MAX((IF(MNU_CODIGO_ALIMENTO_ENTREGA=CONCATENATE($E113,"_","P_"),MNU_GRAMAJE_REQUERIDO_TIPOC,"")))</f>
        <v>80</v>
      </c>
      <c r="AD113" s="257">
        <f t="shared" si="119"/>
        <v>7156</v>
      </c>
      <c r="AE113" s="257">
        <f t="shared" si="120"/>
        <v>121652</v>
      </c>
      <c r="AF113" s="446">
        <f t="shared" si="121"/>
        <v>727</v>
      </c>
      <c r="AG113" s="446">
        <f t="shared" si="122"/>
        <v>35.477600000000002</v>
      </c>
      <c r="AH113" s="446">
        <f t="shared" si="123"/>
        <v>0.62523163200000009</v>
      </c>
      <c r="AI113" s="446">
        <f t="shared" si="124"/>
        <v>763</v>
      </c>
      <c r="AJ113" s="258">
        <f t="shared" si="125"/>
        <v>88441004</v>
      </c>
      <c r="AK113" s="258">
        <f t="shared" si="126"/>
        <v>92820476</v>
      </c>
      <c r="AL113" s="426">
        <f t="shared" si="127"/>
        <v>17</v>
      </c>
      <c r="AM113" s="426">
        <f t="array" ref="AM113">MAX((IF(MNU_CODIGO_ALIMENTO_ENTREGA=CONCATENATE($E113,"_","P_"),MNU_GRAMAJE_REQUERIDO_TIPOM,"")))</f>
        <v>50</v>
      </c>
      <c r="AN113" s="259">
        <f t="shared" si="128"/>
        <v>371</v>
      </c>
      <c r="AO113" s="259">
        <f t="shared" si="129"/>
        <v>6307</v>
      </c>
      <c r="AP113" s="446">
        <f t="shared" si="130"/>
        <v>481</v>
      </c>
      <c r="AQ113" s="446">
        <f t="shared" si="131"/>
        <v>23.472799999999999</v>
      </c>
      <c r="AR113" s="446">
        <f t="shared" si="132"/>
        <v>0.41366769599999997</v>
      </c>
      <c r="AS113" s="446">
        <f t="shared" si="133"/>
        <v>505</v>
      </c>
      <c r="AT113" s="260">
        <f t="shared" si="134"/>
        <v>3033667</v>
      </c>
      <c r="AU113" s="260">
        <f t="shared" si="135"/>
        <v>3185035</v>
      </c>
      <c r="AV113" s="425">
        <f t="shared" si="136"/>
        <v>17</v>
      </c>
      <c r="AW113" s="425">
        <f t="array" ref="AW113">MAX((IF(MNU_CODIGO_ALIMENTO_ENTREGA=CONCATENATE($E113,"_","P_"),MNU_GRAMAJE_REQUERIDO_TIPOH,"")))</f>
        <v>80</v>
      </c>
      <c r="AX113" s="257">
        <f t="shared" si="137"/>
        <v>419</v>
      </c>
      <c r="AY113" s="257">
        <f t="shared" si="138"/>
        <v>7123</v>
      </c>
      <c r="AZ113" s="446">
        <f t="shared" si="139"/>
        <v>727</v>
      </c>
      <c r="BA113" s="446">
        <f t="shared" si="140"/>
        <v>35.477600000000002</v>
      </c>
      <c r="BB113" s="446">
        <f t="shared" si="141"/>
        <v>0.62523163200000009</v>
      </c>
      <c r="BC113" s="446">
        <f t="shared" si="142"/>
        <v>763</v>
      </c>
      <c r="BD113" s="258">
        <f t="shared" si="143"/>
        <v>5178421</v>
      </c>
      <c r="BE113" s="258">
        <f t="shared" si="144"/>
        <v>5434849</v>
      </c>
      <c r="BF113" s="391">
        <f t="shared" si="145"/>
        <v>199511575</v>
      </c>
      <c r="BG113" s="391">
        <f t="shared" si="146"/>
        <v>209431075</v>
      </c>
    </row>
    <row r="114" spans="1:59" ht="15.75">
      <c r="A114" s="333">
        <v>9</v>
      </c>
      <c r="B114" s="333" t="str">
        <f t="shared" si="98"/>
        <v>CEREAL EMPACADO_9</v>
      </c>
      <c r="C114" s="333" t="str">
        <f t="shared" si="99"/>
        <v>15_9</v>
      </c>
      <c r="D114" s="333" t="s">
        <v>1607</v>
      </c>
      <c r="E114" s="256">
        <v>15</v>
      </c>
      <c r="F114" s="322" t="s">
        <v>66</v>
      </c>
      <c r="G114" s="256" t="s">
        <v>9</v>
      </c>
      <c r="H114" s="425">
        <f t="shared" si="100"/>
        <v>17</v>
      </c>
      <c r="I114" s="425">
        <f t="array" ref="I114">MAX((IF(MNU_CODIGO_ALIMENTO_ENTREGA=CONCATENATE($E114,"_","P_"),MNU_GRAMAJE_REQUERIDO_TIPOA,"")))</f>
        <v>50</v>
      </c>
      <c r="J114" s="257">
        <f t="shared" si="101"/>
        <v>5351</v>
      </c>
      <c r="K114" s="257">
        <f t="shared" si="102"/>
        <v>90967</v>
      </c>
      <c r="L114" s="446">
        <f t="shared" si="103"/>
        <v>641</v>
      </c>
      <c r="M114" s="446">
        <f t="shared" si="104"/>
        <v>31.280800000000003</v>
      </c>
      <c r="N114" s="446">
        <f t="shared" si="105"/>
        <v>0.55127025600000001</v>
      </c>
      <c r="O114" s="446">
        <f t="shared" si="106"/>
        <v>673</v>
      </c>
      <c r="P114" s="258">
        <f t="shared" si="107"/>
        <v>58309847</v>
      </c>
      <c r="Q114" s="258">
        <f t="shared" si="108"/>
        <v>61220791</v>
      </c>
      <c r="R114" s="426">
        <f t="shared" si="109"/>
        <v>17</v>
      </c>
      <c r="S114" s="426">
        <f t="array" ref="S114">MAX((IF(MNU_CODIGO_ALIMENTO_ENTREGA=CONCATENATE($E114,"_","P_"),MNU_GRAMAJE_REQUERIDO_TIPOB,"")))</f>
        <v>50</v>
      </c>
      <c r="T114" s="259">
        <f t="shared" si="110"/>
        <v>7228</v>
      </c>
      <c r="U114" s="259">
        <f t="shared" si="111"/>
        <v>122876</v>
      </c>
      <c r="V114" s="446">
        <f t="shared" si="112"/>
        <v>641</v>
      </c>
      <c r="W114" s="446">
        <f t="shared" si="113"/>
        <v>31.280800000000003</v>
      </c>
      <c r="X114" s="446">
        <f t="shared" si="114"/>
        <v>0.55127025600000001</v>
      </c>
      <c r="Y114" s="446">
        <f t="shared" si="115"/>
        <v>673</v>
      </c>
      <c r="Z114" s="260">
        <f t="shared" si="116"/>
        <v>78763516</v>
      </c>
      <c r="AA114" s="260">
        <f t="shared" si="117"/>
        <v>82695548</v>
      </c>
      <c r="AB114" s="425">
        <f t="shared" si="118"/>
        <v>17</v>
      </c>
      <c r="AC114" s="425">
        <f t="array" ref="AC114">MAX((IF(MNU_CODIGO_ALIMENTO_ENTREGA=CONCATENATE($E114,"_","P_"),MNU_GRAMAJE_REQUERIDO_TIPOC,"")))</f>
        <v>80</v>
      </c>
      <c r="AD114" s="257">
        <f t="shared" si="119"/>
        <v>7156</v>
      </c>
      <c r="AE114" s="257">
        <f t="shared" si="120"/>
        <v>121652</v>
      </c>
      <c r="AF114" s="446">
        <f t="shared" si="121"/>
        <v>1025</v>
      </c>
      <c r="AG114" s="446">
        <f t="shared" si="122"/>
        <v>50.02</v>
      </c>
      <c r="AH114" s="446">
        <f t="shared" si="123"/>
        <v>0.88151640000000009</v>
      </c>
      <c r="AI114" s="446">
        <f t="shared" si="124"/>
        <v>1076</v>
      </c>
      <c r="AJ114" s="258">
        <f t="shared" si="125"/>
        <v>124693300</v>
      </c>
      <c r="AK114" s="258">
        <f t="shared" si="126"/>
        <v>130897552</v>
      </c>
      <c r="AL114" s="426">
        <f t="shared" si="127"/>
        <v>17</v>
      </c>
      <c r="AM114" s="426">
        <f t="array" ref="AM114">MAX((IF(MNU_CODIGO_ALIMENTO_ENTREGA=CONCATENATE($E114,"_","P_"),MNU_GRAMAJE_REQUERIDO_TIPOM,"")))</f>
        <v>50</v>
      </c>
      <c r="AN114" s="259">
        <f t="shared" si="128"/>
        <v>371</v>
      </c>
      <c r="AO114" s="259">
        <f t="shared" si="129"/>
        <v>6307</v>
      </c>
      <c r="AP114" s="446">
        <f t="shared" si="130"/>
        <v>641</v>
      </c>
      <c r="AQ114" s="446">
        <f t="shared" si="131"/>
        <v>31.280800000000003</v>
      </c>
      <c r="AR114" s="446">
        <f t="shared" si="132"/>
        <v>0.55127025600000001</v>
      </c>
      <c r="AS114" s="446">
        <f t="shared" si="133"/>
        <v>673</v>
      </c>
      <c r="AT114" s="260">
        <f t="shared" si="134"/>
        <v>4042787</v>
      </c>
      <c r="AU114" s="260">
        <f t="shared" si="135"/>
        <v>4244611</v>
      </c>
      <c r="AV114" s="425">
        <f t="shared" si="136"/>
        <v>17</v>
      </c>
      <c r="AW114" s="425">
        <f t="array" ref="AW114">MAX((IF(MNU_CODIGO_ALIMENTO_ENTREGA=CONCATENATE($E114,"_","P_"),MNU_GRAMAJE_REQUERIDO_TIPOH,"")))</f>
        <v>80</v>
      </c>
      <c r="AX114" s="257">
        <f t="shared" si="137"/>
        <v>419</v>
      </c>
      <c r="AY114" s="257">
        <f t="shared" si="138"/>
        <v>7123</v>
      </c>
      <c r="AZ114" s="446">
        <f t="shared" si="139"/>
        <v>1025</v>
      </c>
      <c r="BA114" s="446">
        <f t="shared" si="140"/>
        <v>50.02</v>
      </c>
      <c r="BB114" s="446">
        <f t="shared" si="141"/>
        <v>0.88151640000000009</v>
      </c>
      <c r="BC114" s="446">
        <f t="shared" si="142"/>
        <v>1076</v>
      </c>
      <c r="BD114" s="258">
        <f t="shared" si="143"/>
        <v>7301075</v>
      </c>
      <c r="BE114" s="258">
        <f t="shared" si="144"/>
        <v>7664348</v>
      </c>
      <c r="BF114" s="391">
        <f t="shared" si="145"/>
        <v>273110525</v>
      </c>
      <c r="BG114" s="391">
        <f t="shared" si="146"/>
        <v>286722850</v>
      </c>
    </row>
    <row r="115" spans="1:59" ht="15.75">
      <c r="A115" s="333">
        <v>9</v>
      </c>
      <c r="B115" s="333" t="str">
        <f t="shared" si="98"/>
        <v>CEREAL EMPACADO_9</v>
      </c>
      <c r="C115" s="333" t="str">
        <f t="shared" si="99"/>
        <v>24_9</v>
      </c>
      <c r="D115" s="333" t="s">
        <v>1607</v>
      </c>
      <c r="E115" s="256">
        <v>24</v>
      </c>
      <c r="F115" s="322" t="s">
        <v>61</v>
      </c>
      <c r="G115" s="256" t="s">
        <v>9</v>
      </c>
      <c r="H115" s="425">
        <f t="shared" si="100"/>
        <v>17</v>
      </c>
      <c r="I115" s="425">
        <f t="array" ref="I115">MAX((IF(MNU_CODIGO_ALIMENTO_ENTREGA=CONCATENATE($E115,"_","P_"),MNU_GRAMAJE_REQUERIDO_TIPOA,"")))</f>
        <v>20</v>
      </c>
      <c r="J115" s="257">
        <f t="shared" si="101"/>
        <v>5351</v>
      </c>
      <c r="K115" s="257">
        <f t="shared" si="102"/>
        <v>90967</v>
      </c>
      <c r="L115" s="446">
        <f t="shared" si="103"/>
        <v>122</v>
      </c>
      <c r="M115" s="446">
        <f t="shared" si="104"/>
        <v>5.9535999999999998</v>
      </c>
      <c r="N115" s="446">
        <f t="shared" si="105"/>
        <v>0.104921952</v>
      </c>
      <c r="O115" s="446">
        <f t="shared" si="106"/>
        <v>128</v>
      </c>
      <c r="P115" s="258">
        <f t="shared" si="107"/>
        <v>11097974</v>
      </c>
      <c r="Q115" s="258">
        <f t="shared" si="108"/>
        <v>11643776</v>
      </c>
      <c r="R115" s="426">
        <f t="shared" si="109"/>
        <v>17</v>
      </c>
      <c r="S115" s="426">
        <f t="array" ref="S115">MAX((IF(MNU_CODIGO_ALIMENTO_ENTREGA=CONCATENATE($E115,"_","P_"),MNU_GRAMAJE_REQUERIDO_TIPOB,"")))</f>
        <v>30</v>
      </c>
      <c r="T115" s="259">
        <f t="shared" si="110"/>
        <v>7228</v>
      </c>
      <c r="U115" s="259">
        <f t="shared" si="111"/>
        <v>122876</v>
      </c>
      <c r="V115" s="446">
        <f t="shared" si="112"/>
        <v>191</v>
      </c>
      <c r="W115" s="446">
        <f t="shared" si="113"/>
        <v>9.3208000000000002</v>
      </c>
      <c r="X115" s="446">
        <f t="shared" si="114"/>
        <v>0.16426305600000002</v>
      </c>
      <c r="Y115" s="446">
        <f t="shared" si="115"/>
        <v>200</v>
      </c>
      <c r="Z115" s="260">
        <f t="shared" si="116"/>
        <v>23469316</v>
      </c>
      <c r="AA115" s="260">
        <f t="shared" si="117"/>
        <v>24575200</v>
      </c>
      <c r="AB115" s="425">
        <f t="shared" si="118"/>
        <v>17</v>
      </c>
      <c r="AC115" s="425">
        <f t="array" ref="AC115">MAX((IF(MNU_CODIGO_ALIMENTO_ENTREGA=CONCATENATE($E115,"_","P_"),MNU_GRAMAJE_REQUERIDO_TIPOC,"")))</f>
        <v>60</v>
      </c>
      <c r="AD115" s="257">
        <f t="shared" si="119"/>
        <v>7156</v>
      </c>
      <c r="AE115" s="257">
        <f t="shared" si="120"/>
        <v>121652</v>
      </c>
      <c r="AF115" s="446">
        <f t="shared" si="121"/>
        <v>367</v>
      </c>
      <c r="AG115" s="446">
        <f t="shared" si="122"/>
        <v>17.909599999999998</v>
      </c>
      <c r="AH115" s="446">
        <f t="shared" si="123"/>
        <v>0.31562587200000003</v>
      </c>
      <c r="AI115" s="446">
        <f t="shared" si="124"/>
        <v>385</v>
      </c>
      <c r="AJ115" s="258">
        <f t="shared" si="125"/>
        <v>44646284</v>
      </c>
      <c r="AK115" s="258">
        <f t="shared" si="126"/>
        <v>46836020</v>
      </c>
      <c r="AL115" s="426">
        <f t="shared" si="127"/>
        <v>17</v>
      </c>
      <c r="AM115" s="426">
        <f t="array" ref="AM115">MAX((IF(MNU_CODIGO_ALIMENTO_ENTREGA=CONCATENATE($E115,"_","P_"),MNU_GRAMAJE_REQUERIDO_TIPOM,"")))</f>
        <v>30</v>
      </c>
      <c r="AN115" s="259">
        <f t="shared" si="128"/>
        <v>371</v>
      </c>
      <c r="AO115" s="259">
        <f t="shared" si="129"/>
        <v>6307</v>
      </c>
      <c r="AP115" s="446">
        <f t="shared" si="130"/>
        <v>191</v>
      </c>
      <c r="AQ115" s="446">
        <f t="shared" si="131"/>
        <v>9.3208000000000002</v>
      </c>
      <c r="AR115" s="446">
        <f t="shared" si="132"/>
        <v>0.16426305600000002</v>
      </c>
      <c r="AS115" s="446">
        <f t="shared" si="133"/>
        <v>200</v>
      </c>
      <c r="AT115" s="260">
        <f t="shared" si="134"/>
        <v>1204637</v>
      </c>
      <c r="AU115" s="260">
        <f t="shared" si="135"/>
        <v>1261400</v>
      </c>
      <c r="AV115" s="425">
        <f t="shared" si="136"/>
        <v>17</v>
      </c>
      <c r="AW115" s="425">
        <f t="array" ref="AW115">MAX((IF(MNU_CODIGO_ALIMENTO_ENTREGA=CONCATENATE($E115,"_","P_"),MNU_GRAMAJE_REQUERIDO_TIPOH,"")))</f>
        <v>60</v>
      </c>
      <c r="AX115" s="257">
        <f t="shared" si="137"/>
        <v>419</v>
      </c>
      <c r="AY115" s="257">
        <f t="shared" si="138"/>
        <v>7123</v>
      </c>
      <c r="AZ115" s="446">
        <f t="shared" si="139"/>
        <v>367</v>
      </c>
      <c r="BA115" s="446">
        <f t="shared" si="140"/>
        <v>17.909599999999998</v>
      </c>
      <c r="BB115" s="446">
        <f t="shared" si="141"/>
        <v>0.31562587200000003</v>
      </c>
      <c r="BC115" s="446">
        <f t="shared" si="142"/>
        <v>385</v>
      </c>
      <c r="BD115" s="258">
        <f t="shared" si="143"/>
        <v>2614141</v>
      </c>
      <c r="BE115" s="258">
        <f t="shared" si="144"/>
        <v>2742355</v>
      </c>
      <c r="BF115" s="391">
        <f t="shared" si="145"/>
        <v>83032352</v>
      </c>
      <c r="BG115" s="391">
        <f t="shared" si="146"/>
        <v>87058751</v>
      </c>
    </row>
    <row r="116" spans="1:59" ht="15.75">
      <c r="A116" s="333">
        <v>9</v>
      </c>
      <c r="B116" s="333" t="str">
        <f t="shared" si="98"/>
        <v>CEREAL EMPACADO_9</v>
      </c>
      <c r="C116" s="333" t="str">
        <f t="shared" si="99"/>
        <v>25_9</v>
      </c>
      <c r="D116" s="333" t="s">
        <v>1607</v>
      </c>
      <c r="E116" s="256">
        <v>25</v>
      </c>
      <c r="F116" s="322" t="s">
        <v>64</v>
      </c>
      <c r="G116" s="256" t="s">
        <v>9</v>
      </c>
      <c r="H116" s="425">
        <f t="shared" si="100"/>
        <v>17</v>
      </c>
      <c r="I116" s="425">
        <f t="array" ref="I116">MAX((IF(MNU_CODIGO_ALIMENTO_ENTREGA=CONCATENATE($E116,"_","P_"),MNU_GRAMAJE_REQUERIDO_TIPOA,"")))</f>
        <v>40</v>
      </c>
      <c r="J116" s="257">
        <f t="shared" si="101"/>
        <v>5351</v>
      </c>
      <c r="K116" s="257">
        <f t="shared" si="102"/>
        <v>90967</v>
      </c>
      <c r="L116" s="446">
        <f t="shared" si="103"/>
        <v>244</v>
      </c>
      <c r="M116" s="446">
        <f t="shared" si="104"/>
        <v>11.9072</v>
      </c>
      <c r="N116" s="446">
        <f t="shared" si="105"/>
        <v>0.209843904</v>
      </c>
      <c r="O116" s="446">
        <f t="shared" si="106"/>
        <v>256</v>
      </c>
      <c r="P116" s="258">
        <f t="shared" si="107"/>
        <v>22195948</v>
      </c>
      <c r="Q116" s="258">
        <f t="shared" si="108"/>
        <v>23287552</v>
      </c>
      <c r="R116" s="426">
        <f t="shared" si="109"/>
        <v>17</v>
      </c>
      <c r="S116" s="426">
        <f t="array" ref="S116">MAX((IF(MNU_CODIGO_ALIMENTO_ENTREGA=CONCATENATE($E116,"_","P_"),MNU_GRAMAJE_REQUERIDO_TIPOB,"")))</f>
        <v>40</v>
      </c>
      <c r="T116" s="259">
        <f t="shared" si="110"/>
        <v>7228</v>
      </c>
      <c r="U116" s="259">
        <f t="shared" si="111"/>
        <v>122876</v>
      </c>
      <c r="V116" s="446">
        <f t="shared" si="112"/>
        <v>244</v>
      </c>
      <c r="W116" s="446">
        <f t="shared" si="113"/>
        <v>11.9072</v>
      </c>
      <c r="X116" s="446">
        <f t="shared" si="114"/>
        <v>0.209843904</v>
      </c>
      <c r="Y116" s="446">
        <f t="shared" si="115"/>
        <v>256</v>
      </c>
      <c r="Z116" s="260">
        <f t="shared" si="116"/>
        <v>29981744</v>
      </c>
      <c r="AA116" s="260">
        <f t="shared" si="117"/>
        <v>31456256</v>
      </c>
      <c r="AB116" s="425">
        <f t="shared" si="118"/>
        <v>17</v>
      </c>
      <c r="AC116" s="425">
        <f t="array" ref="AC116">MAX((IF(MNU_CODIGO_ALIMENTO_ENTREGA=CONCATENATE($E116,"_","P_"),MNU_GRAMAJE_REQUERIDO_TIPOC,"")))</f>
        <v>60</v>
      </c>
      <c r="AD116" s="257">
        <f t="shared" si="119"/>
        <v>7156</v>
      </c>
      <c r="AE116" s="257">
        <f t="shared" si="120"/>
        <v>121652</v>
      </c>
      <c r="AF116" s="446">
        <f t="shared" si="121"/>
        <v>366</v>
      </c>
      <c r="AG116" s="446">
        <f t="shared" si="122"/>
        <v>17.860800000000001</v>
      </c>
      <c r="AH116" s="446">
        <f t="shared" si="123"/>
        <v>0.31476585600000001</v>
      </c>
      <c r="AI116" s="446">
        <f t="shared" si="124"/>
        <v>384</v>
      </c>
      <c r="AJ116" s="258">
        <f t="shared" si="125"/>
        <v>44524632</v>
      </c>
      <c r="AK116" s="258">
        <f t="shared" si="126"/>
        <v>46714368</v>
      </c>
      <c r="AL116" s="426">
        <f t="shared" si="127"/>
        <v>17</v>
      </c>
      <c r="AM116" s="426">
        <f t="array" ref="AM116">MAX((IF(MNU_CODIGO_ALIMENTO_ENTREGA=CONCATENATE($E116,"_","P_"),MNU_GRAMAJE_REQUERIDO_TIPOM,"")))</f>
        <v>40</v>
      </c>
      <c r="AN116" s="259">
        <f t="shared" si="128"/>
        <v>371</v>
      </c>
      <c r="AO116" s="259">
        <f t="shared" si="129"/>
        <v>6307</v>
      </c>
      <c r="AP116" s="446">
        <f t="shared" si="130"/>
        <v>244</v>
      </c>
      <c r="AQ116" s="446">
        <f t="shared" si="131"/>
        <v>11.9072</v>
      </c>
      <c r="AR116" s="446">
        <f t="shared" si="132"/>
        <v>0.209843904</v>
      </c>
      <c r="AS116" s="446">
        <f t="shared" si="133"/>
        <v>256</v>
      </c>
      <c r="AT116" s="260">
        <f t="shared" si="134"/>
        <v>1538908</v>
      </c>
      <c r="AU116" s="260">
        <f t="shared" si="135"/>
        <v>1614592</v>
      </c>
      <c r="AV116" s="425">
        <f t="shared" si="136"/>
        <v>17</v>
      </c>
      <c r="AW116" s="425">
        <f t="array" ref="AW116">MAX((IF(MNU_CODIGO_ALIMENTO_ENTREGA=CONCATENATE($E116,"_","P_"),MNU_GRAMAJE_REQUERIDO_TIPOH,"")))</f>
        <v>60</v>
      </c>
      <c r="AX116" s="257">
        <f t="shared" si="137"/>
        <v>419</v>
      </c>
      <c r="AY116" s="257">
        <f t="shared" si="138"/>
        <v>7123</v>
      </c>
      <c r="AZ116" s="446">
        <f t="shared" si="139"/>
        <v>366</v>
      </c>
      <c r="BA116" s="446">
        <f t="shared" si="140"/>
        <v>17.860800000000001</v>
      </c>
      <c r="BB116" s="446">
        <f t="shared" si="141"/>
        <v>0.31476585600000001</v>
      </c>
      <c r="BC116" s="446">
        <f t="shared" si="142"/>
        <v>384</v>
      </c>
      <c r="BD116" s="258">
        <f t="shared" si="143"/>
        <v>2607018</v>
      </c>
      <c r="BE116" s="258">
        <f t="shared" si="144"/>
        <v>2735232</v>
      </c>
      <c r="BF116" s="391">
        <f t="shared" si="145"/>
        <v>100848250</v>
      </c>
      <c r="BG116" s="391">
        <f t="shared" si="146"/>
        <v>105808000</v>
      </c>
    </row>
    <row r="117" spans="1:59" ht="15.75">
      <c r="A117" s="333">
        <v>9</v>
      </c>
      <c r="B117" s="333" t="str">
        <f t="shared" si="98"/>
        <v>CEREAL EMPACADO_9</v>
      </c>
      <c r="C117" s="333" t="str">
        <f t="shared" si="99"/>
        <v>26_9</v>
      </c>
      <c r="D117" s="333" t="s">
        <v>1607</v>
      </c>
      <c r="E117" s="256">
        <v>26</v>
      </c>
      <c r="F117" s="322" t="s">
        <v>69</v>
      </c>
      <c r="G117" s="256" t="s">
        <v>9</v>
      </c>
      <c r="H117" s="425">
        <f t="shared" si="100"/>
        <v>6</v>
      </c>
      <c r="I117" s="425">
        <f t="array" ref="I117">MAX((IF(MNU_CODIGO_ALIMENTO_ENTREGA=CONCATENATE($E117,"_","P_"),MNU_GRAMAJE_REQUERIDO_TIPOA,"")))</f>
        <v>30</v>
      </c>
      <c r="J117" s="257">
        <f t="shared" si="101"/>
        <v>5351</v>
      </c>
      <c r="K117" s="257">
        <f t="shared" si="102"/>
        <v>32106</v>
      </c>
      <c r="L117" s="446">
        <f t="shared" si="103"/>
        <v>163</v>
      </c>
      <c r="M117" s="446">
        <f t="shared" si="104"/>
        <v>7.9543999999999997</v>
      </c>
      <c r="N117" s="446">
        <f t="shared" si="105"/>
        <v>0.14018260800000001</v>
      </c>
      <c r="O117" s="446">
        <f t="shared" si="106"/>
        <v>171</v>
      </c>
      <c r="P117" s="258">
        <f t="shared" si="107"/>
        <v>5233278</v>
      </c>
      <c r="Q117" s="258">
        <f t="shared" si="108"/>
        <v>5490126</v>
      </c>
      <c r="R117" s="426">
        <f t="shared" si="109"/>
        <v>6</v>
      </c>
      <c r="S117" s="426">
        <f t="array" ref="S117">MAX((IF(MNU_CODIGO_ALIMENTO_ENTREGA=CONCATENATE($E117,"_","P_"),MNU_GRAMAJE_REQUERIDO_TIPOB,"")))</f>
        <v>30</v>
      </c>
      <c r="T117" s="259">
        <f t="shared" si="110"/>
        <v>7228</v>
      </c>
      <c r="U117" s="259">
        <f t="shared" si="111"/>
        <v>43368</v>
      </c>
      <c r="V117" s="446">
        <f t="shared" si="112"/>
        <v>163</v>
      </c>
      <c r="W117" s="446">
        <f t="shared" si="113"/>
        <v>7.9543999999999997</v>
      </c>
      <c r="X117" s="446">
        <f t="shared" si="114"/>
        <v>0.14018260800000001</v>
      </c>
      <c r="Y117" s="446">
        <f t="shared" si="115"/>
        <v>171</v>
      </c>
      <c r="Z117" s="260">
        <f t="shared" si="116"/>
        <v>7068984</v>
      </c>
      <c r="AA117" s="260">
        <f t="shared" si="117"/>
        <v>7415928</v>
      </c>
      <c r="AB117" s="425">
        <f t="shared" si="118"/>
        <v>6</v>
      </c>
      <c r="AC117" s="425">
        <f t="array" ref="AC117">MAX((IF(MNU_CODIGO_ALIMENTO_ENTREGA=CONCATENATE($E117,"_","P_"),MNU_GRAMAJE_REQUERIDO_TIPOC,"")))</f>
        <v>30</v>
      </c>
      <c r="AD117" s="257">
        <f t="shared" si="119"/>
        <v>7156</v>
      </c>
      <c r="AE117" s="257">
        <f t="shared" si="120"/>
        <v>42936</v>
      </c>
      <c r="AF117" s="446">
        <f t="shared" si="121"/>
        <v>163</v>
      </c>
      <c r="AG117" s="446">
        <f t="shared" si="122"/>
        <v>7.9543999999999997</v>
      </c>
      <c r="AH117" s="446">
        <f t="shared" si="123"/>
        <v>0.14018260800000001</v>
      </c>
      <c r="AI117" s="446">
        <f t="shared" si="124"/>
        <v>171</v>
      </c>
      <c r="AJ117" s="258">
        <f t="shared" si="125"/>
        <v>6998568</v>
      </c>
      <c r="AK117" s="258">
        <f t="shared" si="126"/>
        <v>7342056</v>
      </c>
      <c r="AL117" s="426">
        <f t="shared" si="127"/>
        <v>6</v>
      </c>
      <c r="AM117" s="426">
        <f t="array" ref="AM117">MAX((IF(MNU_CODIGO_ALIMENTO_ENTREGA=CONCATENATE($E117,"_","P_"),MNU_GRAMAJE_REQUERIDO_TIPOM,"")))</f>
        <v>30</v>
      </c>
      <c r="AN117" s="259">
        <f t="shared" si="128"/>
        <v>371</v>
      </c>
      <c r="AO117" s="259">
        <f t="shared" si="129"/>
        <v>2226</v>
      </c>
      <c r="AP117" s="446">
        <f t="shared" si="130"/>
        <v>163</v>
      </c>
      <c r="AQ117" s="446">
        <f t="shared" si="131"/>
        <v>7.9543999999999997</v>
      </c>
      <c r="AR117" s="446">
        <f t="shared" si="132"/>
        <v>0.14018260800000001</v>
      </c>
      <c r="AS117" s="446">
        <f t="shared" si="133"/>
        <v>171</v>
      </c>
      <c r="AT117" s="260">
        <f t="shared" si="134"/>
        <v>362838</v>
      </c>
      <c r="AU117" s="260">
        <f t="shared" si="135"/>
        <v>380646</v>
      </c>
      <c r="AV117" s="425">
        <f t="shared" si="136"/>
        <v>6</v>
      </c>
      <c r="AW117" s="425">
        <f t="array" ref="AW117">MAX((IF(MNU_CODIGO_ALIMENTO_ENTREGA=CONCATENATE($E117,"_","P_"),MNU_GRAMAJE_REQUERIDO_TIPOH,"")))</f>
        <v>30</v>
      </c>
      <c r="AX117" s="257">
        <f t="shared" si="137"/>
        <v>419</v>
      </c>
      <c r="AY117" s="257">
        <f t="shared" si="138"/>
        <v>2514</v>
      </c>
      <c r="AZ117" s="446">
        <f t="shared" si="139"/>
        <v>163</v>
      </c>
      <c r="BA117" s="446">
        <f t="shared" si="140"/>
        <v>7.9543999999999997</v>
      </c>
      <c r="BB117" s="446">
        <f t="shared" si="141"/>
        <v>0.14018260800000001</v>
      </c>
      <c r="BC117" s="446">
        <f t="shared" si="142"/>
        <v>171</v>
      </c>
      <c r="BD117" s="258">
        <f t="shared" si="143"/>
        <v>409782</v>
      </c>
      <c r="BE117" s="258">
        <f t="shared" si="144"/>
        <v>429894</v>
      </c>
      <c r="BF117" s="391">
        <f t="shared" si="145"/>
        <v>20073450</v>
      </c>
      <c r="BG117" s="391">
        <f t="shared" si="146"/>
        <v>21058650</v>
      </c>
    </row>
    <row r="118" spans="1:59" ht="27">
      <c r="A118" s="333">
        <v>9</v>
      </c>
      <c r="B118" s="333" t="str">
        <f t="shared" si="98"/>
        <v>CEREAL EMPACADO_9</v>
      </c>
      <c r="C118" s="333" t="str">
        <f t="shared" si="99"/>
        <v>28_9</v>
      </c>
      <c r="D118" s="333" t="s">
        <v>1607</v>
      </c>
      <c r="E118" s="256">
        <v>28</v>
      </c>
      <c r="F118" s="322" t="s">
        <v>67</v>
      </c>
      <c r="G118" s="256" t="s">
        <v>9</v>
      </c>
      <c r="H118" s="425">
        <f t="shared" si="100"/>
        <v>6</v>
      </c>
      <c r="I118" s="425">
        <f t="array" ref="I118">MAX((IF(MNU_CODIGO_ALIMENTO_ENTREGA=CONCATENATE($E118,"_","P_"),MNU_GRAMAJE_REQUERIDO_TIPOA,"")))</f>
        <v>30</v>
      </c>
      <c r="J118" s="257">
        <f t="shared" si="101"/>
        <v>5351</v>
      </c>
      <c r="K118" s="257">
        <f t="shared" si="102"/>
        <v>32106</v>
      </c>
      <c r="L118" s="446">
        <f t="shared" si="103"/>
        <v>215</v>
      </c>
      <c r="M118" s="446">
        <f t="shared" si="104"/>
        <v>10.492000000000001</v>
      </c>
      <c r="N118" s="446">
        <f t="shared" si="105"/>
        <v>0.18490343999999997</v>
      </c>
      <c r="O118" s="446">
        <f t="shared" si="106"/>
        <v>226</v>
      </c>
      <c r="P118" s="258">
        <f t="shared" si="107"/>
        <v>6902790</v>
      </c>
      <c r="Q118" s="258">
        <f t="shared" si="108"/>
        <v>7255956</v>
      </c>
      <c r="R118" s="426">
        <f t="shared" si="109"/>
        <v>6</v>
      </c>
      <c r="S118" s="426">
        <f t="array" ref="S118">MAX((IF(MNU_CODIGO_ALIMENTO_ENTREGA=CONCATENATE($E118,"_","P_"),MNU_GRAMAJE_REQUERIDO_TIPOB,"")))</f>
        <v>40</v>
      </c>
      <c r="T118" s="259">
        <f t="shared" si="110"/>
        <v>7228</v>
      </c>
      <c r="U118" s="259">
        <f t="shared" si="111"/>
        <v>43368</v>
      </c>
      <c r="V118" s="446">
        <f t="shared" si="112"/>
        <v>287</v>
      </c>
      <c r="W118" s="446">
        <f t="shared" si="113"/>
        <v>14.005600000000001</v>
      </c>
      <c r="X118" s="446">
        <f t="shared" si="114"/>
        <v>0.24682459200000004</v>
      </c>
      <c r="Y118" s="446">
        <f t="shared" si="115"/>
        <v>301</v>
      </c>
      <c r="Z118" s="260">
        <f t="shared" si="116"/>
        <v>12446616</v>
      </c>
      <c r="AA118" s="260">
        <f t="shared" si="117"/>
        <v>13053768</v>
      </c>
      <c r="AB118" s="425">
        <f t="shared" si="118"/>
        <v>6</v>
      </c>
      <c r="AC118" s="425">
        <f t="array" ref="AC118">MAX((IF(MNU_CODIGO_ALIMENTO_ENTREGA=CONCATENATE($E118,"_","P_"),MNU_GRAMAJE_REQUERIDO_TIPOC,"")))</f>
        <v>60</v>
      </c>
      <c r="AD118" s="257">
        <f t="shared" si="119"/>
        <v>7156</v>
      </c>
      <c r="AE118" s="257">
        <f t="shared" si="120"/>
        <v>42936</v>
      </c>
      <c r="AF118" s="446">
        <f t="shared" si="121"/>
        <v>430</v>
      </c>
      <c r="AG118" s="446">
        <f t="shared" si="122"/>
        <v>20.984000000000002</v>
      </c>
      <c r="AH118" s="446">
        <f t="shared" si="123"/>
        <v>0.36980687999999995</v>
      </c>
      <c r="AI118" s="446">
        <f t="shared" si="124"/>
        <v>451</v>
      </c>
      <c r="AJ118" s="258">
        <f t="shared" si="125"/>
        <v>18462480</v>
      </c>
      <c r="AK118" s="258">
        <f t="shared" si="126"/>
        <v>19364136</v>
      </c>
      <c r="AL118" s="426">
        <f t="shared" si="127"/>
        <v>6</v>
      </c>
      <c r="AM118" s="426">
        <f t="array" ref="AM118">MAX((IF(MNU_CODIGO_ALIMENTO_ENTREGA=CONCATENATE($E118,"_","P_"),MNU_GRAMAJE_REQUERIDO_TIPOM,"")))</f>
        <v>40</v>
      </c>
      <c r="AN118" s="259">
        <f t="shared" si="128"/>
        <v>371</v>
      </c>
      <c r="AO118" s="259">
        <f t="shared" si="129"/>
        <v>2226</v>
      </c>
      <c r="AP118" s="446">
        <f t="shared" si="130"/>
        <v>287</v>
      </c>
      <c r="AQ118" s="446">
        <f t="shared" si="131"/>
        <v>14.005600000000001</v>
      </c>
      <c r="AR118" s="446">
        <f t="shared" si="132"/>
        <v>0.24682459200000004</v>
      </c>
      <c r="AS118" s="446">
        <f t="shared" si="133"/>
        <v>301</v>
      </c>
      <c r="AT118" s="260">
        <f t="shared" si="134"/>
        <v>638862</v>
      </c>
      <c r="AU118" s="260">
        <f t="shared" si="135"/>
        <v>670026</v>
      </c>
      <c r="AV118" s="425">
        <f t="shared" si="136"/>
        <v>6</v>
      </c>
      <c r="AW118" s="425">
        <f t="array" ref="AW118">MAX((IF(MNU_CODIGO_ALIMENTO_ENTREGA=CONCATENATE($E118,"_","P_"),MNU_GRAMAJE_REQUERIDO_TIPOH,"")))</f>
        <v>60</v>
      </c>
      <c r="AX118" s="257">
        <f t="shared" si="137"/>
        <v>419</v>
      </c>
      <c r="AY118" s="257">
        <f t="shared" si="138"/>
        <v>2514</v>
      </c>
      <c r="AZ118" s="446">
        <f t="shared" si="139"/>
        <v>430</v>
      </c>
      <c r="BA118" s="446">
        <f t="shared" si="140"/>
        <v>20.984000000000002</v>
      </c>
      <c r="BB118" s="446">
        <f t="shared" si="141"/>
        <v>0.36980687999999995</v>
      </c>
      <c r="BC118" s="446">
        <f t="shared" si="142"/>
        <v>451</v>
      </c>
      <c r="BD118" s="258">
        <f t="shared" si="143"/>
        <v>1081020</v>
      </c>
      <c r="BE118" s="258">
        <f t="shared" si="144"/>
        <v>1133814</v>
      </c>
      <c r="BF118" s="391">
        <f t="shared" si="145"/>
        <v>39531768</v>
      </c>
      <c r="BG118" s="391">
        <f t="shared" si="146"/>
        <v>41477700</v>
      </c>
    </row>
    <row r="119" spans="1:59" ht="15.75">
      <c r="A119" s="333">
        <v>9</v>
      </c>
      <c r="B119" s="333" t="str">
        <f t="shared" si="98"/>
        <v>CEREAL EMPACADO_9</v>
      </c>
      <c r="C119" s="333" t="str">
        <f t="shared" si="99"/>
        <v>30_9</v>
      </c>
      <c r="D119" s="333" t="s">
        <v>1607</v>
      </c>
      <c r="E119" s="256">
        <v>30</v>
      </c>
      <c r="F119" s="322" t="s">
        <v>63</v>
      </c>
      <c r="G119" s="256" t="s">
        <v>9</v>
      </c>
      <c r="H119" s="425">
        <f t="shared" si="100"/>
        <v>16</v>
      </c>
      <c r="I119" s="425">
        <f t="array" ref="I119">MAX((IF(MNU_CODIGO_ALIMENTO_ENTREGA=CONCATENATE($E119,"_","P_"),MNU_GRAMAJE_REQUERIDO_TIPOA,"")))</f>
        <v>30</v>
      </c>
      <c r="J119" s="257">
        <f t="shared" si="101"/>
        <v>5351</v>
      </c>
      <c r="K119" s="257">
        <f t="shared" si="102"/>
        <v>85616</v>
      </c>
      <c r="L119" s="446">
        <f t="shared" si="103"/>
        <v>316</v>
      </c>
      <c r="M119" s="446">
        <f t="shared" si="104"/>
        <v>15.4208</v>
      </c>
      <c r="N119" s="446">
        <f t="shared" si="105"/>
        <v>0.271765056</v>
      </c>
      <c r="O119" s="446">
        <f t="shared" si="106"/>
        <v>332</v>
      </c>
      <c r="P119" s="258">
        <f t="shared" si="107"/>
        <v>27054656</v>
      </c>
      <c r="Q119" s="258">
        <f t="shared" si="108"/>
        <v>28424512</v>
      </c>
      <c r="R119" s="426">
        <f t="shared" si="109"/>
        <v>16</v>
      </c>
      <c r="S119" s="426">
        <f t="array" ref="S119">MAX((IF(MNU_CODIGO_ALIMENTO_ENTREGA=CONCATENATE($E119,"_","P_"),MNU_GRAMAJE_REQUERIDO_TIPOB,"")))</f>
        <v>30</v>
      </c>
      <c r="T119" s="259">
        <f t="shared" si="110"/>
        <v>7228</v>
      </c>
      <c r="U119" s="259">
        <f t="shared" si="111"/>
        <v>115648</v>
      </c>
      <c r="V119" s="446">
        <f t="shared" si="112"/>
        <v>316</v>
      </c>
      <c r="W119" s="446">
        <f t="shared" si="113"/>
        <v>15.4208</v>
      </c>
      <c r="X119" s="446">
        <f t="shared" si="114"/>
        <v>0.271765056</v>
      </c>
      <c r="Y119" s="446">
        <f t="shared" si="115"/>
        <v>332</v>
      </c>
      <c r="Z119" s="260">
        <f t="shared" si="116"/>
        <v>36544768</v>
      </c>
      <c r="AA119" s="260">
        <f t="shared" si="117"/>
        <v>38395136</v>
      </c>
      <c r="AB119" s="425">
        <f t="shared" si="118"/>
        <v>16</v>
      </c>
      <c r="AC119" s="425">
        <f t="array" ref="AC119">MAX((IF(MNU_CODIGO_ALIMENTO_ENTREGA=CONCATENATE($E119,"_","P_"),MNU_GRAMAJE_REQUERIDO_TIPOC,"")))</f>
        <v>30</v>
      </c>
      <c r="AD119" s="257">
        <f t="shared" si="119"/>
        <v>7156</v>
      </c>
      <c r="AE119" s="257">
        <f t="shared" si="120"/>
        <v>114496</v>
      </c>
      <c r="AF119" s="446">
        <f t="shared" si="121"/>
        <v>316</v>
      </c>
      <c r="AG119" s="446">
        <f t="shared" si="122"/>
        <v>15.4208</v>
      </c>
      <c r="AH119" s="446">
        <f t="shared" si="123"/>
        <v>0.271765056</v>
      </c>
      <c r="AI119" s="446">
        <f t="shared" si="124"/>
        <v>332</v>
      </c>
      <c r="AJ119" s="258">
        <f t="shared" si="125"/>
        <v>36180736</v>
      </c>
      <c r="AK119" s="258">
        <f t="shared" si="126"/>
        <v>38012672</v>
      </c>
      <c r="AL119" s="426">
        <f t="shared" si="127"/>
        <v>16</v>
      </c>
      <c r="AM119" s="426">
        <f t="array" ref="AM119">MAX((IF(MNU_CODIGO_ALIMENTO_ENTREGA=CONCATENATE($E119,"_","P_"),MNU_GRAMAJE_REQUERIDO_TIPOM,"")))</f>
        <v>30</v>
      </c>
      <c r="AN119" s="259">
        <f t="shared" si="128"/>
        <v>371</v>
      </c>
      <c r="AO119" s="259">
        <f t="shared" si="129"/>
        <v>5936</v>
      </c>
      <c r="AP119" s="446">
        <f t="shared" si="130"/>
        <v>316</v>
      </c>
      <c r="AQ119" s="446">
        <f t="shared" si="131"/>
        <v>15.4208</v>
      </c>
      <c r="AR119" s="446">
        <f t="shared" si="132"/>
        <v>0.271765056</v>
      </c>
      <c r="AS119" s="446">
        <f t="shared" si="133"/>
        <v>332</v>
      </c>
      <c r="AT119" s="260">
        <f t="shared" si="134"/>
        <v>1875776</v>
      </c>
      <c r="AU119" s="260">
        <f t="shared" si="135"/>
        <v>1970752</v>
      </c>
      <c r="AV119" s="425">
        <f t="shared" si="136"/>
        <v>16</v>
      </c>
      <c r="AW119" s="425">
        <f t="array" ref="AW119">MAX((IF(MNU_CODIGO_ALIMENTO_ENTREGA=CONCATENATE($E119,"_","P_"),MNU_GRAMAJE_REQUERIDO_TIPOH,"")))</f>
        <v>30</v>
      </c>
      <c r="AX119" s="257">
        <f t="shared" si="137"/>
        <v>419</v>
      </c>
      <c r="AY119" s="257">
        <f t="shared" si="138"/>
        <v>6704</v>
      </c>
      <c r="AZ119" s="446">
        <f t="shared" si="139"/>
        <v>316</v>
      </c>
      <c r="BA119" s="446">
        <f t="shared" si="140"/>
        <v>15.4208</v>
      </c>
      <c r="BB119" s="446">
        <f t="shared" si="141"/>
        <v>0.271765056</v>
      </c>
      <c r="BC119" s="446">
        <f t="shared" si="142"/>
        <v>332</v>
      </c>
      <c r="BD119" s="258">
        <f t="shared" si="143"/>
        <v>2118464</v>
      </c>
      <c r="BE119" s="258">
        <f t="shared" si="144"/>
        <v>2225728</v>
      </c>
      <c r="BF119" s="391">
        <f t="shared" si="145"/>
        <v>103774400</v>
      </c>
      <c r="BG119" s="391">
        <f t="shared" si="146"/>
        <v>109028800</v>
      </c>
    </row>
    <row r="120" spans="1:59" ht="15.75">
      <c r="A120" s="333">
        <v>9</v>
      </c>
      <c r="B120" s="333" t="str">
        <f t="shared" si="98"/>
        <v>CEREAL EMPACADO_9</v>
      </c>
      <c r="C120" s="333" t="str">
        <f t="shared" si="99"/>
        <v>45_9</v>
      </c>
      <c r="D120" s="333" t="s">
        <v>1607</v>
      </c>
      <c r="E120" s="256">
        <v>45</v>
      </c>
      <c r="F120" s="322" t="s">
        <v>10</v>
      </c>
      <c r="G120" s="256" t="s">
        <v>9</v>
      </c>
      <c r="H120" s="425">
        <f t="shared" si="100"/>
        <v>16</v>
      </c>
      <c r="I120" s="425">
        <f t="array" ref="I120">MAX((IF(MNU_CODIGO_ALIMENTO_ENTREGA=CONCATENATE($E120,"_","P_"),MNU_GRAMAJE_REQUERIDO_TIPOA,"")))</f>
        <v>20</v>
      </c>
      <c r="J120" s="257">
        <f t="shared" si="101"/>
        <v>5351</v>
      </c>
      <c r="K120" s="257">
        <f t="shared" si="102"/>
        <v>85616</v>
      </c>
      <c r="L120" s="446">
        <f t="shared" si="103"/>
        <v>190</v>
      </c>
      <c r="M120" s="446">
        <f t="shared" si="104"/>
        <v>9.2720000000000002</v>
      </c>
      <c r="N120" s="446">
        <f t="shared" si="105"/>
        <v>0.16340304</v>
      </c>
      <c r="O120" s="446">
        <f t="shared" si="106"/>
        <v>199</v>
      </c>
      <c r="P120" s="258">
        <f t="shared" si="107"/>
        <v>16267040</v>
      </c>
      <c r="Q120" s="258">
        <f t="shared" si="108"/>
        <v>17037584</v>
      </c>
      <c r="R120" s="426">
        <f t="shared" si="109"/>
        <v>16</v>
      </c>
      <c r="S120" s="426">
        <f t="array" ref="S120">MAX((IF(MNU_CODIGO_ALIMENTO_ENTREGA=CONCATENATE($E120,"_","P_"),MNU_GRAMAJE_REQUERIDO_TIPOB,"")))</f>
        <v>30</v>
      </c>
      <c r="T120" s="259">
        <f t="shared" si="110"/>
        <v>7228</v>
      </c>
      <c r="U120" s="259">
        <f t="shared" si="111"/>
        <v>115648</v>
      </c>
      <c r="V120" s="446">
        <f t="shared" si="112"/>
        <v>284</v>
      </c>
      <c r="W120" s="446">
        <f t="shared" si="113"/>
        <v>13.8592</v>
      </c>
      <c r="X120" s="446">
        <f t="shared" si="114"/>
        <v>0.24424454399999998</v>
      </c>
      <c r="Y120" s="446">
        <f t="shared" si="115"/>
        <v>298</v>
      </c>
      <c r="Z120" s="260">
        <f t="shared" si="116"/>
        <v>32844032</v>
      </c>
      <c r="AA120" s="260">
        <f t="shared" si="117"/>
        <v>34463104</v>
      </c>
      <c r="AB120" s="425">
        <f t="shared" si="118"/>
        <v>16</v>
      </c>
      <c r="AC120" s="425">
        <f t="array" ref="AC120">MAX((IF(MNU_CODIGO_ALIMENTO_ENTREGA=CONCATENATE($E120,"_","P_"),MNU_GRAMAJE_REQUERIDO_TIPOC,"")))</f>
        <v>60</v>
      </c>
      <c r="AD120" s="257">
        <f t="shared" si="119"/>
        <v>7156</v>
      </c>
      <c r="AE120" s="257">
        <f t="shared" si="120"/>
        <v>114496</v>
      </c>
      <c r="AF120" s="446">
        <f t="shared" si="121"/>
        <v>569</v>
      </c>
      <c r="AG120" s="446">
        <f t="shared" si="122"/>
        <v>27.767199999999999</v>
      </c>
      <c r="AH120" s="446">
        <f t="shared" si="123"/>
        <v>0.48934910400000003</v>
      </c>
      <c r="AI120" s="446">
        <f t="shared" si="124"/>
        <v>597</v>
      </c>
      <c r="AJ120" s="258">
        <f t="shared" si="125"/>
        <v>65148224</v>
      </c>
      <c r="AK120" s="258">
        <f t="shared" si="126"/>
        <v>68354112</v>
      </c>
      <c r="AL120" s="426">
        <f t="shared" si="127"/>
        <v>16</v>
      </c>
      <c r="AM120" s="426">
        <f t="array" ref="AM120">MAX((IF(MNU_CODIGO_ALIMENTO_ENTREGA=CONCATENATE($E120,"_","P_"),MNU_GRAMAJE_REQUERIDO_TIPOM,"")))</f>
        <v>30</v>
      </c>
      <c r="AN120" s="259">
        <f t="shared" si="128"/>
        <v>371</v>
      </c>
      <c r="AO120" s="259">
        <f t="shared" si="129"/>
        <v>5936</v>
      </c>
      <c r="AP120" s="446">
        <f t="shared" si="130"/>
        <v>284</v>
      </c>
      <c r="AQ120" s="446">
        <f t="shared" si="131"/>
        <v>13.8592</v>
      </c>
      <c r="AR120" s="446">
        <f t="shared" si="132"/>
        <v>0.24424454399999998</v>
      </c>
      <c r="AS120" s="446">
        <f t="shared" si="133"/>
        <v>298</v>
      </c>
      <c r="AT120" s="260">
        <f t="shared" si="134"/>
        <v>1685824</v>
      </c>
      <c r="AU120" s="260">
        <f t="shared" si="135"/>
        <v>1768928</v>
      </c>
      <c r="AV120" s="425">
        <f t="shared" si="136"/>
        <v>16</v>
      </c>
      <c r="AW120" s="425">
        <f t="array" ref="AW120">MAX((IF(MNU_CODIGO_ALIMENTO_ENTREGA=CONCATENATE($E120,"_","P_"),MNU_GRAMAJE_REQUERIDO_TIPOH,"")))</f>
        <v>60</v>
      </c>
      <c r="AX120" s="257">
        <f t="shared" si="137"/>
        <v>419</v>
      </c>
      <c r="AY120" s="257">
        <f t="shared" si="138"/>
        <v>6704</v>
      </c>
      <c r="AZ120" s="446">
        <f t="shared" si="139"/>
        <v>569</v>
      </c>
      <c r="BA120" s="446">
        <f t="shared" si="140"/>
        <v>27.767199999999999</v>
      </c>
      <c r="BB120" s="446">
        <f t="shared" si="141"/>
        <v>0.48934910400000003</v>
      </c>
      <c r="BC120" s="446">
        <f t="shared" si="142"/>
        <v>597</v>
      </c>
      <c r="BD120" s="258">
        <f t="shared" si="143"/>
        <v>3814576</v>
      </c>
      <c r="BE120" s="258">
        <f t="shared" si="144"/>
        <v>4002288</v>
      </c>
      <c r="BF120" s="391">
        <f t="shared" si="145"/>
        <v>119759696</v>
      </c>
      <c r="BG120" s="391">
        <f t="shared" si="146"/>
        <v>125626016</v>
      </c>
    </row>
    <row r="121" spans="1:59" ht="15.75">
      <c r="A121" s="333">
        <v>9</v>
      </c>
      <c r="B121" s="333" t="str">
        <f t="shared" si="98"/>
        <v>CEREAL EMPACADO_9</v>
      </c>
      <c r="C121" s="333" t="str">
        <f t="shared" si="99"/>
        <v>50_9</v>
      </c>
      <c r="D121" s="333" t="s">
        <v>1607</v>
      </c>
      <c r="E121" s="256">
        <v>50</v>
      </c>
      <c r="F121" s="322" t="s">
        <v>65</v>
      </c>
      <c r="G121" s="256" t="s">
        <v>9</v>
      </c>
      <c r="H121" s="425">
        <f t="shared" si="100"/>
        <v>17</v>
      </c>
      <c r="I121" s="425">
        <f t="array" ref="I121">MAX((IF(MNU_CODIGO_ALIMENTO_ENTREGA=CONCATENATE($E121,"_","P_"),MNU_GRAMAJE_REQUERIDO_TIPOA,"")))</f>
        <v>30</v>
      </c>
      <c r="J121" s="257">
        <f t="shared" si="101"/>
        <v>5351</v>
      </c>
      <c r="K121" s="257">
        <f t="shared" si="102"/>
        <v>90967</v>
      </c>
      <c r="L121" s="446">
        <f t="shared" si="103"/>
        <v>306</v>
      </c>
      <c r="M121" s="446">
        <f t="shared" si="104"/>
        <v>14.9328</v>
      </c>
      <c r="N121" s="446">
        <f t="shared" si="105"/>
        <v>0.26316489599999998</v>
      </c>
      <c r="O121" s="446">
        <f t="shared" si="106"/>
        <v>321</v>
      </c>
      <c r="P121" s="258">
        <f t="shared" si="107"/>
        <v>27835902</v>
      </c>
      <c r="Q121" s="258">
        <f t="shared" si="108"/>
        <v>29200407</v>
      </c>
      <c r="R121" s="426">
        <f t="shared" si="109"/>
        <v>17</v>
      </c>
      <c r="S121" s="426">
        <f t="array" ref="S121">MAX((IF(MNU_CODIGO_ALIMENTO_ENTREGA=CONCATENATE($E121,"_","P_"),MNU_GRAMAJE_REQUERIDO_TIPOB,"")))</f>
        <v>40</v>
      </c>
      <c r="T121" s="259">
        <f t="shared" si="110"/>
        <v>7228</v>
      </c>
      <c r="U121" s="259">
        <f t="shared" si="111"/>
        <v>122876</v>
      </c>
      <c r="V121" s="446">
        <f t="shared" si="112"/>
        <v>408</v>
      </c>
      <c r="W121" s="446">
        <f t="shared" si="113"/>
        <v>19.910400000000003</v>
      </c>
      <c r="X121" s="446">
        <f t="shared" si="114"/>
        <v>0.35088652799999998</v>
      </c>
      <c r="Y121" s="446">
        <f t="shared" si="115"/>
        <v>428</v>
      </c>
      <c r="Z121" s="260">
        <f t="shared" si="116"/>
        <v>50133408</v>
      </c>
      <c r="AA121" s="260">
        <f t="shared" si="117"/>
        <v>52590928</v>
      </c>
      <c r="AB121" s="425">
        <f t="shared" si="118"/>
        <v>17</v>
      </c>
      <c r="AC121" s="425">
        <f t="array" ref="AC121">MAX((IF(MNU_CODIGO_ALIMENTO_ENTREGA=CONCATENATE($E121,"_","P_"),MNU_GRAMAJE_REQUERIDO_TIPOC,"")))</f>
        <v>80</v>
      </c>
      <c r="AD121" s="257">
        <f t="shared" si="119"/>
        <v>7156</v>
      </c>
      <c r="AE121" s="257">
        <f t="shared" si="120"/>
        <v>121652</v>
      </c>
      <c r="AF121" s="446">
        <f t="shared" si="121"/>
        <v>815</v>
      </c>
      <c r="AG121" s="446">
        <f t="shared" si="122"/>
        <v>39.772000000000006</v>
      </c>
      <c r="AH121" s="446">
        <f t="shared" si="123"/>
        <v>0.7009130400000001</v>
      </c>
      <c r="AI121" s="446">
        <f t="shared" si="124"/>
        <v>855</v>
      </c>
      <c r="AJ121" s="258">
        <f t="shared" si="125"/>
        <v>99146380</v>
      </c>
      <c r="AK121" s="258">
        <f t="shared" si="126"/>
        <v>104012460</v>
      </c>
      <c r="AL121" s="426">
        <f t="shared" si="127"/>
        <v>17</v>
      </c>
      <c r="AM121" s="426">
        <f t="array" ref="AM121">MAX((IF(MNU_CODIGO_ALIMENTO_ENTREGA=CONCATENATE($E121,"_","P_"),MNU_GRAMAJE_REQUERIDO_TIPOM,"")))</f>
        <v>40</v>
      </c>
      <c r="AN121" s="259">
        <f t="shared" si="128"/>
        <v>371</v>
      </c>
      <c r="AO121" s="259">
        <f t="shared" si="129"/>
        <v>6307</v>
      </c>
      <c r="AP121" s="446">
        <f t="shared" si="130"/>
        <v>408</v>
      </c>
      <c r="AQ121" s="446">
        <f t="shared" si="131"/>
        <v>19.910400000000003</v>
      </c>
      <c r="AR121" s="446">
        <f t="shared" si="132"/>
        <v>0.35088652799999998</v>
      </c>
      <c r="AS121" s="446">
        <f t="shared" si="133"/>
        <v>428</v>
      </c>
      <c r="AT121" s="260">
        <f t="shared" si="134"/>
        <v>2573256</v>
      </c>
      <c r="AU121" s="260">
        <f t="shared" si="135"/>
        <v>2699396</v>
      </c>
      <c r="AV121" s="425">
        <f t="shared" si="136"/>
        <v>17</v>
      </c>
      <c r="AW121" s="425">
        <f t="array" ref="AW121">MAX((IF(MNU_CODIGO_ALIMENTO_ENTREGA=CONCATENATE($E121,"_","P_"),MNU_GRAMAJE_REQUERIDO_TIPOH,"")))</f>
        <v>80</v>
      </c>
      <c r="AX121" s="257">
        <f t="shared" si="137"/>
        <v>419</v>
      </c>
      <c r="AY121" s="257">
        <f t="shared" si="138"/>
        <v>7123</v>
      </c>
      <c r="AZ121" s="446">
        <f t="shared" si="139"/>
        <v>815</v>
      </c>
      <c r="BA121" s="446">
        <f t="shared" si="140"/>
        <v>39.772000000000006</v>
      </c>
      <c r="BB121" s="446">
        <f t="shared" si="141"/>
        <v>0.7009130400000001</v>
      </c>
      <c r="BC121" s="446">
        <f t="shared" si="142"/>
        <v>855</v>
      </c>
      <c r="BD121" s="258">
        <f t="shared" si="143"/>
        <v>5805245</v>
      </c>
      <c r="BE121" s="258">
        <f t="shared" si="144"/>
        <v>6090165</v>
      </c>
      <c r="BF121" s="391">
        <f t="shared" si="145"/>
        <v>185494191</v>
      </c>
      <c r="BG121" s="391">
        <f t="shared" si="146"/>
        <v>194593356</v>
      </c>
    </row>
    <row r="122" spans="1:59" ht="15.75">
      <c r="A122" s="333">
        <v>9</v>
      </c>
      <c r="B122" s="333" t="str">
        <f t="shared" si="98"/>
        <v>CEREAL EMPACADO_9</v>
      </c>
      <c r="C122" s="333" t="str">
        <f t="shared" si="99"/>
        <v>61_9</v>
      </c>
      <c r="D122" s="333" t="s">
        <v>1607</v>
      </c>
      <c r="E122" s="256">
        <v>61</v>
      </c>
      <c r="F122" s="322" t="s">
        <v>13</v>
      </c>
      <c r="G122" s="256" t="s">
        <v>9</v>
      </c>
      <c r="H122" s="425">
        <f t="shared" si="100"/>
        <v>16</v>
      </c>
      <c r="I122" s="425">
        <f t="array" ref="I122">MAX((IF(MNU_CODIGO_ALIMENTO_ENTREGA=CONCATENATE($E122,"_","P_"),MNU_GRAMAJE_REQUERIDO_TIPOA,"")))</f>
        <v>20</v>
      </c>
      <c r="J122" s="257">
        <f t="shared" si="101"/>
        <v>5351</v>
      </c>
      <c r="K122" s="257">
        <f t="shared" si="102"/>
        <v>85616</v>
      </c>
      <c r="L122" s="446">
        <f t="shared" si="103"/>
        <v>222</v>
      </c>
      <c r="M122" s="446">
        <f t="shared" si="104"/>
        <v>10.833600000000001</v>
      </c>
      <c r="N122" s="446">
        <f t="shared" si="105"/>
        <v>0.190923552</v>
      </c>
      <c r="O122" s="446">
        <f t="shared" si="106"/>
        <v>233</v>
      </c>
      <c r="P122" s="258">
        <f t="shared" si="107"/>
        <v>19006752</v>
      </c>
      <c r="Q122" s="258">
        <f t="shared" si="108"/>
        <v>19948528</v>
      </c>
      <c r="R122" s="426">
        <f t="shared" si="109"/>
        <v>16</v>
      </c>
      <c r="S122" s="426">
        <f t="array" ref="S122">MAX((IF(MNU_CODIGO_ALIMENTO_ENTREGA=CONCATENATE($E122,"_","P_"),MNU_GRAMAJE_REQUERIDO_TIPOB,"")))</f>
        <v>30</v>
      </c>
      <c r="T122" s="259">
        <f t="shared" si="110"/>
        <v>7228</v>
      </c>
      <c r="U122" s="259">
        <f t="shared" si="111"/>
        <v>115648</v>
      </c>
      <c r="V122" s="446">
        <f t="shared" si="112"/>
        <v>334</v>
      </c>
      <c r="W122" s="446">
        <f t="shared" si="113"/>
        <v>16.299199999999999</v>
      </c>
      <c r="X122" s="446">
        <f t="shared" si="114"/>
        <v>0.28724534400000001</v>
      </c>
      <c r="Y122" s="446">
        <f t="shared" si="115"/>
        <v>351</v>
      </c>
      <c r="Z122" s="260">
        <f t="shared" si="116"/>
        <v>38626432</v>
      </c>
      <c r="AA122" s="260">
        <f t="shared" si="117"/>
        <v>40592448</v>
      </c>
      <c r="AB122" s="425">
        <f t="shared" si="118"/>
        <v>16</v>
      </c>
      <c r="AC122" s="425">
        <f t="array" ref="AC122">MAX((IF(MNU_CODIGO_ALIMENTO_ENTREGA=CONCATENATE($E122,"_","P_"),MNU_GRAMAJE_REQUERIDO_TIPOC,"")))</f>
        <v>70</v>
      </c>
      <c r="AD122" s="257">
        <f t="shared" si="119"/>
        <v>7156</v>
      </c>
      <c r="AE122" s="257">
        <f t="shared" si="120"/>
        <v>114496</v>
      </c>
      <c r="AF122" s="446">
        <f t="shared" si="121"/>
        <v>779</v>
      </c>
      <c r="AG122" s="446">
        <f t="shared" si="122"/>
        <v>38.0152</v>
      </c>
      <c r="AH122" s="446">
        <f t="shared" si="123"/>
        <v>0.66995246400000008</v>
      </c>
      <c r="AI122" s="446">
        <f t="shared" si="124"/>
        <v>818</v>
      </c>
      <c r="AJ122" s="258">
        <f t="shared" si="125"/>
        <v>89192384</v>
      </c>
      <c r="AK122" s="258">
        <f t="shared" si="126"/>
        <v>93657728</v>
      </c>
      <c r="AL122" s="426">
        <f t="shared" si="127"/>
        <v>16</v>
      </c>
      <c r="AM122" s="426">
        <f t="array" ref="AM122">MAX((IF(MNU_CODIGO_ALIMENTO_ENTREGA=CONCATENATE($E122,"_","P_"),MNU_GRAMAJE_REQUERIDO_TIPOM,"")))</f>
        <v>30</v>
      </c>
      <c r="AN122" s="259">
        <f t="shared" si="128"/>
        <v>371</v>
      </c>
      <c r="AO122" s="259">
        <f t="shared" si="129"/>
        <v>5936</v>
      </c>
      <c r="AP122" s="446">
        <f t="shared" si="130"/>
        <v>334</v>
      </c>
      <c r="AQ122" s="446">
        <f t="shared" si="131"/>
        <v>16.299199999999999</v>
      </c>
      <c r="AR122" s="446">
        <f t="shared" si="132"/>
        <v>0.28724534400000001</v>
      </c>
      <c r="AS122" s="446">
        <f t="shared" si="133"/>
        <v>351</v>
      </c>
      <c r="AT122" s="260">
        <f t="shared" si="134"/>
        <v>1982624</v>
      </c>
      <c r="AU122" s="260">
        <f t="shared" si="135"/>
        <v>2083536</v>
      </c>
      <c r="AV122" s="425">
        <f t="shared" si="136"/>
        <v>16</v>
      </c>
      <c r="AW122" s="425">
        <f t="array" ref="AW122">MAX((IF(MNU_CODIGO_ALIMENTO_ENTREGA=CONCATENATE($E122,"_","P_"),MNU_GRAMAJE_REQUERIDO_TIPOH,"")))</f>
        <v>70</v>
      </c>
      <c r="AX122" s="257">
        <f t="shared" si="137"/>
        <v>419</v>
      </c>
      <c r="AY122" s="257">
        <f t="shared" si="138"/>
        <v>6704</v>
      </c>
      <c r="AZ122" s="446">
        <f t="shared" si="139"/>
        <v>779</v>
      </c>
      <c r="BA122" s="446">
        <f t="shared" si="140"/>
        <v>38.0152</v>
      </c>
      <c r="BB122" s="446">
        <f t="shared" si="141"/>
        <v>0.66995246400000008</v>
      </c>
      <c r="BC122" s="446">
        <f t="shared" si="142"/>
        <v>818</v>
      </c>
      <c r="BD122" s="258">
        <f t="shared" si="143"/>
        <v>5222416</v>
      </c>
      <c r="BE122" s="258">
        <f t="shared" si="144"/>
        <v>5483872</v>
      </c>
      <c r="BF122" s="391">
        <f t="shared" si="145"/>
        <v>154030608</v>
      </c>
      <c r="BG122" s="391">
        <f t="shared" si="146"/>
        <v>161766112</v>
      </c>
    </row>
    <row r="123" spans="1:59" ht="15.75">
      <c r="A123" s="333">
        <v>9</v>
      </c>
      <c r="B123" s="333" t="str">
        <f t="shared" si="98"/>
        <v>CEREAL EMPACADO_9</v>
      </c>
      <c r="C123" s="333" t="str">
        <f t="shared" si="99"/>
        <v>62_9</v>
      </c>
      <c r="D123" s="333" t="s">
        <v>1607</v>
      </c>
      <c r="E123" s="256">
        <v>62</v>
      </c>
      <c r="F123" s="322" t="s">
        <v>68</v>
      </c>
      <c r="G123" s="256" t="s">
        <v>9</v>
      </c>
      <c r="H123" s="425">
        <f t="shared" si="100"/>
        <v>5</v>
      </c>
      <c r="I123" s="425">
        <f t="array" ref="I123">MAX((IF(MNU_CODIGO_ALIMENTO_ENTREGA=CONCATENATE($E123,"_","P_"),MNU_GRAMAJE_REQUERIDO_TIPOA,"")))</f>
        <v>50</v>
      </c>
      <c r="J123" s="257">
        <f t="shared" si="101"/>
        <v>5351</v>
      </c>
      <c r="K123" s="257">
        <f t="shared" si="102"/>
        <v>26755</v>
      </c>
      <c r="L123" s="446">
        <f t="shared" si="103"/>
        <v>595</v>
      </c>
      <c r="M123" s="446">
        <f t="shared" si="104"/>
        <v>29.036000000000001</v>
      </c>
      <c r="N123" s="446">
        <f t="shared" si="105"/>
        <v>0.51170952000000014</v>
      </c>
      <c r="O123" s="446">
        <f t="shared" si="106"/>
        <v>625</v>
      </c>
      <c r="P123" s="258">
        <f t="shared" si="107"/>
        <v>15919225</v>
      </c>
      <c r="Q123" s="258">
        <f t="shared" si="108"/>
        <v>16721875</v>
      </c>
      <c r="R123" s="426">
        <f t="shared" si="109"/>
        <v>5</v>
      </c>
      <c r="S123" s="426">
        <f t="array" ref="S123">MAX((IF(MNU_CODIGO_ALIMENTO_ENTREGA=CONCATENATE($E123,"_","P_"),MNU_GRAMAJE_REQUERIDO_TIPOB,"")))</f>
        <v>50</v>
      </c>
      <c r="T123" s="259">
        <f t="shared" si="110"/>
        <v>7228</v>
      </c>
      <c r="U123" s="259">
        <f t="shared" si="111"/>
        <v>36140</v>
      </c>
      <c r="V123" s="446">
        <f t="shared" si="112"/>
        <v>595</v>
      </c>
      <c r="W123" s="446">
        <f t="shared" si="113"/>
        <v>29.036000000000001</v>
      </c>
      <c r="X123" s="446">
        <f t="shared" si="114"/>
        <v>0.51170952000000014</v>
      </c>
      <c r="Y123" s="446">
        <f t="shared" si="115"/>
        <v>625</v>
      </c>
      <c r="Z123" s="260">
        <f t="shared" si="116"/>
        <v>21503300</v>
      </c>
      <c r="AA123" s="260">
        <f t="shared" si="117"/>
        <v>22587500</v>
      </c>
      <c r="AB123" s="425">
        <f t="shared" si="118"/>
        <v>5</v>
      </c>
      <c r="AC123" s="425">
        <f t="array" ref="AC123">MAX((IF(MNU_CODIGO_ALIMENTO_ENTREGA=CONCATENATE($E123,"_","P_"),MNU_GRAMAJE_REQUERIDO_TIPOC,"")))</f>
        <v>50</v>
      </c>
      <c r="AD123" s="257">
        <f t="shared" si="119"/>
        <v>7156</v>
      </c>
      <c r="AE123" s="257">
        <f t="shared" si="120"/>
        <v>35780</v>
      </c>
      <c r="AF123" s="446">
        <f t="shared" si="121"/>
        <v>595</v>
      </c>
      <c r="AG123" s="446">
        <f t="shared" si="122"/>
        <v>29.036000000000001</v>
      </c>
      <c r="AH123" s="446">
        <f t="shared" si="123"/>
        <v>0.51170952000000014</v>
      </c>
      <c r="AI123" s="446">
        <f t="shared" si="124"/>
        <v>625</v>
      </c>
      <c r="AJ123" s="258">
        <f t="shared" si="125"/>
        <v>21289100</v>
      </c>
      <c r="AK123" s="258">
        <f t="shared" si="126"/>
        <v>22362500</v>
      </c>
      <c r="AL123" s="426">
        <f t="shared" si="127"/>
        <v>5</v>
      </c>
      <c r="AM123" s="426">
        <f t="array" ref="AM123">MAX((IF(MNU_CODIGO_ALIMENTO_ENTREGA=CONCATENATE($E123,"_","P_"),MNU_GRAMAJE_REQUERIDO_TIPOM,"")))</f>
        <v>50</v>
      </c>
      <c r="AN123" s="259">
        <f t="shared" si="128"/>
        <v>371</v>
      </c>
      <c r="AO123" s="259">
        <f t="shared" si="129"/>
        <v>1855</v>
      </c>
      <c r="AP123" s="446">
        <f t="shared" si="130"/>
        <v>595</v>
      </c>
      <c r="AQ123" s="446">
        <f t="shared" si="131"/>
        <v>29.036000000000001</v>
      </c>
      <c r="AR123" s="446">
        <f t="shared" si="132"/>
        <v>0.51170952000000014</v>
      </c>
      <c r="AS123" s="446">
        <f t="shared" si="133"/>
        <v>625</v>
      </c>
      <c r="AT123" s="260">
        <f t="shared" si="134"/>
        <v>1103725</v>
      </c>
      <c r="AU123" s="260">
        <f t="shared" si="135"/>
        <v>1159375</v>
      </c>
      <c r="AV123" s="425">
        <f t="shared" si="136"/>
        <v>5</v>
      </c>
      <c r="AW123" s="425">
        <f t="array" ref="AW123">MAX((IF(MNU_CODIGO_ALIMENTO_ENTREGA=CONCATENATE($E123,"_","P_"),MNU_GRAMAJE_REQUERIDO_TIPOH,"")))</f>
        <v>50</v>
      </c>
      <c r="AX123" s="257">
        <f t="shared" si="137"/>
        <v>419</v>
      </c>
      <c r="AY123" s="257">
        <f t="shared" si="138"/>
        <v>2095</v>
      </c>
      <c r="AZ123" s="446">
        <f t="shared" si="139"/>
        <v>595</v>
      </c>
      <c r="BA123" s="446">
        <f t="shared" si="140"/>
        <v>29.036000000000001</v>
      </c>
      <c r="BB123" s="446">
        <f t="shared" si="141"/>
        <v>0.51170952000000014</v>
      </c>
      <c r="BC123" s="446">
        <f t="shared" si="142"/>
        <v>625</v>
      </c>
      <c r="BD123" s="258">
        <f t="shared" si="143"/>
        <v>1246525</v>
      </c>
      <c r="BE123" s="258">
        <f t="shared" si="144"/>
        <v>1309375</v>
      </c>
      <c r="BF123" s="391">
        <f t="shared" si="145"/>
        <v>61061875</v>
      </c>
      <c r="BG123" s="391">
        <f t="shared" si="146"/>
        <v>64140625</v>
      </c>
    </row>
    <row r="124" spans="1:59" ht="15.75">
      <c r="A124" s="333">
        <v>10</v>
      </c>
      <c r="B124" s="333" t="str">
        <f t="shared" si="98"/>
        <v>CEREAL EMPACADO_10</v>
      </c>
      <c r="C124" s="333" t="str">
        <f t="shared" si="99"/>
        <v>1_10</v>
      </c>
      <c r="D124" s="333" t="s">
        <v>1607</v>
      </c>
      <c r="E124" s="256">
        <v>1</v>
      </c>
      <c r="F124" s="322" t="s">
        <v>16</v>
      </c>
      <c r="G124" s="256" t="s">
        <v>9</v>
      </c>
      <c r="H124" s="425">
        <f t="shared" si="100"/>
        <v>15</v>
      </c>
      <c r="I124" s="425">
        <f t="array" ref="I124">MAX((IF(MNU_CODIGO_ALIMENTO_ENTREGA=CONCATENATE($E124,"_","P_"),MNU_GRAMAJE_REQUERIDO_TIPOA,"")))</f>
        <v>30</v>
      </c>
      <c r="J124" s="257">
        <f t="shared" si="101"/>
        <v>6208</v>
      </c>
      <c r="K124" s="257">
        <f t="shared" si="102"/>
        <v>93120</v>
      </c>
      <c r="L124" s="446">
        <f t="shared" si="103"/>
        <v>770</v>
      </c>
      <c r="M124" s="446">
        <f t="shared" si="104"/>
        <v>37.576000000000008</v>
      </c>
      <c r="N124" s="446">
        <f t="shared" si="105"/>
        <v>0.66221231999999997</v>
      </c>
      <c r="O124" s="446">
        <f t="shared" si="106"/>
        <v>808</v>
      </c>
      <c r="P124" s="258">
        <f t="shared" si="107"/>
        <v>71702400</v>
      </c>
      <c r="Q124" s="258">
        <f t="shared" si="108"/>
        <v>75240960</v>
      </c>
      <c r="R124" s="426">
        <f t="shared" si="109"/>
        <v>15</v>
      </c>
      <c r="S124" s="426">
        <f t="array" ref="S124">MAX((IF(MNU_CODIGO_ALIMENTO_ENTREGA=CONCATENATE($E124,"_","P_"),MNU_GRAMAJE_REQUERIDO_TIPOB,"")))</f>
        <v>40</v>
      </c>
      <c r="T124" s="259">
        <f t="shared" si="110"/>
        <v>8157</v>
      </c>
      <c r="U124" s="259">
        <f t="shared" si="111"/>
        <v>122355</v>
      </c>
      <c r="V124" s="446">
        <f t="shared" si="112"/>
        <v>1027</v>
      </c>
      <c r="W124" s="446">
        <f t="shared" si="113"/>
        <v>50.117600000000003</v>
      </c>
      <c r="X124" s="446">
        <f t="shared" si="114"/>
        <v>0.88323643200000013</v>
      </c>
      <c r="Y124" s="446">
        <f t="shared" si="115"/>
        <v>1078</v>
      </c>
      <c r="Z124" s="260">
        <f t="shared" si="116"/>
        <v>125658585</v>
      </c>
      <c r="AA124" s="260">
        <f t="shared" si="117"/>
        <v>131898690</v>
      </c>
      <c r="AB124" s="425">
        <f t="shared" si="118"/>
        <v>15</v>
      </c>
      <c r="AC124" s="425">
        <f t="array" ref="AC124">MAX((IF(MNU_CODIGO_ALIMENTO_ENTREGA=CONCATENATE($E124,"_","P_"),MNU_GRAMAJE_REQUERIDO_TIPOC,"")))</f>
        <v>60</v>
      </c>
      <c r="AD124" s="257">
        <f t="shared" si="119"/>
        <v>8769</v>
      </c>
      <c r="AE124" s="257">
        <f t="shared" si="120"/>
        <v>131535</v>
      </c>
      <c r="AF124" s="446">
        <f t="shared" si="121"/>
        <v>1540</v>
      </c>
      <c r="AG124" s="446">
        <f t="shared" si="122"/>
        <v>75.152000000000015</v>
      </c>
      <c r="AH124" s="446">
        <f t="shared" si="123"/>
        <v>1.3244246399999999</v>
      </c>
      <c r="AI124" s="446">
        <f t="shared" si="124"/>
        <v>1616</v>
      </c>
      <c r="AJ124" s="258">
        <f t="shared" si="125"/>
        <v>202563900</v>
      </c>
      <c r="AK124" s="258">
        <f t="shared" si="126"/>
        <v>212560560</v>
      </c>
      <c r="AL124" s="426">
        <f t="shared" si="127"/>
        <v>15</v>
      </c>
      <c r="AM124" s="426">
        <f t="array" ref="AM124">MAX((IF(MNU_CODIGO_ALIMENTO_ENTREGA=CONCATENATE($E124,"_","P_"),MNU_GRAMAJE_REQUERIDO_TIPOM,"")))</f>
        <v>40</v>
      </c>
      <c r="AN124" s="259">
        <f t="shared" si="128"/>
        <v>0</v>
      </c>
      <c r="AO124" s="259">
        <f t="shared" si="129"/>
        <v>0</v>
      </c>
      <c r="AP124" s="446">
        <f t="shared" si="130"/>
        <v>1027</v>
      </c>
      <c r="AQ124" s="446">
        <f t="shared" si="131"/>
        <v>50.117600000000003</v>
      </c>
      <c r="AR124" s="446">
        <f t="shared" si="132"/>
        <v>0.88323643200000013</v>
      </c>
      <c r="AS124" s="446">
        <f t="shared" si="133"/>
        <v>1078</v>
      </c>
      <c r="AT124" s="260">
        <f t="shared" si="134"/>
        <v>0</v>
      </c>
      <c r="AU124" s="260">
        <f t="shared" si="135"/>
        <v>0</v>
      </c>
      <c r="AV124" s="425">
        <f t="shared" si="136"/>
        <v>15</v>
      </c>
      <c r="AW124" s="425">
        <f t="array" ref="AW124">MAX((IF(MNU_CODIGO_ALIMENTO_ENTREGA=CONCATENATE($E124,"_","P_"),MNU_GRAMAJE_REQUERIDO_TIPOH,"")))</f>
        <v>60</v>
      </c>
      <c r="AX124" s="257">
        <f t="shared" si="137"/>
        <v>0</v>
      </c>
      <c r="AY124" s="257">
        <f t="shared" si="138"/>
        <v>0</v>
      </c>
      <c r="AZ124" s="446">
        <f t="shared" si="139"/>
        <v>1540</v>
      </c>
      <c r="BA124" s="446">
        <f t="shared" si="140"/>
        <v>75.152000000000015</v>
      </c>
      <c r="BB124" s="446">
        <f t="shared" si="141"/>
        <v>1.3244246399999999</v>
      </c>
      <c r="BC124" s="446">
        <f t="shared" si="142"/>
        <v>1616</v>
      </c>
      <c r="BD124" s="258">
        <f t="shared" si="143"/>
        <v>0</v>
      </c>
      <c r="BE124" s="258">
        <f t="shared" si="144"/>
        <v>0</v>
      </c>
      <c r="BF124" s="391">
        <f t="shared" si="145"/>
        <v>399924885</v>
      </c>
      <c r="BG124" s="391">
        <f t="shared" si="146"/>
        <v>419700210</v>
      </c>
    </row>
    <row r="125" spans="1:59" ht="15.75">
      <c r="A125" s="333">
        <v>10</v>
      </c>
      <c r="B125" s="333" t="str">
        <f t="shared" si="98"/>
        <v>CEREAL EMPACADO_10</v>
      </c>
      <c r="C125" s="333" t="str">
        <f t="shared" si="99"/>
        <v>3_10</v>
      </c>
      <c r="D125" s="333" t="s">
        <v>1607</v>
      </c>
      <c r="E125" s="256">
        <v>3</v>
      </c>
      <c r="F125" s="322" t="s">
        <v>12</v>
      </c>
      <c r="G125" s="256" t="s">
        <v>9</v>
      </c>
      <c r="H125" s="425">
        <f t="shared" si="100"/>
        <v>17</v>
      </c>
      <c r="I125" s="425">
        <f t="array" ref="I125">MAX((IF(MNU_CODIGO_ALIMENTO_ENTREGA=CONCATENATE($E125,"_","P_"),MNU_GRAMAJE_REQUERIDO_TIPOA,"")))</f>
        <v>50</v>
      </c>
      <c r="J125" s="257">
        <f t="shared" si="101"/>
        <v>6208</v>
      </c>
      <c r="K125" s="257">
        <f t="shared" si="102"/>
        <v>105536</v>
      </c>
      <c r="L125" s="446">
        <f t="shared" si="103"/>
        <v>481</v>
      </c>
      <c r="M125" s="446">
        <f t="shared" si="104"/>
        <v>23.472799999999999</v>
      </c>
      <c r="N125" s="446">
        <f t="shared" si="105"/>
        <v>0.41366769599999997</v>
      </c>
      <c r="O125" s="446">
        <f t="shared" si="106"/>
        <v>505</v>
      </c>
      <c r="P125" s="258">
        <f t="shared" si="107"/>
        <v>50762816</v>
      </c>
      <c r="Q125" s="258">
        <f t="shared" si="108"/>
        <v>53295680</v>
      </c>
      <c r="R125" s="426">
        <f t="shared" si="109"/>
        <v>17</v>
      </c>
      <c r="S125" s="426">
        <f t="array" ref="S125">MAX((IF(MNU_CODIGO_ALIMENTO_ENTREGA=CONCATENATE($E125,"_","P_"),MNU_GRAMAJE_REQUERIDO_TIPOB,"")))</f>
        <v>50</v>
      </c>
      <c r="T125" s="259">
        <f t="shared" si="110"/>
        <v>8157</v>
      </c>
      <c r="U125" s="259">
        <f t="shared" si="111"/>
        <v>138669</v>
      </c>
      <c r="V125" s="446">
        <f t="shared" si="112"/>
        <v>481</v>
      </c>
      <c r="W125" s="446">
        <f t="shared" si="113"/>
        <v>23.472799999999999</v>
      </c>
      <c r="X125" s="446">
        <f t="shared" si="114"/>
        <v>0.41366769599999997</v>
      </c>
      <c r="Y125" s="446">
        <f t="shared" si="115"/>
        <v>505</v>
      </c>
      <c r="Z125" s="260">
        <f t="shared" si="116"/>
        <v>66699789</v>
      </c>
      <c r="AA125" s="260">
        <f t="shared" si="117"/>
        <v>70027845</v>
      </c>
      <c r="AB125" s="425">
        <f t="shared" si="118"/>
        <v>17</v>
      </c>
      <c r="AC125" s="425">
        <f t="array" ref="AC125">MAX((IF(MNU_CODIGO_ALIMENTO_ENTREGA=CONCATENATE($E125,"_","P_"),MNU_GRAMAJE_REQUERIDO_TIPOC,"")))</f>
        <v>80</v>
      </c>
      <c r="AD125" s="257">
        <f t="shared" si="119"/>
        <v>8769</v>
      </c>
      <c r="AE125" s="257">
        <f t="shared" si="120"/>
        <v>149073</v>
      </c>
      <c r="AF125" s="446">
        <f t="shared" si="121"/>
        <v>727</v>
      </c>
      <c r="AG125" s="446">
        <f t="shared" si="122"/>
        <v>35.477600000000002</v>
      </c>
      <c r="AH125" s="446">
        <f t="shared" si="123"/>
        <v>0.62523163200000009</v>
      </c>
      <c r="AI125" s="446">
        <f t="shared" si="124"/>
        <v>763</v>
      </c>
      <c r="AJ125" s="258">
        <f t="shared" si="125"/>
        <v>108376071</v>
      </c>
      <c r="AK125" s="258">
        <f t="shared" si="126"/>
        <v>113742699</v>
      </c>
      <c r="AL125" s="426">
        <f t="shared" si="127"/>
        <v>17</v>
      </c>
      <c r="AM125" s="426">
        <f t="array" ref="AM125">MAX((IF(MNU_CODIGO_ALIMENTO_ENTREGA=CONCATENATE($E125,"_","P_"),MNU_GRAMAJE_REQUERIDO_TIPOM,"")))</f>
        <v>50</v>
      </c>
      <c r="AN125" s="259">
        <f t="shared" si="128"/>
        <v>0</v>
      </c>
      <c r="AO125" s="259">
        <f t="shared" si="129"/>
        <v>0</v>
      </c>
      <c r="AP125" s="446">
        <f t="shared" si="130"/>
        <v>481</v>
      </c>
      <c r="AQ125" s="446">
        <f t="shared" si="131"/>
        <v>23.472799999999999</v>
      </c>
      <c r="AR125" s="446">
        <f t="shared" si="132"/>
        <v>0.41366769599999997</v>
      </c>
      <c r="AS125" s="446">
        <f t="shared" si="133"/>
        <v>505</v>
      </c>
      <c r="AT125" s="260">
        <f t="shared" si="134"/>
        <v>0</v>
      </c>
      <c r="AU125" s="260">
        <f t="shared" si="135"/>
        <v>0</v>
      </c>
      <c r="AV125" s="425">
        <f t="shared" si="136"/>
        <v>17</v>
      </c>
      <c r="AW125" s="425">
        <f t="array" ref="AW125">MAX((IF(MNU_CODIGO_ALIMENTO_ENTREGA=CONCATENATE($E125,"_","P_"),MNU_GRAMAJE_REQUERIDO_TIPOH,"")))</f>
        <v>80</v>
      </c>
      <c r="AX125" s="257">
        <f t="shared" si="137"/>
        <v>0</v>
      </c>
      <c r="AY125" s="257">
        <f t="shared" si="138"/>
        <v>0</v>
      </c>
      <c r="AZ125" s="446">
        <f t="shared" si="139"/>
        <v>727</v>
      </c>
      <c r="BA125" s="446">
        <f t="shared" si="140"/>
        <v>35.477600000000002</v>
      </c>
      <c r="BB125" s="446">
        <f t="shared" si="141"/>
        <v>0.62523163200000009</v>
      </c>
      <c r="BC125" s="446">
        <f t="shared" si="142"/>
        <v>763</v>
      </c>
      <c r="BD125" s="258">
        <f t="shared" si="143"/>
        <v>0</v>
      </c>
      <c r="BE125" s="258">
        <f t="shared" si="144"/>
        <v>0</v>
      </c>
      <c r="BF125" s="391">
        <f t="shared" si="145"/>
        <v>225838676</v>
      </c>
      <c r="BG125" s="391">
        <f t="shared" si="146"/>
        <v>237066224</v>
      </c>
    </row>
    <row r="126" spans="1:59" ht="15.75">
      <c r="A126" s="333">
        <v>10</v>
      </c>
      <c r="B126" s="333" t="str">
        <f t="shared" si="98"/>
        <v>CEREAL EMPACADO_10</v>
      </c>
      <c r="C126" s="333" t="str">
        <f t="shared" si="99"/>
        <v>15_10</v>
      </c>
      <c r="D126" s="333" t="s">
        <v>1607</v>
      </c>
      <c r="E126" s="256">
        <v>15</v>
      </c>
      <c r="F126" s="322" t="s">
        <v>66</v>
      </c>
      <c r="G126" s="256" t="s">
        <v>9</v>
      </c>
      <c r="H126" s="425">
        <f t="shared" si="100"/>
        <v>17</v>
      </c>
      <c r="I126" s="425">
        <f t="array" ref="I126">MAX((IF(MNU_CODIGO_ALIMENTO_ENTREGA=CONCATENATE($E126,"_","P_"),MNU_GRAMAJE_REQUERIDO_TIPOA,"")))</f>
        <v>50</v>
      </c>
      <c r="J126" s="257">
        <f t="shared" si="101"/>
        <v>6208</v>
      </c>
      <c r="K126" s="257">
        <f t="shared" si="102"/>
        <v>105536</v>
      </c>
      <c r="L126" s="446">
        <f t="shared" si="103"/>
        <v>641</v>
      </c>
      <c r="M126" s="446">
        <f t="shared" si="104"/>
        <v>31.280800000000003</v>
      </c>
      <c r="N126" s="446">
        <f t="shared" si="105"/>
        <v>0.55127025600000001</v>
      </c>
      <c r="O126" s="446">
        <f t="shared" si="106"/>
        <v>673</v>
      </c>
      <c r="P126" s="258">
        <f t="shared" si="107"/>
        <v>67648576</v>
      </c>
      <c r="Q126" s="258">
        <f t="shared" si="108"/>
        <v>71025728</v>
      </c>
      <c r="R126" s="426">
        <f t="shared" si="109"/>
        <v>17</v>
      </c>
      <c r="S126" s="426">
        <f t="array" ref="S126">MAX((IF(MNU_CODIGO_ALIMENTO_ENTREGA=CONCATENATE($E126,"_","P_"),MNU_GRAMAJE_REQUERIDO_TIPOB,"")))</f>
        <v>50</v>
      </c>
      <c r="T126" s="259">
        <f t="shared" si="110"/>
        <v>8157</v>
      </c>
      <c r="U126" s="259">
        <f t="shared" si="111"/>
        <v>138669</v>
      </c>
      <c r="V126" s="446">
        <f t="shared" si="112"/>
        <v>641</v>
      </c>
      <c r="W126" s="446">
        <f t="shared" si="113"/>
        <v>31.280800000000003</v>
      </c>
      <c r="X126" s="446">
        <f t="shared" si="114"/>
        <v>0.55127025600000001</v>
      </c>
      <c r="Y126" s="446">
        <f t="shared" si="115"/>
        <v>673</v>
      </c>
      <c r="Z126" s="260">
        <f t="shared" si="116"/>
        <v>88886829</v>
      </c>
      <c r="AA126" s="260">
        <f t="shared" si="117"/>
        <v>93324237</v>
      </c>
      <c r="AB126" s="425">
        <f t="shared" si="118"/>
        <v>17</v>
      </c>
      <c r="AC126" s="425">
        <f t="array" ref="AC126">MAX((IF(MNU_CODIGO_ALIMENTO_ENTREGA=CONCATENATE($E126,"_","P_"),MNU_GRAMAJE_REQUERIDO_TIPOC,"")))</f>
        <v>80</v>
      </c>
      <c r="AD126" s="257">
        <f t="shared" si="119"/>
        <v>8769</v>
      </c>
      <c r="AE126" s="257">
        <f t="shared" si="120"/>
        <v>149073</v>
      </c>
      <c r="AF126" s="446">
        <f t="shared" si="121"/>
        <v>1025</v>
      </c>
      <c r="AG126" s="446">
        <f t="shared" si="122"/>
        <v>50.02</v>
      </c>
      <c r="AH126" s="446">
        <f t="shared" si="123"/>
        <v>0.88151640000000009</v>
      </c>
      <c r="AI126" s="446">
        <f t="shared" si="124"/>
        <v>1076</v>
      </c>
      <c r="AJ126" s="258">
        <f t="shared" si="125"/>
        <v>152799825</v>
      </c>
      <c r="AK126" s="258">
        <f t="shared" si="126"/>
        <v>160402548</v>
      </c>
      <c r="AL126" s="426">
        <f t="shared" si="127"/>
        <v>17</v>
      </c>
      <c r="AM126" s="426">
        <f t="array" ref="AM126">MAX((IF(MNU_CODIGO_ALIMENTO_ENTREGA=CONCATENATE($E126,"_","P_"),MNU_GRAMAJE_REQUERIDO_TIPOM,"")))</f>
        <v>50</v>
      </c>
      <c r="AN126" s="259">
        <f t="shared" si="128"/>
        <v>0</v>
      </c>
      <c r="AO126" s="259">
        <f t="shared" si="129"/>
        <v>0</v>
      </c>
      <c r="AP126" s="446">
        <f t="shared" si="130"/>
        <v>641</v>
      </c>
      <c r="AQ126" s="446">
        <f t="shared" si="131"/>
        <v>31.280800000000003</v>
      </c>
      <c r="AR126" s="446">
        <f t="shared" si="132"/>
        <v>0.55127025600000001</v>
      </c>
      <c r="AS126" s="446">
        <f t="shared" si="133"/>
        <v>673</v>
      </c>
      <c r="AT126" s="260">
        <f t="shared" si="134"/>
        <v>0</v>
      </c>
      <c r="AU126" s="260">
        <f t="shared" si="135"/>
        <v>0</v>
      </c>
      <c r="AV126" s="425">
        <f t="shared" si="136"/>
        <v>17</v>
      </c>
      <c r="AW126" s="425">
        <f t="array" ref="AW126">MAX((IF(MNU_CODIGO_ALIMENTO_ENTREGA=CONCATENATE($E126,"_","P_"),MNU_GRAMAJE_REQUERIDO_TIPOH,"")))</f>
        <v>80</v>
      </c>
      <c r="AX126" s="257">
        <f t="shared" si="137"/>
        <v>0</v>
      </c>
      <c r="AY126" s="257">
        <f t="shared" si="138"/>
        <v>0</v>
      </c>
      <c r="AZ126" s="446">
        <f t="shared" si="139"/>
        <v>1025</v>
      </c>
      <c r="BA126" s="446">
        <f t="shared" si="140"/>
        <v>50.02</v>
      </c>
      <c r="BB126" s="446">
        <f t="shared" si="141"/>
        <v>0.88151640000000009</v>
      </c>
      <c r="BC126" s="446">
        <f t="shared" si="142"/>
        <v>1076</v>
      </c>
      <c r="BD126" s="258">
        <f t="shared" si="143"/>
        <v>0</v>
      </c>
      <c r="BE126" s="258">
        <f t="shared" si="144"/>
        <v>0</v>
      </c>
      <c r="BF126" s="391">
        <f t="shared" si="145"/>
        <v>309335230</v>
      </c>
      <c r="BG126" s="391">
        <f t="shared" si="146"/>
        <v>324752513</v>
      </c>
    </row>
    <row r="127" spans="1:59" ht="15.75">
      <c r="A127" s="333">
        <v>10</v>
      </c>
      <c r="B127" s="333" t="str">
        <f t="shared" si="98"/>
        <v>CEREAL EMPACADO_10</v>
      </c>
      <c r="C127" s="333" t="str">
        <f t="shared" si="99"/>
        <v>24_10</v>
      </c>
      <c r="D127" s="333" t="s">
        <v>1607</v>
      </c>
      <c r="E127" s="256">
        <v>24</v>
      </c>
      <c r="F127" s="322" t="s">
        <v>61</v>
      </c>
      <c r="G127" s="256" t="s">
        <v>9</v>
      </c>
      <c r="H127" s="425">
        <f t="shared" si="100"/>
        <v>17</v>
      </c>
      <c r="I127" s="425">
        <f t="array" ref="I127">MAX((IF(MNU_CODIGO_ALIMENTO_ENTREGA=CONCATENATE($E127,"_","P_"),MNU_GRAMAJE_REQUERIDO_TIPOA,"")))</f>
        <v>20</v>
      </c>
      <c r="J127" s="257">
        <f t="shared" si="101"/>
        <v>6208</v>
      </c>
      <c r="K127" s="257">
        <f t="shared" si="102"/>
        <v>105536</v>
      </c>
      <c r="L127" s="446">
        <f t="shared" si="103"/>
        <v>122</v>
      </c>
      <c r="M127" s="446">
        <f t="shared" si="104"/>
        <v>5.9535999999999998</v>
      </c>
      <c r="N127" s="446">
        <f t="shared" si="105"/>
        <v>0.104921952</v>
      </c>
      <c r="O127" s="446">
        <f t="shared" si="106"/>
        <v>128</v>
      </c>
      <c r="P127" s="258">
        <f t="shared" si="107"/>
        <v>12875392</v>
      </c>
      <c r="Q127" s="258">
        <f t="shared" si="108"/>
        <v>13508608</v>
      </c>
      <c r="R127" s="426">
        <f t="shared" si="109"/>
        <v>17</v>
      </c>
      <c r="S127" s="426">
        <f t="array" ref="S127">MAX((IF(MNU_CODIGO_ALIMENTO_ENTREGA=CONCATENATE($E127,"_","P_"),MNU_GRAMAJE_REQUERIDO_TIPOB,"")))</f>
        <v>30</v>
      </c>
      <c r="T127" s="259">
        <f t="shared" si="110"/>
        <v>8157</v>
      </c>
      <c r="U127" s="259">
        <f t="shared" si="111"/>
        <v>138669</v>
      </c>
      <c r="V127" s="446">
        <f t="shared" si="112"/>
        <v>191</v>
      </c>
      <c r="W127" s="446">
        <f t="shared" si="113"/>
        <v>9.3208000000000002</v>
      </c>
      <c r="X127" s="446">
        <f t="shared" si="114"/>
        <v>0.16426305600000002</v>
      </c>
      <c r="Y127" s="446">
        <f t="shared" si="115"/>
        <v>200</v>
      </c>
      <c r="Z127" s="260">
        <f t="shared" si="116"/>
        <v>26485779</v>
      </c>
      <c r="AA127" s="260">
        <f t="shared" si="117"/>
        <v>27733800</v>
      </c>
      <c r="AB127" s="425">
        <f t="shared" si="118"/>
        <v>17</v>
      </c>
      <c r="AC127" s="425">
        <f t="array" ref="AC127">MAX((IF(MNU_CODIGO_ALIMENTO_ENTREGA=CONCATENATE($E127,"_","P_"),MNU_GRAMAJE_REQUERIDO_TIPOC,"")))</f>
        <v>60</v>
      </c>
      <c r="AD127" s="257">
        <f t="shared" si="119"/>
        <v>8769</v>
      </c>
      <c r="AE127" s="257">
        <f t="shared" si="120"/>
        <v>149073</v>
      </c>
      <c r="AF127" s="446">
        <f t="shared" si="121"/>
        <v>367</v>
      </c>
      <c r="AG127" s="446">
        <f t="shared" si="122"/>
        <v>17.909599999999998</v>
      </c>
      <c r="AH127" s="446">
        <f t="shared" si="123"/>
        <v>0.31562587200000003</v>
      </c>
      <c r="AI127" s="446">
        <f t="shared" si="124"/>
        <v>385</v>
      </c>
      <c r="AJ127" s="258">
        <f t="shared" si="125"/>
        <v>54709791</v>
      </c>
      <c r="AK127" s="258">
        <f t="shared" si="126"/>
        <v>57393105</v>
      </c>
      <c r="AL127" s="426">
        <f t="shared" si="127"/>
        <v>17</v>
      </c>
      <c r="AM127" s="426">
        <f t="array" ref="AM127">MAX((IF(MNU_CODIGO_ALIMENTO_ENTREGA=CONCATENATE($E127,"_","P_"),MNU_GRAMAJE_REQUERIDO_TIPOM,"")))</f>
        <v>30</v>
      </c>
      <c r="AN127" s="259">
        <f t="shared" si="128"/>
        <v>0</v>
      </c>
      <c r="AO127" s="259">
        <f t="shared" si="129"/>
        <v>0</v>
      </c>
      <c r="AP127" s="446">
        <f t="shared" si="130"/>
        <v>191</v>
      </c>
      <c r="AQ127" s="446">
        <f t="shared" si="131"/>
        <v>9.3208000000000002</v>
      </c>
      <c r="AR127" s="446">
        <f t="shared" si="132"/>
        <v>0.16426305600000002</v>
      </c>
      <c r="AS127" s="446">
        <f t="shared" si="133"/>
        <v>200</v>
      </c>
      <c r="AT127" s="260">
        <f t="shared" si="134"/>
        <v>0</v>
      </c>
      <c r="AU127" s="260">
        <f t="shared" si="135"/>
        <v>0</v>
      </c>
      <c r="AV127" s="425">
        <f t="shared" si="136"/>
        <v>17</v>
      </c>
      <c r="AW127" s="425">
        <f t="array" ref="AW127">MAX((IF(MNU_CODIGO_ALIMENTO_ENTREGA=CONCATENATE($E127,"_","P_"),MNU_GRAMAJE_REQUERIDO_TIPOH,"")))</f>
        <v>60</v>
      </c>
      <c r="AX127" s="257">
        <f t="shared" si="137"/>
        <v>0</v>
      </c>
      <c r="AY127" s="257">
        <f t="shared" si="138"/>
        <v>0</v>
      </c>
      <c r="AZ127" s="446">
        <f t="shared" si="139"/>
        <v>367</v>
      </c>
      <c r="BA127" s="446">
        <f t="shared" si="140"/>
        <v>17.909599999999998</v>
      </c>
      <c r="BB127" s="446">
        <f t="shared" si="141"/>
        <v>0.31562587200000003</v>
      </c>
      <c r="BC127" s="446">
        <f t="shared" si="142"/>
        <v>385</v>
      </c>
      <c r="BD127" s="258">
        <f t="shared" si="143"/>
        <v>0</v>
      </c>
      <c r="BE127" s="258">
        <f t="shared" si="144"/>
        <v>0</v>
      </c>
      <c r="BF127" s="391">
        <f t="shared" si="145"/>
        <v>94070962</v>
      </c>
      <c r="BG127" s="391">
        <f t="shared" si="146"/>
        <v>98635513</v>
      </c>
    </row>
    <row r="128" spans="1:59" ht="15.75">
      <c r="A128" s="333">
        <v>10</v>
      </c>
      <c r="B128" s="333" t="str">
        <f t="shared" si="98"/>
        <v>CEREAL EMPACADO_10</v>
      </c>
      <c r="C128" s="333" t="str">
        <f t="shared" si="99"/>
        <v>25_10</v>
      </c>
      <c r="D128" s="333" t="s">
        <v>1607</v>
      </c>
      <c r="E128" s="256">
        <v>25</v>
      </c>
      <c r="F128" s="322" t="s">
        <v>64</v>
      </c>
      <c r="G128" s="256" t="s">
        <v>9</v>
      </c>
      <c r="H128" s="425">
        <f t="shared" si="100"/>
        <v>17</v>
      </c>
      <c r="I128" s="425">
        <f t="array" ref="I128">MAX((IF(MNU_CODIGO_ALIMENTO_ENTREGA=CONCATENATE($E128,"_","P_"),MNU_GRAMAJE_REQUERIDO_TIPOA,"")))</f>
        <v>40</v>
      </c>
      <c r="J128" s="257">
        <f t="shared" si="101"/>
        <v>6208</v>
      </c>
      <c r="K128" s="257">
        <f t="shared" si="102"/>
        <v>105536</v>
      </c>
      <c r="L128" s="446">
        <f t="shared" si="103"/>
        <v>244</v>
      </c>
      <c r="M128" s="446">
        <f t="shared" si="104"/>
        <v>11.9072</v>
      </c>
      <c r="N128" s="446">
        <f t="shared" si="105"/>
        <v>0.209843904</v>
      </c>
      <c r="O128" s="446">
        <f t="shared" si="106"/>
        <v>256</v>
      </c>
      <c r="P128" s="258">
        <f t="shared" si="107"/>
        <v>25750784</v>
      </c>
      <c r="Q128" s="258">
        <f t="shared" si="108"/>
        <v>27017216</v>
      </c>
      <c r="R128" s="426">
        <f t="shared" si="109"/>
        <v>17</v>
      </c>
      <c r="S128" s="426">
        <f t="array" ref="S128">MAX((IF(MNU_CODIGO_ALIMENTO_ENTREGA=CONCATENATE($E128,"_","P_"),MNU_GRAMAJE_REQUERIDO_TIPOB,"")))</f>
        <v>40</v>
      </c>
      <c r="T128" s="259">
        <f t="shared" si="110"/>
        <v>8157</v>
      </c>
      <c r="U128" s="259">
        <f t="shared" si="111"/>
        <v>138669</v>
      </c>
      <c r="V128" s="446">
        <f t="shared" si="112"/>
        <v>244</v>
      </c>
      <c r="W128" s="446">
        <f t="shared" si="113"/>
        <v>11.9072</v>
      </c>
      <c r="X128" s="446">
        <f t="shared" si="114"/>
        <v>0.209843904</v>
      </c>
      <c r="Y128" s="446">
        <f t="shared" si="115"/>
        <v>256</v>
      </c>
      <c r="Z128" s="260">
        <f t="shared" si="116"/>
        <v>33835236</v>
      </c>
      <c r="AA128" s="260">
        <f t="shared" si="117"/>
        <v>35499264</v>
      </c>
      <c r="AB128" s="425">
        <f t="shared" si="118"/>
        <v>17</v>
      </c>
      <c r="AC128" s="425">
        <f t="array" ref="AC128">MAX((IF(MNU_CODIGO_ALIMENTO_ENTREGA=CONCATENATE($E128,"_","P_"),MNU_GRAMAJE_REQUERIDO_TIPOC,"")))</f>
        <v>60</v>
      </c>
      <c r="AD128" s="257">
        <f t="shared" si="119"/>
        <v>8769</v>
      </c>
      <c r="AE128" s="257">
        <f t="shared" si="120"/>
        <v>149073</v>
      </c>
      <c r="AF128" s="446">
        <f t="shared" si="121"/>
        <v>366</v>
      </c>
      <c r="AG128" s="446">
        <f t="shared" si="122"/>
        <v>17.860800000000001</v>
      </c>
      <c r="AH128" s="446">
        <f t="shared" si="123"/>
        <v>0.31476585600000001</v>
      </c>
      <c r="AI128" s="446">
        <f t="shared" si="124"/>
        <v>384</v>
      </c>
      <c r="AJ128" s="258">
        <f t="shared" si="125"/>
        <v>54560718</v>
      </c>
      <c r="AK128" s="258">
        <f t="shared" si="126"/>
        <v>57244032</v>
      </c>
      <c r="AL128" s="426">
        <f t="shared" si="127"/>
        <v>17</v>
      </c>
      <c r="AM128" s="426">
        <f t="array" ref="AM128">MAX((IF(MNU_CODIGO_ALIMENTO_ENTREGA=CONCATENATE($E128,"_","P_"),MNU_GRAMAJE_REQUERIDO_TIPOM,"")))</f>
        <v>40</v>
      </c>
      <c r="AN128" s="259">
        <f t="shared" si="128"/>
        <v>0</v>
      </c>
      <c r="AO128" s="259">
        <f t="shared" si="129"/>
        <v>0</v>
      </c>
      <c r="AP128" s="446">
        <f t="shared" si="130"/>
        <v>244</v>
      </c>
      <c r="AQ128" s="446">
        <f t="shared" si="131"/>
        <v>11.9072</v>
      </c>
      <c r="AR128" s="446">
        <f t="shared" si="132"/>
        <v>0.209843904</v>
      </c>
      <c r="AS128" s="446">
        <f t="shared" si="133"/>
        <v>256</v>
      </c>
      <c r="AT128" s="260">
        <f t="shared" si="134"/>
        <v>0</v>
      </c>
      <c r="AU128" s="260">
        <f t="shared" si="135"/>
        <v>0</v>
      </c>
      <c r="AV128" s="425">
        <f t="shared" si="136"/>
        <v>17</v>
      </c>
      <c r="AW128" s="425">
        <f t="array" ref="AW128">MAX((IF(MNU_CODIGO_ALIMENTO_ENTREGA=CONCATENATE($E128,"_","P_"),MNU_GRAMAJE_REQUERIDO_TIPOH,"")))</f>
        <v>60</v>
      </c>
      <c r="AX128" s="257">
        <f t="shared" si="137"/>
        <v>0</v>
      </c>
      <c r="AY128" s="257">
        <f t="shared" si="138"/>
        <v>0</v>
      </c>
      <c r="AZ128" s="446">
        <f t="shared" si="139"/>
        <v>366</v>
      </c>
      <c r="BA128" s="446">
        <f t="shared" si="140"/>
        <v>17.860800000000001</v>
      </c>
      <c r="BB128" s="446">
        <f t="shared" si="141"/>
        <v>0.31476585600000001</v>
      </c>
      <c r="BC128" s="446">
        <f t="shared" si="142"/>
        <v>384</v>
      </c>
      <c r="BD128" s="258">
        <f t="shared" si="143"/>
        <v>0</v>
      </c>
      <c r="BE128" s="258">
        <f t="shared" si="144"/>
        <v>0</v>
      </c>
      <c r="BF128" s="391">
        <f t="shared" si="145"/>
        <v>114146738</v>
      </c>
      <c r="BG128" s="391">
        <f t="shared" si="146"/>
        <v>119760512</v>
      </c>
    </row>
    <row r="129" spans="1:59" ht="15.75">
      <c r="A129" s="333">
        <v>10</v>
      </c>
      <c r="B129" s="333" t="str">
        <f t="shared" si="98"/>
        <v>CEREAL EMPACADO_10</v>
      </c>
      <c r="C129" s="333" t="str">
        <f t="shared" si="99"/>
        <v>26_10</v>
      </c>
      <c r="D129" s="333" t="s">
        <v>1607</v>
      </c>
      <c r="E129" s="256">
        <v>26</v>
      </c>
      <c r="F129" s="322" t="s">
        <v>69</v>
      </c>
      <c r="G129" s="256" t="s">
        <v>9</v>
      </c>
      <c r="H129" s="425">
        <f t="shared" si="100"/>
        <v>6</v>
      </c>
      <c r="I129" s="425">
        <f t="array" ref="I129">MAX((IF(MNU_CODIGO_ALIMENTO_ENTREGA=CONCATENATE($E129,"_","P_"),MNU_GRAMAJE_REQUERIDO_TIPOA,"")))</f>
        <v>30</v>
      </c>
      <c r="J129" s="257">
        <f t="shared" si="101"/>
        <v>6208</v>
      </c>
      <c r="K129" s="257">
        <f t="shared" si="102"/>
        <v>37248</v>
      </c>
      <c r="L129" s="446">
        <f t="shared" si="103"/>
        <v>163</v>
      </c>
      <c r="M129" s="446">
        <f t="shared" si="104"/>
        <v>7.9543999999999997</v>
      </c>
      <c r="N129" s="446">
        <f t="shared" si="105"/>
        <v>0.14018260800000001</v>
      </c>
      <c r="O129" s="446">
        <f t="shared" si="106"/>
        <v>171</v>
      </c>
      <c r="P129" s="258">
        <f t="shared" si="107"/>
        <v>6071424</v>
      </c>
      <c r="Q129" s="258">
        <f t="shared" si="108"/>
        <v>6369408</v>
      </c>
      <c r="R129" s="426">
        <f t="shared" si="109"/>
        <v>6</v>
      </c>
      <c r="S129" s="426">
        <f t="array" ref="S129">MAX((IF(MNU_CODIGO_ALIMENTO_ENTREGA=CONCATENATE($E129,"_","P_"),MNU_GRAMAJE_REQUERIDO_TIPOB,"")))</f>
        <v>30</v>
      </c>
      <c r="T129" s="259">
        <f t="shared" si="110"/>
        <v>8157</v>
      </c>
      <c r="U129" s="259">
        <f t="shared" si="111"/>
        <v>48942</v>
      </c>
      <c r="V129" s="446">
        <f t="shared" si="112"/>
        <v>163</v>
      </c>
      <c r="W129" s="446">
        <f t="shared" si="113"/>
        <v>7.9543999999999997</v>
      </c>
      <c r="X129" s="446">
        <f t="shared" si="114"/>
        <v>0.14018260800000001</v>
      </c>
      <c r="Y129" s="446">
        <f t="shared" si="115"/>
        <v>171</v>
      </c>
      <c r="Z129" s="260">
        <f t="shared" si="116"/>
        <v>7977546</v>
      </c>
      <c r="AA129" s="260">
        <f t="shared" si="117"/>
        <v>8369082</v>
      </c>
      <c r="AB129" s="425">
        <f t="shared" si="118"/>
        <v>6</v>
      </c>
      <c r="AC129" s="425">
        <f t="array" ref="AC129">MAX((IF(MNU_CODIGO_ALIMENTO_ENTREGA=CONCATENATE($E129,"_","P_"),MNU_GRAMAJE_REQUERIDO_TIPOC,"")))</f>
        <v>30</v>
      </c>
      <c r="AD129" s="257">
        <f t="shared" si="119"/>
        <v>8769</v>
      </c>
      <c r="AE129" s="257">
        <f t="shared" si="120"/>
        <v>52614</v>
      </c>
      <c r="AF129" s="446">
        <f t="shared" si="121"/>
        <v>163</v>
      </c>
      <c r="AG129" s="446">
        <f t="shared" si="122"/>
        <v>7.9543999999999997</v>
      </c>
      <c r="AH129" s="446">
        <f t="shared" si="123"/>
        <v>0.14018260800000001</v>
      </c>
      <c r="AI129" s="446">
        <f t="shared" si="124"/>
        <v>171</v>
      </c>
      <c r="AJ129" s="258">
        <f t="shared" si="125"/>
        <v>8576082</v>
      </c>
      <c r="AK129" s="258">
        <f t="shared" si="126"/>
        <v>8996994</v>
      </c>
      <c r="AL129" s="426">
        <f t="shared" si="127"/>
        <v>6</v>
      </c>
      <c r="AM129" s="426">
        <f t="array" ref="AM129">MAX((IF(MNU_CODIGO_ALIMENTO_ENTREGA=CONCATENATE($E129,"_","P_"),MNU_GRAMAJE_REQUERIDO_TIPOM,"")))</f>
        <v>30</v>
      </c>
      <c r="AN129" s="259">
        <f t="shared" si="128"/>
        <v>0</v>
      </c>
      <c r="AO129" s="259">
        <f t="shared" si="129"/>
        <v>0</v>
      </c>
      <c r="AP129" s="446">
        <f t="shared" si="130"/>
        <v>163</v>
      </c>
      <c r="AQ129" s="446">
        <f t="shared" si="131"/>
        <v>7.9543999999999997</v>
      </c>
      <c r="AR129" s="446">
        <f t="shared" si="132"/>
        <v>0.14018260800000001</v>
      </c>
      <c r="AS129" s="446">
        <f t="shared" si="133"/>
        <v>171</v>
      </c>
      <c r="AT129" s="260">
        <f t="shared" si="134"/>
        <v>0</v>
      </c>
      <c r="AU129" s="260">
        <f t="shared" si="135"/>
        <v>0</v>
      </c>
      <c r="AV129" s="425">
        <f t="shared" si="136"/>
        <v>6</v>
      </c>
      <c r="AW129" s="425">
        <f t="array" ref="AW129">MAX((IF(MNU_CODIGO_ALIMENTO_ENTREGA=CONCATENATE($E129,"_","P_"),MNU_GRAMAJE_REQUERIDO_TIPOH,"")))</f>
        <v>30</v>
      </c>
      <c r="AX129" s="257">
        <f t="shared" si="137"/>
        <v>0</v>
      </c>
      <c r="AY129" s="257">
        <f t="shared" si="138"/>
        <v>0</v>
      </c>
      <c r="AZ129" s="446">
        <f t="shared" si="139"/>
        <v>163</v>
      </c>
      <c r="BA129" s="446">
        <f t="shared" si="140"/>
        <v>7.9543999999999997</v>
      </c>
      <c r="BB129" s="446">
        <f t="shared" si="141"/>
        <v>0.14018260800000001</v>
      </c>
      <c r="BC129" s="446">
        <f t="shared" si="142"/>
        <v>171</v>
      </c>
      <c r="BD129" s="258">
        <f t="shared" si="143"/>
        <v>0</v>
      </c>
      <c r="BE129" s="258">
        <f t="shared" si="144"/>
        <v>0</v>
      </c>
      <c r="BF129" s="391">
        <f t="shared" si="145"/>
        <v>22625052</v>
      </c>
      <c r="BG129" s="391">
        <f t="shared" si="146"/>
        <v>23735484</v>
      </c>
    </row>
    <row r="130" spans="1:59" ht="27">
      <c r="A130" s="333">
        <v>10</v>
      </c>
      <c r="B130" s="333" t="str">
        <f t="shared" si="98"/>
        <v>CEREAL EMPACADO_10</v>
      </c>
      <c r="C130" s="333" t="str">
        <f t="shared" si="99"/>
        <v>28_10</v>
      </c>
      <c r="D130" s="333" t="s">
        <v>1607</v>
      </c>
      <c r="E130" s="256">
        <v>28</v>
      </c>
      <c r="F130" s="322" t="s">
        <v>67</v>
      </c>
      <c r="G130" s="256" t="s">
        <v>9</v>
      </c>
      <c r="H130" s="425">
        <f t="shared" si="100"/>
        <v>6</v>
      </c>
      <c r="I130" s="425">
        <f t="array" ref="I130">MAX((IF(MNU_CODIGO_ALIMENTO_ENTREGA=CONCATENATE($E130,"_","P_"),MNU_GRAMAJE_REQUERIDO_TIPOA,"")))</f>
        <v>30</v>
      </c>
      <c r="J130" s="257">
        <f t="shared" si="101"/>
        <v>6208</v>
      </c>
      <c r="K130" s="257">
        <f t="shared" si="102"/>
        <v>37248</v>
      </c>
      <c r="L130" s="446">
        <f t="shared" si="103"/>
        <v>215</v>
      </c>
      <c r="M130" s="446">
        <f t="shared" si="104"/>
        <v>10.492000000000001</v>
      </c>
      <c r="N130" s="446">
        <f t="shared" si="105"/>
        <v>0.18490343999999997</v>
      </c>
      <c r="O130" s="446">
        <f t="shared" si="106"/>
        <v>226</v>
      </c>
      <c r="P130" s="258">
        <f t="shared" si="107"/>
        <v>8008320</v>
      </c>
      <c r="Q130" s="258">
        <f t="shared" si="108"/>
        <v>8418048</v>
      </c>
      <c r="R130" s="426">
        <f t="shared" si="109"/>
        <v>6</v>
      </c>
      <c r="S130" s="426">
        <f t="array" ref="S130">MAX((IF(MNU_CODIGO_ALIMENTO_ENTREGA=CONCATENATE($E130,"_","P_"),MNU_GRAMAJE_REQUERIDO_TIPOB,"")))</f>
        <v>40</v>
      </c>
      <c r="T130" s="259">
        <f t="shared" si="110"/>
        <v>8157</v>
      </c>
      <c r="U130" s="259">
        <f t="shared" si="111"/>
        <v>48942</v>
      </c>
      <c r="V130" s="446">
        <f t="shared" si="112"/>
        <v>287</v>
      </c>
      <c r="W130" s="446">
        <f t="shared" si="113"/>
        <v>14.005600000000001</v>
      </c>
      <c r="X130" s="446">
        <f t="shared" si="114"/>
        <v>0.24682459200000004</v>
      </c>
      <c r="Y130" s="446">
        <f t="shared" si="115"/>
        <v>301</v>
      </c>
      <c r="Z130" s="260">
        <f t="shared" si="116"/>
        <v>14046354</v>
      </c>
      <c r="AA130" s="260">
        <f t="shared" si="117"/>
        <v>14731542</v>
      </c>
      <c r="AB130" s="425">
        <f t="shared" si="118"/>
        <v>6</v>
      </c>
      <c r="AC130" s="425">
        <f t="array" ref="AC130">MAX((IF(MNU_CODIGO_ALIMENTO_ENTREGA=CONCATENATE($E130,"_","P_"),MNU_GRAMAJE_REQUERIDO_TIPOC,"")))</f>
        <v>60</v>
      </c>
      <c r="AD130" s="257">
        <f t="shared" si="119"/>
        <v>8769</v>
      </c>
      <c r="AE130" s="257">
        <f t="shared" si="120"/>
        <v>52614</v>
      </c>
      <c r="AF130" s="446">
        <f t="shared" si="121"/>
        <v>430</v>
      </c>
      <c r="AG130" s="446">
        <f t="shared" si="122"/>
        <v>20.984000000000002</v>
      </c>
      <c r="AH130" s="446">
        <f t="shared" si="123"/>
        <v>0.36980687999999995</v>
      </c>
      <c r="AI130" s="446">
        <f t="shared" si="124"/>
        <v>451</v>
      </c>
      <c r="AJ130" s="258">
        <f t="shared" si="125"/>
        <v>22624020</v>
      </c>
      <c r="AK130" s="258">
        <f t="shared" si="126"/>
        <v>23728914</v>
      </c>
      <c r="AL130" s="426">
        <f t="shared" si="127"/>
        <v>6</v>
      </c>
      <c r="AM130" s="426">
        <f t="array" ref="AM130">MAX((IF(MNU_CODIGO_ALIMENTO_ENTREGA=CONCATENATE($E130,"_","P_"),MNU_GRAMAJE_REQUERIDO_TIPOM,"")))</f>
        <v>40</v>
      </c>
      <c r="AN130" s="259">
        <f t="shared" si="128"/>
        <v>0</v>
      </c>
      <c r="AO130" s="259">
        <f t="shared" si="129"/>
        <v>0</v>
      </c>
      <c r="AP130" s="446">
        <f t="shared" si="130"/>
        <v>287</v>
      </c>
      <c r="AQ130" s="446">
        <f t="shared" si="131"/>
        <v>14.005600000000001</v>
      </c>
      <c r="AR130" s="446">
        <f t="shared" si="132"/>
        <v>0.24682459200000004</v>
      </c>
      <c r="AS130" s="446">
        <f t="shared" si="133"/>
        <v>301</v>
      </c>
      <c r="AT130" s="260">
        <f t="shared" si="134"/>
        <v>0</v>
      </c>
      <c r="AU130" s="260">
        <f t="shared" si="135"/>
        <v>0</v>
      </c>
      <c r="AV130" s="425">
        <f t="shared" si="136"/>
        <v>6</v>
      </c>
      <c r="AW130" s="425">
        <f t="array" ref="AW130">MAX((IF(MNU_CODIGO_ALIMENTO_ENTREGA=CONCATENATE($E130,"_","P_"),MNU_GRAMAJE_REQUERIDO_TIPOH,"")))</f>
        <v>60</v>
      </c>
      <c r="AX130" s="257">
        <f t="shared" si="137"/>
        <v>0</v>
      </c>
      <c r="AY130" s="257">
        <f t="shared" si="138"/>
        <v>0</v>
      </c>
      <c r="AZ130" s="446">
        <f t="shared" si="139"/>
        <v>430</v>
      </c>
      <c r="BA130" s="446">
        <f t="shared" si="140"/>
        <v>20.984000000000002</v>
      </c>
      <c r="BB130" s="446">
        <f t="shared" si="141"/>
        <v>0.36980687999999995</v>
      </c>
      <c r="BC130" s="446">
        <f t="shared" si="142"/>
        <v>451</v>
      </c>
      <c r="BD130" s="258">
        <f t="shared" si="143"/>
        <v>0</v>
      </c>
      <c r="BE130" s="258">
        <f t="shared" si="144"/>
        <v>0</v>
      </c>
      <c r="BF130" s="391">
        <f t="shared" si="145"/>
        <v>44678694</v>
      </c>
      <c r="BG130" s="391">
        <f t="shared" si="146"/>
        <v>46878504</v>
      </c>
    </row>
    <row r="131" spans="1:59" ht="15.75">
      <c r="A131" s="333">
        <v>10</v>
      </c>
      <c r="B131" s="333" t="str">
        <f t="shared" si="98"/>
        <v>CEREAL EMPACADO_10</v>
      </c>
      <c r="C131" s="333" t="str">
        <f t="shared" si="99"/>
        <v>30_10</v>
      </c>
      <c r="D131" s="333" t="s">
        <v>1607</v>
      </c>
      <c r="E131" s="256">
        <v>30</v>
      </c>
      <c r="F131" s="322" t="s">
        <v>63</v>
      </c>
      <c r="G131" s="256" t="s">
        <v>9</v>
      </c>
      <c r="H131" s="425">
        <f t="shared" si="100"/>
        <v>16</v>
      </c>
      <c r="I131" s="425">
        <f t="array" ref="I131">MAX((IF(MNU_CODIGO_ALIMENTO_ENTREGA=CONCATENATE($E131,"_","P_"),MNU_GRAMAJE_REQUERIDO_TIPOA,"")))</f>
        <v>30</v>
      </c>
      <c r="J131" s="257">
        <f t="shared" si="101"/>
        <v>6208</v>
      </c>
      <c r="K131" s="257">
        <f t="shared" si="102"/>
        <v>99328</v>
      </c>
      <c r="L131" s="446">
        <f t="shared" si="103"/>
        <v>316</v>
      </c>
      <c r="M131" s="446">
        <f t="shared" si="104"/>
        <v>15.4208</v>
      </c>
      <c r="N131" s="446">
        <f t="shared" si="105"/>
        <v>0.271765056</v>
      </c>
      <c r="O131" s="446">
        <f t="shared" si="106"/>
        <v>332</v>
      </c>
      <c r="P131" s="258">
        <f t="shared" si="107"/>
        <v>31387648</v>
      </c>
      <c r="Q131" s="258">
        <f t="shared" si="108"/>
        <v>32976896</v>
      </c>
      <c r="R131" s="426">
        <f t="shared" si="109"/>
        <v>16</v>
      </c>
      <c r="S131" s="426">
        <f t="array" ref="S131">MAX((IF(MNU_CODIGO_ALIMENTO_ENTREGA=CONCATENATE($E131,"_","P_"),MNU_GRAMAJE_REQUERIDO_TIPOB,"")))</f>
        <v>30</v>
      </c>
      <c r="T131" s="259">
        <f t="shared" si="110"/>
        <v>8157</v>
      </c>
      <c r="U131" s="259">
        <f t="shared" si="111"/>
        <v>130512</v>
      </c>
      <c r="V131" s="446">
        <f t="shared" si="112"/>
        <v>316</v>
      </c>
      <c r="W131" s="446">
        <f t="shared" si="113"/>
        <v>15.4208</v>
      </c>
      <c r="X131" s="446">
        <f t="shared" si="114"/>
        <v>0.271765056</v>
      </c>
      <c r="Y131" s="446">
        <f t="shared" si="115"/>
        <v>332</v>
      </c>
      <c r="Z131" s="260">
        <f t="shared" si="116"/>
        <v>41241792</v>
      </c>
      <c r="AA131" s="260">
        <f t="shared" si="117"/>
        <v>43329984</v>
      </c>
      <c r="AB131" s="425">
        <f t="shared" si="118"/>
        <v>16</v>
      </c>
      <c r="AC131" s="425">
        <f t="array" ref="AC131">MAX((IF(MNU_CODIGO_ALIMENTO_ENTREGA=CONCATENATE($E131,"_","P_"),MNU_GRAMAJE_REQUERIDO_TIPOC,"")))</f>
        <v>30</v>
      </c>
      <c r="AD131" s="257">
        <f t="shared" si="119"/>
        <v>8769</v>
      </c>
      <c r="AE131" s="257">
        <f t="shared" si="120"/>
        <v>140304</v>
      </c>
      <c r="AF131" s="446">
        <f t="shared" si="121"/>
        <v>316</v>
      </c>
      <c r="AG131" s="446">
        <f t="shared" si="122"/>
        <v>15.4208</v>
      </c>
      <c r="AH131" s="446">
        <f t="shared" si="123"/>
        <v>0.271765056</v>
      </c>
      <c r="AI131" s="446">
        <f t="shared" si="124"/>
        <v>332</v>
      </c>
      <c r="AJ131" s="258">
        <f t="shared" si="125"/>
        <v>44336064</v>
      </c>
      <c r="AK131" s="258">
        <f t="shared" si="126"/>
        <v>46580928</v>
      </c>
      <c r="AL131" s="426">
        <f t="shared" si="127"/>
        <v>16</v>
      </c>
      <c r="AM131" s="426">
        <f t="array" ref="AM131">MAX((IF(MNU_CODIGO_ALIMENTO_ENTREGA=CONCATENATE($E131,"_","P_"),MNU_GRAMAJE_REQUERIDO_TIPOM,"")))</f>
        <v>30</v>
      </c>
      <c r="AN131" s="259">
        <f t="shared" si="128"/>
        <v>0</v>
      </c>
      <c r="AO131" s="259">
        <f t="shared" si="129"/>
        <v>0</v>
      </c>
      <c r="AP131" s="446">
        <f t="shared" si="130"/>
        <v>316</v>
      </c>
      <c r="AQ131" s="446">
        <f t="shared" si="131"/>
        <v>15.4208</v>
      </c>
      <c r="AR131" s="446">
        <f t="shared" si="132"/>
        <v>0.271765056</v>
      </c>
      <c r="AS131" s="446">
        <f t="shared" si="133"/>
        <v>332</v>
      </c>
      <c r="AT131" s="260">
        <f t="shared" si="134"/>
        <v>0</v>
      </c>
      <c r="AU131" s="260">
        <f t="shared" si="135"/>
        <v>0</v>
      </c>
      <c r="AV131" s="425">
        <f t="shared" si="136"/>
        <v>16</v>
      </c>
      <c r="AW131" s="425">
        <f t="array" ref="AW131">MAX((IF(MNU_CODIGO_ALIMENTO_ENTREGA=CONCATENATE($E131,"_","P_"),MNU_GRAMAJE_REQUERIDO_TIPOH,"")))</f>
        <v>30</v>
      </c>
      <c r="AX131" s="257">
        <f t="shared" si="137"/>
        <v>0</v>
      </c>
      <c r="AY131" s="257">
        <f t="shared" si="138"/>
        <v>0</v>
      </c>
      <c r="AZ131" s="446">
        <f t="shared" si="139"/>
        <v>316</v>
      </c>
      <c r="BA131" s="446">
        <f t="shared" si="140"/>
        <v>15.4208</v>
      </c>
      <c r="BB131" s="446">
        <f t="shared" si="141"/>
        <v>0.271765056</v>
      </c>
      <c r="BC131" s="446">
        <f t="shared" si="142"/>
        <v>332</v>
      </c>
      <c r="BD131" s="258">
        <f t="shared" si="143"/>
        <v>0</v>
      </c>
      <c r="BE131" s="258">
        <f t="shared" si="144"/>
        <v>0</v>
      </c>
      <c r="BF131" s="391">
        <f t="shared" si="145"/>
        <v>116965504</v>
      </c>
      <c r="BG131" s="391">
        <f t="shared" si="146"/>
        <v>122887808</v>
      </c>
    </row>
    <row r="132" spans="1:59" ht="15.75">
      <c r="A132" s="333">
        <v>10</v>
      </c>
      <c r="B132" s="333" t="str">
        <f t="shared" si="98"/>
        <v>CEREAL EMPACADO_10</v>
      </c>
      <c r="C132" s="333" t="str">
        <f t="shared" si="99"/>
        <v>45_10</v>
      </c>
      <c r="D132" s="333" t="s">
        <v>1607</v>
      </c>
      <c r="E132" s="256">
        <v>45</v>
      </c>
      <c r="F132" s="322" t="s">
        <v>10</v>
      </c>
      <c r="G132" s="256" t="s">
        <v>9</v>
      </c>
      <c r="H132" s="425">
        <f t="shared" si="100"/>
        <v>16</v>
      </c>
      <c r="I132" s="425">
        <f t="array" ref="I132">MAX((IF(MNU_CODIGO_ALIMENTO_ENTREGA=CONCATENATE($E132,"_","P_"),MNU_GRAMAJE_REQUERIDO_TIPOA,"")))</f>
        <v>20</v>
      </c>
      <c r="J132" s="257">
        <f t="shared" si="101"/>
        <v>6208</v>
      </c>
      <c r="K132" s="257">
        <f t="shared" si="102"/>
        <v>99328</v>
      </c>
      <c r="L132" s="446">
        <f t="shared" si="103"/>
        <v>190</v>
      </c>
      <c r="M132" s="446">
        <f t="shared" si="104"/>
        <v>9.2720000000000002</v>
      </c>
      <c r="N132" s="446">
        <f t="shared" si="105"/>
        <v>0.16340304</v>
      </c>
      <c r="O132" s="446">
        <f t="shared" si="106"/>
        <v>199</v>
      </c>
      <c r="P132" s="258">
        <f t="shared" si="107"/>
        <v>18872320</v>
      </c>
      <c r="Q132" s="258">
        <f t="shared" si="108"/>
        <v>19766272</v>
      </c>
      <c r="R132" s="426">
        <f t="shared" si="109"/>
        <v>16</v>
      </c>
      <c r="S132" s="426">
        <f t="array" ref="S132">MAX((IF(MNU_CODIGO_ALIMENTO_ENTREGA=CONCATENATE($E132,"_","P_"),MNU_GRAMAJE_REQUERIDO_TIPOB,"")))</f>
        <v>30</v>
      </c>
      <c r="T132" s="259">
        <f t="shared" si="110"/>
        <v>8157</v>
      </c>
      <c r="U132" s="259">
        <f t="shared" si="111"/>
        <v>130512</v>
      </c>
      <c r="V132" s="446">
        <f t="shared" si="112"/>
        <v>284</v>
      </c>
      <c r="W132" s="446">
        <f t="shared" si="113"/>
        <v>13.8592</v>
      </c>
      <c r="X132" s="446">
        <f t="shared" si="114"/>
        <v>0.24424454399999998</v>
      </c>
      <c r="Y132" s="446">
        <f t="shared" si="115"/>
        <v>298</v>
      </c>
      <c r="Z132" s="260">
        <f t="shared" si="116"/>
        <v>37065408</v>
      </c>
      <c r="AA132" s="260">
        <f t="shared" si="117"/>
        <v>38892576</v>
      </c>
      <c r="AB132" s="425">
        <f t="shared" si="118"/>
        <v>16</v>
      </c>
      <c r="AC132" s="425">
        <f t="array" ref="AC132">MAX((IF(MNU_CODIGO_ALIMENTO_ENTREGA=CONCATENATE($E132,"_","P_"),MNU_GRAMAJE_REQUERIDO_TIPOC,"")))</f>
        <v>60</v>
      </c>
      <c r="AD132" s="257">
        <f t="shared" si="119"/>
        <v>8769</v>
      </c>
      <c r="AE132" s="257">
        <f t="shared" si="120"/>
        <v>140304</v>
      </c>
      <c r="AF132" s="446">
        <f t="shared" si="121"/>
        <v>569</v>
      </c>
      <c r="AG132" s="446">
        <f t="shared" si="122"/>
        <v>27.767199999999999</v>
      </c>
      <c r="AH132" s="446">
        <f t="shared" si="123"/>
        <v>0.48934910400000003</v>
      </c>
      <c r="AI132" s="446">
        <f t="shared" si="124"/>
        <v>597</v>
      </c>
      <c r="AJ132" s="258">
        <f t="shared" si="125"/>
        <v>79832976</v>
      </c>
      <c r="AK132" s="258">
        <f t="shared" si="126"/>
        <v>83761488</v>
      </c>
      <c r="AL132" s="426">
        <f t="shared" si="127"/>
        <v>16</v>
      </c>
      <c r="AM132" s="426">
        <f t="array" ref="AM132">MAX((IF(MNU_CODIGO_ALIMENTO_ENTREGA=CONCATENATE($E132,"_","P_"),MNU_GRAMAJE_REQUERIDO_TIPOM,"")))</f>
        <v>30</v>
      </c>
      <c r="AN132" s="259">
        <f t="shared" si="128"/>
        <v>0</v>
      </c>
      <c r="AO132" s="259">
        <f t="shared" si="129"/>
        <v>0</v>
      </c>
      <c r="AP132" s="446">
        <f t="shared" si="130"/>
        <v>284</v>
      </c>
      <c r="AQ132" s="446">
        <f t="shared" si="131"/>
        <v>13.8592</v>
      </c>
      <c r="AR132" s="446">
        <f t="shared" si="132"/>
        <v>0.24424454399999998</v>
      </c>
      <c r="AS132" s="446">
        <f t="shared" si="133"/>
        <v>298</v>
      </c>
      <c r="AT132" s="260">
        <f t="shared" si="134"/>
        <v>0</v>
      </c>
      <c r="AU132" s="260">
        <f t="shared" si="135"/>
        <v>0</v>
      </c>
      <c r="AV132" s="425">
        <f t="shared" si="136"/>
        <v>16</v>
      </c>
      <c r="AW132" s="425">
        <f t="array" ref="AW132">MAX((IF(MNU_CODIGO_ALIMENTO_ENTREGA=CONCATENATE($E132,"_","P_"),MNU_GRAMAJE_REQUERIDO_TIPOH,"")))</f>
        <v>60</v>
      </c>
      <c r="AX132" s="257">
        <f t="shared" si="137"/>
        <v>0</v>
      </c>
      <c r="AY132" s="257">
        <f t="shared" si="138"/>
        <v>0</v>
      </c>
      <c r="AZ132" s="446">
        <f t="shared" si="139"/>
        <v>569</v>
      </c>
      <c r="BA132" s="446">
        <f t="shared" si="140"/>
        <v>27.767199999999999</v>
      </c>
      <c r="BB132" s="446">
        <f t="shared" si="141"/>
        <v>0.48934910400000003</v>
      </c>
      <c r="BC132" s="446">
        <f t="shared" si="142"/>
        <v>597</v>
      </c>
      <c r="BD132" s="258">
        <f t="shared" si="143"/>
        <v>0</v>
      </c>
      <c r="BE132" s="258">
        <f t="shared" si="144"/>
        <v>0</v>
      </c>
      <c r="BF132" s="391">
        <f t="shared" si="145"/>
        <v>135770704</v>
      </c>
      <c r="BG132" s="391">
        <f t="shared" si="146"/>
        <v>142420336</v>
      </c>
    </row>
    <row r="133" spans="1:59" ht="15.75">
      <c r="A133" s="333">
        <v>10</v>
      </c>
      <c r="B133" s="333" t="str">
        <f t="shared" si="98"/>
        <v>CEREAL EMPACADO_10</v>
      </c>
      <c r="C133" s="333" t="str">
        <f t="shared" si="99"/>
        <v>50_10</v>
      </c>
      <c r="D133" s="333" t="s">
        <v>1607</v>
      </c>
      <c r="E133" s="256">
        <v>50</v>
      </c>
      <c r="F133" s="322" t="s">
        <v>65</v>
      </c>
      <c r="G133" s="256" t="s">
        <v>9</v>
      </c>
      <c r="H133" s="425">
        <f t="shared" si="100"/>
        <v>17</v>
      </c>
      <c r="I133" s="425">
        <f t="array" ref="I133">MAX((IF(MNU_CODIGO_ALIMENTO_ENTREGA=CONCATENATE($E133,"_","P_"),MNU_GRAMAJE_REQUERIDO_TIPOA,"")))</f>
        <v>30</v>
      </c>
      <c r="J133" s="257">
        <f t="shared" si="101"/>
        <v>6208</v>
      </c>
      <c r="K133" s="257">
        <f t="shared" si="102"/>
        <v>105536</v>
      </c>
      <c r="L133" s="446">
        <f t="shared" si="103"/>
        <v>306</v>
      </c>
      <c r="M133" s="446">
        <f t="shared" si="104"/>
        <v>14.9328</v>
      </c>
      <c r="N133" s="446">
        <f t="shared" si="105"/>
        <v>0.26316489599999998</v>
      </c>
      <c r="O133" s="446">
        <f t="shared" si="106"/>
        <v>321</v>
      </c>
      <c r="P133" s="258">
        <f t="shared" si="107"/>
        <v>32294016</v>
      </c>
      <c r="Q133" s="258">
        <f t="shared" si="108"/>
        <v>33877056</v>
      </c>
      <c r="R133" s="426">
        <f t="shared" si="109"/>
        <v>17</v>
      </c>
      <c r="S133" s="426">
        <f t="array" ref="S133">MAX((IF(MNU_CODIGO_ALIMENTO_ENTREGA=CONCATENATE($E133,"_","P_"),MNU_GRAMAJE_REQUERIDO_TIPOB,"")))</f>
        <v>40</v>
      </c>
      <c r="T133" s="259">
        <f t="shared" si="110"/>
        <v>8157</v>
      </c>
      <c r="U133" s="259">
        <f t="shared" si="111"/>
        <v>138669</v>
      </c>
      <c r="V133" s="446">
        <f t="shared" si="112"/>
        <v>408</v>
      </c>
      <c r="W133" s="446">
        <f t="shared" si="113"/>
        <v>19.910400000000003</v>
      </c>
      <c r="X133" s="446">
        <f t="shared" si="114"/>
        <v>0.35088652799999998</v>
      </c>
      <c r="Y133" s="446">
        <f t="shared" si="115"/>
        <v>428</v>
      </c>
      <c r="Z133" s="260">
        <f t="shared" si="116"/>
        <v>56576952</v>
      </c>
      <c r="AA133" s="260">
        <f t="shared" si="117"/>
        <v>59350332</v>
      </c>
      <c r="AB133" s="425">
        <f t="shared" si="118"/>
        <v>17</v>
      </c>
      <c r="AC133" s="425">
        <f t="array" ref="AC133">MAX((IF(MNU_CODIGO_ALIMENTO_ENTREGA=CONCATENATE($E133,"_","P_"),MNU_GRAMAJE_REQUERIDO_TIPOC,"")))</f>
        <v>80</v>
      </c>
      <c r="AD133" s="257">
        <f t="shared" si="119"/>
        <v>8769</v>
      </c>
      <c r="AE133" s="257">
        <f t="shared" si="120"/>
        <v>149073</v>
      </c>
      <c r="AF133" s="446">
        <f t="shared" si="121"/>
        <v>815</v>
      </c>
      <c r="AG133" s="446">
        <f t="shared" si="122"/>
        <v>39.772000000000006</v>
      </c>
      <c r="AH133" s="446">
        <f t="shared" si="123"/>
        <v>0.7009130400000001</v>
      </c>
      <c r="AI133" s="446">
        <f t="shared" si="124"/>
        <v>855</v>
      </c>
      <c r="AJ133" s="258">
        <f t="shared" si="125"/>
        <v>121494495</v>
      </c>
      <c r="AK133" s="258">
        <f t="shared" si="126"/>
        <v>127457415</v>
      </c>
      <c r="AL133" s="426">
        <f t="shared" si="127"/>
        <v>17</v>
      </c>
      <c r="AM133" s="426">
        <f t="array" ref="AM133">MAX((IF(MNU_CODIGO_ALIMENTO_ENTREGA=CONCATENATE($E133,"_","P_"),MNU_GRAMAJE_REQUERIDO_TIPOM,"")))</f>
        <v>40</v>
      </c>
      <c r="AN133" s="259">
        <f t="shared" si="128"/>
        <v>0</v>
      </c>
      <c r="AO133" s="259">
        <f t="shared" si="129"/>
        <v>0</v>
      </c>
      <c r="AP133" s="446">
        <f t="shared" si="130"/>
        <v>408</v>
      </c>
      <c r="AQ133" s="446">
        <f t="shared" si="131"/>
        <v>19.910400000000003</v>
      </c>
      <c r="AR133" s="446">
        <f t="shared" si="132"/>
        <v>0.35088652799999998</v>
      </c>
      <c r="AS133" s="446">
        <f t="shared" si="133"/>
        <v>428</v>
      </c>
      <c r="AT133" s="260">
        <f t="shared" si="134"/>
        <v>0</v>
      </c>
      <c r="AU133" s="260">
        <f t="shared" si="135"/>
        <v>0</v>
      </c>
      <c r="AV133" s="425">
        <f t="shared" si="136"/>
        <v>17</v>
      </c>
      <c r="AW133" s="425">
        <f t="array" ref="AW133">MAX((IF(MNU_CODIGO_ALIMENTO_ENTREGA=CONCATENATE($E133,"_","P_"),MNU_GRAMAJE_REQUERIDO_TIPOH,"")))</f>
        <v>80</v>
      </c>
      <c r="AX133" s="257">
        <f t="shared" si="137"/>
        <v>0</v>
      </c>
      <c r="AY133" s="257">
        <f t="shared" si="138"/>
        <v>0</v>
      </c>
      <c r="AZ133" s="446">
        <f t="shared" si="139"/>
        <v>815</v>
      </c>
      <c r="BA133" s="446">
        <f t="shared" si="140"/>
        <v>39.772000000000006</v>
      </c>
      <c r="BB133" s="446">
        <f t="shared" si="141"/>
        <v>0.7009130400000001</v>
      </c>
      <c r="BC133" s="446">
        <f t="shared" si="142"/>
        <v>855</v>
      </c>
      <c r="BD133" s="258">
        <f t="shared" si="143"/>
        <v>0</v>
      </c>
      <c r="BE133" s="258">
        <f t="shared" si="144"/>
        <v>0</v>
      </c>
      <c r="BF133" s="391">
        <f t="shared" si="145"/>
        <v>210365463</v>
      </c>
      <c r="BG133" s="391">
        <f t="shared" si="146"/>
        <v>220684803</v>
      </c>
    </row>
    <row r="134" spans="1:59" ht="15.75">
      <c r="A134" s="333">
        <v>10</v>
      </c>
      <c r="B134" s="333" t="str">
        <f t="shared" si="98"/>
        <v>CEREAL EMPACADO_10</v>
      </c>
      <c r="C134" s="333" t="str">
        <f t="shared" si="99"/>
        <v>61_10</v>
      </c>
      <c r="D134" s="333" t="s">
        <v>1607</v>
      </c>
      <c r="E134" s="256">
        <v>61</v>
      </c>
      <c r="F134" s="322" t="s">
        <v>13</v>
      </c>
      <c r="G134" s="256" t="s">
        <v>9</v>
      </c>
      <c r="H134" s="425">
        <f t="shared" si="100"/>
        <v>16</v>
      </c>
      <c r="I134" s="425">
        <f t="array" ref="I134">MAX((IF(MNU_CODIGO_ALIMENTO_ENTREGA=CONCATENATE($E134,"_","P_"),MNU_GRAMAJE_REQUERIDO_TIPOA,"")))</f>
        <v>20</v>
      </c>
      <c r="J134" s="257">
        <f t="shared" si="101"/>
        <v>6208</v>
      </c>
      <c r="K134" s="257">
        <f t="shared" si="102"/>
        <v>99328</v>
      </c>
      <c r="L134" s="446">
        <f t="shared" si="103"/>
        <v>222</v>
      </c>
      <c r="M134" s="446">
        <f t="shared" si="104"/>
        <v>10.833600000000001</v>
      </c>
      <c r="N134" s="446">
        <f t="shared" si="105"/>
        <v>0.190923552</v>
      </c>
      <c r="O134" s="446">
        <f t="shared" si="106"/>
        <v>233</v>
      </c>
      <c r="P134" s="258">
        <f t="shared" si="107"/>
        <v>22050816</v>
      </c>
      <c r="Q134" s="258">
        <f t="shared" si="108"/>
        <v>23143424</v>
      </c>
      <c r="R134" s="426">
        <f t="shared" si="109"/>
        <v>16</v>
      </c>
      <c r="S134" s="426">
        <f t="array" ref="S134">MAX((IF(MNU_CODIGO_ALIMENTO_ENTREGA=CONCATENATE($E134,"_","P_"),MNU_GRAMAJE_REQUERIDO_TIPOB,"")))</f>
        <v>30</v>
      </c>
      <c r="T134" s="259">
        <f t="shared" si="110"/>
        <v>8157</v>
      </c>
      <c r="U134" s="259">
        <f t="shared" si="111"/>
        <v>130512</v>
      </c>
      <c r="V134" s="446">
        <f t="shared" si="112"/>
        <v>334</v>
      </c>
      <c r="W134" s="446">
        <f t="shared" si="113"/>
        <v>16.299199999999999</v>
      </c>
      <c r="X134" s="446">
        <f t="shared" si="114"/>
        <v>0.28724534400000001</v>
      </c>
      <c r="Y134" s="446">
        <f t="shared" si="115"/>
        <v>351</v>
      </c>
      <c r="Z134" s="260">
        <f t="shared" si="116"/>
        <v>43591008</v>
      </c>
      <c r="AA134" s="260">
        <f t="shared" si="117"/>
        <v>45809712</v>
      </c>
      <c r="AB134" s="425">
        <f t="shared" si="118"/>
        <v>16</v>
      </c>
      <c r="AC134" s="425">
        <f t="array" ref="AC134">MAX((IF(MNU_CODIGO_ALIMENTO_ENTREGA=CONCATENATE($E134,"_","P_"),MNU_GRAMAJE_REQUERIDO_TIPOC,"")))</f>
        <v>70</v>
      </c>
      <c r="AD134" s="257">
        <f t="shared" si="119"/>
        <v>8769</v>
      </c>
      <c r="AE134" s="257">
        <f t="shared" si="120"/>
        <v>140304</v>
      </c>
      <c r="AF134" s="446">
        <f t="shared" si="121"/>
        <v>779</v>
      </c>
      <c r="AG134" s="446">
        <f t="shared" si="122"/>
        <v>38.0152</v>
      </c>
      <c r="AH134" s="446">
        <f t="shared" si="123"/>
        <v>0.66995246400000008</v>
      </c>
      <c r="AI134" s="446">
        <f t="shared" si="124"/>
        <v>818</v>
      </c>
      <c r="AJ134" s="258">
        <f t="shared" si="125"/>
        <v>109296816</v>
      </c>
      <c r="AK134" s="258">
        <f t="shared" si="126"/>
        <v>114768672</v>
      </c>
      <c r="AL134" s="426">
        <f t="shared" si="127"/>
        <v>16</v>
      </c>
      <c r="AM134" s="426">
        <f t="array" ref="AM134">MAX((IF(MNU_CODIGO_ALIMENTO_ENTREGA=CONCATENATE($E134,"_","P_"),MNU_GRAMAJE_REQUERIDO_TIPOM,"")))</f>
        <v>30</v>
      </c>
      <c r="AN134" s="259">
        <f t="shared" si="128"/>
        <v>0</v>
      </c>
      <c r="AO134" s="259">
        <f t="shared" si="129"/>
        <v>0</v>
      </c>
      <c r="AP134" s="446">
        <f t="shared" si="130"/>
        <v>334</v>
      </c>
      <c r="AQ134" s="446">
        <f t="shared" si="131"/>
        <v>16.299199999999999</v>
      </c>
      <c r="AR134" s="446">
        <f t="shared" si="132"/>
        <v>0.28724534400000001</v>
      </c>
      <c r="AS134" s="446">
        <f t="shared" si="133"/>
        <v>351</v>
      </c>
      <c r="AT134" s="260">
        <f t="shared" si="134"/>
        <v>0</v>
      </c>
      <c r="AU134" s="260">
        <f t="shared" si="135"/>
        <v>0</v>
      </c>
      <c r="AV134" s="425">
        <f t="shared" si="136"/>
        <v>16</v>
      </c>
      <c r="AW134" s="425">
        <f t="array" ref="AW134">MAX((IF(MNU_CODIGO_ALIMENTO_ENTREGA=CONCATENATE($E134,"_","P_"),MNU_GRAMAJE_REQUERIDO_TIPOH,"")))</f>
        <v>70</v>
      </c>
      <c r="AX134" s="257">
        <f t="shared" si="137"/>
        <v>0</v>
      </c>
      <c r="AY134" s="257">
        <f t="shared" si="138"/>
        <v>0</v>
      </c>
      <c r="AZ134" s="446">
        <f t="shared" si="139"/>
        <v>779</v>
      </c>
      <c r="BA134" s="446">
        <f t="shared" si="140"/>
        <v>38.0152</v>
      </c>
      <c r="BB134" s="446">
        <f t="shared" si="141"/>
        <v>0.66995246400000008</v>
      </c>
      <c r="BC134" s="446">
        <f t="shared" si="142"/>
        <v>818</v>
      </c>
      <c r="BD134" s="258">
        <f t="shared" si="143"/>
        <v>0</v>
      </c>
      <c r="BE134" s="258">
        <f t="shared" si="144"/>
        <v>0</v>
      </c>
      <c r="BF134" s="391">
        <f t="shared" si="145"/>
        <v>174938640</v>
      </c>
      <c r="BG134" s="391">
        <f t="shared" si="146"/>
        <v>183721808</v>
      </c>
    </row>
    <row r="135" spans="1:59" ht="15.75">
      <c r="A135" s="333">
        <v>10</v>
      </c>
      <c r="B135" s="333" t="str">
        <f t="shared" si="98"/>
        <v>CEREAL EMPACADO_10</v>
      </c>
      <c r="C135" s="333" t="str">
        <f t="shared" si="99"/>
        <v>62_10</v>
      </c>
      <c r="D135" s="333" t="s">
        <v>1607</v>
      </c>
      <c r="E135" s="256">
        <v>62</v>
      </c>
      <c r="F135" s="322" t="s">
        <v>68</v>
      </c>
      <c r="G135" s="256" t="s">
        <v>9</v>
      </c>
      <c r="H135" s="425">
        <f t="shared" si="100"/>
        <v>5</v>
      </c>
      <c r="I135" s="425">
        <f t="array" ref="I135">MAX((IF(MNU_CODIGO_ALIMENTO_ENTREGA=CONCATENATE($E135,"_","P_"),MNU_GRAMAJE_REQUERIDO_TIPOA,"")))</f>
        <v>50</v>
      </c>
      <c r="J135" s="257">
        <f t="shared" si="101"/>
        <v>6208</v>
      </c>
      <c r="K135" s="257">
        <f t="shared" si="102"/>
        <v>31040</v>
      </c>
      <c r="L135" s="446">
        <f t="shared" si="103"/>
        <v>595</v>
      </c>
      <c r="M135" s="446">
        <f t="shared" si="104"/>
        <v>29.036000000000001</v>
      </c>
      <c r="N135" s="446">
        <f t="shared" si="105"/>
        <v>0.51170952000000014</v>
      </c>
      <c r="O135" s="446">
        <f t="shared" si="106"/>
        <v>625</v>
      </c>
      <c r="P135" s="258">
        <f t="shared" si="107"/>
        <v>18468800</v>
      </c>
      <c r="Q135" s="258">
        <f t="shared" si="108"/>
        <v>19400000</v>
      </c>
      <c r="R135" s="426">
        <f t="shared" si="109"/>
        <v>5</v>
      </c>
      <c r="S135" s="426">
        <f t="array" ref="S135">MAX((IF(MNU_CODIGO_ALIMENTO_ENTREGA=CONCATENATE($E135,"_","P_"),MNU_GRAMAJE_REQUERIDO_TIPOB,"")))</f>
        <v>50</v>
      </c>
      <c r="T135" s="259">
        <f t="shared" si="110"/>
        <v>8157</v>
      </c>
      <c r="U135" s="259">
        <f t="shared" si="111"/>
        <v>40785</v>
      </c>
      <c r="V135" s="446">
        <f t="shared" si="112"/>
        <v>595</v>
      </c>
      <c r="W135" s="446">
        <f t="shared" si="113"/>
        <v>29.036000000000001</v>
      </c>
      <c r="X135" s="446">
        <f t="shared" si="114"/>
        <v>0.51170952000000014</v>
      </c>
      <c r="Y135" s="446">
        <f t="shared" si="115"/>
        <v>625</v>
      </c>
      <c r="Z135" s="260">
        <f t="shared" si="116"/>
        <v>24267075</v>
      </c>
      <c r="AA135" s="260">
        <f t="shared" si="117"/>
        <v>25490625</v>
      </c>
      <c r="AB135" s="425">
        <f t="shared" si="118"/>
        <v>5</v>
      </c>
      <c r="AC135" s="425">
        <f t="array" ref="AC135">MAX((IF(MNU_CODIGO_ALIMENTO_ENTREGA=CONCATENATE($E135,"_","P_"),MNU_GRAMAJE_REQUERIDO_TIPOC,"")))</f>
        <v>50</v>
      </c>
      <c r="AD135" s="257">
        <f t="shared" si="119"/>
        <v>8769</v>
      </c>
      <c r="AE135" s="257">
        <f t="shared" si="120"/>
        <v>43845</v>
      </c>
      <c r="AF135" s="446">
        <f t="shared" si="121"/>
        <v>595</v>
      </c>
      <c r="AG135" s="446">
        <f t="shared" si="122"/>
        <v>29.036000000000001</v>
      </c>
      <c r="AH135" s="446">
        <f t="shared" si="123"/>
        <v>0.51170952000000014</v>
      </c>
      <c r="AI135" s="446">
        <f t="shared" si="124"/>
        <v>625</v>
      </c>
      <c r="AJ135" s="258">
        <f t="shared" si="125"/>
        <v>26087775</v>
      </c>
      <c r="AK135" s="258">
        <f t="shared" si="126"/>
        <v>27403125</v>
      </c>
      <c r="AL135" s="426">
        <f t="shared" si="127"/>
        <v>5</v>
      </c>
      <c r="AM135" s="426">
        <f t="array" ref="AM135">MAX((IF(MNU_CODIGO_ALIMENTO_ENTREGA=CONCATENATE($E135,"_","P_"),MNU_GRAMAJE_REQUERIDO_TIPOM,"")))</f>
        <v>50</v>
      </c>
      <c r="AN135" s="259">
        <f t="shared" si="128"/>
        <v>0</v>
      </c>
      <c r="AO135" s="259">
        <f t="shared" si="129"/>
        <v>0</v>
      </c>
      <c r="AP135" s="446">
        <f t="shared" si="130"/>
        <v>595</v>
      </c>
      <c r="AQ135" s="446">
        <f t="shared" si="131"/>
        <v>29.036000000000001</v>
      </c>
      <c r="AR135" s="446">
        <f t="shared" si="132"/>
        <v>0.51170952000000014</v>
      </c>
      <c r="AS135" s="446">
        <f t="shared" si="133"/>
        <v>625</v>
      </c>
      <c r="AT135" s="260">
        <f t="shared" si="134"/>
        <v>0</v>
      </c>
      <c r="AU135" s="260">
        <f t="shared" si="135"/>
        <v>0</v>
      </c>
      <c r="AV135" s="425">
        <f t="shared" si="136"/>
        <v>5</v>
      </c>
      <c r="AW135" s="425">
        <f t="array" ref="AW135">MAX((IF(MNU_CODIGO_ALIMENTO_ENTREGA=CONCATENATE($E135,"_","P_"),MNU_GRAMAJE_REQUERIDO_TIPOH,"")))</f>
        <v>50</v>
      </c>
      <c r="AX135" s="257">
        <f t="shared" si="137"/>
        <v>0</v>
      </c>
      <c r="AY135" s="257">
        <f t="shared" si="138"/>
        <v>0</v>
      </c>
      <c r="AZ135" s="446">
        <f t="shared" si="139"/>
        <v>595</v>
      </c>
      <c r="BA135" s="446">
        <f t="shared" si="140"/>
        <v>29.036000000000001</v>
      </c>
      <c r="BB135" s="446">
        <f t="shared" si="141"/>
        <v>0.51170952000000014</v>
      </c>
      <c r="BC135" s="446">
        <f t="shared" si="142"/>
        <v>625</v>
      </c>
      <c r="BD135" s="258">
        <f t="shared" si="143"/>
        <v>0</v>
      </c>
      <c r="BE135" s="258">
        <f t="shared" si="144"/>
        <v>0</v>
      </c>
      <c r="BF135" s="391">
        <f t="shared" si="145"/>
        <v>68823650</v>
      </c>
      <c r="BG135" s="391">
        <f t="shared" si="146"/>
        <v>72293750</v>
      </c>
    </row>
    <row r="136" spans="1:59" ht="15.75">
      <c r="A136" s="333">
        <v>11</v>
      </c>
      <c r="B136" s="333" t="str">
        <f t="shared" si="98"/>
        <v>CEREAL EMPACADO_11</v>
      </c>
      <c r="C136" s="333" t="str">
        <f t="shared" si="99"/>
        <v>1_11</v>
      </c>
      <c r="D136" s="333" t="s">
        <v>1607</v>
      </c>
      <c r="E136" s="256">
        <v>1</v>
      </c>
      <c r="F136" s="322" t="s">
        <v>16</v>
      </c>
      <c r="G136" s="256" t="s">
        <v>9</v>
      </c>
      <c r="H136" s="425">
        <f t="shared" si="100"/>
        <v>15</v>
      </c>
      <c r="I136" s="425">
        <f t="array" ref="I136">MAX((IF(MNU_CODIGO_ALIMENTO_ENTREGA=CONCATENATE($E136,"_","P_"),MNU_GRAMAJE_REQUERIDO_TIPOA,"")))</f>
        <v>30</v>
      </c>
      <c r="J136" s="257">
        <f t="shared" si="101"/>
        <v>6321</v>
      </c>
      <c r="K136" s="257">
        <f t="shared" si="102"/>
        <v>94815</v>
      </c>
      <c r="L136" s="446">
        <f t="shared" si="103"/>
        <v>770</v>
      </c>
      <c r="M136" s="446">
        <f t="shared" si="104"/>
        <v>37.576000000000008</v>
      </c>
      <c r="N136" s="446">
        <f t="shared" si="105"/>
        <v>0.66221231999999997</v>
      </c>
      <c r="O136" s="446">
        <f t="shared" si="106"/>
        <v>808</v>
      </c>
      <c r="P136" s="258">
        <f t="shared" si="107"/>
        <v>73007550</v>
      </c>
      <c r="Q136" s="258">
        <f t="shared" si="108"/>
        <v>76610520</v>
      </c>
      <c r="R136" s="426">
        <f t="shared" si="109"/>
        <v>15</v>
      </c>
      <c r="S136" s="426">
        <f t="array" ref="S136">MAX((IF(MNU_CODIGO_ALIMENTO_ENTREGA=CONCATENATE($E136,"_","P_"),MNU_GRAMAJE_REQUERIDO_TIPOB,"")))</f>
        <v>40</v>
      </c>
      <c r="T136" s="259">
        <f t="shared" si="110"/>
        <v>8861</v>
      </c>
      <c r="U136" s="259">
        <f t="shared" si="111"/>
        <v>132915</v>
      </c>
      <c r="V136" s="446">
        <f t="shared" si="112"/>
        <v>1027</v>
      </c>
      <c r="W136" s="446">
        <f t="shared" si="113"/>
        <v>50.117600000000003</v>
      </c>
      <c r="X136" s="446">
        <f t="shared" si="114"/>
        <v>0.88323643200000013</v>
      </c>
      <c r="Y136" s="446">
        <f t="shared" si="115"/>
        <v>1078</v>
      </c>
      <c r="Z136" s="260">
        <f t="shared" si="116"/>
        <v>136503705</v>
      </c>
      <c r="AA136" s="260">
        <f t="shared" si="117"/>
        <v>143282370</v>
      </c>
      <c r="AB136" s="425">
        <f t="shared" si="118"/>
        <v>15</v>
      </c>
      <c r="AC136" s="425">
        <f t="array" ref="AC136">MAX((IF(MNU_CODIGO_ALIMENTO_ENTREGA=CONCATENATE($E136,"_","P_"),MNU_GRAMAJE_REQUERIDO_TIPOC,"")))</f>
        <v>60</v>
      </c>
      <c r="AD136" s="257">
        <f t="shared" si="119"/>
        <v>9307</v>
      </c>
      <c r="AE136" s="257">
        <f t="shared" si="120"/>
        <v>139605</v>
      </c>
      <c r="AF136" s="446">
        <f t="shared" si="121"/>
        <v>1540</v>
      </c>
      <c r="AG136" s="446">
        <f t="shared" si="122"/>
        <v>75.152000000000015</v>
      </c>
      <c r="AH136" s="446">
        <f t="shared" si="123"/>
        <v>1.3244246399999999</v>
      </c>
      <c r="AI136" s="446">
        <f t="shared" si="124"/>
        <v>1616</v>
      </c>
      <c r="AJ136" s="258">
        <f t="shared" si="125"/>
        <v>214991700</v>
      </c>
      <c r="AK136" s="258">
        <f t="shared" si="126"/>
        <v>225601680</v>
      </c>
      <c r="AL136" s="426">
        <f t="shared" si="127"/>
        <v>15</v>
      </c>
      <c r="AM136" s="426">
        <f t="array" ref="AM136">MAX((IF(MNU_CODIGO_ALIMENTO_ENTREGA=CONCATENATE($E136,"_","P_"),MNU_GRAMAJE_REQUERIDO_TIPOM,"")))</f>
        <v>40</v>
      </c>
      <c r="AN136" s="259">
        <f t="shared" si="128"/>
        <v>526</v>
      </c>
      <c r="AO136" s="259">
        <f t="shared" si="129"/>
        <v>7890</v>
      </c>
      <c r="AP136" s="446">
        <f t="shared" si="130"/>
        <v>1027</v>
      </c>
      <c r="AQ136" s="446">
        <f t="shared" si="131"/>
        <v>50.117600000000003</v>
      </c>
      <c r="AR136" s="446">
        <f t="shared" si="132"/>
        <v>0.88323643200000013</v>
      </c>
      <c r="AS136" s="446">
        <f t="shared" si="133"/>
        <v>1078</v>
      </c>
      <c r="AT136" s="260">
        <f t="shared" si="134"/>
        <v>8103030</v>
      </c>
      <c r="AU136" s="260">
        <f t="shared" si="135"/>
        <v>8505420</v>
      </c>
      <c r="AV136" s="425">
        <f t="shared" si="136"/>
        <v>15</v>
      </c>
      <c r="AW136" s="425">
        <f t="array" ref="AW136">MAX((IF(MNU_CODIGO_ALIMENTO_ENTREGA=CONCATENATE($E136,"_","P_"),MNU_GRAMAJE_REQUERIDO_TIPOH,"")))</f>
        <v>60</v>
      </c>
      <c r="AX136" s="257">
        <f t="shared" si="137"/>
        <v>566</v>
      </c>
      <c r="AY136" s="257">
        <f t="shared" si="138"/>
        <v>8490</v>
      </c>
      <c r="AZ136" s="446">
        <f t="shared" si="139"/>
        <v>1540</v>
      </c>
      <c r="BA136" s="446">
        <f t="shared" si="140"/>
        <v>75.152000000000015</v>
      </c>
      <c r="BB136" s="446">
        <f t="shared" si="141"/>
        <v>1.3244246399999999</v>
      </c>
      <c r="BC136" s="446">
        <f t="shared" si="142"/>
        <v>1616</v>
      </c>
      <c r="BD136" s="258">
        <f t="shared" si="143"/>
        <v>13074600</v>
      </c>
      <c r="BE136" s="258">
        <f t="shared" si="144"/>
        <v>13719840</v>
      </c>
      <c r="BF136" s="391">
        <f t="shared" si="145"/>
        <v>445680585</v>
      </c>
      <c r="BG136" s="391">
        <f t="shared" si="146"/>
        <v>467719830</v>
      </c>
    </row>
    <row r="137" spans="1:59" ht="15.75">
      <c r="A137" s="333">
        <v>11</v>
      </c>
      <c r="B137" s="333" t="str">
        <f t="shared" si="98"/>
        <v>CEREAL EMPACADO_11</v>
      </c>
      <c r="C137" s="333" t="str">
        <f t="shared" si="99"/>
        <v>3_11</v>
      </c>
      <c r="D137" s="333" t="s">
        <v>1607</v>
      </c>
      <c r="E137" s="256">
        <v>3</v>
      </c>
      <c r="F137" s="322" t="s">
        <v>12</v>
      </c>
      <c r="G137" s="256" t="s">
        <v>9</v>
      </c>
      <c r="H137" s="425">
        <f t="shared" si="100"/>
        <v>17</v>
      </c>
      <c r="I137" s="425">
        <f t="array" ref="I137">MAX((IF(MNU_CODIGO_ALIMENTO_ENTREGA=CONCATENATE($E137,"_","P_"),MNU_GRAMAJE_REQUERIDO_TIPOA,"")))</f>
        <v>50</v>
      </c>
      <c r="J137" s="257">
        <f t="shared" si="101"/>
        <v>6321</v>
      </c>
      <c r="K137" s="257">
        <f t="shared" si="102"/>
        <v>107457</v>
      </c>
      <c r="L137" s="446">
        <f t="shared" si="103"/>
        <v>481</v>
      </c>
      <c r="M137" s="446">
        <f t="shared" si="104"/>
        <v>23.472799999999999</v>
      </c>
      <c r="N137" s="446">
        <f t="shared" si="105"/>
        <v>0.41366769599999997</v>
      </c>
      <c r="O137" s="446">
        <f t="shared" si="106"/>
        <v>505</v>
      </c>
      <c r="P137" s="258">
        <f t="shared" si="107"/>
        <v>51686817</v>
      </c>
      <c r="Q137" s="258">
        <f t="shared" si="108"/>
        <v>54265785</v>
      </c>
      <c r="R137" s="426">
        <f t="shared" si="109"/>
        <v>17</v>
      </c>
      <c r="S137" s="426">
        <f t="array" ref="S137">MAX((IF(MNU_CODIGO_ALIMENTO_ENTREGA=CONCATENATE($E137,"_","P_"),MNU_GRAMAJE_REQUERIDO_TIPOB,"")))</f>
        <v>50</v>
      </c>
      <c r="T137" s="259">
        <f t="shared" si="110"/>
        <v>8861</v>
      </c>
      <c r="U137" s="259">
        <f t="shared" si="111"/>
        <v>150637</v>
      </c>
      <c r="V137" s="446">
        <f t="shared" si="112"/>
        <v>481</v>
      </c>
      <c r="W137" s="446">
        <f t="shared" si="113"/>
        <v>23.472799999999999</v>
      </c>
      <c r="X137" s="446">
        <f t="shared" si="114"/>
        <v>0.41366769599999997</v>
      </c>
      <c r="Y137" s="446">
        <f t="shared" si="115"/>
        <v>505</v>
      </c>
      <c r="Z137" s="260">
        <f t="shared" si="116"/>
        <v>72456397</v>
      </c>
      <c r="AA137" s="260">
        <f t="shared" si="117"/>
        <v>76071685</v>
      </c>
      <c r="AB137" s="425">
        <f t="shared" si="118"/>
        <v>17</v>
      </c>
      <c r="AC137" s="425">
        <f t="array" ref="AC137">MAX((IF(MNU_CODIGO_ALIMENTO_ENTREGA=CONCATENATE($E137,"_","P_"),MNU_GRAMAJE_REQUERIDO_TIPOC,"")))</f>
        <v>80</v>
      </c>
      <c r="AD137" s="257">
        <f t="shared" si="119"/>
        <v>9307</v>
      </c>
      <c r="AE137" s="257">
        <f t="shared" si="120"/>
        <v>158219</v>
      </c>
      <c r="AF137" s="446">
        <f t="shared" si="121"/>
        <v>727</v>
      </c>
      <c r="AG137" s="446">
        <f t="shared" si="122"/>
        <v>35.477600000000002</v>
      </c>
      <c r="AH137" s="446">
        <f t="shared" si="123"/>
        <v>0.62523163200000009</v>
      </c>
      <c r="AI137" s="446">
        <f t="shared" si="124"/>
        <v>763</v>
      </c>
      <c r="AJ137" s="258">
        <f t="shared" si="125"/>
        <v>115025213</v>
      </c>
      <c r="AK137" s="258">
        <f t="shared" si="126"/>
        <v>120721097</v>
      </c>
      <c r="AL137" s="426">
        <f t="shared" si="127"/>
        <v>17</v>
      </c>
      <c r="AM137" s="426">
        <f t="array" ref="AM137">MAX((IF(MNU_CODIGO_ALIMENTO_ENTREGA=CONCATENATE($E137,"_","P_"),MNU_GRAMAJE_REQUERIDO_TIPOM,"")))</f>
        <v>50</v>
      </c>
      <c r="AN137" s="259">
        <f t="shared" si="128"/>
        <v>526</v>
      </c>
      <c r="AO137" s="259">
        <f t="shared" si="129"/>
        <v>8942</v>
      </c>
      <c r="AP137" s="446">
        <f t="shared" si="130"/>
        <v>481</v>
      </c>
      <c r="AQ137" s="446">
        <f t="shared" si="131"/>
        <v>23.472799999999999</v>
      </c>
      <c r="AR137" s="446">
        <f t="shared" si="132"/>
        <v>0.41366769599999997</v>
      </c>
      <c r="AS137" s="446">
        <f t="shared" si="133"/>
        <v>505</v>
      </c>
      <c r="AT137" s="260">
        <f t="shared" si="134"/>
        <v>4301102</v>
      </c>
      <c r="AU137" s="260">
        <f t="shared" si="135"/>
        <v>4515710</v>
      </c>
      <c r="AV137" s="425">
        <f t="shared" si="136"/>
        <v>17</v>
      </c>
      <c r="AW137" s="425">
        <f t="array" ref="AW137">MAX((IF(MNU_CODIGO_ALIMENTO_ENTREGA=CONCATENATE($E137,"_","P_"),MNU_GRAMAJE_REQUERIDO_TIPOH,"")))</f>
        <v>80</v>
      </c>
      <c r="AX137" s="257">
        <f t="shared" si="137"/>
        <v>566</v>
      </c>
      <c r="AY137" s="257">
        <f t="shared" si="138"/>
        <v>9622</v>
      </c>
      <c r="AZ137" s="446">
        <f t="shared" si="139"/>
        <v>727</v>
      </c>
      <c r="BA137" s="446">
        <f t="shared" si="140"/>
        <v>35.477600000000002</v>
      </c>
      <c r="BB137" s="446">
        <f t="shared" si="141"/>
        <v>0.62523163200000009</v>
      </c>
      <c r="BC137" s="446">
        <f t="shared" si="142"/>
        <v>763</v>
      </c>
      <c r="BD137" s="258">
        <f t="shared" si="143"/>
        <v>6995194</v>
      </c>
      <c r="BE137" s="258">
        <f t="shared" si="144"/>
        <v>7341586</v>
      </c>
      <c r="BF137" s="391">
        <f t="shared" si="145"/>
        <v>250464723</v>
      </c>
      <c r="BG137" s="391">
        <f t="shared" si="146"/>
        <v>262915863</v>
      </c>
    </row>
    <row r="138" spans="1:59" ht="15.75">
      <c r="A138" s="333">
        <v>11</v>
      </c>
      <c r="B138" s="333" t="str">
        <f t="shared" si="98"/>
        <v>CEREAL EMPACADO_11</v>
      </c>
      <c r="C138" s="333" t="str">
        <f t="shared" si="99"/>
        <v>15_11</v>
      </c>
      <c r="D138" s="333" t="s">
        <v>1607</v>
      </c>
      <c r="E138" s="256">
        <v>15</v>
      </c>
      <c r="F138" s="322" t="s">
        <v>66</v>
      </c>
      <c r="G138" s="256" t="s">
        <v>9</v>
      </c>
      <c r="H138" s="425">
        <f t="shared" si="100"/>
        <v>17</v>
      </c>
      <c r="I138" s="425">
        <f t="array" ref="I138">MAX((IF(MNU_CODIGO_ALIMENTO_ENTREGA=CONCATENATE($E138,"_","P_"),MNU_GRAMAJE_REQUERIDO_TIPOA,"")))</f>
        <v>50</v>
      </c>
      <c r="J138" s="257">
        <f t="shared" si="101"/>
        <v>6321</v>
      </c>
      <c r="K138" s="257">
        <f t="shared" si="102"/>
        <v>107457</v>
      </c>
      <c r="L138" s="446">
        <f t="shared" si="103"/>
        <v>641</v>
      </c>
      <c r="M138" s="446">
        <f t="shared" si="104"/>
        <v>31.280800000000003</v>
      </c>
      <c r="N138" s="446">
        <f t="shared" si="105"/>
        <v>0.55127025600000001</v>
      </c>
      <c r="O138" s="446">
        <f t="shared" si="106"/>
        <v>673</v>
      </c>
      <c r="P138" s="258">
        <f t="shared" si="107"/>
        <v>68879937</v>
      </c>
      <c r="Q138" s="258">
        <f t="shared" si="108"/>
        <v>72318561</v>
      </c>
      <c r="R138" s="426">
        <f t="shared" si="109"/>
        <v>17</v>
      </c>
      <c r="S138" s="426">
        <f t="array" ref="S138">MAX((IF(MNU_CODIGO_ALIMENTO_ENTREGA=CONCATENATE($E138,"_","P_"),MNU_GRAMAJE_REQUERIDO_TIPOB,"")))</f>
        <v>50</v>
      </c>
      <c r="T138" s="259">
        <f t="shared" si="110"/>
        <v>8861</v>
      </c>
      <c r="U138" s="259">
        <f t="shared" si="111"/>
        <v>150637</v>
      </c>
      <c r="V138" s="446">
        <f t="shared" si="112"/>
        <v>641</v>
      </c>
      <c r="W138" s="446">
        <f t="shared" si="113"/>
        <v>31.280800000000003</v>
      </c>
      <c r="X138" s="446">
        <f t="shared" si="114"/>
        <v>0.55127025600000001</v>
      </c>
      <c r="Y138" s="446">
        <f t="shared" si="115"/>
        <v>673</v>
      </c>
      <c r="Z138" s="260">
        <f t="shared" si="116"/>
        <v>96558317</v>
      </c>
      <c r="AA138" s="260">
        <f t="shared" si="117"/>
        <v>101378701</v>
      </c>
      <c r="AB138" s="425">
        <f t="shared" si="118"/>
        <v>17</v>
      </c>
      <c r="AC138" s="425">
        <f t="array" ref="AC138">MAX((IF(MNU_CODIGO_ALIMENTO_ENTREGA=CONCATENATE($E138,"_","P_"),MNU_GRAMAJE_REQUERIDO_TIPOC,"")))</f>
        <v>80</v>
      </c>
      <c r="AD138" s="257">
        <f t="shared" si="119"/>
        <v>9307</v>
      </c>
      <c r="AE138" s="257">
        <f t="shared" si="120"/>
        <v>158219</v>
      </c>
      <c r="AF138" s="446">
        <f t="shared" si="121"/>
        <v>1025</v>
      </c>
      <c r="AG138" s="446">
        <f t="shared" si="122"/>
        <v>50.02</v>
      </c>
      <c r="AH138" s="446">
        <f t="shared" si="123"/>
        <v>0.88151640000000009</v>
      </c>
      <c r="AI138" s="446">
        <f t="shared" si="124"/>
        <v>1076</v>
      </c>
      <c r="AJ138" s="258">
        <f t="shared" si="125"/>
        <v>162174475</v>
      </c>
      <c r="AK138" s="258">
        <f t="shared" si="126"/>
        <v>170243644</v>
      </c>
      <c r="AL138" s="426">
        <f t="shared" si="127"/>
        <v>17</v>
      </c>
      <c r="AM138" s="426">
        <f t="array" ref="AM138">MAX((IF(MNU_CODIGO_ALIMENTO_ENTREGA=CONCATENATE($E138,"_","P_"),MNU_GRAMAJE_REQUERIDO_TIPOM,"")))</f>
        <v>50</v>
      </c>
      <c r="AN138" s="259">
        <f t="shared" si="128"/>
        <v>526</v>
      </c>
      <c r="AO138" s="259">
        <f t="shared" si="129"/>
        <v>8942</v>
      </c>
      <c r="AP138" s="446">
        <f t="shared" si="130"/>
        <v>641</v>
      </c>
      <c r="AQ138" s="446">
        <f t="shared" si="131"/>
        <v>31.280800000000003</v>
      </c>
      <c r="AR138" s="446">
        <f t="shared" si="132"/>
        <v>0.55127025600000001</v>
      </c>
      <c r="AS138" s="446">
        <f t="shared" si="133"/>
        <v>673</v>
      </c>
      <c r="AT138" s="260">
        <f t="shared" si="134"/>
        <v>5731822</v>
      </c>
      <c r="AU138" s="260">
        <f t="shared" si="135"/>
        <v>6017966</v>
      </c>
      <c r="AV138" s="425">
        <f t="shared" si="136"/>
        <v>17</v>
      </c>
      <c r="AW138" s="425">
        <f t="array" ref="AW138">MAX((IF(MNU_CODIGO_ALIMENTO_ENTREGA=CONCATENATE($E138,"_","P_"),MNU_GRAMAJE_REQUERIDO_TIPOH,"")))</f>
        <v>80</v>
      </c>
      <c r="AX138" s="257">
        <f t="shared" si="137"/>
        <v>566</v>
      </c>
      <c r="AY138" s="257">
        <f t="shared" si="138"/>
        <v>9622</v>
      </c>
      <c r="AZ138" s="446">
        <f t="shared" si="139"/>
        <v>1025</v>
      </c>
      <c r="BA138" s="446">
        <f t="shared" si="140"/>
        <v>50.02</v>
      </c>
      <c r="BB138" s="446">
        <f t="shared" si="141"/>
        <v>0.88151640000000009</v>
      </c>
      <c r="BC138" s="446">
        <f t="shared" si="142"/>
        <v>1076</v>
      </c>
      <c r="BD138" s="258">
        <f t="shared" si="143"/>
        <v>9862550</v>
      </c>
      <c r="BE138" s="258">
        <f t="shared" si="144"/>
        <v>10353272</v>
      </c>
      <c r="BF138" s="391">
        <f t="shared" si="145"/>
        <v>343207101</v>
      </c>
      <c r="BG138" s="391">
        <f t="shared" si="146"/>
        <v>360312144</v>
      </c>
    </row>
    <row r="139" spans="1:59" ht="15.75">
      <c r="A139" s="333">
        <v>11</v>
      </c>
      <c r="B139" s="333" t="str">
        <f t="shared" si="98"/>
        <v>CEREAL EMPACADO_11</v>
      </c>
      <c r="C139" s="333" t="str">
        <f t="shared" si="99"/>
        <v>24_11</v>
      </c>
      <c r="D139" s="333" t="s">
        <v>1607</v>
      </c>
      <c r="E139" s="256">
        <v>24</v>
      </c>
      <c r="F139" s="322" t="s">
        <v>61</v>
      </c>
      <c r="G139" s="256" t="s">
        <v>9</v>
      </c>
      <c r="H139" s="425">
        <f t="shared" si="100"/>
        <v>17</v>
      </c>
      <c r="I139" s="425">
        <f t="array" ref="I139">MAX((IF(MNU_CODIGO_ALIMENTO_ENTREGA=CONCATENATE($E139,"_","P_"),MNU_GRAMAJE_REQUERIDO_TIPOA,"")))</f>
        <v>20</v>
      </c>
      <c r="J139" s="257">
        <f t="shared" si="101"/>
        <v>6321</v>
      </c>
      <c r="K139" s="257">
        <f t="shared" si="102"/>
        <v>107457</v>
      </c>
      <c r="L139" s="446">
        <f t="shared" si="103"/>
        <v>122</v>
      </c>
      <c r="M139" s="446">
        <f t="shared" si="104"/>
        <v>5.9535999999999998</v>
      </c>
      <c r="N139" s="446">
        <f t="shared" si="105"/>
        <v>0.104921952</v>
      </c>
      <c r="O139" s="446">
        <f t="shared" si="106"/>
        <v>128</v>
      </c>
      <c r="P139" s="258">
        <f t="shared" si="107"/>
        <v>13109754</v>
      </c>
      <c r="Q139" s="258">
        <f t="shared" si="108"/>
        <v>13754496</v>
      </c>
      <c r="R139" s="426">
        <f t="shared" si="109"/>
        <v>17</v>
      </c>
      <c r="S139" s="426">
        <f t="array" ref="S139">MAX((IF(MNU_CODIGO_ALIMENTO_ENTREGA=CONCATENATE($E139,"_","P_"),MNU_GRAMAJE_REQUERIDO_TIPOB,"")))</f>
        <v>30</v>
      </c>
      <c r="T139" s="259">
        <f t="shared" si="110"/>
        <v>8861</v>
      </c>
      <c r="U139" s="259">
        <f t="shared" si="111"/>
        <v>150637</v>
      </c>
      <c r="V139" s="446">
        <f t="shared" si="112"/>
        <v>191</v>
      </c>
      <c r="W139" s="446">
        <f t="shared" si="113"/>
        <v>9.3208000000000002</v>
      </c>
      <c r="X139" s="446">
        <f t="shared" si="114"/>
        <v>0.16426305600000002</v>
      </c>
      <c r="Y139" s="446">
        <f t="shared" si="115"/>
        <v>200</v>
      </c>
      <c r="Z139" s="260">
        <f t="shared" si="116"/>
        <v>28771667</v>
      </c>
      <c r="AA139" s="260">
        <f t="shared" si="117"/>
        <v>30127400</v>
      </c>
      <c r="AB139" s="425">
        <f t="shared" si="118"/>
        <v>17</v>
      </c>
      <c r="AC139" s="425">
        <f t="array" ref="AC139">MAX((IF(MNU_CODIGO_ALIMENTO_ENTREGA=CONCATENATE($E139,"_","P_"),MNU_GRAMAJE_REQUERIDO_TIPOC,"")))</f>
        <v>60</v>
      </c>
      <c r="AD139" s="257">
        <f t="shared" si="119"/>
        <v>9307</v>
      </c>
      <c r="AE139" s="257">
        <f t="shared" si="120"/>
        <v>158219</v>
      </c>
      <c r="AF139" s="446">
        <f t="shared" si="121"/>
        <v>367</v>
      </c>
      <c r="AG139" s="446">
        <f t="shared" si="122"/>
        <v>17.909599999999998</v>
      </c>
      <c r="AH139" s="446">
        <f t="shared" si="123"/>
        <v>0.31562587200000003</v>
      </c>
      <c r="AI139" s="446">
        <f t="shared" si="124"/>
        <v>385</v>
      </c>
      <c r="AJ139" s="258">
        <f t="shared" si="125"/>
        <v>58066373</v>
      </c>
      <c r="AK139" s="258">
        <f t="shared" si="126"/>
        <v>60914315</v>
      </c>
      <c r="AL139" s="426">
        <f t="shared" si="127"/>
        <v>17</v>
      </c>
      <c r="AM139" s="426">
        <f t="array" ref="AM139">MAX((IF(MNU_CODIGO_ALIMENTO_ENTREGA=CONCATENATE($E139,"_","P_"),MNU_GRAMAJE_REQUERIDO_TIPOM,"")))</f>
        <v>30</v>
      </c>
      <c r="AN139" s="259">
        <f t="shared" si="128"/>
        <v>526</v>
      </c>
      <c r="AO139" s="259">
        <f t="shared" si="129"/>
        <v>8942</v>
      </c>
      <c r="AP139" s="446">
        <f t="shared" si="130"/>
        <v>191</v>
      </c>
      <c r="AQ139" s="446">
        <f t="shared" si="131"/>
        <v>9.3208000000000002</v>
      </c>
      <c r="AR139" s="446">
        <f t="shared" si="132"/>
        <v>0.16426305600000002</v>
      </c>
      <c r="AS139" s="446">
        <f t="shared" si="133"/>
        <v>200</v>
      </c>
      <c r="AT139" s="260">
        <f t="shared" si="134"/>
        <v>1707922</v>
      </c>
      <c r="AU139" s="260">
        <f t="shared" si="135"/>
        <v>1788400</v>
      </c>
      <c r="AV139" s="425">
        <f t="shared" si="136"/>
        <v>17</v>
      </c>
      <c r="AW139" s="425">
        <f t="array" ref="AW139">MAX((IF(MNU_CODIGO_ALIMENTO_ENTREGA=CONCATENATE($E139,"_","P_"),MNU_GRAMAJE_REQUERIDO_TIPOH,"")))</f>
        <v>60</v>
      </c>
      <c r="AX139" s="257">
        <f t="shared" si="137"/>
        <v>566</v>
      </c>
      <c r="AY139" s="257">
        <f t="shared" si="138"/>
        <v>9622</v>
      </c>
      <c r="AZ139" s="446">
        <f t="shared" si="139"/>
        <v>367</v>
      </c>
      <c r="BA139" s="446">
        <f t="shared" si="140"/>
        <v>17.909599999999998</v>
      </c>
      <c r="BB139" s="446">
        <f t="shared" si="141"/>
        <v>0.31562587200000003</v>
      </c>
      <c r="BC139" s="446">
        <f t="shared" si="142"/>
        <v>385</v>
      </c>
      <c r="BD139" s="258">
        <f t="shared" si="143"/>
        <v>3531274</v>
      </c>
      <c r="BE139" s="258">
        <f t="shared" si="144"/>
        <v>3704470</v>
      </c>
      <c r="BF139" s="391">
        <f t="shared" si="145"/>
        <v>105186990</v>
      </c>
      <c r="BG139" s="391">
        <f t="shared" si="146"/>
        <v>110289081</v>
      </c>
    </row>
    <row r="140" spans="1:59" ht="15.75">
      <c r="A140" s="333">
        <v>11</v>
      </c>
      <c r="B140" s="333" t="str">
        <f t="shared" si="98"/>
        <v>CEREAL EMPACADO_11</v>
      </c>
      <c r="C140" s="333" t="str">
        <f t="shared" si="99"/>
        <v>25_11</v>
      </c>
      <c r="D140" s="333" t="s">
        <v>1607</v>
      </c>
      <c r="E140" s="256">
        <v>25</v>
      </c>
      <c r="F140" s="322" t="s">
        <v>64</v>
      </c>
      <c r="G140" s="256" t="s">
        <v>9</v>
      </c>
      <c r="H140" s="425">
        <f t="shared" si="100"/>
        <v>17</v>
      </c>
      <c r="I140" s="425">
        <f t="array" ref="I140">MAX((IF(MNU_CODIGO_ALIMENTO_ENTREGA=CONCATENATE($E140,"_","P_"),MNU_GRAMAJE_REQUERIDO_TIPOA,"")))</f>
        <v>40</v>
      </c>
      <c r="J140" s="257">
        <f t="shared" si="101"/>
        <v>6321</v>
      </c>
      <c r="K140" s="257">
        <f t="shared" si="102"/>
        <v>107457</v>
      </c>
      <c r="L140" s="446">
        <f t="shared" si="103"/>
        <v>244</v>
      </c>
      <c r="M140" s="446">
        <f t="shared" si="104"/>
        <v>11.9072</v>
      </c>
      <c r="N140" s="446">
        <f t="shared" si="105"/>
        <v>0.209843904</v>
      </c>
      <c r="O140" s="446">
        <f t="shared" si="106"/>
        <v>256</v>
      </c>
      <c r="P140" s="258">
        <f t="shared" si="107"/>
        <v>26219508</v>
      </c>
      <c r="Q140" s="258">
        <f t="shared" si="108"/>
        <v>27508992</v>
      </c>
      <c r="R140" s="426">
        <f t="shared" si="109"/>
        <v>17</v>
      </c>
      <c r="S140" s="426">
        <f t="array" ref="S140">MAX((IF(MNU_CODIGO_ALIMENTO_ENTREGA=CONCATENATE($E140,"_","P_"),MNU_GRAMAJE_REQUERIDO_TIPOB,"")))</f>
        <v>40</v>
      </c>
      <c r="T140" s="259">
        <f t="shared" si="110"/>
        <v>8861</v>
      </c>
      <c r="U140" s="259">
        <f t="shared" si="111"/>
        <v>150637</v>
      </c>
      <c r="V140" s="446">
        <f t="shared" si="112"/>
        <v>244</v>
      </c>
      <c r="W140" s="446">
        <f t="shared" si="113"/>
        <v>11.9072</v>
      </c>
      <c r="X140" s="446">
        <f t="shared" si="114"/>
        <v>0.209843904</v>
      </c>
      <c r="Y140" s="446">
        <f t="shared" si="115"/>
        <v>256</v>
      </c>
      <c r="Z140" s="260">
        <f t="shared" si="116"/>
        <v>36755428</v>
      </c>
      <c r="AA140" s="260">
        <f t="shared" si="117"/>
        <v>38563072</v>
      </c>
      <c r="AB140" s="425">
        <f t="shared" si="118"/>
        <v>17</v>
      </c>
      <c r="AC140" s="425">
        <f t="array" ref="AC140">MAX((IF(MNU_CODIGO_ALIMENTO_ENTREGA=CONCATENATE($E140,"_","P_"),MNU_GRAMAJE_REQUERIDO_TIPOC,"")))</f>
        <v>60</v>
      </c>
      <c r="AD140" s="257">
        <f t="shared" si="119"/>
        <v>9307</v>
      </c>
      <c r="AE140" s="257">
        <f t="shared" si="120"/>
        <v>158219</v>
      </c>
      <c r="AF140" s="446">
        <f t="shared" si="121"/>
        <v>366</v>
      </c>
      <c r="AG140" s="446">
        <f t="shared" si="122"/>
        <v>17.860800000000001</v>
      </c>
      <c r="AH140" s="446">
        <f t="shared" si="123"/>
        <v>0.31476585600000001</v>
      </c>
      <c r="AI140" s="446">
        <f t="shared" si="124"/>
        <v>384</v>
      </c>
      <c r="AJ140" s="258">
        <f t="shared" si="125"/>
        <v>57908154</v>
      </c>
      <c r="AK140" s="258">
        <f t="shared" si="126"/>
        <v>60756096</v>
      </c>
      <c r="AL140" s="426">
        <f t="shared" si="127"/>
        <v>17</v>
      </c>
      <c r="AM140" s="426">
        <f t="array" ref="AM140">MAX((IF(MNU_CODIGO_ALIMENTO_ENTREGA=CONCATENATE($E140,"_","P_"),MNU_GRAMAJE_REQUERIDO_TIPOM,"")))</f>
        <v>40</v>
      </c>
      <c r="AN140" s="259">
        <f t="shared" si="128"/>
        <v>526</v>
      </c>
      <c r="AO140" s="259">
        <f t="shared" si="129"/>
        <v>8942</v>
      </c>
      <c r="AP140" s="446">
        <f t="shared" si="130"/>
        <v>244</v>
      </c>
      <c r="AQ140" s="446">
        <f t="shared" si="131"/>
        <v>11.9072</v>
      </c>
      <c r="AR140" s="446">
        <f t="shared" si="132"/>
        <v>0.209843904</v>
      </c>
      <c r="AS140" s="446">
        <f t="shared" si="133"/>
        <v>256</v>
      </c>
      <c r="AT140" s="260">
        <f t="shared" si="134"/>
        <v>2181848</v>
      </c>
      <c r="AU140" s="260">
        <f t="shared" si="135"/>
        <v>2289152</v>
      </c>
      <c r="AV140" s="425">
        <f t="shared" si="136"/>
        <v>17</v>
      </c>
      <c r="AW140" s="425">
        <f t="array" ref="AW140">MAX((IF(MNU_CODIGO_ALIMENTO_ENTREGA=CONCATENATE($E140,"_","P_"),MNU_GRAMAJE_REQUERIDO_TIPOH,"")))</f>
        <v>60</v>
      </c>
      <c r="AX140" s="257">
        <f t="shared" si="137"/>
        <v>566</v>
      </c>
      <c r="AY140" s="257">
        <f t="shared" si="138"/>
        <v>9622</v>
      </c>
      <c r="AZ140" s="446">
        <f t="shared" si="139"/>
        <v>366</v>
      </c>
      <c r="BA140" s="446">
        <f t="shared" si="140"/>
        <v>17.860800000000001</v>
      </c>
      <c r="BB140" s="446">
        <f t="shared" si="141"/>
        <v>0.31476585600000001</v>
      </c>
      <c r="BC140" s="446">
        <f t="shared" si="142"/>
        <v>384</v>
      </c>
      <c r="BD140" s="258">
        <f t="shared" si="143"/>
        <v>3521652</v>
      </c>
      <c r="BE140" s="258">
        <f t="shared" si="144"/>
        <v>3694848</v>
      </c>
      <c r="BF140" s="391">
        <f t="shared" si="145"/>
        <v>126586590</v>
      </c>
      <c r="BG140" s="391">
        <f t="shared" si="146"/>
        <v>132812160</v>
      </c>
    </row>
    <row r="141" spans="1:59" ht="15.75">
      <c r="A141" s="333">
        <v>11</v>
      </c>
      <c r="B141" s="333" t="str">
        <f t="shared" si="98"/>
        <v>CEREAL EMPACADO_11</v>
      </c>
      <c r="C141" s="333" t="str">
        <f t="shared" si="99"/>
        <v>26_11</v>
      </c>
      <c r="D141" s="333" t="s">
        <v>1607</v>
      </c>
      <c r="E141" s="256">
        <v>26</v>
      </c>
      <c r="F141" s="322" t="s">
        <v>69</v>
      </c>
      <c r="G141" s="256" t="s">
        <v>9</v>
      </c>
      <c r="H141" s="425">
        <f t="shared" si="100"/>
        <v>6</v>
      </c>
      <c r="I141" s="425">
        <f t="array" ref="I141">MAX((IF(MNU_CODIGO_ALIMENTO_ENTREGA=CONCATENATE($E141,"_","P_"),MNU_GRAMAJE_REQUERIDO_TIPOA,"")))</f>
        <v>30</v>
      </c>
      <c r="J141" s="257">
        <f t="shared" si="101"/>
        <v>6321</v>
      </c>
      <c r="K141" s="257">
        <f t="shared" si="102"/>
        <v>37926</v>
      </c>
      <c r="L141" s="446">
        <f t="shared" si="103"/>
        <v>163</v>
      </c>
      <c r="M141" s="446">
        <f t="shared" si="104"/>
        <v>7.9543999999999997</v>
      </c>
      <c r="N141" s="446">
        <f t="shared" si="105"/>
        <v>0.14018260800000001</v>
      </c>
      <c r="O141" s="446">
        <f t="shared" si="106"/>
        <v>171</v>
      </c>
      <c r="P141" s="258">
        <f t="shared" si="107"/>
        <v>6181938</v>
      </c>
      <c r="Q141" s="258">
        <f t="shared" si="108"/>
        <v>6485346</v>
      </c>
      <c r="R141" s="426">
        <f t="shared" si="109"/>
        <v>6</v>
      </c>
      <c r="S141" s="426">
        <f t="array" ref="S141">MAX((IF(MNU_CODIGO_ALIMENTO_ENTREGA=CONCATENATE($E141,"_","P_"),MNU_GRAMAJE_REQUERIDO_TIPOB,"")))</f>
        <v>30</v>
      </c>
      <c r="T141" s="259">
        <f t="shared" si="110"/>
        <v>8861</v>
      </c>
      <c r="U141" s="259">
        <f t="shared" si="111"/>
        <v>53166</v>
      </c>
      <c r="V141" s="446">
        <f t="shared" si="112"/>
        <v>163</v>
      </c>
      <c r="W141" s="446">
        <f t="shared" si="113"/>
        <v>7.9543999999999997</v>
      </c>
      <c r="X141" s="446">
        <f t="shared" si="114"/>
        <v>0.14018260800000001</v>
      </c>
      <c r="Y141" s="446">
        <f t="shared" si="115"/>
        <v>171</v>
      </c>
      <c r="Z141" s="260">
        <f t="shared" si="116"/>
        <v>8666058</v>
      </c>
      <c r="AA141" s="260">
        <f t="shared" si="117"/>
        <v>9091386</v>
      </c>
      <c r="AB141" s="425">
        <f t="shared" si="118"/>
        <v>6</v>
      </c>
      <c r="AC141" s="425">
        <f t="array" ref="AC141">MAX((IF(MNU_CODIGO_ALIMENTO_ENTREGA=CONCATENATE($E141,"_","P_"),MNU_GRAMAJE_REQUERIDO_TIPOC,"")))</f>
        <v>30</v>
      </c>
      <c r="AD141" s="257">
        <f t="shared" si="119"/>
        <v>9307</v>
      </c>
      <c r="AE141" s="257">
        <f t="shared" si="120"/>
        <v>55842</v>
      </c>
      <c r="AF141" s="446">
        <f t="shared" si="121"/>
        <v>163</v>
      </c>
      <c r="AG141" s="446">
        <f t="shared" si="122"/>
        <v>7.9543999999999997</v>
      </c>
      <c r="AH141" s="446">
        <f t="shared" si="123"/>
        <v>0.14018260800000001</v>
      </c>
      <c r="AI141" s="446">
        <f t="shared" si="124"/>
        <v>171</v>
      </c>
      <c r="AJ141" s="258">
        <f t="shared" si="125"/>
        <v>9102246</v>
      </c>
      <c r="AK141" s="258">
        <f t="shared" si="126"/>
        <v>9548982</v>
      </c>
      <c r="AL141" s="426">
        <f t="shared" si="127"/>
        <v>6</v>
      </c>
      <c r="AM141" s="426">
        <f t="array" ref="AM141">MAX((IF(MNU_CODIGO_ALIMENTO_ENTREGA=CONCATENATE($E141,"_","P_"),MNU_GRAMAJE_REQUERIDO_TIPOM,"")))</f>
        <v>30</v>
      </c>
      <c r="AN141" s="259">
        <f t="shared" si="128"/>
        <v>526</v>
      </c>
      <c r="AO141" s="259">
        <f t="shared" si="129"/>
        <v>3156</v>
      </c>
      <c r="AP141" s="446">
        <f t="shared" si="130"/>
        <v>163</v>
      </c>
      <c r="AQ141" s="446">
        <f t="shared" si="131"/>
        <v>7.9543999999999997</v>
      </c>
      <c r="AR141" s="446">
        <f t="shared" si="132"/>
        <v>0.14018260800000001</v>
      </c>
      <c r="AS141" s="446">
        <f t="shared" si="133"/>
        <v>171</v>
      </c>
      <c r="AT141" s="260">
        <f t="shared" si="134"/>
        <v>514428</v>
      </c>
      <c r="AU141" s="260">
        <f t="shared" si="135"/>
        <v>539676</v>
      </c>
      <c r="AV141" s="425">
        <f t="shared" si="136"/>
        <v>6</v>
      </c>
      <c r="AW141" s="425">
        <f t="array" ref="AW141">MAX((IF(MNU_CODIGO_ALIMENTO_ENTREGA=CONCATENATE($E141,"_","P_"),MNU_GRAMAJE_REQUERIDO_TIPOH,"")))</f>
        <v>30</v>
      </c>
      <c r="AX141" s="257">
        <f t="shared" si="137"/>
        <v>566</v>
      </c>
      <c r="AY141" s="257">
        <f t="shared" si="138"/>
        <v>3396</v>
      </c>
      <c r="AZ141" s="446">
        <f t="shared" si="139"/>
        <v>163</v>
      </c>
      <c r="BA141" s="446">
        <f t="shared" si="140"/>
        <v>7.9543999999999997</v>
      </c>
      <c r="BB141" s="446">
        <f t="shared" si="141"/>
        <v>0.14018260800000001</v>
      </c>
      <c r="BC141" s="446">
        <f t="shared" si="142"/>
        <v>171</v>
      </c>
      <c r="BD141" s="258">
        <f t="shared" si="143"/>
        <v>553548</v>
      </c>
      <c r="BE141" s="258">
        <f t="shared" si="144"/>
        <v>580716</v>
      </c>
      <c r="BF141" s="391">
        <f t="shared" si="145"/>
        <v>25018218</v>
      </c>
      <c r="BG141" s="391">
        <f t="shared" si="146"/>
        <v>26246106</v>
      </c>
    </row>
    <row r="142" spans="1:59" ht="27">
      <c r="A142" s="333">
        <v>11</v>
      </c>
      <c r="B142" s="333" t="str">
        <f t="shared" si="98"/>
        <v>CEREAL EMPACADO_11</v>
      </c>
      <c r="C142" s="333" t="str">
        <f t="shared" si="99"/>
        <v>28_11</v>
      </c>
      <c r="D142" s="333" t="s">
        <v>1607</v>
      </c>
      <c r="E142" s="256">
        <v>28</v>
      </c>
      <c r="F142" s="322" t="s">
        <v>67</v>
      </c>
      <c r="G142" s="256" t="s">
        <v>9</v>
      </c>
      <c r="H142" s="425">
        <f t="shared" si="100"/>
        <v>6</v>
      </c>
      <c r="I142" s="425">
        <f t="array" ref="I142">MAX((IF(MNU_CODIGO_ALIMENTO_ENTREGA=CONCATENATE($E142,"_","P_"),MNU_GRAMAJE_REQUERIDO_TIPOA,"")))</f>
        <v>30</v>
      </c>
      <c r="J142" s="257">
        <f t="shared" si="101"/>
        <v>6321</v>
      </c>
      <c r="K142" s="257">
        <f t="shared" si="102"/>
        <v>37926</v>
      </c>
      <c r="L142" s="446">
        <f t="shared" si="103"/>
        <v>215</v>
      </c>
      <c r="M142" s="446">
        <f t="shared" si="104"/>
        <v>10.492000000000001</v>
      </c>
      <c r="N142" s="446">
        <f t="shared" si="105"/>
        <v>0.18490343999999997</v>
      </c>
      <c r="O142" s="446">
        <f t="shared" si="106"/>
        <v>226</v>
      </c>
      <c r="P142" s="258">
        <f t="shared" si="107"/>
        <v>8154090</v>
      </c>
      <c r="Q142" s="258">
        <f t="shared" si="108"/>
        <v>8571276</v>
      </c>
      <c r="R142" s="426">
        <f t="shared" si="109"/>
        <v>6</v>
      </c>
      <c r="S142" s="426">
        <f t="array" ref="S142">MAX((IF(MNU_CODIGO_ALIMENTO_ENTREGA=CONCATENATE($E142,"_","P_"),MNU_GRAMAJE_REQUERIDO_TIPOB,"")))</f>
        <v>40</v>
      </c>
      <c r="T142" s="259">
        <f t="shared" si="110"/>
        <v>8861</v>
      </c>
      <c r="U142" s="259">
        <f t="shared" si="111"/>
        <v>53166</v>
      </c>
      <c r="V142" s="446">
        <f t="shared" si="112"/>
        <v>287</v>
      </c>
      <c r="W142" s="446">
        <f t="shared" si="113"/>
        <v>14.005600000000001</v>
      </c>
      <c r="X142" s="446">
        <f t="shared" si="114"/>
        <v>0.24682459200000004</v>
      </c>
      <c r="Y142" s="446">
        <f t="shared" si="115"/>
        <v>301</v>
      </c>
      <c r="Z142" s="260">
        <f t="shared" si="116"/>
        <v>15258642</v>
      </c>
      <c r="AA142" s="260">
        <f t="shared" si="117"/>
        <v>16002966</v>
      </c>
      <c r="AB142" s="425">
        <f t="shared" si="118"/>
        <v>6</v>
      </c>
      <c r="AC142" s="425">
        <f t="array" ref="AC142">MAX((IF(MNU_CODIGO_ALIMENTO_ENTREGA=CONCATENATE($E142,"_","P_"),MNU_GRAMAJE_REQUERIDO_TIPOC,"")))</f>
        <v>60</v>
      </c>
      <c r="AD142" s="257">
        <f t="shared" si="119"/>
        <v>9307</v>
      </c>
      <c r="AE142" s="257">
        <f t="shared" si="120"/>
        <v>55842</v>
      </c>
      <c r="AF142" s="446">
        <f t="shared" si="121"/>
        <v>430</v>
      </c>
      <c r="AG142" s="446">
        <f t="shared" si="122"/>
        <v>20.984000000000002</v>
      </c>
      <c r="AH142" s="446">
        <f t="shared" si="123"/>
        <v>0.36980687999999995</v>
      </c>
      <c r="AI142" s="446">
        <f t="shared" si="124"/>
        <v>451</v>
      </c>
      <c r="AJ142" s="258">
        <f t="shared" si="125"/>
        <v>24012060</v>
      </c>
      <c r="AK142" s="258">
        <f t="shared" si="126"/>
        <v>25184742</v>
      </c>
      <c r="AL142" s="426">
        <f t="shared" si="127"/>
        <v>6</v>
      </c>
      <c r="AM142" s="426">
        <f t="array" ref="AM142">MAX((IF(MNU_CODIGO_ALIMENTO_ENTREGA=CONCATENATE($E142,"_","P_"),MNU_GRAMAJE_REQUERIDO_TIPOM,"")))</f>
        <v>40</v>
      </c>
      <c r="AN142" s="259">
        <f t="shared" si="128"/>
        <v>526</v>
      </c>
      <c r="AO142" s="259">
        <f t="shared" si="129"/>
        <v>3156</v>
      </c>
      <c r="AP142" s="446">
        <f t="shared" si="130"/>
        <v>287</v>
      </c>
      <c r="AQ142" s="446">
        <f t="shared" si="131"/>
        <v>14.005600000000001</v>
      </c>
      <c r="AR142" s="446">
        <f t="shared" si="132"/>
        <v>0.24682459200000004</v>
      </c>
      <c r="AS142" s="446">
        <f t="shared" si="133"/>
        <v>301</v>
      </c>
      <c r="AT142" s="260">
        <f t="shared" si="134"/>
        <v>905772</v>
      </c>
      <c r="AU142" s="260">
        <f t="shared" si="135"/>
        <v>949956</v>
      </c>
      <c r="AV142" s="425">
        <f t="shared" si="136"/>
        <v>6</v>
      </c>
      <c r="AW142" s="425">
        <f t="array" ref="AW142">MAX((IF(MNU_CODIGO_ALIMENTO_ENTREGA=CONCATENATE($E142,"_","P_"),MNU_GRAMAJE_REQUERIDO_TIPOH,"")))</f>
        <v>60</v>
      </c>
      <c r="AX142" s="257">
        <f t="shared" si="137"/>
        <v>566</v>
      </c>
      <c r="AY142" s="257">
        <f t="shared" si="138"/>
        <v>3396</v>
      </c>
      <c r="AZ142" s="446">
        <f t="shared" si="139"/>
        <v>430</v>
      </c>
      <c r="BA142" s="446">
        <f t="shared" si="140"/>
        <v>20.984000000000002</v>
      </c>
      <c r="BB142" s="446">
        <f t="shared" si="141"/>
        <v>0.36980687999999995</v>
      </c>
      <c r="BC142" s="446">
        <f t="shared" si="142"/>
        <v>451</v>
      </c>
      <c r="BD142" s="258">
        <f t="shared" si="143"/>
        <v>1460280</v>
      </c>
      <c r="BE142" s="258">
        <f t="shared" si="144"/>
        <v>1531596</v>
      </c>
      <c r="BF142" s="391">
        <f t="shared" si="145"/>
        <v>49790844</v>
      </c>
      <c r="BG142" s="391">
        <f t="shared" si="146"/>
        <v>52240536</v>
      </c>
    </row>
    <row r="143" spans="1:59" ht="15.75">
      <c r="A143" s="333">
        <v>11</v>
      </c>
      <c r="B143" s="333" t="str">
        <f t="shared" si="98"/>
        <v>CEREAL EMPACADO_11</v>
      </c>
      <c r="C143" s="333" t="str">
        <f t="shared" si="99"/>
        <v>30_11</v>
      </c>
      <c r="D143" s="333" t="s">
        <v>1607</v>
      </c>
      <c r="E143" s="256">
        <v>30</v>
      </c>
      <c r="F143" s="322" t="s">
        <v>63</v>
      </c>
      <c r="G143" s="256" t="s">
        <v>9</v>
      </c>
      <c r="H143" s="425">
        <f t="shared" si="100"/>
        <v>16</v>
      </c>
      <c r="I143" s="425">
        <f t="array" ref="I143">MAX((IF(MNU_CODIGO_ALIMENTO_ENTREGA=CONCATENATE($E143,"_","P_"),MNU_GRAMAJE_REQUERIDO_TIPOA,"")))</f>
        <v>30</v>
      </c>
      <c r="J143" s="257">
        <f t="shared" si="101"/>
        <v>6321</v>
      </c>
      <c r="K143" s="257">
        <f t="shared" si="102"/>
        <v>101136</v>
      </c>
      <c r="L143" s="446">
        <f t="shared" si="103"/>
        <v>316</v>
      </c>
      <c r="M143" s="446">
        <f t="shared" si="104"/>
        <v>15.4208</v>
      </c>
      <c r="N143" s="446">
        <f t="shared" si="105"/>
        <v>0.271765056</v>
      </c>
      <c r="O143" s="446">
        <f t="shared" si="106"/>
        <v>332</v>
      </c>
      <c r="P143" s="258">
        <f t="shared" si="107"/>
        <v>31958976</v>
      </c>
      <c r="Q143" s="258">
        <f t="shared" si="108"/>
        <v>33577152</v>
      </c>
      <c r="R143" s="426">
        <f t="shared" si="109"/>
        <v>16</v>
      </c>
      <c r="S143" s="426">
        <f t="array" ref="S143">MAX((IF(MNU_CODIGO_ALIMENTO_ENTREGA=CONCATENATE($E143,"_","P_"),MNU_GRAMAJE_REQUERIDO_TIPOB,"")))</f>
        <v>30</v>
      </c>
      <c r="T143" s="259">
        <f t="shared" si="110"/>
        <v>8861</v>
      </c>
      <c r="U143" s="259">
        <f t="shared" si="111"/>
        <v>141776</v>
      </c>
      <c r="V143" s="446">
        <f t="shared" si="112"/>
        <v>316</v>
      </c>
      <c r="W143" s="446">
        <f t="shared" si="113"/>
        <v>15.4208</v>
      </c>
      <c r="X143" s="446">
        <f t="shared" si="114"/>
        <v>0.271765056</v>
      </c>
      <c r="Y143" s="446">
        <f t="shared" si="115"/>
        <v>332</v>
      </c>
      <c r="Z143" s="260">
        <f t="shared" si="116"/>
        <v>44801216</v>
      </c>
      <c r="AA143" s="260">
        <f t="shared" si="117"/>
        <v>47069632</v>
      </c>
      <c r="AB143" s="425">
        <f t="shared" si="118"/>
        <v>16</v>
      </c>
      <c r="AC143" s="425">
        <f t="array" ref="AC143">MAX((IF(MNU_CODIGO_ALIMENTO_ENTREGA=CONCATENATE($E143,"_","P_"),MNU_GRAMAJE_REQUERIDO_TIPOC,"")))</f>
        <v>30</v>
      </c>
      <c r="AD143" s="257">
        <f t="shared" si="119"/>
        <v>9307</v>
      </c>
      <c r="AE143" s="257">
        <f t="shared" si="120"/>
        <v>148912</v>
      </c>
      <c r="AF143" s="446">
        <f t="shared" si="121"/>
        <v>316</v>
      </c>
      <c r="AG143" s="446">
        <f t="shared" si="122"/>
        <v>15.4208</v>
      </c>
      <c r="AH143" s="446">
        <f t="shared" si="123"/>
        <v>0.271765056</v>
      </c>
      <c r="AI143" s="446">
        <f t="shared" si="124"/>
        <v>332</v>
      </c>
      <c r="AJ143" s="258">
        <f t="shared" si="125"/>
        <v>47056192</v>
      </c>
      <c r="AK143" s="258">
        <f t="shared" si="126"/>
        <v>49438784</v>
      </c>
      <c r="AL143" s="426">
        <f t="shared" si="127"/>
        <v>16</v>
      </c>
      <c r="AM143" s="426">
        <f t="array" ref="AM143">MAX((IF(MNU_CODIGO_ALIMENTO_ENTREGA=CONCATENATE($E143,"_","P_"),MNU_GRAMAJE_REQUERIDO_TIPOM,"")))</f>
        <v>30</v>
      </c>
      <c r="AN143" s="259">
        <f t="shared" si="128"/>
        <v>526</v>
      </c>
      <c r="AO143" s="259">
        <f t="shared" si="129"/>
        <v>8416</v>
      </c>
      <c r="AP143" s="446">
        <f t="shared" si="130"/>
        <v>316</v>
      </c>
      <c r="AQ143" s="446">
        <f t="shared" si="131"/>
        <v>15.4208</v>
      </c>
      <c r="AR143" s="446">
        <f t="shared" si="132"/>
        <v>0.271765056</v>
      </c>
      <c r="AS143" s="446">
        <f t="shared" si="133"/>
        <v>332</v>
      </c>
      <c r="AT143" s="260">
        <f t="shared" si="134"/>
        <v>2659456</v>
      </c>
      <c r="AU143" s="260">
        <f t="shared" si="135"/>
        <v>2794112</v>
      </c>
      <c r="AV143" s="425">
        <f t="shared" si="136"/>
        <v>16</v>
      </c>
      <c r="AW143" s="425">
        <f t="array" ref="AW143">MAX((IF(MNU_CODIGO_ALIMENTO_ENTREGA=CONCATENATE($E143,"_","P_"),MNU_GRAMAJE_REQUERIDO_TIPOH,"")))</f>
        <v>30</v>
      </c>
      <c r="AX143" s="257">
        <f t="shared" si="137"/>
        <v>566</v>
      </c>
      <c r="AY143" s="257">
        <f t="shared" si="138"/>
        <v>9056</v>
      </c>
      <c r="AZ143" s="446">
        <f t="shared" si="139"/>
        <v>316</v>
      </c>
      <c r="BA143" s="446">
        <f t="shared" si="140"/>
        <v>15.4208</v>
      </c>
      <c r="BB143" s="446">
        <f t="shared" si="141"/>
        <v>0.271765056</v>
      </c>
      <c r="BC143" s="446">
        <f t="shared" si="142"/>
        <v>332</v>
      </c>
      <c r="BD143" s="258">
        <f t="shared" si="143"/>
        <v>2861696</v>
      </c>
      <c r="BE143" s="258">
        <f t="shared" si="144"/>
        <v>3006592</v>
      </c>
      <c r="BF143" s="391">
        <f t="shared" si="145"/>
        <v>129337536</v>
      </c>
      <c r="BG143" s="391">
        <f t="shared" si="146"/>
        <v>135886272</v>
      </c>
    </row>
    <row r="144" spans="1:59" ht="15.75">
      <c r="A144" s="333">
        <v>11</v>
      </c>
      <c r="B144" s="333" t="str">
        <f t="shared" si="98"/>
        <v>CEREAL EMPACADO_11</v>
      </c>
      <c r="C144" s="333" t="str">
        <f t="shared" si="99"/>
        <v>45_11</v>
      </c>
      <c r="D144" s="333" t="s">
        <v>1607</v>
      </c>
      <c r="E144" s="256">
        <v>45</v>
      </c>
      <c r="F144" s="322" t="s">
        <v>10</v>
      </c>
      <c r="G144" s="256" t="s">
        <v>9</v>
      </c>
      <c r="H144" s="425">
        <f t="shared" si="100"/>
        <v>16</v>
      </c>
      <c r="I144" s="425">
        <f t="array" ref="I144">MAX((IF(MNU_CODIGO_ALIMENTO_ENTREGA=CONCATENATE($E144,"_","P_"),MNU_GRAMAJE_REQUERIDO_TIPOA,"")))</f>
        <v>20</v>
      </c>
      <c r="J144" s="257">
        <f t="shared" si="101"/>
        <v>6321</v>
      </c>
      <c r="K144" s="257">
        <f t="shared" si="102"/>
        <v>101136</v>
      </c>
      <c r="L144" s="446">
        <f t="shared" si="103"/>
        <v>190</v>
      </c>
      <c r="M144" s="446">
        <f t="shared" si="104"/>
        <v>9.2720000000000002</v>
      </c>
      <c r="N144" s="446">
        <f t="shared" si="105"/>
        <v>0.16340304</v>
      </c>
      <c r="O144" s="446">
        <f t="shared" si="106"/>
        <v>199</v>
      </c>
      <c r="P144" s="258">
        <f t="shared" si="107"/>
        <v>19215840</v>
      </c>
      <c r="Q144" s="258">
        <f t="shared" si="108"/>
        <v>20126064</v>
      </c>
      <c r="R144" s="426">
        <f t="shared" si="109"/>
        <v>16</v>
      </c>
      <c r="S144" s="426">
        <f t="array" ref="S144">MAX((IF(MNU_CODIGO_ALIMENTO_ENTREGA=CONCATENATE($E144,"_","P_"),MNU_GRAMAJE_REQUERIDO_TIPOB,"")))</f>
        <v>30</v>
      </c>
      <c r="T144" s="259">
        <f t="shared" si="110"/>
        <v>8861</v>
      </c>
      <c r="U144" s="259">
        <f t="shared" si="111"/>
        <v>141776</v>
      </c>
      <c r="V144" s="446">
        <f t="shared" si="112"/>
        <v>284</v>
      </c>
      <c r="W144" s="446">
        <f t="shared" si="113"/>
        <v>13.8592</v>
      </c>
      <c r="X144" s="446">
        <f t="shared" si="114"/>
        <v>0.24424454399999998</v>
      </c>
      <c r="Y144" s="446">
        <f t="shared" si="115"/>
        <v>298</v>
      </c>
      <c r="Z144" s="260">
        <f t="shared" si="116"/>
        <v>40264384</v>
      </c>
      <c r="AA144" s="260">
        <f t="shared" si="117"/>
        <v>42249248</v>
      </c>
      <c r="AB144" s="425">
        <f t="shared" si="118"/>
        <v>16</v>
      </c>
      <c r="AC144" s="425">
        <f t="array" ref="AC144">MAX((IF(MNU_CODIGO_ALIMENTO_ENTREGA=CONCATENATE($E144,"_","P_"),MNU_GRAMAJE_REQUERIDO_TIPOC,"")))</f>
        <v>60</v>
      </c>
      <c r="AD144" s="257">
        <f t="shared" si="119"/>
        <v>9307</v>
      </c>
      <c r="AE144" s="257">
        <f t="shared" si="120"/>
        <v>148912</v>
      </c>
      <c r="AF144" s="446">
        <f t="shared" si="121"/>
        <v>569</v>
      </c>
      <c r="AG144" s="446">
        <f t="shared" si="122"/>
        <v>27.767199999999999</v>
      </c>
      <c r="AH144" s="446">
        <f t="shared" si="123"/>
        <v>0.48934910400000003</v>
      </c>
      <c r="AI144" s="446">
        <f t="shared" si="124"/>
        <v>597</v>
      </c>
      <c r="AJ144" s="258">
        <f t="shared" si="125"/>
        <v>84730928</v>
      </c>
      <c r="AK144" s="258">
        <f t="shared" si="126"/>
        <v>88900464</v>
      </c>
      <c r="AL144" s="426">
        <f t="shared" si="127"/>
        <v>16</v>
      </c>
      <c r="AM144" s="426">
        <f t="array" ref="AM144">MAX((IF(MNU_CODIGO_ALIMENTO_ENTREGA=CONCATENATE($E144,"_","P_"),MNU_GRAMAJE_REQUERIDO_TIPOM,"")))</f>
        <v>30</v>
      </c>
      <c r="AN144" s="259">
        <f t="shared" si="128"/>
        <v>526</v>
      </c>
      <c r="AO144" s="259">
        <f t="shared" si="129"/>
        <v>8416</v>
      </c>
      <c r="AP144" s="446">
        <f t="shared" si="130"/>
        <v>284</v>
      </c>
      <c r="AQ144" s="446">
        <f t="shared" si="131"/>
        <v>13.8592</v>
      </c>
      <c r="AR144" s="446">
        <f t="shared" si="132"/>
        <v>0.24424454399999998</v>
      </c>
      <c r="AS144" s="446">
        <f t="shared" si="133"/>
        <v>298</v>
      </c>
      <c r="AT144" s="260">
        <f t="shared" si="134"/>
        <v>2390144</v>
      </c>
      <c r="AU144" s="260">
        <f t="shared" si="135"/>
        <v>2507968</v>
      </c>
      <c r="AV144" s="425">
        <f t="shared" si="136"/>
        <v>16</v>
      </c>
      <c r="AW144" s="425">
        <f t="array" ref="AW144">MAX((IF(MNU_CODIGO_ALIMENTO_ENTREGA=CONCATENATE($E144,"_","P_"),MNU_GRAMAJE_REQUERIDO_TIPOH,"")))</f>
        <v>60</v>
      </c>
      <c r="AX144" s="257">
        <f t="shared" si="137"/>
        <v>566</v>
      </c>
      <c r="AY144" s="257">
        <f t="shared" si="138"/>
        <v>9056</v>
      </c>
      <c r="AZ144" s="446">
        <f t="shared" si="139"/>
        <v>569</v>
      </c>
      <c r="BA144" s="446">
        <f t="shared" si="140"/>
        <v>27.767199999999999</v>
      </c>
      <c r="BB144" s="446">
        <f t="shared" si="141"/>
        <v>0.48934910400000003</v>
      </c>
      <c r="BC144" s="446">
        <f t="shared" si="142"/>
        <v>597</v>
      </c>
      <c r="BD144" s="258">
        <f t="shared" si="143"/>
        <v>5152864</v>
      </c>
      <c r="BE144" s="258">
        <f t="shared" si="144"/>
        <v>5406432</v>
      </c>
      <c r="BF144" s="391">
        <f t="shared" si="145"/>
        <v>151754160</v>
      </c>
      <c r="BG144" s="391">
        <f t="shared" si="146"/>
        <v>159190176</v>
      </c>
    </row>
    <row r="145" spans="1:59" ht="15.75">
      <c r="A145" s="333">
        <v>11</v>
      </c>
      <c r="B145" s="333" t="str">
        <f t="shared" si="98"/>
        <v>CEREAL EMPACADO_11</v>
      </c>
      <c r="C145" s="333" t="str">
        <f t="shared" si="99"/>
        <v>50_11</v>
      </c>
      <c r="D145" s="333" t="s">
        <v>1607</v>
      </c>
      <c r="E145" s="256">
        <v>50</v>
      </c>
      <c r="F145" s="322" t="s">
        <v>65</v>
      </c>
      <c r="G145" s="256" t="s">
        <v>9</v>
      </c>
      <c r="H145" s="425">
        <f t="shared" si="100"/>
        <v>17</v>
      </c>
      <c r="I145" s="425">
        <f t="array" ref="I145">MAX((IF(MNU_CODIGO_ALIMENTO_ENTREGA=CONCATENATE($E145,"_","P_"),MNU_GRAMAJE_REQUERIDO_TIPOA,"")))</f>
        <v>30</v>
      </c>
      <c r="J145" s="257">
        <f t="shared" si="101"/>
        <v>6321</v>
      </c>
      <c r="K145" s="257">
        <f t="shared" si="102"/>
        <v>107457</v>
      </c>
      <c r="L145" s="446">
        <f t="shared" si="103"/>
        <v>306</v>
      </c>
      <c r="M145" s="446">
        <f t="shared" si="104"/>
        <v>14.9328</v>
      </c>
      <c r="N145" s="446">
        <f t="shared" si="105"/>
        <v>0.26316489599999998</v>
      </c>
      <c r="O145" s="446">
        <f t="shared" si="106"/>
        <v>321</v>
      </c>
      <c r="P145" s="258">
        <f t="shared" si="107"/>
        <v>32881842</v>
      </c>
      <c r="Q145" s="258">
        <f t="shared" si="108"/>
        <v>34493697</v>
      </c>
      <c r="R145" s="426">
        <f t="shared" si="109"/>
        <v>17</v>
      </c>
      <c r="S145" s="426">
        <f t="array" ref="S145">MAX((IF(MNU_CODIGO_ALIMENTO_ENTREGA=CONCATENATE($E145,"_","P_"),MNU_GRAMAJE_REQUERIDO_TIPOB,"")))</f>
        <v>40</v>
      </c>
      <c r="T145" s="259">
        <f t="shared" si="110"/>
        <v>8861</v>
      </c>
      <c r="U145" s="259">
        <f t="shared" si="111"/>
        <v>150637</v>
      </c>
      <c r="V145" s="446">
        <f t="shared" si="112"/>
        <v>408</v>
      </c>
      <c r="W145" s="446">
        <f t="shared" si="113"/>
        <v>19.910400000000003</v>
      </c>
      <c r="X145" s="446">
        <f t="shared" si="114"/>
        <v>0.35088652799999998</v>
      </c>
      <c r="Y145" s="446">
        <f t="shared" si="115"/>
        <v>428</v>
      </c>
      <c r="Z145" s="260">
        <f t="shared" si="116"/>
        <v>61459896</v>
      </c>
      <c r="AA145" s="260">
        <f t="shared" si="117"/>
        <v>64472636</v>
      </c>
      <c r="AB145" s="425">
        <f t="shared" si="118"/>
        <v>17</v>
      </c>
      <c r="AC145" s="425">
        <f t="array" ref="AC145">MAX((IF(MNU_CODIGO_ALIMENTO_ENTREGA=CONCATENATE($E145,"_","P_"),MNU_GRAMAJE_REQUERIDO_TIPOC,"")))</f>
        <v>80</v>
      </c>
      <c r="AD145" s="257">
        <f t="shared" si="119"/>
        <v>9307</v>
      </c>
      <c r="AE145" s="257">
        <f t="shared" si="120"/>
        <v>158219</v>
      </c>
      <c r="AF145" s="446">
        <f t="shared" si="121"/>
        <v>815</v>
      </c>
      <c r="AG145" s="446">
        <f t="shared" si="122"/>
        <v>39.772000000000006</v>
      </c>
      <c r="AH145" s="446">
        <f t="shared" si="123"/>
        <v>0.7009130400000001</v>
      </c>
      <c r="AI145" s="446">
        <f t="shared" si="124"/>
        <v>855</v>
      </c>
      <c r="AJ145" s="258">
        <f t="shared" si="125"/>
        <v>128948485</v>
      </c>
      <c r="AK145" s="258">
        <f t="shared" si="126"/>
        <v>135277245</v>
      </c>
      <c r="AL145" s="426">
        <f t="shared" si="127"/>
        <v>17</v>
      </c>
      <c r="AM145" s="426">
        <f t="array" ref="AM145">MAX((IF(MNU_CODIGO_ALIMENTO_ENTREGA=CONCATENATE($E145,"_","P_"),MNU_GRAMAJE_REQUERIDO_TIPOM,"")))</f>
        <v>40</v>
      </c>
      <c r="AN145" s="259">
        <f t="shared" si="128"/>
        <v>526</v>
      </c>
      <c r="AO145" s="259">
        <f t="shared" si="129"/>
        <v>8942</v>
      </c>
      <c r="AP145" s="446">
        <f t="shared" si="130"/>
        <v>408</v>
      </c>
      <c r="AQ145" s="446">
        <f t="shared" si="131"/>
        <v>19.910400000000003</v>
      </c>
      <c r="AR145" s="446">
        <f t="shared" si="132"/>
        <v>0.35088652799999998</v>
      </c>
      <c r="AS145" s="446">
        <f t="shared" si="133"/>
        <v>428</v>
      </c>
      <c r="AT145" s="260">
        <f t="shared" si="134"/>
        <v>3648336</v>
      </c>
      <c r="AU145" s="260">
        <f t="shared" si="135"/>
        <v>3827176</v>
      </c>
      <c r="AV145" s="425">
        <f t="shared" si="136"/>
        <v>17</v>
      </c>
      <c r="AW145" s="425">
        <f t="array" ref="AW145">MAX((IF(MNU_CODIGO_ALIMENTO_ENTREGA=CONCATENATE($E145,"_","P_"),MNU_GRAMAJE_REQUERIDO_TIPOH,"")))</f>
        <v>80</v>
      </c>
      <c r="AX145" s="257">
        <f t="shared" si="137"/>
        <v>566</v>
      </c>
      <c r="AY145" s="257">
        <f t="shared" si="138"/>
        <v>9622</v>
      </c>
      <c r="AZ145" s="446">
        <f t="shared" si="139"/>
        <v>815</v>
      </c>
      <c r="BA145" s="446">
        <f t="shared" si="140"/>
        <v>39.772000000000006</v>
      </c>
      <c r="BB145" s="446">
        <f t="shared" si="141"/>
        <v>0.7009130400000001</v>
      </c>
      <c r="BC145" s="446">
        <f t="shared" si="142"/>
        <v>855</v>
      </c>
      <c r="BD145" s="258">
        <f t="shared" si="143"/>
        <v>7841930</v>
      </c>
      <c r="BE145" s="258">
        <f t="shared" si="144"/>
        <v>8226810</v>
      </c>
      <c r="BF145" s="391">
        <f t="shared" si="145"/>
        <v>234780489</v>
      </c>
      <c r="BG145" s="391">
        <f t="shared" si="146"/>
        <v>246297564</v>
      </c>
    </row>
    <row r="146" spans="1:59" ht="15.75">
      <c r="A146" s="333">
        <v>11</v>
      </c>
      <c r="B146" s="333" t="str">
        <f t="shared" si="98"/>
        <v>CEREAL EMPACADO_11</v>
      </c>
      <c r="C146" s="333" t="str">
        <f t="shared" si="99"/>
        <v>61_11</v>
      </c>
      <c r="D146" s="333" t="s">
        <v>1607</v>
      </c>
      <c r="E146" s="256">
        <v>61</v>
      </c>
      <c r="F146" s="322" t="s">
        <v>13</v>
      </c>
      <c r="G146" s="256" t="s">
        <v>9</v>
      </c>
      <c r="H146" s="425">
        <f t="shared" si="100"/>
        <v>16</v>
      </c>
      <c r="I146" s="425">
        <f t="array" ref="I146">MAX((IF(MNU_CODIGO_ALIMENTO_ENTREGA=CONCATENATE($E146,"_","P_"),MNU_GRAMAJE_REQUERIDO_TIPOA,"")))</f>
        <v>20</v>
      </c>
      <c r="J146" s="257">
        <f t="shared" si="101"/>
        <v>6321</v>
      </c>
      <c r="K146" s="257">
        <f t="shared" si="102"/>
        <v>101136</v>
      </c>
      <c r="L146" s="446">
        <f t="shared" si="103"/>
        <v>222</v>
      </c>
      <c r="M146" s="446">
        <f t="shared" si="104"/>
        <v>10.833600000000001</v>
      </c>
      <c r="N146" s="446">
        <f t="shared" si="105"/>
        <v>0.190923552</v>
      </c>
      <c r="O146" s="446">
        <f t="shared" si="106"/>
        <v>233</v>
      </c>
      <c r="P146" s="258">
        <f t="shared" si="107"/>
        <v>22452192</v>
      </c>
      <c r="Q146" s="258">
        <f t="shared" si="108"/>
        <v>23564688</v>
      </c>
      <c r="R146" s="426">
        <f t="shared" si="109"/>
        <v>16</v>
      </c>
      <c r="S146" s="426">
        <f t="array" ref="S146">MAX((IF(MNU_CODIGO_ALIMENTO_ENTREGA=CONCATENATE($E146,"_","P_"),MNU_GRAMAJE_REQUERIDO_TIPOB,"")))</f>
        <v>30</v>
      </c>
      <c r="T146" s="259">
        <f t="shared" si="110"/>
        <v>8861</v>
      </c>
      <c r="U146" s="259">
        <f t="shared" si="111"/>
        <v>141776</v>
      </c>
      <c r="V146" s="446">
        <f t="shared" si="112"/>
        <v>334</v>
      </c>
      <c r="W146" s="446">
        <f t="shared" si="113"/>
        <v>16.299199999999999</v>
      </c>
      <c r="X146" s="446">
        <f t="shared" si="114"/>
        <v>0.28724534400000001</v>
      </c>
      <c r="Y146" s="446">
        <f t="shared" si="115"/>
        <v>351</v>
      </c>
      <c r="Z146" s="260">
        <f t="shared" si="116"/>
        <v>47353184</v>
      </c>
      <c r="AA146" s="260">
        <f t="shared" si="117"/>
        <v>49763376</v>
      </c>
      <c r="AB146" s="425">
        <f t="shared" si="118"/>
        <v>16</v>
      </c>
      <c r="AC146" s="425">
        <f t="array" ref="AC146">MAX((IF(MNU_CODIGO_ALIMENTO_ENTREGA=CONCATENATE($E146,"_","P_"),MNU_GRAMAJE_REQUERIDO_TIPOC,"")))</f>
        <v>70</v>
      </c>
      <c r="AD146" s="257">
        <f t="shared" si="119"/>
        <v>9307</v>
      </c>
      <c r="AE146" s="257">
        <f t="shared" si="120"/>
        <v>148912</v>
      </c>
      <c r="AF146" s="446">
        <f t="shared" si="121"/>
        <v>779</v>
      </c>
      <c r="AG146" s="446">
        <f t="shared" si="122"/>
        <v>38.0152</v>
      </c>
      <c r="AH146" s="446">
        <f t="shared" si="123"/>
        <v>0.66995246400000008</v>
      </c>
      <c r="AI146" s="446">
        <f t="shared" si="124"/>
        <v>818</v>
      </c>
      <c r="AJ146" s="258">
        <f t="shared" si="125"/>
        <v>116002448</v>
      </c>
      <c r="AK146" s="258">
        <f t="shared" si="126"/>
        <v>121810016</v>
      </c>
      <c r="AL146" s="426">
        <f t="shared" si="127"/>
        <v>16</v>
      </c>
      <c r="AM146" s="426">
        <f t="array" ref="AM146">MAX((IF(MNU_CODIGO_ALIMENTO_ENTREGA=CONCATENATE($E146,"_","P_"),MNU_GRAMAJE_REQUERIDO_TIPOM,"")))</f>
        <v>30</v>
      </c>
      <c r="AN146" s="259">
        <f t="shared" si="128"/>
        <v>526</v>
      </c>
      <c r="AO146" s="259">
        <f t="shared" si="129"/>
        <v>8416</v>
      </c>
      <c r="AP146" s="446">
        <f t="shared" si="130"/>
        <v>334</v>
      </c>
      <c r="AQ146" s="446">
        <f t="shared" si="131"/>
        <v>16.299199999999999</v>
      </c>
      <c r="AR146" s="446">
        <f t="shared" si="132"/>
        <v>0.28724534400000001</v>
      </c>
      <c r="AS146" s="446">
        <f t="shared" si="133"/>
        <v>351</v>
      </c>
      <c r="AT146" s="260">
        <f t="shared" si="134"/>
        <v>2810944</v>
      </c>
      <c r="AU146" s="260">
        <f t="shared" si="135"/>
        <v>2954016</v>
      </c>
      <c r="AV146" s="425">
        <f t="shared" si="136"/>
        <v>16</v>
      </c>
      <c r="AW146" s="425">
        <f t="array" ref="AW146">MAX((IF(MNU_CODIGO_ALIMENTO_ENTREGA=CONCATENATE($E146,"_","P_"),MNU_GRAMAJE_REQUERIDO_TIPOH,"")))</f>
        <v>70</v>
      </c>
      <c r="AX146" s="257">
        <f t="shared" si="137"/>
        <v>566</v>
      </c>
      <c r="AY146" s="257">
        <f t="shared" si="138"/>
        <v>9056</v>
      </c>
      <c r="AZ146" s="446">
        <f t="shared" si="139"/>
        <v>779</v>
      </c>
      <c r="BA146" s="446">
        <f t="shared" si="140"/>
        <v>38.0152</v>
      </c>
      <c r="BB146" s="446">
        <f t="shared" si="141"/>
        <v>0.66995246400000008</v>
      </c>
      <c r="BC146" s="446">
        <f t="shared" si="142"/>
        <v>818</v>
      </c>
      <c r="BD146" s="258">
        <f t="shared" si="143"/>
        <v>7054624</v>
      </c>
      <c r="BE146" s="258">
        <f t="shared" si="144"/>
        <v>7407808</v>
      </c>
      <c r="BF146" s="391">
        <f t="shared" si="145"/>
        <v>195673392</v>
      </c>
      <c r="BG146" s="391">
        <f t="shared" si="146"/>
        <v>205499904</v>
      </c>
    </row>
    <row r="147" spans="1:59" ht="15.75">
      <c r="A147" s="333">
        <v>11</v>
      </c>
      <c r="B147" s="333" t="str">
        <f t="shared" si="98"/>
        <v>CEREAL EMPACADO_11</v>
      </c>
      <c r="C147" s="333" t="str">
        <f t="shared" si="99"/>
        <v>62_11</v>
      </c>
      <c r="D147" s="333" t="s">
        <v>1607</v>
      </c>
      <c r="E147" s="256">
        <v>62</v>
      </c>
      <c r="F147" s="322" t="s">
        <v>68</v>
      </c>
      <c r="G147" s="256" t="s">
        <v>9</v>
      </c>
      <c r="H147" s="425">
        <f t="shared" si="100"/>
        <v>5</v>
      </c>
      <c r="I147" s="425">
        <f t="array" ref="I147">MAX((IF(MNU_CODIGO_ALIMENTO_ENTREGA=CONCATENATE($E147,"_","P_"),MNU_GRAMAJE_REQUERIDO_TIPOA,"")))</f>
        <v>50</v>
      </c>
      <c r="J147" s="257">
        <f t="shared" si="101"/>
        <v>6321</v>
      </c>
      <c r="K147" s="257">
        <f t="shared" si="102"/>
        <v>31605</v>
      </c>
      <c r="L147" s="446">
        <f t="shared" si="103"/>
        <v>595</v>
      </c>
      <c r="M147" s="446">
        <f t="shared" si="104"/>
        <v>29.036000000000001</v>
      </c>
      <c r="N147" s="446">
        <f t="shared" si="105"/>
        <v>0.51170952000000014</v>
      </c>
      <c r="O147" s="446">
        <f t="shared" si="106"/>
        <v>625</v>
      </c>
      <c r="P147" s="258">
        <f t="shared" si="107"/>
        <v>18804975</v>
      </c>
      <c r="Q147" s="258">
        <f t="shared" si="108"/>
        <v>19753125</v>
      </c>
      <c r="R147" s="426">
        <f t="shared" si="109"/>
        <v>5</v>
      </c>
      <c r="S147" s="426">
        <f t="array" ref="S147">MAX((IF(MNU_CODIGO_ALIMENTO_ENTREGA=CONCATENATE($E147,"_","P_"),MNU_GRAMAJE_REQUERIDO_TIPOB,"")))</f>
        <v>50</v>
      </c>
      <c r="T147" s="259">
        <f t="shared" si="110"/>
        <v>8861</v>
      </c>
      <c r="U147" s="259">
        <f t="shared" si="111"/>
        <v>44305</v>
      </c>
      <c r="V147" s="446">
        <f t="shared" si="112"/>
        <v>595</v>
      </c>
      <c r="W147" s="446">
        <f t="shared" si="113"/>
        <v>29.036000000000001</v>
      </c>
      <c r="X147" s="446">
        <f t="shared" si="114"/>
        <v>0.51170952000000014</v>
      </c>
      <c r="Y147" s="446">
        <f t="shared" si="115"/>
        <v>625</v>
      </c>
      <c r="Z147" s="260">
        <f t="shared" si="116"/>
        <v>26361475</v>
      </c>
      <c r="AA147" s="260">
        <f t="shared" si="117"/>
        <v>27690625</v>
      </c>
      <c r="AB147" s="425">
        <f t="shared" si="118"/>
        <v>5</v>
      </c>
      <c r="AC147" s="425">
        <f t="array" ref="AC147">MAX((IF(MNU_CODIGO_ALIMENTO_ENTREGA=CONCATENATE($E147,"_","P_"),MNU_GRAMAJE_REQUERIDO_TIPOC,"")))</f>
        <v>50</v>
      </c>
      <c r="AD147" s="257">
        <f t="shared" si="119"/>
        <v>9307</v>
      </c>
      <c r="AE147" s="257">
        <f t="shared" si="120"/>
        <v>46535</v>
      </c>
      <c r="AF147" s="446">
        <f t="shared" si="121"/>
        <v>595</v>
      </c>
      <c r="AG147" s="446">
        <f t="shared" si="122"/>
        <v>29.036000000000001</v>
      </c>
      <c r="AH147" s="446">
        <f t="shared" si="123"/>
        <v>0.51170952000000014</v>
      </c>
      <c r="AI147" s="446">
        <f t="shared" si="124"/>
        <v>625</v>
      </c>
      <c r="AJ147" s="258">
        <f t="shared" si="125"/>
        <v>27688325</v>
      </c>
      <c r="AK147" s="258">
        <f t="shared" si="126"/>
        <v>29084375</v>
      </c>
      <c r="AL147" s="426">
        <f t="shared" si="127"/>
        <v>5</v>
      </c>
      <c r="AM147" s="426">
        <f t="array" ref="AM147">MAX((IF(MNU_CODIGO_ALIMENTO_ENTREGA=CONCATENATE($E147,"_","P_"),MNU_GRAMAJE_REQUERIDO_TIPOM,"")))</f>
        <v>50</v>
      </c>
      <c r="AN147" s="259">
        <f t="shared" si="128"/>
        <v>526</v>
      </c>
      <c r="AO147" s="259">
        <f t="shared" si="129"/>
        <v>2630</v>
      </c>
      <c r="AP147" s="446">
        <f t="shared" si="130"/>
        <v>595</v>
      </c>
      <c r="AQ147" s="446">
        <f t="shared" si="131"/>
        <v>29.036000000000001</v>
      </c>
      <c r="AR147" s="446">
        <f t="shared" si="132"/>
        <v>0.51170952000000014</v>
      </c>
      <c r="AS147" s="446">
        <f t="shared" si="133"/>
        <v>625</v>
      </c>
      <c r="AT147" s="260">
        <f t="shared" si="134"/>
        <v>1564850</v>
      </c>
      <c r="AU147" s="260">
        <f t="shared" si="135"/>
        <v>1643750</v>
      </c>
      <c r="AV147" s="425">
        <f t="shared" si="136"/>
        <v>5</v>
      </c>
      <c r="AW147" s="425">
        <f t="array" ref="AW147">MAX((IF(MNU_CODIGO_ALIMENTO_ENTREGA=CONCATENATE($E147,"_","P_"),MNU_GRAMAJE_REQUERIDO_TIPOH,"")))</f>
        <v>50</v>
      </c>
      <c r="AX147" s="257">
        <f t="shared" si="137"/>
        <v>566</v>
      </c>
      <c r="AY147" s="257">
        <f t="shared" si="138"/>
        <v>2830</v>
      </c>
      <c r="AZ147" s="446">
        <f t="shared" si="139"/>
        <v>595</v>
      </c>
      <c r="BA147" s="446">
        <f t="shared" si="140"/>
        <v>29.036000000000001</v>
      </c>
      <c r="BB147" s="446">
        <f t="shared" si="141"/>
        <v>0.51170952000000014</v>
      </c>
      <c r="BC147" s="446">
        <f t="shared" si="142"/>
        <v>625</v>
      </c>
      <c r="BD147" s="258">
        <f t="shared" si="143"/>
        <v>1683850</v>
      </c>
      <c r="BE147" s="258">
        <f t="shared" si="144"/>
        <v>1768750</v>
      </c>
      <c r="BF147" s="391">
        <f t="shared" si="145"/>
        <v>76103475</v>
      </c>
      <c r="BG147" s="391">
        <f t="shared" si="146"/>
        <v>79940625</v>
      </c>
    </row>
    <row r="148" spans="1:59" ht="15.75">
      <c r="A148" s="333">
        <v>12</v>
      </c>
      <c r="B148" s="333" t="str">
        <f t="shared" si="98"/>
        <v>CEREAL EMPACADO_12</v>
      </c>
      <c r="C148" s="333" t="str">
        <f t="shared" si="99"/>
        <v>1_12</v>
      </c>
      <c r="D148" s="333" t="s">
        <v>1607</v>
      </c>
      <c r="E148" s="256">
        <v>1</v>
      </c>
      <c r="F148" s="322" t="s">
        <v>16</v>
      </c>
      <c r="G148" s="256" t="s">
        <v>9</v>
      </c>
      <c r="H148" s="425">
        <f t="shared" si="100"/>
        <v>15</v>
      </c>
      <c r="I148" s="425">
        <f t="array" ref="I148">MAX((IF(MNU_CODIGO_ALIMENTO_ENTREGA=CONCATENATE($E148,"_","P_"),MNU_GRAMAJE_REQUERIDO_TIPOA,"")))</f>
        <v>30</v>
      </c>
      <c r="J148" s="257">
        <f t="shared" si="101"/>
        <v>5647</v>
      </c>
      <c r="K148" s="257">
        <f t="shared" si="102"/>
        <v>84705</v>
      </c>
      <c r="L148" s="446">
        <f t="shared" si="103"/>
        <v>770</v>
      </c>
      <c r="M148" s="446">
        <f t="shared" si="104"/>
        <v>37.576000000000008</v>
      </c>
      <c r="N148" s="446">
        <f t="shared" si="105"/>
        <v>0.66221231999999997</v>
      </c>
      <c r="O148" s="446">
        <f t="shared" si="106"/>
        <v>808</v>
      </c>
      <c r="P148" s="258">
        <f t="shared" si="107"/>
        <v>65222850</v>
      </c>
      <c r="Q148" s="258">
        <f t="shared" si="108"/>
        <v>68441640</v>
      </c>
      <c r="R148" s="426">
        <f t="shared" si="109"/>
        <v>15</v>
      </c>
      <c r="S148" s="426">
        <f t="array" ref="S148">MAX((IF(MNU_CODIGO_ALIMENTO_ENTREGA=CONCATENATE($E148,"_","P_"),MNU_GRAMAJE_REQUERIDO_TIPOB,"")))</f>
        <v>40</v>
      </c>
      <c r="T148" s="259">
        <f t="shared" si="110"/>
        <v>8984</v>
      </c>
      <c r="U148" s="259">
        <f t="shared" si="111"/>
        <v>134760</v>
      </c>
      <c r="V148" s="446">
        <f t="shared" si="112"/>
        <v>1027</v>
      </c>
      <c r="W148" s="446">
        <f t="shared" si="113"/>
        <v>50.117600000000003</v>
      </c>
      <c r="X148" s="446">
        <f t="shared" si="114"/>
        <v>0.88323643200000013</v>
      </c>
      <c r="Y148" s="446">
        <f t="shared" si="115"/>
        <v>1078</v>
      </c>
      <c r="Z148" s="260">
        <f t="shared" si="116"/>
        <v>138398520</v>
      </c>
      <c r="AA148" s="260">
        <f t="shared" si="117"/>
        <v>145271280</v>
      </c>
      <c r="AB148" s="425">
        <f t="shared" si="118"/>
        <v>15</v>
      </c>
      <c r="AC148" s="425">
        <f t="array" ref="AC148">MAX((IF(MNU_CODIGO_ALIMENTO_ENTREGA=CONCATENATE($E148,"_","P_"),MNU_GRAMAJE_REQUERIDO_TIPOC,"")))</f>
        <v>60</v>
      </c>
      <c r="AD148" s="257">
        <f t="shared" si="119"/>
        <v>10917</v>
      </c>
      <c r="AE148" s="257">
        <f t="shared" si="120"/>
        <v>163755</v>
      </c>
      <c r="AF148" s="446">
        <f t="shared" si="121"/>
        <v>1540</v>
      </c>
      <c r="AG148" s="446">
        <f t="shared" si="122"/>
        <v>75.152000000000015</v>
      </c>
      <c r="AH148" s="446">
        <f t="shared" si="123"/>
        <v>1.3244246399999999</v>
      </c>
      <c r="AI148" s="446">
        <f t="shared" si="124"/>
        <v>1616</v>
      </c>
      <c r="AJ148" s="258">
        <f t="shared" si="125"/>
        <v>252182700</v>
      </c>
      <c r="AK148" s="258">
        <f t="shared" si="126"/>
        <v>264628080</v>
      </c>
      <c r="AL148" s="426">
        <f t="shared" si="127"/>
        <v>15</v>
      </c>
      <c r="AM148" s="426">
        <f t="array" ref="AM148">MAX((IF(MNU_CODIGO_ALIMENTO_ENTREGA=CONCATENATE($E148,"_","P_"),MNU_GRAMAJE_REQUERIDO_TIPOM,"")))</f>
        <v>40</v>
      </c>
      <c r="AN148" s="259">
        <f t="shared" si="128"/>
        <v>161</v>
      </c>
      <c r="AO148" s="259">
        <f t="shared" si="129"/>
        <v>2415</v>
      </c>
      <c r="AP148" s="446">
        <f t="shared" si="130"/>
        <v>1027</v>
      </c>
      <c r="AQ148" s="446">
        <f t="shared" si="131"/>
        <v>50.117600000000003</v>
      </c>
      <c r="AR148" s="446">
        <f t="shared" si="132"/>
        <v>0.88323643200000013</v>
      </c>
      <c r="AS148" s="446">
        <f t="shared" si="133"/>
        <v>1078</v>
      </c>
      <c r="AT148" s="260">
        <f t="shared" si="134"/>
        <v>2480205</v>
      </c>
      <c r="AU148" s="260">
        <f t="shared" si="135"/>
        <v>2603370</v>
      </c>
      <c r="AV148" s="425">
        <f t="shared" si="136"/>
        <v>15</v>
      </c>
      <c r="AW148" s="425">
        <f t="array" ref="AW148">MAX((IF(MNU_CODIGO_ALIMENTO_ENTREGA=CONCATENATE($E148,"_","P_"),MNU_GRAMAJE_REQUERIDO_TIPOH,"")))</f>
        <v>60</v>
      </c>
      <c r="AX148" s="257">
        <f t="shared" si="137"/>
        <v>289</v>
      </c>
      <c r="AY148" s="257">
        <f t="shared" si="138"/>
        <v>4335</v>
      </c>
      <c r="AZ148" s="446">
        <f t="shared" si="139"/>
        <v>1540</v>
      </c>
      <c r="BA148" s="446">
        <f t="shared" si="140"/>
        <v>75.152000000000015</v>
      </c>
      <c r="BB148" s="446">
        <f t="shared" si="141"/>
        <v>1.3244246399999999</v>
      </c>
      <c r="BC148" s="446">
        <f t="shared" si="142"/>
        <v>1616</v>
      </c>
      <c r="BD148" s="258">
        <f t="shared" si="143"/>
        <v>6675900</v>
      </c>
      <c r="BE148" s="258">
        <f t="shared" si="144"/>
        <v>7005360</v>
      </c>
      <c r="BF148" s="391">
        <f t="shared" si="145"/>
        <v>464960175</v>
      </c>
      <c r="BG148" s="391">
        <f t="shared" si="146"/>
        <v>487949730</v>
      </c>
    </row>
    <row r="149" spans="1:59" ht="15.75">
      <c r="A149" s="333">
        <v>12</v>
      </c>
      <c r="B149" s="333" t="str">
        <f t="shared" si="98"/>
        <v>CEREAL EMPACADO_12</v>
      </c>
      <c r="C149" s="333" t="str">
        <f t="shared" si="99"/>
        <v>3_12</v>
      </c>
      <c r="D149" s="333" t="s">
        <v>1607</v>
      </c>
      <c r="E149" s="256">
        <v>3</v>
      </c>
      <c r="F149" s="322" t="s">
        <v>12</v>
      </c>
      <c r="G149" s="256" t="s">
        <v>9</v>
      </c>
      <c r="H149" s="425">
        <f t="shared" si="100"/>
        <v>17</v>
      </c>
      <c r="I149" s="425">
        <f t="array" ref="I149">MAX((IF(MNU_CODIGO_ALIMENTO_ENTREGA=CONCATENATE($E149,"_","P_"),MNU_GRAMAJE_REQUERIDO_TIPOA,"")))</f>
        <v>50</v>
      </c>
      <c r="J149" s="257">
        <f t="shared" si="101"/>
        <v>5647</v>
      </c>
      <c r="K149" s="257">
        <f t="shared" si="102"/>
        <v>95999</v>
      </c>
      <c r="L149" s="446">
        <f t="shared" si="103"/>
        <v>481</v>
      </c>
      <c r="M149" s="446">
        <f t="shared" si="104"/>
        <v>23.472799999999999</v>
      </c>
      <c r="N149" s="446">
        <f t="shared" si="105"/>
        <v>0.41366769599999997</v>
      </c>
      <c r="O149" s="446">
        <f t="shared" si="106"/>
        <v>505</v>
      </c>
      <c r="P149" s="258">
        <f t="shared" si="107"/>
        <v>46175519</v>
      </c>
      <c r="Q149" s="258">
        <f t="shared" si="108"/>
        <v>48479495</v>
      </c>
      <c r="R149" s="426">
        <f t="shared" si="109"/>
        <v>17</v>
      </c>
      <c r="S149" s="426">
        <f t="array" ref="S149">MAX((IF(MNU_CODIGO_ALIMENTO_ENTREGA=CONCATENATE($E149,"_","P_"),MNU_GRAMAJE_REQUERIDO_TIPOB,"")))</f>
        <v>50</v>
      </c>
      <c r="T149" s="259">
        <f t="shared" si="110"/>
        <v>8984</v>
      </c>
      <c r="U149" s="259">
        <f t="shared" si="111"/>
        <v>152728</v>
      </c>
      <c r="V149" s="446">
        <f t="shared" si="112"/>
        <v>481</v>
      </c>
      <c r="W149" s="446">
        <f t="shared" si="113"/>
        <v>23.472799999999999</v>
      </c>
      <c r="X149" s="446">
        <f t="shared" si="114"/>
        <v>0.41366769599999997</v>
      </c>
      <c r="Y149" s="446">
        <f t="shared" si="115"/>
        <v>505</v>
      </c>
      <c r="Z149" s="260">
        <f t="shared" si="116"/>
        <v>73462168</v>
      </c>
      <c r="AA149" s="260">
        <f t="shared" si="117"/>
        <v>77127640</v>
      </c>
      <c r="AB149" s="425">
        <f t="shared" si="118"/>
        <v>17</v>
      </c>
      <c r="AC149" s="425">
        <f t="array" ref="AC149">MAX((IF(MNU_CODIGO_ALIMENTO_ENTREGA=CONCATENATE($E149,"_","P_"),MNU_GRAMAJE_REQUERIDO_TIPOC,"")))</f>
        <v>80</v>
      </c>
      <c r="AD149" s="257">
        <f t="shared" si="119"/>
        <v>10917</v>
      </c>
      <c r="AE149" s="257">
        <f t="shared" si="120"/>
        <v>185589</v>
      </c>
      <c r="AF149" s="446">
        <f t="shared" si="121"/>
        <v>727</v>
      </c>
      <c r="AG149" s="446">
        <f t="shared" si="122"/>
        <v>35.477600000000002</v>
      </c>
      <c r="AH149" s="446">
        <f t="shared" si="123"/>
        <v>0.62523163200000009</v>
      </c>
      <c r="AI149" s="446">
        <f t="shared" si="124"/>
        <v>763</v>
      </c>
      <c r="AJ149" s="258">
        <f t="shared" si="125"/>
        <v>134923203</v>
      </c>
      <c r="AK149" s="258">
        <f t="shared" si="126"/>
        <v>141604407</v>
      </c>
      <c r="AL149" s="426">
        <f t="shared" si="127"/>
        <v>17</v>
      </c>
      <c r="AM149" s="426">
        <f t="array" ref="AM149">MAX((IF(MNU_CODIGO_ALIMENTO_ENTREGA=CONCATENATE($E149,"_","P_"),MNU_GRAMAJE_REQUERIDO_TIPOM,"")))</f>
        <v>50</v>
      </c>
      <c r="AN149" s="259">
        <f t="shared" si="128"/>
        <v>161</v>
      </c>
      <c r="AO149" s="259">
        <f t="shared" si="129"/>
        <v>2737</v>
      </c>
      <c r="AP149" s="446">
        <f t="shared" si="130"/>
        <v>481</v>
      </c>
      <c r="AQ149" s="446">
        <f t="shared" si="131"/>
        <v>23.472799999999999</v>
      </c>
      <c r="AR149" s="446">
        <f t="shared" si="132"/>
        <v>0.41366769599999997</v>
      </c>
      <c r="AS149" s="446">
        <f t="shared" si="133"/>
        <v>505</v>
      </c>
      <c r="AT149" s="260">
        <f t="shared" si="134"/>
        <v>1316497</v>
      </c>
      <c r="AU149" s="260">
        <f t="shared" si="135"/>
        <v>1382185</v>
      </c>
      <c r="AV149" s="425">
        <f t="shared" si="136"/>
        <v>17</v>
      </c>
      <c r="AW149" s="425">
        <f t="array" ref="AW149">MAX((IF(MNU_CODIGO_ALIMENTO_ENTREGA=CONCATENATE($E149,"_","P_"),MNU_GRAMAJE_REQUERIDO_TIPOH,"")))</f>
        <v>80</v>
      </c>
      <c r="AX149" s="257">
        <f t="shared" si="137"/>
        <v>289</v>
      </c>
      <c r="AY149" s="257">
        <f t="shared" si="138"/>
        <v>4913</v>
      </c>
      <c r="AZ149" s="446">
        <f t="shared" si="139"/>
        <v>727</v>
      </c>
      <c r="BA149" s="446">
        <f t="shared" si="140"/>
        <v>35.477600000000002</v>
      </c>
      <c r="BB149" s="446">
        <f t="shared" si="141"/>
        <v>0.62523163200000009</v>
      </c>
      <c r="BC149" s="446">
        <f t="shared" si="142"/>
        <v>763</v>
      </c>
      <c r="BD149" s="258">
        <f t="shared" si="143"/>
        <v>3571751</v>
      </c>
      <c r="BE149" s="258">
        <f t="shared" si="144"/>
        <v>3748619</v>
      </c>
      <c r="BF149" s="391">
        <f t="shared" si="145"/>
        <v>259449138</v>
      </c>
      <c r="BG149" s="391">
        <f t="shared" si="146"/>
        <v>272342346</v>
      </c>
    </row>
    <row r="150" spans="1:59" ht="15.75">
      <c r="A150" s="333">
        <v>12</v>
      </c>
      <c r="B150" s="333" t="str">
        <f t="shared" si="98"/>
        <v>CEREAL EMPACADO_12</v>
      </c>
      <c r="C150" s="333" t="str">
        <f t="shared" si="99"/>
        <v>15_12</v>
      </c>
      <c r="D150" s="333" t="s">
        <v>1607</v>
      </c>
      <c r="E150" s="256">
        <v>15</v>
      </c>
      <c r="F150" s="322" t="s">
        <v>66</v>
      </c>
      <c r="G150" s="256" t="s">
        <v>9</v>
      </c>
      <c r="H150" s="425">
        <f t="shared" si="100"/>
        <v>17</v>
      </c>
      <c r="I150" s="425">
        <f t="array" ref="I150">MAX((IF(MNU_CODIGO_ALIMENTO_ENTREGA=CONCATENATE($E150,"_","P_"),MNU_GRAMAJE_REQUERIDO_TIPOA,"")))</f>
        <v>50</v>
      </c>
      <c r="J150" s="257">
        <f t="shared" si="101"/>
        <v>5647</v>
      </c>
      <c r="K150" s="257">
        <f t="shared" si="102"/>
        <v>95999</v>
      </c>
      <c r="L150" s="446">
        <f t="shared" si="103"/>
        <v>641</v>
      </c>
      <c r="M150" s="446">
        <f t="shared" si="104"/>
        <v>31.280800000000003</v>
      </c>
      <c r="N150" s="446">
        <f t="shared" si="105"/>
        <v>0.55127025600000001</v>
      </c>
      <c r="O150" s="446">
        <f t="shared" si="106"/>
        <v>673</v>
      </c>
      <c r="P150" s="258">
        <f t="shared" si="107"/>
        <v>61535359</v>
      </c>
      <c r="Q150" s="258">
        <f t="shared" si="108"/>
        <v>64607327</v>
      </c>
      <c r="R150" s="426">
        <f t="shared" si="109"/>
        <v>17</v>
      </c>
      <c r="S150" s="426">
        <f t="array" ref="S150">MAX((IF(MNU_CODIGO_ALIMENTO_ENTREGA=CONCATENATE($E150,"_","P_"),MNU_GRAMAJE_REQUERIDO_TIPOB,"")))</f>
        <v>50</v>
      </c>
      <c r="T150" s="259">
        <f t="shared" si="110"/>
        <v>8984</v>
      </c>
      <c r="U150" s="259">
        <f t="shared" si="111"/>
        <v>152728</v>
      </c>
      <c r="V150" s="446">
        <f t="shared" si="112"/>
        <v>641</v>
      </c>
      <c r="W150" s="446">
        <f t="shared" si="113"/>
        <v>31.280800000000003</v>
      </c>
      <c r="X150" s="446">
        <f t="shared" si="114"/>
        <v>0.55127025600000001</v>
      </c>
      <c r="Y150" s="446">
        <f t="shared" si="115"/>
        <v>673</v>
      </c>
      <c r="Z150" s="260">
        <f t="shared" si="116"/>
        <v>97898648</v>
      </c>
      <c r="AA150" s="260">
        <f t="shared" si="117"/>
        <v>102785944</v>
      </c>
      <c r="AB150" s="425">
        <f t="shared" si="118"/>
        <v>17</v>
      </c>
      <c r="AC150" s="425">
        <f t="array" ref="AC150">MAX((IF(MNU_CODIGO_ALIMENTO_ENTREGA=CONCATENATE($E150,"_","P_"),MNU_GRAMAJE_REQUERIDO_TIPOC,"")))</f>
        <v>80</v>
      </c>
      <c r="AD150" s="257">
        <f t="shared" si="119"/>
        <v>10917</v>
      </c>
      <c r="AE150" s="257">
        <f t="shared" si="120"/>
        <v>185589</v>
      </c>
      <c r="AF150" s="446">
        <f t="shared" si="121"/>
        <v>1025</v>
      </c>
      <c r="AG150" s="446">
        <f t="shared" si="122"/>
        <v>50.02</v>
      </c>
      <c r="AH150" s="446">
        <f t="shared" si="123"/>
        <v>0.88151640000000009</v>
      </c>
      <c r="AI150" s="446">
        <f t="shared" si="124"/>
        <v>1076</v>
      </c>
      <c r="AJ150" s="258">
        <f t="shared" si="125"/>
        <v>190228725</v>
      </c>
      <c r="AK150" s="258">
        <f t="shared" si="126"/>
        <v>199693764</v>
      </c>
      <c r="AL150" s="426">
        <f t="shared" si="127"/>
        <v>17</v>
      </c>
      <c r="AM150" s="426">
        <f t="array" ref="AM150">MAX((IF(MNU_CODIGO_ALIMENTO_ENTREGA=CONCATENATE($E150,"_","P_"),MNU_GRAMAJE_REQUERIDO_TIPOM,"")))</f>
        <v>50</v>
      </c>
      <c r="AN150" s="259">
        <f t="shared" si="128"/>
        <v>161</v>
      </c>
      <c r="AO150" s="259">
        <f t="shared" si="129"/>
        <v>2737</v>
      </c>
      <c r="AP150" s="446">
        <f t="shared" si="130"/>
        <v>641</v>
      </c>
      <c r="AQ150" s="446">
        <f t="shared" si="131"/>
        <v>31.280800000000003</v>
      </c>
      <c r="AR150" s="446">
        <f t="shared" si="132"/>
        <v>0.55127025600000001</v>
      </c>
      <c r="AS150" s="446">
        <f t="shared" si="133"/>
        <v>673</v>
      </c>
      <c r="AT150" s="260">
        <f t="shared" si="134"/>
        <v>1754417</v>
      </c>
      <c r="AU150" s="260">
        <f t="shared" si="135"/>
        <v>1842001</v>
      </c>
      <c r="AV150" s="425">
        <f t="shared" si="136"/>
        <v>17</v>
      </c>
      <c r="AW150" s="425">
        <f t="array" ref="AW150">MAX((IF(MNU_CODIGO_ALIMENTO_ENTREGA=CONCATENATE($E150,"_","P_"),MNU_GRAMAJE_REQUERIDO_TIPOH,"")))</f>
        <v>80</v>
      </c>
      <c r="AX150" s="257">
        <f t="shared" si="137"/>
        <v>289</v>
      </c>
      <c r="AY150" s="257">
        <f t="shared" si="138"/>
        <v>4913</v>
      </c>
      <c r="AZ150" s="446">
        <f t="shared" si="139"/>
        <v>1025</v>
      </c>
      <c r="BA150" s="446">
        <f t="shared" si="140"/>
        <v>50.02</v>
      </c>
      <c r="BB150" s="446">
        <f t="shared" si="141"/>
        <v>0.88151640000000009</v>
      </c>
      <c r="BC150" s="446">
        <f t="shared" si="142"/>
        <v>1076</v>
      </c>
      <c r="BD150" s="258">
        <f t="shared" si="143"/>
        <v>5035825</v>
      </c>
      <c r="BE150" s="258">
        <f t="shared" si="144"/>
        <v>5286388</v>
      </c>
      <c r="BF150" s="391">
        <f t="shared" si="145"/>
        <v>356452974</v>
      </c>
      <c r="BG150" s="391">
        <f t="shared" si="146"/>
        <v>374215424</v>
      </c>
    </row>
    <row r="151" spans="1:59" ht="15.75">
      <c r="A151" s="333">
        <v>12</v>
      </c>
      <c r="B151" s="333" t="str">
        <f t="shared" si="98"/>
        <v>CEREAL EMPACADO_12</v>
      </c>
      <c r="C151" s="333" t="str">
        <f t="shared" si="99"/>
        <v>24_12</v>
      </c>
      <c r="D151" s="333" t="s">
        <v>1607</v>
      </c>
      <c r="E151" s="256">
        <v>24</v>
      </c>
      <c r="F151" s="322" t="s">
        <v>61</v>
      </c>
      <c r="G151" s="256" t="s">
        <v>9</v>
      </c>
      <c r="H151" s="425">
        <f t="shared" si="100"/>
        <v>17</v>
      </c>
      <c r="I151" s="425">
        <f t="array" ref="I151">MAX((IF(MNU_CODIGO_ALIMENTO_ENTREGA=CONCATENATE($E151,"_","P_"),MNU_GRAMAJE_REQUERIDO_TIPOA,"")))</f>
        <v>20</v>
      </c>
      <c r="J151" s="257">
        <f t="shared" si="101"/>
        <v>5647</v>
      </c>
      <c r="K151" s="257">
        <f t="shared" si="102"/>
        <v>95999</v>
      </c>
      <c r="L151" s="446">
        <f t="shared" si="103"/>
        <v>122</v>
      </c>
      <c r="M151" s="446">
        <f t="shared" si="104"/>
        <v>5.9535999999999998</v>
      </c>
      <c r="N151" s="446">
        <f t="shared" si="105"/>
        <v>0.104921952</v>
      </c>
      <c r="O151" s="446">
        <f t="shared" si="106"/>
        <v>128</v>
      </c>
      <c r="P151" s="258">
        <f t="shared" si="107"/>
        <v>11711878</v>
      </c>
      <c r="Q151" s="258">
        <f t="shared" si="108"/>
        <v>12287872</v>
      </c>
      <c r="R151" s="426">
        <f t="shared" si="109"/>
        <v>17</v>
      </c>
      <c r="S151" s="426">
        <f t="array" ref="S151">MAX((IF(MNU_CODIGO_ALIMENTO_ENTREGA=CONCATENATE($E151,"_","P_"),MNU_GRAMAJE_REQUERIDO_TIPOB,"")))</f>
        <v>30</v>
      </c>
      <c r="T151" s="259">
        <f t="shared" si="110"/>
        <v>8984</v>
      </c>
      <c r="U151" s="259">
        <f t="shared" si="111"/>
        <v>152728</v>
      </c>
      <c r="V151" s="446">
        <f t="shared" si="112"/>
        <v>191</v>
      </c>
      <c r="W151" s="446">
        <f t="shared" si="113"/>
        <v>9.3208000000000002</v>
      </c>
      <c r="X151" s="446">
        <f t="shared" si="114"/>
        <v>0.16426305600000002</v>
      </c>
      <c r="Y151" s="446">
        <f t="shared" si="115"/>
        <v>200</v>
      </c>
      <c r="Z151" s="260">
        <f t="shared" si="116"/>
        <v>29171048</v>
      </c>
      <c r="AA151" s="260">
        <f t="shared" si="117"/>
        <v>30545600</v>
      </c>
      <c r="AB151" s="425">
        <f t="shared" si="118"/>
        <v>17</v>
      </c>
      <c r="AC151" s="425">
        <f t="array" ref="AC151">MAX((IF(MNU_CODIGO_ALIMENTO_ENTREGA=CONCATENATE($E151,"_","P_"),MNU_GRAMAJE_REQUERIDO_TIPOC,"")))</f>
        <v>60</v>
      </c>
      <c r="AD151" s="257">
        <f t="shared" si="119"/>
        <v>10917</v>
      </c>
      <c r="AE151" s="257">
        <f t="shared" si="120"/>
        <v>185589</v>
      </c>
      <c r="AF151" s="446">
        <f t="shared" si="121"/>
        <v>367</v>
      </c>
      <c r="AG151" s="446">
        <f t="shared" si="122"/>
        <v>17.909599999999998</v>
      </c>
      <c r="AH151" s="446">
        <f t="shared" si="123"/>
        <v>0.31562587200000003</v>
      </c>
      <c r="AI151" s="446">
        <f t="shared" si="124"/>
        <v>385</v>
      </c>
      <c r="AJ151" s="258">
        <f t="shared" si="125"/>
        <v>68111163</v>
      </c>
      <c r="AK151" s="258">
        <f t="shared" si="126"/>
        <v>71451765</v>
      </c>
      <c r="AL151" s="426">
        <f t="shared" si="127"/>
        <v>17</v>
      </c>
      <c r="AM151" s="426">
        <f t="array" ref="AM151">MAX((IF(MNU_CODIGO_ALIMENTO_ENTREGA=CONCATENATE($E151,"_","P_"),MNU_GRAMAJE_REQUERIDO_TIPOM,"")))</f>
        <v>30</v>
      </c>
      <c r="AN151" s="259">
        <f t="shared" si="128"/>
        <v>161</v>
      </c>
      <c r="AO151" s="259">
        <f t="shared" si="129"/>
        <v>2737</v>
      </c>
      <c r="AP151" s="446">
        <f t="shared" si="130"/>
        <v>191</v>
      </c>
      <c r="AQ151" s="446">
        <f t="shared" si="131"/>
        <v>9.3208000000000002</v>
      </c>
      <c r="AR151" s="446">
        <f t="shared" si="132"/>
        <v>0.16426305600000002</v>
      </c>
      <c r="AS151" s="446">
        <f t="shared" si="133"/>
        <v>200</v>
      </c>
      <c r="AT151" s="260">
        <f t="shared" si="134"/>
        <v>522767</v>
      </c>
      <c r="AU151" s="260">
        <f t="shared" si="135"/>
        <v>547400</v>
      </c>
      <c r="AV151" s="425">
        <f t="shared" si="136"/>
        <v>17</v>
      </c>
      <c r="AW151" s="425">
        <f t="array" ref="AW151">MAX((IF(MNU_CODIGO_ALIMENTO_ENTREGA=CONCATENATE($E151,"_","P_"),MNU_GRAMAJE_REQUERIDO_TIPOH,"")))</f>
        <v>60</v>
      </c>
      <c r="AX151" s="257">
        <f t="shared" si="137"/>
        <v>289</v>
      </c>
      <c r="AY151" s="257">
        <f t="shared" si="138"/>
        <v>4913</v>
      </c>
      <c r="AZ151" s="446">
        <f t="shared" si="139"/>
        <v>367</v>
      </c>
      <c r="BA151" s="446">
        <f t="shared" si="140"/>
        <v>17.909599999999998</v>
      </c>
      <c r="BB151" s="446">
        <f t="shared" si="141"/>
        <v>0.31562587200000003</v>
      </c>
      <c r="BC151" s="446">
        <f t="shared" si="142"/>
        <v>385</v>
      </c>
      <c r="BD151" s="258">
        <f t="shared" si="143"/>
        <v>1803071</v>
      </c>
      <c r="BE151" s="258">
        <f t="shared" si="144"/>
        <v>1891505</v>
      </c>
      <c r="BF151" s="391">
        <f t="shared" si="145"/>
        <v>111319927</v>
      </c>
      <c r="BG151" s="391">
        <f t="shared" si="146"/>
        <v>116724142</v>
      </c>
    </row>
    <row r="152" spans="1:59" ht="15.75">
      <c r="A152" s="333">
        <v>12</v>
      </c>
      <c r="B152" s="333" t="str">
        <f t="shared" si="98"/>
        <v>CEREAL EMPACADO_12</v>
      </c>
      <c r="C152" s="333" t="str">
        <f t="shared" si="99"/>
        <v>25_12</v>
      </c>
      <c r="D152" s="333" t="s">
        <v>1607</v>
      </c>
      <c r="E152" s="256">
        <v>25</v>
      </c>
      <c r="F152" s="322" t="s">
        <v>64</v>
      </c>
      <c r="G152" s="256" t="s">
        <v>9</v>
      </c>
      <c r="H152" s="425">
        <f t="shared" si="100"/>
        <v>17</v>
      </c>
      <c r="I152" s="425">
        <f t="array" ref="I152">MAX((IF(MNU_CODIGO_ALIMENTO_ENTREGA=CONCATENATE($E152,"_","P_"),MNU_GRAMAJE_REQUERIDO_TIPOA,"")))</f>
        <v>40</v>
      </c>
      <c r="J152" s="257">
        <f t="shared" si="101"/>
        <v>5647</v>
      </c>
      <c r="K152" s="257">
        <f t="shared" si="102"/>
        <v>95999</v>
      </c>
      <c r="L152" s="446">
        <f t="shared" si="103"/>
        <v>244</v>
      </c>
      <c r="M152" s="446">
        <f t="shared" si="104"/>
        <v>11.9072</v>
      </c>
      <c r="N152" s="446">
        <f t="shared" si="105"/>
        <v>0.209843904</v>
      </c>
      <c r="O152" s="446">
        <f t="shared" si="106"/>
        <v>256</v>
      </c>
      <c r="P152" s="258">
        <f t="shared" si="107"/>
        <v>23423756</v>
      </c>
      <c r="Q152" s="258">
        <f t="shared" si="108"/>
        <v>24575744</v>
      </c>
      <c r="R152" s="426">
        <f t="shared" si="109"/>
        <v>17</v>
      </c>
      <c r="S152" s="426">
        <f t="array" ref="S152">MAX((IF(MNU_CODIGO_ALIMENTO_ENTREGA=CONCATENATE($E152,"_","P_"),MNU_GRAMAJE_REQUERIDO_TIPOB,"")))</f>
        <v>40</v>
      </c>
      <c r="T152" s="259">
        <f t="shared" si="110"/>
        <v>8984</v>
      </c>
      <c r="U152" s="259">
        <f t="shared" si="111"/>
        <v>152728</v>
      </c>
      <c r="V152" s="446">
        <f t="shared" si="112"/>
        <v>244</v>
      </c>
      <c r="W152" s="446">
        <f t="shared" si="113"/>
        <v>11.9072</v>
      </c>
      <c r="X152" s="446">
        <f t="shared" si="114"/>
        <v>0.209843904</v>
      </c>
      <c r="Y152" s="446">
        <f t="shared" si="115"/>
        <v>256</v>
      </c>
      <c r="Z152" s="260">
        <f t="shared" si="116"/>
        <v>37265632</v>
      </c>
      <c r="AA152" s="260">
        <f t="shared" si="117"/>
        <v>39098368</v>
      </c>
      <c r="AB152" s="425">
        <f t="shared" si="118"/>
        <v>17</v>
      </c>
      <c r="AC152" s="425">
        <f t="array" ref="AC152">MAX((IF(MNU_CODIGO_ALIMENTO_ENTREGA=CONCATENATE($E152,"_","P_"),MNU_GRAMAJE_REQUERIDO_TIPOC,"")))</f>
        <v>60</v>
      </c>
      <c r="AD152" s="257">
        <f t="shared" si="119"/>
        <v>10917</v>
      </c>
      <c r="AE152" s="257">
        <f t="shared" si="120"/>
        <v>185589</v>
      </c>
      <c r="AF152" s="446">
        <f t="shared" si="121"/>
        <v>366</v>
      </c>
      <c r="AG152" s="446">
        <f t="shared" si="122"/>
        <v>17.860800000000001</v>
      </c>
      <c r="AH152" s="446">
        <f t="shared" si="123"/>
        <v>0.31476585600000001</v>
      </c>
      <c r="AI152" s="446">
        <f t="shared" si="124"/>
        <v>384</v>
      </c>
      <c r="AJ152" s="258">
        <f t="shared" si="125"/>
        <v>67925574</v>
      </c>
      <c r="AK152" s="258">
        <f t="shared" si="126"/>
        <v>71266176</v>
      </c>
      <c r="AL152" s="426">
        <f t="shared" si="127"/>
        <v>17</v>
      </c>
      <c r="AM152" s="426">
        <f t="array" ref="AM152">MAX((IF(MNU_CODIGO_ALIMENTO_ENTREGA=CONCATENATE($E152,"_","P_"),MNU_GRAMAJE_REQUERIDO_TIPOM,"")))</f>
        <v>40</v>
      </c>
      <c r="AN152" s="259">
        <f t="shared" si="128"/>
        <v>161</v>
      </c>
      <c r="AO152" s="259">
        <f t="shared" si="129"/>
        <v>2737</v>
      </c>
      <c r="AP152" s="446">
        <f t="shared" si="130"/>
        <v>244</v>
      </c>
      <c r="AQ152" s="446">
        <f t="shared" si="131"/>
        <v>11.9072</v>
      </c>
      <c r="AR152" s="446">
        <f t="shared" si="132"/>
        <v>0.209843904</v>
      </c>
      <c r="AS152" s="446">
        <f t="shared" si="133"/>
        <v>256</v>
      </c>
      <c r="AT152" s="260">
        <f t="shared" si="134"/>
        <v>667828</v>
      </c>
      <c r="AU152" s="260">
        <f t="shared" si="135"/>
        <v>700672</v>
      </c>
      <c r="AV152" s="425">
        <f t="shared" si="136"/>
        <v>17</v>
      </c>
      <c r="AW152" s="425">
        <f t="array" ref="AW152">MAX((IF(MNU_CODIGO_ALIMENTO_ENTREGA=CONCATENATE($E152,"_","P_"),MNU_GRAMAJE_REQUERIDO_TIPOH,"")))</f>
        <v>60</v>
      </c>
      <c r="AX152" s="257">
        <f t="shared" si="137"/>
        <v>289</v>
      </c>
      <c r="AY152" s="257">
        <f t="shared" si="138"/>
        <v>4913</v>
      </c>
      <c r="AZ152" s="446">
        <f t="shared" si="139"/>
        <v>366</v>
      </c>
      <c r="BA152" s="446">
        <f t="shared" si="140"/>
        <v>17.860800000000001</v>
      </c>
      <c r="BB152" s="446">
        <f t="shared" si="141"/>
        <v>0.31476585600000001</v>
      </c>
      <c r="BC152" s="446">
        <f t="shared" si="142"/>
        <v>384</v>
      </c>
      <c r="BD152" s="258">
        <f t="shared" si="143"/>
        <v>1798158</v>
      </c>
      <c r="BE152" s="258">
        <f t="shared" si="144"/>
        <v>1886592</v>
      </c>
      <c r="BF152" s="391">
        <f t="shared" si="145"/>
        <v>131080948</v>
      </c>
      <c r="BG152" s="391">
        <f t="shared" si="146"/>
        <v>137527552</v>
      </c>
    </row>
    <row r="153" spans="1:59" ht="15.75">
      <c r="A153" s="333">
        <v>12</v>
      </c>
      <c r="B153" s="333" t="str">
        <f t="shared" si="98"/>
        <v>CEREAL EMPACADO_12</v>
      </c>
      <c r="C153" s="333" t="str">
        <f t="shared" si="99"/>
        <v>26_12</v>
      </c>
      <c r="D153" s="333" t="s">
        <v>1607</v>
      </c>
      <c r="E153" s="256">
        <v>26</v>
      </c>
      <c r="F153" s="322" t="s">
        <v>69</v>
      </c>
      <c r="G153" s="256" t="s">
        <v>9</v>
      </c>
      <c r="H153" s="425">
        <f t="shared" si="100"/>
        <v>6</v>
      </c>
      <c r="I153" s="425">
        <f t="array" ref="I153">MAX((IF(MNU_CODIGO_ALIMENTO_ENTREGA=CONCATENATE($E153,"_","P_"),MNU_GRAMAJE_REQUERIDO_TIPOA,"")))</f>
        <v>30</v>
      </c>
      <c r="J153" s="257">
        <f t="shared" si="101"/>
        <v>5647</v>
      </c>
      <c r="K153" s="257">
        <f t="shared" si="102"/>
        <v>33882</v>
      </c>
      <c r="L153" s="446">
        <f t="shared" si="103"/>
        <v>163</v>
      </c>
      <c r="M153" s="446">
        <f t="shared" si="104"/>
        <v>7.9543999999999997</v>
      </c>
      <c r="N153" s="446">
        <f t="shared" si="105"/>
        <v>0.14018260800000001</v>
      </c>
      <c r="O153" s="446">
        <f t="shared" si="106"/>
        <v>171</v>
      </c>
      <c r="P153" s="258">
        <f t="shared" si="107"/>
        <v>5522766</v>
      </c>
      <c r="Q153" s="258">
        <f t="shared" si="108"/>
        <v>5793822</v>
      </c>
      <c r="R153" s="426">
        <f t="shared" si="109"/>
        <v>6</v>
      </c>
      <c r="S153" s="426">
        <f t="array" ref="S153">MAX((IF(MNU_CODIGO_ALIMENTO_ENTREGA=CONCATENATE($E153,"_","P_"),MNU_GRAMAJE_REQUERIDO_TIPOB,"")))</f>
        <v>30</v>
      </c>
      <c r="T153" s="259">
        <f t="shared" si="110"/>
        <v>8984</v>
      </c>
      <c r="U153" s="259">
        <f t="shared" si="111"/>
        <v>53904</v>
      </c>
      <c r="V153" s="446">
        <f t="shared" si="112"/>
        <v>163</v>
      </c>
      <c r="W153" s="446">
        <f t="shared" si="113"/>
        <v>7.9543999999999997</v>
      </c>
      <c r="X153" s="446">
        <f t="shared" si="114"/>
        <v>0.14018260800000001</v>
      </c>
      <c r="Y153" s="446">
        <f t="shared" si="115"/>
        <v>171</v>
      </c>
      <c r="Z153" s="260">
        <f t="shared" si="116"/>
        <v>8786352</v>
      </c>
      <c r="AA153" s="260">
        <f t="shared" si="117"/>
        <v>9217584</v>
      </c>
      <c r="AB153" s="425">
        <f t="shared" si="118"/>
        <v>6</v>
      </c>
      <c r="AC153" s="425">
        <f t="array" ref="AC153">MAX((IF(MNU_CODIGO_ALIMENTO_ENTREGA=CONCATENATE($E153,"_","P_"),MNU_GRAMAJE_REQUERIDO_TIPOC,"")))</f>
        <v>30</v>
      </c>
      <c r="AD153" s="257">
        <f t="shared" si="119"/>
        <v>10917</v>
      </c>
      <c r="AE153" s="257">
        <f t="shared" si="120"/>
        <v>65502</v>
      </c>
      <c r="AF153" s="446">
        <f t="shared" si="121"/>
        <v>163</v>
      </c>
      <c r="AG153" s="446">
        <f t="shared" si="122"/>
        <v>7.9543999999999997</v>
      </c>
      <c r="AH153" s="446">
        <f t="shared" si="123"/>
        <v>0.14018260800000001</v>
      </c>
      <c r="AI153" s="446">
        <f t="shared" si="124"/>
        <v>171</v>
      </c>
      <c r="AJ153" s="258">
        <f t="shared" si="125"/>
        <v>10676826</v>
      </c>
      <c r="AK153" s="258">
        <f t="shared" si="126"/>
        <v>11200842</v>
      </c>
      <c r="AL153" s="426">
        <f t="shared" si="127"/>
        <v>6</v>
      </c>
      <c r="AM153" s="426">
        <f t="array" ref="AM153">MAX((IF(MNU_CODIGO_ALIMENTO_ENTREGA=CONCATENATE($E153,"_","P_"),MNU_GRAMAJE_REQUERIDO_TIPOM,"")))</f>
        <v>30</v>
      </c>
      <c r="AN153" s="259">
        <f t="shared" si="128"/>
        <v>161</v>
      </c>
      <c r="AO153" s="259">
        <f t="shared" si="129"/>
        <v>966</v>
      </c>
      <c r="AP153" s="446">
        <f t="shared" si="130"/>
        <v>163</v>
      </c>
      <c r="AQ153" s="446">
        <f t="shared" si="131"/>
        <v>7.9543999999999997</v>
      </c>
      <c r="AR153" s="446">
        <f t="shared" si="132"/>
        <v>0.14018260800000001</v>
      </c>
      <c r="AS153" s="446">
        <f t="shared" si="133"/>
        <v>171</v>
      </c>
      <c r="AT153" s="260">
        <f t="shared" si="134"/>
        <v>157458</v>
      </c>
      <c r="AU153" s="260">
        <f t="shared" si="135"/>
        <v>165186</v>
      </c>
      <c r="AV153" s="425">
        <f t="shared" si="136"/>
        <v>6</v>
      </c>
      <c r="AW153" s="425">
        <f t="array" ref="AW153">MAX((IF(MNU_CODIGO_ALIMENTO_ENTREGA=CONCATENATE($E153,"_","P_"),MNU_GRAMAJE_REQUERIDO_TIPOH,"")))</f>
        <v>30</v>
      </c>
      <c r="AX153" s="257">
        <f t="shared" si="137"/>
        <v>289</v>
      </c>
      <c r="AY153" s="257">
        <f t="shared" si="138"/>
        <v>1734</v>
      </c>
      <c r="AZ153" s="446">
        <f t="shared" si="139"/>
        <v>163</v>
      </c>
      <c r="BA153" s="446">
        <f t="shared" si="140"/>
        <v>7.9543999999999997</v>
      </c>
      <c r="BB153" s="446">
        <f t="shared" si="141"/>
        <v>0.14018260800000001</v>
      </c>
      <c r="BC153" s="446">
        <f t="shared" si="142"/>
        <v>171</v>
      </c>
      <c r="BD153" s="258">
        <f t="shared" si="143"/>
        <v>282642</v>
      </c>
      <c r="BE153" s="258">
        <f t="shared" si="144"/>
        <v>296514</v>
      </c>
      <c r="BF153" s="391">
        <f t="shared" si="145"/>
        <v>25426044</v>
      </c>
      <c r="BG153" s="391">
        <f t="shared" si="146"/>
        <v>26673948</v>
      </c>
    </row>
    <row r="154" spans="1:59" ht="27">
      <c r="A154" s="333">
        <v>12</v>
      </c>
      <c r="B154" s="333" t="str">
        <f t="shared" si="98"/>
        <v>CEREAL EMPACADO_12</v>
      </c>
      <c r="C154" s="333" t="str">
        <f t="shared" si="99"/>
        <v>28_12</v>
      </c>
      <c r="D154" s="333" t="s">
        <v>1607</v>
      </c>
      <c r="E154" s="256">
        <v>28</v>
      </c>
      <c r="F154" s="322" t="s">
        <v>67</v>
      </c>
      <c r="G154" s="256" t="s">
        <v>9</v>
      </c>
      <c r="H154" s="425">
        <f t="shared" si="100"/>
        <v>6</v>
      </c>
      <c r="I154" s="425">
        <f t="array" ref="I154">MAX((IF(MNU_CODIGO_ALIMENTO_ENTREGA=CONCATENATE($E154,"_","P_"),MNU_GRAMAJE_REQUERIDO_TIPOA,"")))</f>
        <v>30</v>
      </c>
      <c r="J154" s="257">
        <f t="shared" si="101"/>
        <v>5647</v>
      </c>
      <c r="K154" s="257">
        <f t="shared" si="102"/>
        <v>33882</v>
      </c>
      <c r="L154" s="446">
        <f t="shared" si="103"/>
        <v>215</v>
      </c>
      <c r="M154" s="446">
        <f t="shared" si="104"/>
        <v>10.492000000000001</v>
      </c>
      <c r="N154" s="446">
        <f t="shared" si="105"/>
        <v>0.18490343999999997</v>
      </c>
      <c r="O154" s="446">
        <f t="shared" si="106"/>
        <v>226</v>
      </c>
      <c r="P154" s="258">
        <f t="shared" si="107"/>
        <v>7284630</v>
      </c>
      <c r="Q154" s="258">
        <f t="shared" si="108"/>
        <v>7657332</v>
      </c>
      <c r="R154" s="426">
        <f t="shared" si="109"/>
        <v>6</v>
      </c>
      <c r="S154" s="426">
        <f t="array" ref="S154">MAX((IF(MNU_CODIGO_ALIMENTO_ENTREGA=CONCATENATE($E154,"_","P_"),MNU_GRAMAJE_REQUERIDO_TIPOB,"")))</f>
        <v>40</v>
      </c>
      <c r="T154" s="259">
        <f t="shared" si="110"/>
        <v>8984</v>
      </c>
      <c r="U154" s="259">
        <f t="shared" si="111"/>
        <v>53904</v>
      </c>
      <c r="V154" s="446">
        <f t="shared" si="112"/>
        <v>287</v>
      </c>
      <c r="W154" s="446">
        <f t="shared" si="113"/>
        <v>14.005600000000001</v>
      </c>
      <c r="X154" s="446">
        <f t="shared" si="114"/>
        <v>0.24682459200000004</v>
      </c>
      <c r="Y154" s="446">
        <f t="shared" si="115"/>
        <v>301</v>
      </c>
      <c r="Z154" s="260">
        <f t="shared" si="116"/>
        <v>15470448</v>
      </c>
      <c r="AA154" s="260">
        <f t="shared" si="117"/>
        <v>16225104</v>
      </c>
      <c r="AB154" s="425">
        <f t="shared" si="118"/>
        <v>6</v>
      </c>
      <c r="AC154" s="425">
        <f t="array" ref="AC154">MAX((IF(MNU_CODIGO_ALIMENTO_ENTREGA=CONCATENATE($E154,"_","P_"),MNU_GRAMAJE_REQUERIDO_TIPOC,"")))</f>
        <v>60</v>
      </c>
      <c r="AD154" s="257">
        <f t="shared" si="119"/>
        <v>10917</v>
      </c>
      <c r="AE154" s="257">
        <f t="shared" si="120"/>
        <v>65502</v>
      </c>
      <c r="AF154" s="446">
        <f t="shared" si="121"/>
        <v>430</v>
      </c>
      <c r="AG154" s="446">
        <f t="shared" si="122"/>
        <v>20.984000000000002</v>
      </c>
      <c r="AH154" s="446">
        <f t="shared" si="123"/>
        <v>0.36980687999999995</v>
      </c>
      <c r="AI154" s="446">
        <f t="shared" si="124"/>
        <v>451</v>
      </c>
      <c r="AJ154" s="258">
        <f t="shared" si="125"/>
        <v>28165860</v>
      </c>
      <c r="AK154" s="258">
        <f t="shared" si="126"/>
        <v>29541402</v>
      </c>
      <c r="AL154" s="426">
        <f t="shared" si="127"/>
        <v>6</v>
      </c>
      <c r="AM154" s="426">
        <f t="array" ref="AM154">MAX((IF(MNU_CODIGO_ALIMENTO_ENTREGA=CONCATENATE($E154,"_","P_"),MNU_GRAMAJE_REQUERIDO_TIPOM,"")))</f>
        <v>40</v>
      </c>
      <c r="AN154" s="259">
        <f t="shared" si="128"/>
        <v>161</v>
      </c>
      <c r="AO154" s="259">
        <f t="shared" si="129"/>
        <v>966</v>
      </c>
      <c r="AP154" s="446">
        <f t="shared" si="130"/>
        <v>287</v>
      </c>
      <c r="AQ154" s="446">
        <f t="shared" si="131"/>
        <v>14.005600000000001</v>
      </c>
      <c r="AR154" s="446">
        <f t="shared" si="132"/>
        <v>0.24682459200000004</v>
      </c>
      <c r="AS154" s="446">
        <f t="shared" si="133"/>
        <v>301</v>
      </c>
      <c r="AT154" s="260">
        <f t="shared" si="134"/>
        <v>277242</v>
      </c>
      <c r="AU154" s="260">
        <f t="shared" si="135"/>
        <v>290766</v>
      </c>
      <c r="AV154" s="425">
        <f t="shared" si="136"/>
        <v>6</v>
      </c>
      <c r="AW154" s="425">
        <f t="array" ref="AW154">MAX((IF(MNU_CODIGO_ALIMENTO_ENTREGA=CONCATENATE($E154,"_","P_"),MNU_GRAMAJE_REQUERIDO_TIPOH,"")))</f>
        <v>60</v>
      </c>
      <c r="AX154" s="257">
        <f t="shared" si="137"/>
        <v>289</v>
      </c>
      <c r="AY154" s="257">
        <f t="shared" si="138"/>
        <v>1734</v>
      </c>
      <c r="AZ154" s="446">
        <f t="shared" si="139"/>
        <v>430</v>
      </c>
      <c r="BA154" s="446">
        <f t="shared" si="140"/>
        <v>20.984000000000002</v>
      </c>
      <c r="BB154" s="446">
        <f t="shared" si="141"/>
        <v>0.36980687999999995</v>
      </c>
      <c r="BC154" s="446">
        <f t="shared" si="142"/>
        <v>451</v>
      </c>
      <c r="BD154" s="258">
        <f t="shared" si="143"/>
        <v>745620</v>
      </c>
      <c r="BE154" s="258">
        <f t="shared" si="144"/>
        <v>782034</v>
      </c>
      <c r="BF154" s="391">
        <f t="shared" si="145"/>
        <v>51943800</v>
      </c>
      <c r="BG154" s="391">
        <f t="shared" si="146"/>
        <v>54496638</v>
      </c>
    </row>
    <row r="155" spans="1:59" ht="15.75">
      <c r="A155" s="333">
        <v>12</v>
      </c>
      <c r="B155" s="333" t="str">
        <f t="shared" si="98"/>
        <v>CEREAL EMPACADO_12</v>
      </c>
      <c r="C155" s="333" t="str">
        <f t="shared" si="99"/>
        <v>30_12</v>
      </c>
      <c r="D155" s="333" t="s">
        <v>1607</v>
      </c>
      <c r="E155" s="256">
        <v>30</v>
      </c>
      <c r="F155" s="322" t="s">
        <v>63</v>
      </c>
      <c r="G155" s="256" t="s">
        <v>9</v>
      </c>
      <c r="H155" s="425">
        <f t="shared" si="100"/>
        <v>16</v>
      </c>
      <c r="I155" s="425">
        <f t="array" ref="I155">MAX((IF(MNU_CODIGO_ALIMENTO_ENTREGA=CONCATENATE($E155,"_","P_"),MNU_GRAMAJE_REQUERIDO_TIPOA,"")))</f>
        <v>30</v>
      </c>
      <c r="J155" s="257">
        <f t="shared" si="101"/>
        <v>5647</v>
      </c>
      <c r="K155" s="257">
        <f t="shared" si="102"/>
        <v>90352</v>
      </c>
      <c r="L155" s="446">
        <f t="shared" si="103"/>
        <v>316</v>
      </c>
      <c r="M155" s="446">
        <f t="shared" si="104"/>
        <v>15.4208</v>
      </c>
      <c r="N155" s="446">
        <f t="shared" si="105"/>
        <v>0.271765056</v>
      </c>
      <c r="O155" s="446">
        <f t="shared" si="106"/>
        <v>332</v>
      </c>
      <c r="P155" s="258">
        <f t="shared" si="107"/>
        <v>28551232</v>
      </c>
      <c r="Q155" s="258">
        <f t="shared" si="108"/>
        <v>29996864</v>
      </c>
      <c r="R155" s="426">
        <f t="shared" si="109"/>
        <v>16</v>
      </c>
      <c r="S155" s="426">
        <f t="array" ref="S155">MAX((IF(MNU_CODIGO_ALIMENTO_ENTREGA=CONCATENATE($E155,"_","P_"),MNU_GRAMAJE_REQUERIDO_TIPOB,"")))</f>
        <v>30</v>
      </c>
      <c r="T155" s="259">
        <f t="shared" si="110"/>
        <v>8984</v>
      </c>
      <c r="U155" s="259">
        <f t="shared" si="111"/>
        <v>143744</v>
      </c>
      <c r="V155" s="446">
        <f t="shared" si="112"/>
        <v>316</v>
      </c>
      <c r="W155" s="446">
        <f t="shared" si="113"/>
        <v>15.4208</v>
      </c>
      <c r="X155" s="446">
        <f t="shared" si="114"/>
        <v>0.271765056</v>
      </c>
      <c r="Y155" s="446">
        <f t="shared" si="115"/>
        <v>332</v>
      </c>
      <c r="Z155" s="260">
        <f t="shared" si="116"/>
        <v>45423104</v>
      </c>
      <c r="AA155" s="260">
        <f t="shared" si="117"/>
        <v>47723008</v>
      </c>
      <c r="AB155" s="425">
        <f t="shared" si="118"/>
        <v>16</v>
      </c>
      <c r="AC155" s="425">
        <f t="array" ref="AC155">MAX((IF(MNU_CODIGO_ALIMENTO_ENTREGA=CONCATENATE($E155,"_","P_"),MNU_GRAMAJE_REQUERIDO_TIPOC,"")))</f>
        <v>30</v>
      </c>
      <c r="AD155" s="257">
        <f t="shared" si="119"/>
        <v>10917</v>
      </c>
      <c r="AE155" s="257">
        <f t="shared" si="120"/>
        <v>174672</v>
      </c>
      <c r="AF155" s="446">
        <f t="shared" si="121"/>
        <v>316</v>
      </c>
      <c r="AG155" s="446">
        <f t="shared" si="122"/>
        <v>15.4208</v>
      </c>
      <c r="AH155" s="446">
        <f t="shared" si="123"/>
        <v>0.271765056</v>
      </c>
      <c r="AI155" s="446">
        <f t="shared" si="124"/>
        <v>332</v>
      </c>
      <c r="AJ155" s="258">
        <f t="shared" si="125"/>
        <v>55196352</v>
      </c>
      <c r="AK155" s="258">
        <f t="shared" si="126"/>
        <v>57991104</v>
      </c>
      <c r="AL155" s="426">
        <f t="shared" si="127"/>
        <v>16</v>
      </c>
      <c r="AM155" s="426">
        <f t="array" ref="AM155">MAX((IF(MNU_CODIGO_ALIMENTO_ENTREGA=CONCATENATE($E155,"_","P_"),MNU_GRAMAJE_REQUERIDO_TIPOM,"")))</f>
        <v>30</v>
      </c>
      <c r="AN155" s="259">
        <f t="shared" si="128"/>
        <v>161</v>
      </c>
      <c r="AO155" s="259">
        <f t="shared" si="129"/>
        <v>2576</v>
      </c>
      <c r="AP155" s="446">
        <f t="shared" si="130"/>
        <v>316</v>
      </c>
      <c r="AQ155" s="446">
        <f t="shared" si="131"/>
        <v>15.4208</v>
      </c>
      <c r="AR155" s="446">
        <f t="shared" si="132"/>
        <v>0.271765056</v>
      </c>
      <c r="AS155" s="446">
        <f t="shared" si="133"/>
        <v>332</v>
      </c>
      <c r="AT155" s="260">
        <f t="shared" si="134"/>
        <v>814016</v>
      </c>
      <c r="AU155" s="260">
        <f t="shared" si="135"/>
        <v>855232</v>
      </c>
      <c r="AV155" s="425">
        <f t="shared" si="136"/>
        <v>16</v>
      </c>
      <c r="AW155" s="425">
        <f t="array" ref="AW155">MAX((IF(MNU_CODIGO_ALIMENTO_ENTREGA=CONCATENATE($E155,"_","P_"),MNU_GRAMAJE_REQUERIDO_TIPOH,"")))</f>
        <v>30</v>
      </c>
      <c r="AX155" s="257">
        <f t="shared" si="137"/>
        <v>289</v>
      </c>
      <c r="AY155" s="257">
        <f t="shared" si="138"/>
        <v>4624</v>
      </c>
      <c r="AZ155" s="446">
        <f t="shared" si="139"/>
        <v>316</v>
      </c>
      <c r="BA155" s="446">
        <f t="shared" si="140"/>
        <v>15.4208</v>
      </c>
      <c r="BB155" s="446">
        <f t="shared" si="141"/>
        <v>0.271765056</v>
      </c>
      <c r="BC155" s="446">
        <f t="shared" si="142"/>
        <v>332</v>
      </c>
      <c r="BD155" s="258">
        <f t="shared" si="143"/>
        <v>1461184</v>
      </c>
      <c r="BE155" s="258">
        <f t="shared" si="144"/>
        <v>1535168</v>
      </c>
      <c r="BF155" s="391">
        <f t="shared" si="145"/>
        <v>131445888</v>
      </c>
      <c r="BG155" s="391">
        <f t="shared" si="146"/>
        <v>138101376</v>
      </c>
    </row>
    <row r="156" spans="1:59" ht="15.75">
      <c r="A156" s="333">
        <v>12</v>
      </c>
      <c r="B156" s="333" t="str">
        <f t="shared" si="98"/>
        <v>CEREAL EMPACADO_12</v>
      </c>
      <c r="C156" s="333" t="str">
        <f t="shared" si="99"/>
        <v>45_12</v>
      </c>
      <c r="D156" s="333" t="s">
        <v>1607</v>
      </c>
      <c r="E156" s="256">
        <v>45</v>
      </c>
      <c r="F156" s="322" t="s">
        <v>10</v>
      </c>
      <c r="G156" s="256" t="s">
        <v>9</v>
      </c>
      <c r="H156" s="425">
        <f t="shared" si="100"/>
        <v>16</v>
      </c>
      <c r="I156" s="425">
        <f t="array" ref="I156">MAX((IF(MNU_CODIGO_ALIMENTO_ENTREGA=CONCATENATE($E156,"_","P_"),MNU_GRAMAJE_REQUERIDO_TIPOA,"")))</f>
        <v>20</v>
      </c>
      <c r="J156" s="257">
        <f t="shared" si="101"/>
        <v>5647</v>
      </c>
      <c r="K156" s="257">
        <f t="shared" si="102"/>
        <v>90352</v>
      </c>
      <c r="L156" s="446">
        <f t="shared" si="103"/>
        <v>190</v>
      </c>
      <c r="M156" s="446">
        <f t="shared" si="104"/>
        <v>9.2720000000000002</v>
      </c>
      <c r="N156" s="446">
        <f t="shared" si="105"/>
        <v>0.16340304</v>
      </c>
      <c r="O156" s="446">
        <f t="shared" si="106"/>
        <v>199</v>
      </c>
      <c r="P156" s="258">
        <f t="shared" si="107"/>
        <v>17166880</v>
      </c>
      <c r="Q156" s="258">
        <f t="shared" si="108"/>
        <v>17980048</v>
      </c>
      <c r="R156" s="426">
        <f t="shared" si="109"/>
        <v>16</v>
      </c>
      <c r="S156" s="426">
        <f t="array" ref="S156">MAX((IF(MNU_CODIGO_ALIMENTO_ENTREGA=CONCATENATE($E156,"_","P_"),MNU_GRAMAJE_REQUERIDO_TIPOB,"")))</f>
        <v>30</v>
      </c>
      <c r="T156" s="259">
        <f t="shared" si="110"/>
        <v>8984</v>
      </c>
      <c r="U156" s="259">
        <f t="shared" si="111"/>
        <v>143744</v>
      </c>
      <c r="V156" s="446">
        <f t="shared" si="112"/>
        <v>284</v>
      </c>
      <c r="W156" s="446">
        <f t="shared" si="113"/>
        <v>13.8592</v>
      </c>
      <c r="X156" s="446">
        <f t="shared" si="114"/>
        <v>0.24424454399999998</v>
      </c>
      <c r="Y156" s="446">
        <f t="shared" si="115"/>
        <v>298</v>
      </c>
      <c r="Z156" s="260">
        <f t="shared" si="116"/>
        <v>40823296</v>
      </c>
      <c r="AA156" s="260">
        <f t="shared" si="117"/>
        <v>42835712</v>
      </c>
      <c r="AB156" s="425">
        <f t="shared" si="118"/>
        <v>16</v>
      </c>
      <c r="AC156" s="425">
        <f t="array" ref="AC156">MAX((IF(MNU_CODIGO_ALIMENTO_ENTREGA=CONCATENATE($E156,"_","P_"),MNU_GRAMAJE_REQUERIDO_TIPOC,"")))</f>
        <v>60</v>
      </c>
      <c r="AD156" s="257">
        <f t="shared" si="119"/>
        <v>10917</v>
      </c>
      <c r="AE156" s="257">
        <f t="shared" si="120"/>
        <v>174672</v>
      </c>
      <c r="AF156" s="446">
        <f t="shared" si="121"/>
        <v>569</v>
      </c>
      <c r="AG156" s="446">
        <f t="shared" si="122"/>
        <v>27.767199999999999</v>
      </c>
      <c r="AH156" s="446">
        <f t="shared" si="123"/>
        <v>0.48934910400000003</v>
      </c>
      <c r="AI156" s="446">
        <f t="shared" si="124"/>
        <v>597</v>
      </c>
      <c r="AJ156" s="258">
        <f t="shared" si="125"/>
        <v>99388368</v>
      </c>
      <c r="AK156" s="258">
        <f t="shared" si="126"/>
        <v>104279184</v>
      </c>
      <c r="AL156" s="426">
        <f t="shared" si="127"/>
        <v>16</v>
      </c>
      <c r="AM156" s="426">
        <f t="array" ref="AM156">MAX((IF(MNU_CODIGO_ALIMENTO_ENTREGA=CONCATENATE($E156,"_","P_"),MNU_GRAMAJE_REQUERIDO_TIPOM,"")))</f>
        <v>30</v>
      </c>
      <c r="AN156" s="259">
        <f t="shared" si="128"/>
        <v>161</v>
      </c>
      <c r="AO156" s="259">
        <f t="shared" si="129"/>
        <v>2576</v>
      </c>
      <c r="AP156" s="446">
        <f t="shared" si="130"/>
        <v>284</v>
      </c>
      <c r="AQ156" s="446">
        <f t="shared" si="131"/>
        <v>13.8592</v>
      </c>
      <c r="AR156" s="446">
        <f t="shared" si="132"/>
        <v>0.24424454399999998</v>
      </c>
      <c r="AS156" s="446">
        <f t="shared" si="133"/>
        <v>298</v>
      </c>
      <c r="AT156" s="260">
        <f t="shared" si="134"/>
        <v>731584</v>
      </c>
      <c r="AU156" s="260">
        <f t="shared" si="135"/>
        <v>767648</v>
      </c>
      <c r="AV156" s="425">
        <f t="shared" si="136"/>
        <v>16</v>
      </c>
      <c r="AW156" s="425">
        <f t="array" ref="AW156">MAX((IF(MNU_CODIGO_ALIMENTO_ENTREGA=CONCATENATE($E156,"_","P_"),MNU_GRAMAJE_REQUERIDO_TIPOH,"")))</f>
        <v>60</v>
      </c>
      <c r="AX156" s="257">
        <f t="shared" si="137"/>
        <v>289</v>
      </c>
      <c r="AY156" s="257">
        <f t="shared" si="138"/>
        <v>4624</v>
      </c>
      <c r="AZ156" s="446">
        <f t="shared" si="139"/>
        <v>569</v>
      </c>
      <c r="BA156" s="446">
        <f t="shared" si="140"/>
        <v>27.767199999999999</v>
      </c>
      <c r="BB156" s="446">
        <f t="shared" si="141"/>
        <v>0.48934910400000003</v>
      </c>
      <c r="BC156" s="446">
        <f t="shared" si="142"/>
        <v>597</v>
      </c>
      <c r="BD156" s="258">
        <f t="shared" si="143"/>
        <v>2631056</v>
      </c>
      <c r="BE156" s="258">
        <f t="shared" si="144"/>
        <v>2760528</v>
      </c>
      <c r="BF156" s="391">
        <f t="shared" si="145"/>
        <v>160741184</v>
      </c>
      <c r="BG156" s="391">
        <f t="shared" si="146"/>
        <v>168623120</v>
      </c>
    </row>
    <row r="157" spans="1:59" ht="15.75">
      <c r="A157" s="333">
        <v>12</v>
      </c>
      <c r="B157" s="333" t="str">
        <f t="shared" si="98"/>
        <v>CEREAL EMPACADO_12</v>
      </c>
      <c r="C157" s="333" t="str">
        <f t="shared" si="99"/>
        <v>50_12</v>
      </c>
      <c r="D157" s="333" t="s">
        <v>1607</v>
      </c>
      <c r="E157" s="256">
        <v>50</v>
      </c>
      <c r="F157" s="322" t="s">
        <v>65</v>
      </c>
      <c r="G157" s="256" t="s">
        <v>9</v>
      </c>
      <c r="H157" s="425">
        <f t="shared" si="100"/>
        <v>17</v>
      </c>
      <c r="I157" s="425">
        <f t="array" ref="I157">MAX((IF(MNU_CODIGO_ALIMENTO_ENTREGA=CONCATENATE($E157,"_","P_"),MNU_GRAMAJE_REQUERIDO_TIPOA,"")))</f>
        <v>30</v>
      </c>
      <c r="J157" s="257">
        <f t="shared" si="101"/>
        <v>5647</v>
      </c>
      <c r="K157" s="257">
        <f t="shared" si="102"/>
        <v>95999</v>
      </c>
      <c r="L157" s="446">
        <f t="shared" si="103"/>
        <v>306</v>
      </c>
      <c r="M157" s="446">
        <f t="shared" si="104"/>
        <v>14.9328</v>
      </c>
      <c r="N157" s="446">
        <f t="shared" si="105"/>
        <v>0.26316489599999998</v>
      </c>
      <c r="O157" s="446">
        <f t="shared" si="106"/>
        <v>321</v>
      </c>
      <c r="P157" s="258">
        <f t="shared" si="107"/>
        <v>29375694</v>
      </c>
      <c r="Q157" s="258">
        <f t="shared" si="108"/>
        <v>30815679</v>
      </c>
      <c r="R157" s="426">
        <f t="shared" si="109"/>
        <v>17</v>
      </c>
      <c r="S157" s="426">
        <f t="array" ref="S157">MAX((IF(MNU_CODIGO_ALIMENTO_ENTREGA=CONCATENATE($E157,"_","P_"),MNU_GRAMAJE_REQUERIDO_TIPOB,"")))</f>
        <v>40</v>
      </c>
      <c r="T157" s="259">
        <f t="shared" si="110"/>
        <v>8984</v>
      </c>
      <c r="U157" s="259">
        <f t="shared" si="111"/>
        <v>152728</v>
      </c>
      <c r="V157" s="446">
        <f t="shared" si="112"/>
        <v>408</v>
      </c>
      <c r="W157" s="446">
        <f t="shared" si="113"/>
        <v>19.910400000000003</v>
      </c>
      <c r="X157" s="446">
        <f t="shared" si="114"/>
        <v>0.35088652799999998</v>
      </c>
      <c r="Y157" s="446">
        <f t="shared" si="115"/>
        <v>428</v>
      </c>
      <c r="Z157" s="260">
        <f t="shared" si="116"/>
        <v>62313024</v>
      </c>
      <c r="AA157" s="260">
        <f t="shared" si="117"/>
        <v>65367584</v>
      </c>
      <c r="AB157" s="425">
        <f t="shared" si="118"/>
        <v>17</v>
      </c>
      <c r="AC157" s="425">
        <f t="array" ref="AC157">MAX((IF(MNU_CODIGO_ALIMENTO_ENTREGA=CONCATENATE($E157,"_","P_"),MNU_GRAMAJE_REQUERIDO_TIPOC,"")))</f>
        <v>80</v>
      </c>
      <c r="AD157" s="257">
        <f t="shared" si="119"/>
        <v>10917</v>
      </c>
      <c r="AE157" s="257">
        <f t="shared" si="120"/>
        <v>185589</v>
      </c>
      <c r="AF157" s="446">
        <f t="shared" si="121"/>
        <v>815</v>
      </c>
      <c r="AG157" s="446">
        <f t="shared" si="122"/>
        <v>39.772000000000006</v>
      </c>
      <c r="AH157" s="446">
        <f t="shared" si="123"/>
        <v>0.7009130400000001</v>
      </c>
      <c r="AI157" s="446">
        <f t="shared" si="124"/>
        <v>855</v>
      </c>
      <c r="AJ157" s="258">
        <f t="shared" si="125"/>
        <v>151255035</v>
      </c>
      <c r="AK157" s="258">
        <f t="shared" si="126"/>
        <v>158678595</v>
      </c>
      <c r="AL157" s="426">
        <f t="shared" si="127"/>
        <v>17</v>
      </c>
      <c r="AM157" s="426">
        <f t="array" ref="AM157">MAX((IF(MNU_CODIGO_ALIMENTO_ENTREGA=CONCATENATE($E157,"_","P_"),MNU_GRAMAJE_REQUERIDO_TIPOM,"")))</f>
        <v>40</v>
      </c>
      <c r="AN157" s="259">
        <f t="shared" si="128"/>
        <v>161</v>
      </c>
      <c r="AO157" s="259">
        <f t="shared" si="129"/>
        <v>2737</v>
      </c>
      <c r="AP157" s="446">
        <f t="shared" si="130"/>
        <v>408</v>
      </c>
      <c r="AQ157" s="446">
        <f t="shared" si="131"/>
        <v>19.910400000000003</v>
      </c>
      <c r="AR157" s="446">
        <f t="shared" si="132"/>
        <v>0.35088652799999998</v>
      </c>
      <c r="AS157" s="446">
        <f t="shared" si="133"/>
        <v>428</v>
      </c>
      <c r="AT157" s="260">
        <f t="shared" si="134"/>
        <v>1116696</v>
      </c>
      <c r="AU157" s="260">
        <f t="shared" si="135"/>
        <v>1171436</v>
      </c>
      <c r="AV157" s="425">
        <f t="shared" si="136"/>
        <v>17</v>
      </c>
      <c r="AW157" s="425">
        <f t="array" ref="AW157">MAX((IF(MNU_CODIGO_ALIMENTO_ENTREGA=CONCATENATE($E157,"_","P_"),MNU_GRAMAJE_REQUERIDO_TIPOH,"")))</f>
        <v>80</v>
      </c>
      <c r="AX157" s="257">
        <f t="shared" si="137"/>
        <v>289</v>
      </c>
      <c r="AY157" s="257">
        <f t="shared" si="138"/>
        <v>4913</v>
      </c>
      <c r="AZ157" s="446">
        <f t="shared" si="139"/>
        <v>815</v>
      </c>
      <c r="BA157" s="446">
        <f t="shared" si="140"/>
        <v>39.772000000000006</v>
      </c>
      <c r="BB157" s="446">
        <f t="shared" si="141"/>
        <v>0.7009130400000001</v>
      </c>
      <c r="BC157" s="446">
        <f t="shared" si="142"/>
        <v>855</v>
      </c>
      <c r="BD157" s="258">
        <f t="shared" si="143"/>
        <v>4004095</v>
      </c>
      <c r="BE157" s="258">
        <f t="shared" si="144"/>
        <v>4200615</v>
      </c>
      <c r="BF157" s="391">
        <f t="shared" si="145"/>
        <v>248064544</v>
      </c>
      <c r="BG157" s="391">
        <f t="shared" si="146"/>
        <v>260233909</v>
      </c>
    </row>
    <row r="158" spans="1:59" ht="15.75">
      <c r="A158" s="333">
        <v>12</v>
      </c>
      <c r="B158" s="333" t="str">
        <f t="shared" si="98"/>
        <v>CEREAL EMPACADO_12</v>
      </c>
      <c r="C158" s="333" t="str">
        <f t="shared" si="99"/>
        <v>61_12</v>
      </c>
      <c r="D158" s="333" t="s">
        <v>1607</v>
      </c>
      <c r="E158" s="256">
        <v>61</v>
      </c>
      <c r="F158" s="322" t="s">
        <v>13</v>
      </c>
      <c r="G158" s="256" t="s">
        <v>9</v>
      </c>
      <c r="H158" s="425">
        <f t="shared" si="100"/>
        <v>16</v>
      </c>
      <c r="I158" s="425">
        <f t="array" ref="I158">MAX((IF(MNU_CODIGO_ALIMENTO_ENTREGA=CONCATENATE($E158,"_","P_"),MNU_GRAMAJE_REQUERIDO_TIPOA,"")))</f>
        <v>20</v>
      </c>
      <c r="J158" s="257">
        <f t="shared" si="101"/>
        <v>5647</v>
      </c>
      <c r="K158" s="257">
        <f t="shared" si="102"/>
        <v>90352</v>
      </c>
      <c r="L158" s="446">
        <f t="shared" si="103"/>
        <v>222</v>
      </c>
      <c r="M158" s="446">
        <f t="shared" si="104"/>
        <v>10.833600000000001</v>
      </c>
      <c r="N158" s="446">
        <f t="shared" si="105"/>
        <v>0.190923552</v>
      </c>
      <c r="O158" s="446">
        <f t="shared" si="106"/>
        <v>233</v>
      </c>
      <c r="P158" s="258">
        <f t="shared" si="107"/>
        <v>20058144</v>
      </c>
      <c r="Q158" s="258">
        <f t="shared" si="108"/>
        <v>21052016</v>
      </c>
      <c r="R158" s="426">
        <f t="shared" si="109"/>
        <v>16</v>
      </c>
      <c r="S158" s="426">
        <f t="array" ref="S158">MAX((IF(MNU_CODIGO_ALIMENTO_ENTREGA=CONCATENATE($E158,"_","P_"),MNU_GRAMAJE_REQUERIDO_TIPOB,"")))</f>
        <v>30</v>
      </c>
      <c r="T158" s="259">
        <f t="shared" si="110"/>
        <v>8984</v>
      </c>
      <c r="U158" s="259">
        <f t="shared" si="111"/>
        <v>143744</v>
      </c>
      <c r="V158" s="446">
        <f t="shared" si="112"/>
        <v>334</v>
      </c>
      <c r="W158" s="446">
        <f t="shared" si="113"/>
        <v>16.299199999999999</v>
      </c>
      <c r="X158" s="446">
        <f t="shared" si="114"/>
        <v>0.28724534400000001</v>
      </c>
      <c r="Y158" s="446">
        <f t="shared" si="115"/>
        <v>351</v>
      </c>
      <c r="Z158" s="260">
        <f t="shared" si="116"/>
        <v>48010496</v>
      </c>
      <c r="AA158" s="260">
        <f t="shared" si="117"/>
        <v>50454144</v>
      </c>
      <c r="AB158" s="425">
        <f t="shared" si="118"/>
        <v>16</v>
      </c>
      <c r="AC158" s="425">
        <f t="array" ref="AC158">MAX((IF(MNU_CODIGO_ALIMENTO_ENTREGA=CONCATENATE($E158,"_","P_"),MNU_GRAMAJE_REQUERIDO_TIPOC,"")))</f>
        <v>70</v>
      </c>
      <c r="AD158" s="257">
        <f t="shared" si="119"/>
        <v>10917</v>
      </c>
      <c r="AE158" s="257">
        <f t="shared" si="120"/>
        <v>174672</v>
      </c>
      <c r="AF158" s="446">
        <f t="shared" si="121"/>
        <v>779</v>
      </c>
      <c r="AG158" s="446">
        <f t="shared" si="122"/>
        <v>38.0152</v>
      </c>
      <c r="AH158" s="446">
        <f t="shared" si="123"/>
        <v>0.66995246400000008</v>
      </c>
      <c r="AI158" s="446">
        <f t="shared" si="124"/>
        <v>818</v>
      </c>
      <c r="AJ158" s="258">
        <f t="shared" si="125"/>
        <v>136069488</v>
      </c>
      <c r="AK158" s="258">
        <f t="shared" si="126"/>
        <v>142881696</v>
      </c>
      <c r="AL158" s="426">
        <f t="shared" si="127"/>
        <v>16</v>
      </c>
      <c r="AM158" s="426">
        <f t="array" ref="AM158">MAX((IF(MNU_CODIGO_ALIMENTO_ENTREGA=CONCATENATE($E158,"_","P_"),MNU_GRAMAJE_REQUERIDO_TIPOM,"")))</f>
        <v>30</v>
      </c>
      <c r="AN158" s="259">
        <f t="shared" si="128"/>
        <v>161</v>
      </c>
      <c r="AO158" s="259">
        <f t="shared" si="129"/>
        <v>2576</v>
      </c>
      <c r="AP158" s="446">
        <f t="shared" si="130"/>
        <v>334</v>
      </c>
      <c r="AQ158" s="446">
        <f t="shared" si="131"/>
        <v>16.299199999999999</v>
      </c>
      <c r="AR158" s="446">
        <f t="shared" si="132"/>
        <v>0.28724534400000001</v>
      </c>
      <c r="AS158" s="446">
        <f t="shared" si="133"/>
        <v>351</v>
      </c>
      <c r="AT158" s="260">
        <f t="shared" si="134"/>
        <v>860384</v>
      </c>
      <c r="AU158" s="260">
        <f t="shared" si="135"/>
        <v>904176</v>
      </c>
      <c r="AV158" s="425">
        <f t="shared" si="136"/>
        <v>16</v>
      </c>
      <c r="AW158" s="425">
        <f t="array" ref="AW158">MAX((IF(MNU_CODIGO_ALIMENTO_ENTREGA=CONCATENATE($E158,"_","P_"),MNU_GRAMAJE_REQUERIDO_TIPOH,"")))</f>
        <v>70</v>
      </c>
      <c r="AX158" s="257">
        <f t="shared" si="137"/>
        <v>289</v>
      </c>
      <c r="AY158" s="257">
        <f t="shared" si="138"/>
        <v>4624</v>
      </c>
      <c r="AZ158" s="446">
        <f t="shared" si="139"/>
        <v>779</v>
      </c>
      <c r="BA158" s="446">
        <f t="shared" si="140"/>
        <v>38.0152</v>
      </c>
      <c r="BB158" s="446">
        <f t="shared" si="141"/>
        <v>0.66995246400000008</v>
      </c>
      <c r="BC158" s="446">
        <f t="shared" si="142"/>
        <v>818</v>
      </c>
      <c r="BD158" s="258">
        <f t="shared" si="143"/>
        <v>3602096</v>
      </c>
      <c r="BE158" s="258">
        <f t="shared" si="144"/>
        <v>3782432</v>
      </c>
      <c r="BF158" s="391">
        <f t="shared" si="145"/>
        <v>208600608</v>
      </c>
      <c r="BG158" s="391">
        <f t="shared" si="146"/>
        <v>219074464</v>
      </c>
    </row>
    <row r="159" spans="1:59" ht="15.75">
      <c r="A159" s="333">
        <v>12</v>
      </c>
      <c r="B159" s="333" t="str">
        <f t="shared" si="98"/>
        <v>CEREAL EMPACADO_12</v>
      </c>
      <c r="C159" s="333" t="str">
        <f t="shared" si="99"/>
        <v>62_12</v>
      </c>
      <c r="D159" s="333" t="s">
        <v>1607</v>
      </c>
      <c r="E159" s="256">
        <v>62</v>
      </c>
      <c r="F159" s="322" t="s">
        <v>68</v>
      </c>
      <c r="G159" s="256" t="s">
        <v>9</v>
      </c>
      <c r="H159" s="425">
        <f t="shared" si="100"/>
        <v>5</v>
      </c>
      <c r="I159" s="425">
        <f t="array" ref="I159">MAX((IF(MNU_CODIGO_ALIMENTO_ENTREGA=CONCATENATE($E159,"_","P_"),MNU_GRAMAJE_REQUERIDO_TIPOA,"")))</f>
        <v>50</v>
      </c>
      <c r="J159" s="257">
        <f t="shared" si="101"/>
        <v>5647</v>
      </c>
      <c r="K159" s="257">
        <f t="shared" si="102"/>
        <v>28235</v>
      </c>
      <c r="L159" s="446">
        <f t="shared" si="103"/>
        <v>595</v>
      </c>
      <c r="M159" s="446">
        <f t="shared" si="104"/>
        <v>29.036000000000001</v>
      </c>
      <c r="N159" s="446">
        <f t="shared" si="105"/>
        <v>0.51170952000000014</v>
      </c>
      <c r="O159" s="446">
        <f t="shared" si="106"/>
        <v>625</v>
      </c>
      <c r="P159" s="258">
        <f t="shared" si="107"/>
        <v>16799825</v>
      </c>
      <c r="Q159" s="258">
        <f t="shared" si="108"/>
        <v>17646875</v>
      </c>
      <c r="R159" s="426">
        <f t="shared" si="109"/>
        <v>5</v>
      </c>
      <c r="S159" s="426">
        <f t="array" ref="S159">MAX((IF(MNU_CODIGO_ALIMENTO_ENTREGA=CONCATENATE($E159,"_","P_"),MNU_GRAMAJE_REQUERIDO_TIPOB,"")))</f>
        <v>50</v>
      </c>
      <c r="T159" s="259">
        <f t="shared" si="110"/>
        <v>8984</v>
      </c>
      <c r="U159" s="259">
        <f t="shared" si="111"/>
        <v>44920</v>
      </c>
      <c r="V159" s="446">
        <f t="shared" si="112"/>
        <v>595</v>
      </c>
      <c r="W159" s="446">
        <f t="shared" si="113"/>
        <v>29.036000000000001</v>
      </c>
      <c r="X159" s="446">
        <f t="shared" si="114"/>
        <v>0.51170952000000014</v>
      </c>
      <c r="Y159" s="446">
        <f t="shared" si="115"/>
        <v>625</v>
      </c>
      <c r="Z159" s="260">
        <f t="shared" si="116"/>
        <v>26727400</v>
      </c>
      <c r="AA159" s="260">
        <f t="shared" si="117"/>
        <v>28075000</v>
      </c>
      <c r="AB159" s="425">
        <f t="shared" si="118"/>
        <v>5</v>
      </c>
      <c r="AC159" s="425">
        <f t="array" ref="AC159">MAX((IF(MNU_CODIGO_ALIMENTO_ENTREGA=CONCATENATE($E159,"_","P_"),MNU_GRAMAJE_REQUERIDO_TIPOC,"")))</f>
        <v>50</v>
      </c>
      <c r="AD159" s="257">
        <f t="shared" si="119"/>
        <v>10917</v>
      </c>
      <c r="AE159" s="257">
        <f t="shared" si="120"/>
        <v>54585</v>
      </c>
      <c r="AF159" s="446">
        <f t="shared" si="121"/>
        <v>595</v>
      </c>
      <c r="AG159" s="446">
        <f t="shared" si="122"/>
        <v>29.036000000000001</v>
      </c>
      <c r="AH159" s="446">
        <f t="shared" si="123"/>
        <v>0.51170952000000014</v>
      </c>
      <c r="AI159" s="446">
        <f t="shared" si="124"/>
        <v>625</v>
      </c>
      <c r="AJ159" s="258">
        <f t="shared" si="125"/>
        <v>32478075</v>
      </c>
      <c r="AK159" s="258">
        <f t="shared" si="126"/>
        <v>34115625</v>
      </c>
      <c r="AL159" s="426">
        <f t="shared" si="127"/>
        <v>5</v>
      </c>
      <c r="AM159" s="426">
        <f t="array" ref="AM159">MAX((IF(MNU_CODIGO_ALIMENTO_ENTREGA=CONCATENATE($E159,"_","P_"),MNU_GRAMAJE_REQUERIDO_TIPOM,"")))</f>
        <v>50</v>
      </c>
      <c r="AN159" s="259">
        <f t="shared" si="128"/>
        <v>161</v>
      </c>
      <c r="AO159" s="259">
        <f t="shared" si="129"/>
        <v>805</v>
      </c>
      <c r="AP159" s="446">
        <f t="shared" si="130"/>
        <v>595</v>
      </c>
      <c r="AQ159" s="446">
        <f t="shared" si="131"/>
        <v>29.036000000000001</v>
      </c>
      <c r="AR159" s="446">
        <f t="shared" si="132"/>
        <v>0.51170952000000014</v>
      </c>
      <c r="AS159" s="446">
        <f t="shared" si="133"/>
        <v>625</v>
      </c>
      <c r="AT159" s="260">
        <f t="shared" si="134"/>
        <v>478975</v>
      </c>
      <c r="AU159" s="260">
        <f t="shared" si="135"/>
        <v>503125</v>
      </c>
      <c r="AV159" s="425">
        <f t="shared" si="136"/>
        <v>5</v>
      </c>
      <c r="AW159" s="425">
        <f t="array" ref="AW159">MAX((IF(MNU_CODIGO_ALIMENTO_ENTREGA=CONCATENATE($E159,"_","P_"),MNU_GRAMAJE_REQUERIDO_TIPOH,"")))</f>
        <v>50</v>
      </c>
      <c r="AX159" s="257">
        <f t="shared" si="137"/>
        <v>289</v>
      </c>
      <c r="AY159" s="257">
        <f t="shared" si="138"/>
        <v>1445</v>
      </c>
      <c r="AZ159" s="446">
        <f t="shared" si="139"/>
        <v>595</v>
      </c>
      <c r="BA159" s="446">
        <f t="shared" si="140"/>
        <v>29.036000000000001</v>
      </c>
      <c r="BB159" s="446">
        <f t="shared" si="141"/>
        <v>0.51170952000000014</v>
      </c>
      <c r="BC159" s="446">
        <f t="shared" si="142"/>
        <v>625</v>
      </c>
      <c r="BD159" s="258">
        <f t="shared" si="143"/>
        <v>859775</v>
      </c>
      <c r="BE159" s="258">
        <f t="shared" si="144"/>
        <v>903125</v>
      </c>
      <c r="BF159" s="391">
        <f t="shared" si="145"/>
        <v>77344050</v>
      </c>
      <c r="BG159" s="391">
        <f t="shared" si="146"/>
        <v>81243750</v>
      </c>
    </row>
    <row r="160" spans="1:59" ht="15.75">
      <c r="A160" s="333">
        <v>13</v>
      </c>
      <c r="B160" s="333" t="str">
        <f t="shared" si="98"/>
        <v>CEREAL EMPACADO_13</v>
      </c>
      <c r="C160" s="333" t="str">
        <f t="shared" si="99"/>
        <v>1_13</v>
      </c>
      <c r="D160" s="333" t="s">
        <v>1607</v>
      </c>
      <c r="E160" s="256">
        <v>1</v>
      </c>
      <c r="F160" s="322" t="s">
        <v>16</v>
      </c>
      <c r="G160" s="256" t="s">
        <v>9</v>
      </c>
      <c r="H160" s="425">
        <f t="shared" si="100"/>
        <v>15</v>
      </c>
      <c r="I160" s="425">
        <f t="array" ref="I160">MAX((IF(MNU_CODIGO_ALIMENTO_ENTREGA=CONCATENATE($E160,"_","P_"),MNU_GRAMAJE_REQUERIDO_TIPOA,"")))</f>
        <v>30</v>
      </c>
      <c r="J160" s="257">
        <f t="shared" si="101"/>
        <v>5162</v>
      </c>
      <c r="K160" s="257">
        <f t="shared" si="102"/>
        <v>77430</v>
      </c>
      <c r="L160" s="446">
        <f t="shared" si="103"/>
        <v>770</v>
      </c>
      <c r="M160" s="446">
        <f t="shared" si="104"/>
        <v>37.576000000000008</v>
      </c>
      <c r="N160" s="446">
        <f t="shared" si="105"/>
        <v>0.66221231999999997</v>
      </c>
      <c r="O160" s="446">
        <f t="shared" si="106"/>
        <v>808</v>
      </c>
      <c r="P160" s="258">
        <f t="shared" si="107"/>
        <v>59621100</v>
      </c>
      <c r="Q160" s="258">
        <f t="shared" si="108"/>
        <v>62563440</v>
      </c>
      <c r="R160" s="426">
        <f t="shared" si="109"/>
        <v>15</v>
      </c>
      <c r="S160" s="426">
        <f t="array" ref="S160">MAX((IF(MNU_CODIGO_ALIMENTO_ENTREGA=CONCATENATE($E160,"_","P_"),MNU_GRAMAJE_REQUERIDO_TIPOB,"")))</f>
        <v>40</v>
      </c>
      <c r="T160" s="259">
        <f t="shared" si="110"/>
        <v>7506</v>
      </c>
      <c r="U160" s="259">
        <f t="shared" si="111"/>
        <v>112590</v>
      </c>
      <c r="V160" s="446">
        <f t="shared" si="112"/>
        <v>1027</v>
      </c>
      <c r="W160" s="446">
        <f t="shared" si="113"/>
        <v>50.117600000000003</v>
      </c>
      <c r="X160" s="446">
        <f t="shared" si="114"/>
        <v>0.88323643200000013</v>
      </c>
      <c r="Y160" s="446">
        <f t="shared" si="115"/>
        <v>1078</v>
      </c>
      <c r="Z160" s="260">
        <f t="shared" si="116"/>
        <v>115629930</v>
      </c>
      <c r="AA160" s="260">
        <f t="shared" si="117"/>
        <v>121372020</v>
      </c>
      <c r="AB160" s="425">
        <f t="shared" si="118"/>
        <v>15</v>
      </c>
      <c r="AC160" s="425">
        <f t="array" ref="AC160">MAX((IF(MNU_CODIGO_ALIMENTO_ENTREGA=CONCATENATE($E160,"_","P_"),MNU_GRAMAJE_REQUERIDO_TIPOC,"")))</f>
        <v>60</v>
      </c>
      <c r="AD160" s="257">
        <f t="shared" si="119"/>
        <v>10054</v>
      </c>
      <c r="AE160" s="257">
        <f t="shared" si="120"/>
        <v>150810</v>
      </c>
      <c r="AF160" s="446">
        <f t="shared" si="121"/>
        <v>1540</v>
      </c>
      <c r="AG160" s="446">
        <f t="shared" si="122"/>
        <v>75.152000000000015</v>
      </c>
      <c r="AH160" s="446">
        <f t="shared" si="123"/>
        <v>1.3244246399999999</v>
      </c>
      <c r="AI160" s="446">
        <f t="shared" si="124"/>
        <v>1616</v>
      </c>
      <c r="AJ160" s="258">
        <f t="shared" si="125"/>
        <v>232247400</v>
      </c>
      <c r="AK160" s="258">
        <f t="shared" si="126"/>
        <v>243708960</v>
      </c>
      <c r="AL160" s="426">
        <f t="shared" si="127"/>
        <v>15</v>
      </c>
      <c r="AM160" s="426">
        <f t="array" ref="AM160">MAX((IF(MNU_CODIGO_ALIMENTO_ENTREGA=CONCATENATE($E160,"_","P_"),MNU_GRAMAJE_REQUERIDO_TIPOM,"")))</f>
        <v>40</v>
      </c>
      <c r="AN160" s="259">
        <f t="shared" si="128"/>
        <v>227</v>
      </c>
      <c r="AO160" s="259">
        <f t="shared" si="129"/>
        <v>3405</v>
      </c>
      <c r="AP160" s="446">
        <f t="shared" si="130"/>
        <v>1027</v>
      </c>
      <c r="AQ160" s="446">
        <f t="shared" si="131"/>
        <v>50.117600000000003</v>
      </c>
      <c r="AR160" s="446">
        <f t="shared" si="132"/>
        <v>0.88323643200000013</v>
      </c>
      <c r="AS160" s="446">
        <f t="shared" si="133"/>
        <v>1078</v>
      </c>
      <c r="AT160" s="260">
        <f t="shared" si="134"/>
        <v>3496935</v>
      </c>
      <c r="AU160" s="260">
        <f t="shared" si="135"/>
        <v>3670590</v>
      </c>
      <c r="AV160" s="425">
        <f t="shared" si="136"/>
        <v>15</v>
      </c>
      <c r="AW160" s="425">
        <f t="array" ref="AW160">MAX((IF(MNU_CODIGO_ALIMENTO_ENTREGA=CONCATENATE($E160,"_","P_"),MNU_GRAMAJE_REQUERIDO_TIPOH,"")))</f>
        <v>60</v>
      </c>
      <c r="AX160" s="257">
        <f t="shared" si="137"/>
        <v>281</v>
      </c>
      <c r="AY160" s="257">
        <f t="shared" si="138"/>
        <v>4215</v>
      </c>
      <c r="AZ160" s="446">
        <f t="shared" si="139"/>
        <v>1540</v>
      </c>
      <c r="BA160" s="446">
        <f t="shared" si="140"/>
        <v>75.152000000000015</v>
      </c>
      <c r="BB160" s="446">
        <f t="shared" si="141"/>
        <v>1.3244246399999999</v>
      </c>
      <c r="BC160" s="446">
        <f t="shared" si="142"/>
        <v>1616</v>
      </c>
      <c r="BD160" s="258">
        <f t="shared" si="143"/>
        <v>6491100</v>
      </c>
      <c r="BE160" s="258">
        <f t="shared" si="144"/>
        <v>6811440</v>
      </c>
      <c r="BF160" s="391">
        <f t="shared" si="145"/>
        <v>417486465</v>
      </c>
      <c r="BG160" s="391">
        <f t="shared" si="146"/>
        <v>438126450</v>
      </c>
    </row>
    <row r="161" spans="1:59" ht="15.75">
      <c r="A161" s="333">
        <v>13</v>
      </c>
      <c r="B161" s="333" t="str">
        <f t="shared" si="98"/>
        <v>CEREAL EMPACADO_13</v>
      </c>
      <c r="C161" s="333" t="str">
        <f t="shared" si="99"/>
        <v>3_13</v>
      </c>
      <c r="D161" s="333" t="s">
        <v>1607</v>
      </c>
      <c r="E161" s="256">
        <v>3</v>
      </c>
      <c r="F161" s="322" t="s">
        <v>12</v>
      </c>
      <c r="G161" s="256" t="s">
        <v>9</v>
      </c>
      <c r="H161" s="425">
        <f t="shared" si="100"/>
        <v>17</v>
      </c>
      <c r="I161" s="425">
        <f t="array" ref="I161">MAX((IF(MNU_CODIGO_ALIMENTO_ENTREGA=CONCATENATE($E161,"_","P_"),MNU_GRAMAJE_REQUERIDO_TIPOA,"")))</f>
        <v>50</v>
      </c>
      <c r="J161" s="257">
        <f t="shared" si="101"/>
        <v>5162</v>
      </c>
      <c r="K161" s="257">
        <f t="shared" si="102"/>
        <v>87754</v>
      </c>
      <c r="L161" s="446">
        <f t="shared" si="103"/>
        <v>481</v>
      </c>
      <c r="M161" s="446">
        <f t="shared" si="104"/>
        <v>23.472799999999999</v>
      </c>
      <c r="N161" s="446">
        <f t="shared" si="105"/>
        <v>0.41366769599999997</v>
      </c>
      <c r="O161" s="446">
        <f t="shared" si="106"/>
        <v>505</v>
      </c>
      <c r="P161" s="258">
        <f t="shared" si="107"/>
        <v>42209674</v>
      </c>
      <c r="Q161" s="258">
        <f t="shared" si="108"/>
        <v>44315770</v>
      </c>
      <c r="R161" s="426">
        <f t="shared" si="109"/>
        <v>17</v>
      </c>
      <c r="S161" s="426">
        <f t="array" ref="S161">MAX((IF(MNU_CODIGO_ALIMENTO_ENTREGA=CONCATENATE($E161,"_","P_"),MNU_GRAMAJE_REQUERIDO_TIPOB,"")))</f>
        <v>50</v>
      </c>
      <c r="T161" s="259">
        <f t="shared" si="110"/>
        <v>7506</v>
      </c>
      <c r="U161" s="259">
        <f t="shared" si="111"/>
        <v>127602</v>
      </c>
      <c r="V161" s="446">
        <f t="shared" si="112"/>
        <v>481</v>
      </c>
      <c r="W161" s="446">
        <f t="shared" si="113"/>
        <v>23.472799999999999</v>
      </c>
      <c r="X161" s="446">
        <f t="shared" si="114"/>
        <v>0.41366769599999997</v>
      </c>
      <c r="Y161" s="446">
        <f t="shared" si="115"/>
        <v>505</v>
      </c>
      <c r="Z161" s="260">
        <f t="shared" si="116"/>
        <v>61376562</v>
      </c>
      <c r="AA161" s="260">
        <f t="shared" si="117"/>
        <v>64439010</v>
      </c>
      <c r="AB161" s="425">
        <f t="shared" si="118"/>
        <v>17</v>
      </c>
      <c r="AC161" s="425">
        <f t="array" ref="AC161">MAX((IF(MNU_CODIGO_ALIMENTO_ENTREGA=CONCATENATE($E161,"_","P_"),MNU_GRAMAJE_REQUERIDO_TIPOC,"")))</f>
        <v>80</v>
      </c>
      <c r="AD161" s="257">
        <f t="shared" si="119"/>
        <v>10054</v>
      </c>
      <c r="AE161" s="257">
        <f t="shared" si="120"/>
        <v>170918</v>
      </c>
      <c r="AF161" s="446">
        <f t="shared" si="121"/>
        <v>727</v>
      </c>
      <c r="AG161" s="446">
        <f t="shared" si="122"/>
        <v>35.477600000000002</v>
      </c>
      <c r="AH161" s="446">
        <f t="shared" si="123"/>
        <v>0.62523163200000009</v>
      </c>
      <c r="AI161" s="446">
        <f t="shared" si="124"/>
        <v>763</v>
      </c>
      <c r="AJ161" s="258">
        <f t="shared" si="125"/>
        <v>124257386</v>
      </c>
      <c r="AK161" s="258">
        <f t="shared" si="126"/>
        <v>130410434</v>
      </c>
      <c r="AL161" s="426">
        <f t="shared" si="127"/>
        <v>17</v>
      </c>
      <c r="AM161" s="426">
        <f t="array" ref="AM161">MAX((IF(MNU_CODIGO_ALIMENTO_ENTREGA=CONCATENATE($E161,"_","P_"),MNU_GRAMAJE_REQUERIDO_TIPOM,"")))</f>
        <v>50</v>
      </c>
      <c r="AN161" s="259">
        <f t="shared" si="128"/>
        <v>227</v>
      </c>
      <c r="AO161" s="259">
        <f t="shared" si="129"/>
        <v>3859</v>
      </c>
      <c r="AP161" s="446">
        <f t="shared" si="130"/>
        <v>481</v>
      </c>
      <c r="AQ161" s="446">
        <f t="shared" si="131"/>
        <v>23.472799999999999</v>
      </c>
      <c r="AR161" s="446">
        <f t="shared" si="132"/>
        <v>0.41366769599999997</v>
      </c>
      <c r="AS161" s="446">
        <f t="shared" si="133"/>
        <v>505</v>
      </c>
      <c r="AT161" s="260">
        <f t="shared" si="134"/>
        <v>1856179</v>
      </c>
      <c r="AU161" s="260">
        <f t="shared" si="135"/>
        <v>1948795</v>
      </c>
      <c r="AV161" s="425">
        <f t="shared" si="136"/>
        <v>17</v>
      </c>
      <c r="AW161" s="425">
        <f t="array" ref="AW161">MAX((IF(MNU_CODIGO_ALIMENTO_ENTREGA=CONCATENATE($E161,"_","P_"),MNU_GRAMAJE_REQUERIDO_TIPOH,"")))</f>
        <v>80</v>
      </c>
      <c r="AX161" s="257">
        <f t="shared" si="137"/>
        <v>281</v>
      </c>
      <c r="AY161" s="257">
        <f t="shared" si="138"/>
        <v>4777</v>
      </c>
      <c r="AZ161" s="446">
        <f t="shared" si="139"/>
        <v>727</v>
      </c>
      <c r="BA161" s="446">
        <f t="shared" si="140"/>
        <v>35.477600000000002</v>
      </c>
      <c r="BB161" s="446">
        <f t="shared" si="141"/>
        <v>0.62523163200000009</v>
      </c>
      <c r="BC161" s="446">
        <f t="shared" si="142"/>
        <v>763</v>
      </c>
      <c r="BD161" s="258">
        <f t="shared" si="143"/>
        <v>3472879</v>
      </c>
      <c r="BE161" s="258">
        <f t="shared" si="144"/>
        <v>3644851</v>
      </c>
      <c r="BF161" s="391">
        <f t="shared" si="145"/>
        <v>233172680</v>
      </c>
      <c r="BG161" s="391">
        <f t="shared" si="146"/>
        <v>244758860</v>
      </c>
    </row>
    <row r="162" spans="1:59" ht="15.75">
      <c r="A162" s="333">
        <v>13</v>
      </c>
      <c r="B162" s="333" t="str">
        <f t="shared" si="98"/>
        <v>CEREAL EMPACADO_13</v>
      </c>
      <c r="C162" s="333" t="str">
        <f t="shared" si="99"/>
        <v>15_13</v>
      </c>
      <c r="D162" s="333" t="s">
        <v>1607</v>
      </c>
      <c r="E162" s="256">
        <v>15</v>
      </c>
      <c r="F162" s="322" t="s">
        <v>66</v>
      </c>
      <c r="G162" s="256" t="s">
        <v>9</v>
      </c>
      <c r="H162" s="425">
        <f t="shared" si="100"/>
        <v>17</v>
      </c>
      <c r="I162" s="425">
        <f t="array" ref="I162">MAX((IF(MNU_CODIGO_ALIMENTO_ENTREGA=CONCATENATE($E162,"_","P_"),MNU_GRAMAJE_REQUERIDO_TIPOA,"")))</f>
        <v>50</v>
      </c>
      <c r="J162" s="257">
        <f t="shared" si="101"/>
        <v>5162</v>
      </c>
      <c r="K162" s="257">
        <f t="shared" si="102"/>
        <v>87754</v>
      </c>
      <c r="L162" s="446">
        <f t="shared" si="103"/>
        <v>641</v>
      </c>
      <c r="M162" s="446">
        <f t="shared" si="104"/>
        <v>31.280800000000003</v>
      </c>
      <c r="N162" s="446">
        <f t="shared" si="105"/>
        <v>0.55127025600000001</v>
      </c>
      <c r="O162" s="446">
        <f t="shared" si="106"/>
        <v>673</v>
      </c>
      <c r="P162" s="258">
        <f t="shared" si="107"/>
        <v>56250314</v>
      </c>
      <c r="Q162" s="258">
        <f t="shared" si="108"/>
        <v>59058442</v>
      </c>
      <c r="R162" s="426">
        <f t="shared" si="109"/>
        <v>17</v>
      </c>
      <c r="S162" s="426">
        <f t="array" ref="S162">MAX((IF(MNU_CODIGO_ALIMENTO_ENTREGA=CONCATENATE($E162,"_","P_"),MNU_GRAMAJE_REQUERIDO_TIPOB,"")))</f>
        <v>50</v>
      </c>
      <c r="T162" s="259">
        <f t="shared" si="110"/>
        <v>7506</v>
      </c>
      <c r="U162" s="259">
        <f t="shared" si="111"/>
        <v>127602</v>
      </c>
      <c r="V162" s="446">
        <f t="shared" si="112"/>
        <v>641</v>
      </c>
      <c r="W162" s="446">
        <f t="shared" si="113"/>
        <v>31.280800000000003</v>
      </c>
      <c r="X162" s="446">
        <f t="shared" si="114"/>
        <v>0.55127025600000001</v>
      </c>
      <c r="Y162" s="446">
        <f t="shared" si="115"/>
        <v>673</v>
      </c>
      <c r="Z162" s="260">
        <f t="shared" si="116"/>
        <v>81792882</v>
      </c>
      <c r="AA162" s="260">
        <f t="shared" si="117"/>
        <v>85876146</v>
      </c>
      <c r="AB162" s="425">
        <f t="shared" si="118"/>
        <v>17</v>
      </c>
      <c r="AC162" s="425">
        <f t="array" ref="AC162">MAX((IF(MNU_CODIGO_ALIMENTO_ENTREGA=CONCATENATE($E162,"_","P_"),MNU_GRAMAJE_REQUERIDO_TIPOC,"")))</f>
        <v>80</v>
      </c>
      <c r="AD162" s="257">
        <f t="shared" si="119"/>
        <v>10054</v>
      </c>
      <c r="AE162" s="257">
        <f t="shared" si="120"/>
        <v>170918</v>
      </c>
      <c r="AF162" s="446">
        <f t="shared" si="121"/>
        <v>1025</v>
      </c>
      <c r="AG162" s="446">
        <f t="shared" si="122"/>
        <v>50.02</v>
      </c>
      <c r="AH162" s="446">
        <f t="shared" si="123"/>
        <v>0.88151640000000009</v>
      </c>
      <c r="AI162" s="446">
        <f t="shared" si="124"/>
        <v>1076</v>
      </c>
      <c r="AJ162" s="258">
        <f t="shared" si="125"/>
        <v>175190950</v>
      </c>
      <c r="AK162" s="258">
        <f t="shared" si="126"/>
        <v>183907768</v>
      </c>
      <c r="AL162" s="426">
        <f t="shared" si="127"/>
        <v>17</v>
      </c>
      <c r="AM162" s="426">
        <f t="array" ref="AM162">MAX((IF(MNU_CODIGO_ALIMENTO_ENTREGA=CONCATENATE($E162,"_","P_"),MNU_GRAMAJE_REQUERIDO_TIPOM,"")))</f>
        <v>50</v>
      </c>
      <c r="AN162" s="259">
        <f t="shared" si="128"/>
        <v>227</v>
      </c>
      <c r="AO162" s="259">
        <f t="shared" si="129"/>
        <v>3859</v>
      </c>
      <c r="AP162" s="446">
        <f t="shared" si="130"/>
        <v>641</v>
      </c>
      <c r="AQ162" s="446">
        <f t="shared" si="131"/>
        <v>31.280800000000003</v>
      </c>
      <c r="AR162" s="446">
        <f t="shared" si="132"/>
        <v>0.55127025600000001</v>
      </c>
      <c r="AS162" s="446">
        <f t="shared" si="133"/>
        <v>673</v>
      </c>
      <c r="AT162" s="260">
        <f t="shared" si="134"/>
        <v>2473619</v>
      </c>
      <c r="AU162" s="260">
        <f t="shared" si="135"/>
        <v>2597107</v>
      </c>
      <c r="AV162" s="425">
        <f t="shared" si="136"/>
        <v>17</v>
      </c>
      <c r="AW162" s="425">
        <f t="array" ref="AW162">MAX((IF(MNU_CODIGO_ALIMENTO_ENTREGA=CONCATENATE($E162,"_","P_"),MNU_GRAMAJE_REQUERIDO_TIPOH,"")))</f>
        <v>80</v>
      </c>
      <c r="AX162" s="257">
        <f t="shared" si="137"/>
        <v>281</v>
      </c>
      <c r="AY162" s="257">
        <f t="shared" si="138"/>
        <v>4777</v>
      </c>
      <c r="AZ162" s="446">
        <f t="shared" si="139"/>
        <v>1025</v>
      </c>
      <c r="BA162" s="446">
        <f t="shared" si="140"/>
        <v>50.02</v>
      </c>
      <c r="BB162" s="446">
        <f t="shared" si="141"/>
        <v>0.88151640000000009</v>
      </c>
      <c r="BC162" s="446">
        <f t="shared" si="142"/>
        <v>1076</v>
      </c>
      <c r="BD162" s="258">
        <f t="shared" si="143"/>
        <v>4896425</v>
      </c>
      <c r="BE162" s="258">
        <f t="shared" si="144"/>
        <v>5140052</v>
      </c>
      <c r="BF162" s="391">
        <f t="shared" si="145"/>
        <v>320604190</v>
      </c>
      <c r="BG162" s="391">
        <f t="shared" si="146"/>
        <v>336579515</v>
      </c>
    </row>
    <row r="163" spans="1:59" ht="15.75">
      <c r="A163" s="333">
        <v>13</v>
      </c>
      <c r="B163" s="333" t="str">
        <f t="shared" si="98"/>
        <v>CEREAL EMPACADO_13</v>
      </c>
      <c r="C163" s="333" t="str">
        <f t="shared" si="99"/>
        <v>24_13</v>
      </c>
      <c r="D163" s="333" t="s">
        <v>1607</v>
      </c>
      <c r="E163" s="256">
        <v>24</v>
      </c>
      <c r="F163" s="322" t="s">
        <v>61</v>
      </c>
      <c r="G163" s="256" t="s">
        <v>9</v>
      </c>
      <c r="H163" s="425">
        <f t="shared" si="100"/>
        <v>17</v>
      </c>
      <c r="I163" s="425">
        <f t="array" ref="I163">MAX((IF(MNU_CODIGO_ALIMENTO_ENTREGA=CONCATENATE($E163,"_","P_"),MNU_GRAMAJE_REQUERIDO_TIPOA,"")))</f>
        <v>20</v>
      </c>
      <c r="J163" s="257">
        <f t="shared" si="101"/>
        <v>5162</v>
      </c>
      <c r="K163" s="257">
        <f t="shared" si="102"/>
        <v>87754</v>
      </c>
      <c r="L163" s="446">
        <f t="shared" si="103"/>
        <v>122</v>
      </c>
      <c r="M163" s="446">
        <f t="shared" si="104"/>
        <v>5.9535999999999998</v>
      </c>
      <c r="N163" s="446">
        <f t="shared" si="105"/>
        <v>0.104921952</v>
      </c>
      <c r="O163" s="446">
        <f t="shared" si="106"/>
        <v>128</v>
      </c>
      <c r="P163" s="258">
        <f t="shared" si="107"/>
        <v>10705988</v>
      </c>
      <c r="Q163" s="258">
        <f t="shared" si="108"/>
        <v>11232512</v>
      </c>
      <c r="R163" s="426">
        <f t="shared" si="109"/>
        <v>17</v>
      </c>
      <c r="S163" s="426">
        <f t="array" ref="S163">MAX((IF(MNU_CODIGO_ALIMENTO_ENTREGA=CONCATENATE($E163,"_","P_"),MNU_GRAMAJE_REQUERIDO_TIPOB,"")))</f>
        <v>30</v>
      </c>
      <c r="T163" s="259">
        <f t="shared" si="110"/>
        <v>7506</v>
      </c>
      <c r="U163" s="259">
        <f t="shared" si="111"/>
        <v>127602</v>
      </c>
      <c r="V163" s="446">
        <f t="shared" si="112"/>
        <v>191</v>
      </c>
      <c r="W163" s="446">
        <f t="shared" si="113"/>
        <v>9.3208000000000002</v>
      </c>
      <c r="X163" s="446">
        <f t="shared" si="114"/>
        <v>0.16426305600000002</v>
      </c>
      <c r="Y163" s="446">
        <f t="shared" si="115"/>
        <v>200</v>
      </c>
      <c r="Z163" s="260">
        <f t="shared" si="116"/>
        <v>24371982</v>
      </c>
      <c r="AA163" s="260">
        <f t="shared" si="117"/>
        <v>25520400</v>
      </c>
      <c r="AB163" s="425">
        <f t="shared" si="118"/>
        <v>17</v>
      </c>
      <c r="AC163" s="425">
        <f t="array" ref="AC163">MAX((IF(MNU_CODIGO_ALIMENTO_ENTREGA=CONCATENATE($E163,"_","P_"),MNU_GRAMAJE_REQUERIDO_TIPOC,"")))</f>
        <v>60</v>
      </c>
      <c r="AD163" s="257">
        <f t="shared" si="119"/>
        <v>10054</v>
      </c>
      <c r="AE163" s="257">
        <f t="shared" si="120"/>
        <v>170918</v>
      </c>
      <c r="AF163" s="446">
        <f t="shared" si="121"/>
        <v>367</v>
      </c>
      <c r="AG163" s="446">
        <f t="shared" si="122"/>
        <v>17.909599999999998</v>
      </c>
      <c r="AH163" s="446">
        <f t="shared" si="123"/>
        <v>0.31562587200000003</v>
      </c>
      <c r="AI163" s="446">
        <f t="shared" si="124"/>
        <v>385</v>
      </c>
      <c r="AJ163" s="258">
        <f t="shared" si="125"/>
        <v>62726906</v>
      </c>
      <c r="AK163" s="258">
        <f t="shared" si="126"/>
        <v>65803430</v>
      </c>
      <c r="AL163" s="426">
        <f t="shared" si="127"/>
        <v>17</v>
      </c>
      <c r="AM163" s="426">
        <f t="array" ref="AM163">MAX((IF(MNU_CODIGO_ALIMENTO_ENTREGA=CONCATENATE($E163,"_","P_"),MNU_GRAMAJE_REQUERIDO_TIPOM,"")))</f>
        <v>30</v>
      </c>
      <c r="AN163" s="259">
        <f t="shared" si="128"/>
        <v>227</v>
      </c>
      <c r="AO163" s="259">
        <f t="shared" si="129"/>
        <v>3859</v>
      </c>
      <c r="AP163" s="446">
        <f t="shared" si="130"/>
        <v>191</v>
      </c>
      <c r="AQ163" s="446">
        <f t="shared" si="131"/>
        <v>9.3208000000000002</v>
      </c>
      <c r="AR163" s="446">
        <f t="shared" si="132"/>
        <v>0.16426305600000002</v>
      </c>
      <c r="AS163" s="446">
        <f t="shared" si="133"/>
        <v>200</v>
      </c>
      <c r="AT163" s="260">
        <f t="shared" si="134"/>
        <v>737069</v>
      </c>
      <c r="AU163" s="260">
        <f t="shared" si="135"/>
        <v>771800</v>
      </c>
      <c r="AV163" s="425">
        <f t="shared" si="136"/>
        <v>17</v>
      </c>
      <c r="AW163" s="425">
        <f t="array" ref="AW163">MAX((IF(MNU_CODIGO_ALIMENTO_ENTREGA=CONCATENATE($E163,"_","P_"),MNU_GRAMAJE_REQUERIDO_TIPOH,"")))</f>
        <v>60</v>
      </c>
      <c r="AX163" s="257">
        <f t="shared" si="137"/>
        <v>281</v>
      </c>
      <c r="AY163" s="257">
        <f t="shared" si="138"/>
        <v>4777</v>
      </c>
      <c r="AZ163" s="446">
        <f t="shared" si="139"/>
        <v>367</v>
      </c>
      <c r="BA163" s="446">
        <f t="shared" si="140"/>
        <v>17.909599999999998</v>
      </c>
      <c r="BB163" s="446">
        <f t="shared" si="141"/>
        <v>0.31562587200000003</v>
      </c>
      <c r="BC163" s="446">
        <f t="shared" si="142"/>
        <v>385</v>
      </c>
      <c r="BD163" s="258">
        <f t="shared" si="143"/>
        <v>1753159</v>
      </c>
      <c r="BE163" s="258">
        <f t="shared" si="144"/>
        <v>1839145</v>
      </c>
      <c r="BF163" s="391">
        <f t="shared" si="145"/>
        <v>100295104</v>
      </c>
      <c r="BG163" s="391">
        <f t="shared" si="146"/>
        <v>105167287</v>
      </c>
    </row>
    <row r="164" spans="1:59" ht="15.75">
      <c r="A164" s="333">
        <v>13</v>
      </c>
      <c r="B164" s="333" t="str">
        <f t="shared" ref="B164:B227" si="147">CONCATENATE(D164,"_",A164)</f>
        <v>CEREAL EMPACADO_13</v>
      </c>
      <c r="C164" s="333" t="str">
        <f t="shared" ref="C164:C227" si="148">CONCATENATE(E164,"_",A164)</f>
        <v>25_13</v>
      </c>
      <c r="D164" s="333" t="s">
        <v>1607</v>
      </c>
      <c r="E164" s="256">
        <v>25</v>
      </c>
      <c r="F164" s="322" t="s">
        <v>64</v>
      </c>
      <c r="G164" s="256" t="s">
        <v>9</v>
      </c>
      <c r="H164" s="425">
        <f t="shared" ref="H164:H227" si="149">SUMIF(MNU_CODIGO_ALIMENTO_ENTREGA,CONCATENATE($E164,"_","P_"),MNU_FRECUENCIAS_LAV_TIPOA)</f>
        <v>17</v>
      </c>
      <c r="I164" s="425">
        <f t="array" ref="I164">MAX((IF(MNU_CODIGO_ALIMENTO_ENTREGA=CONCATENATE($E164,"_","P_"),MNU_GRAMAJE_REQUERIDO_TIPOA,"")))</f>
        <v>40</v>
      </c>
      <c r="J164" s="257">
        <f t="shared" ref="J164:J227" si="150">SUMIF(VOL_GRUPO,CONCATENATE($A164,"1052-1NO"),VOL_TIPOA)</f>
        <v>5162</v>
      </c>
      <c r="K164" s="257">
        <f t="shared" ref="K164:K227" si="151">H164*J164</f>
        <v>87754</v>
      </c>
      <c r="L164" s="446">
        <f t="shared" ref="L164:L227" si="152">IF(ISERROR(AVERAGEIFS(MNU_COSTO_UNITARIO_TIPOA_SELECCIONADO,MNU_CODIGO_ALIMENTO_ENTREGA,CONCATENATE($E164,"_","P_"))),0,AVERAGEIFS(MNU_COSTO_UNITARIO_TIPOA_SELECCIONADO,MNU_CODIGO_ALIMENTO_ENTREGA,CONCATENATE($E164,"_","P_")))</f>
        <v>244</v>
      </c>
      <c r="M164" s="446">
        <f t="shared" ref="M164:M227" si="153">(L164*0.01)+(L164*0.005)+(L164*0.02)+(L164*(13.8/1000))</f>
        <v>11.9072</v>
      </c>
      <c r="N164" s="446">
        <f t="shared" ref="N164:N227" si="154">((L164+M164)*0.00071)+((L164+M164)*0.00011)</f>
        <v>0.209843904</v>
      </c>
      <c r="O164" s="446">
        <f t="shared" ref="O164:O227" si="155">ROUND(L164+M164+N164,0)</f>
        <v>256</v>
      </c>
      <c r="P164" s="258">
        <f t="shared" ref="P164:P227" si="156">H164*J164*L164</f>
        <v>21411976</v>
      </c>
      <c r="Q164" s="258">
        <f t="shared" ref="Q164:Q227" si="157">H164*J164*O164</f>
        <v>22465024</v>
      </c>
      <c r="R164" s="426">
        <f t="shared" ref="R164:R227" si="158">SUMIF(MNU_CODIGO_ALIMENTO_ENTREGA,CONCATENATE($E164,"_","P_"),MNU_FRECUENCIAS_LAV_TIPOB)</f>
        <v>17</v>
      </c>
      <c r="S164" s="426">
        <f t="array" ref="S164">MAX((IF(MNU_CODIGO_ALIMENTO_ENTREGA=CONCATENATE($E164,"_","P_"),MNU_GRAMAJE_REQUERIDO_TIPOB,"")))</f>
        <v>40</v>
      </c>
      <c r="T164" s="259">
        <f t="shared" ref="T164:T227" si="159">SUMIF(VOL_GRUPO,CONCATENATE($A164,"1052-1NO"),VOL_TIPOB)</f>
        <v>7506</v>
      </c>
      <c r="U164" s="259">
        <f t="shared" ref="U164:U227" si="160">R164*T164</f>
        <v>127602</v>
      </c>
      <c r="V164" s="446">
        <f t="shared" ref="V164:V227" si="161">IF(ISERROR(AVERAGEIFS(MNU_COSTO_UNITARIO_TIPOB_SELECCIONADO,MNU_CODIGO_ALIMENTO_ENTREGA,CONCATENATE($E164,"_","P_"))),0,AVERAGEIFS(MNU_COSTO_UNITARIO_TIPOB_SELECCIONADO,MNU_CODIGO_ALIMENTO_ENTREGA,CONCATENATE($E164,"_","P_")))</f>
        <v>244</v>
      </c>
      <c r="W164" s="446">
        <f t="shared" ref="W164:W227" si="162">(V164*0.01)+(V164*0.005)+(V164*0.02)+(V164*(13.8/1000))</f>
        <v>11.9072</v>
      </c>
      <c r="X164" s="446">
        <f t="shared" ref="X164:X227" si="163">((V164+W164)*0.00071)+((V164+W164)*0.00011)</f>
        <v>0.209843904</v>
      </c>
      <c r="Y164" s="446">
        <f t="shared" ref="Y164:Y227" si="164">ROUND(V164+W164+X164,0)</f>
        <v>256</v>
      </c>
      <c r="Z164" s="260">
        <f t="shared" ref="Z164:Z227" si="165">R164*T164*V164</f>
        <v>31134888</v>
      </c>
      <c r="AA164" s="260">
        <f t="shared" ref="AA164:AA227" si="166">R164*T164*Y164</f>
        <v>32666112</v>
      </c>
      <c r="AB164" s="425">
        <f t="shared" ref="AB164:AB227" si="167">SUMIF(MNU_CODIGO_ALIMENTO_ENTREGA,CONCATENATE($E164,"_","P_"),MNU_FRECUENCIAS_LAV_TIPOC)</f>
        <v>17</v>
      </c>
      <c r="AC164" s="425">
        <f t="array" ref="AC164">MAX((IF(MNU_CODIGO_ALIMENTO_ENTREGA=CONCATENATE($E164,"_","P_"),MNU_GRAMAJE_REQUERIDO_TIPOC,"")))</f>
        <v>60</v>
      </c>
      <c r="AD164" s="257">
        <f t="shared" ref="AD164:AD227" si="168">SUMIF(VOL_GRUPO,CONCATENATE($A164,"1052-1NO"),VOL_TIPOC)</f>
        <v>10054</v>
      </c>
      <c r="AE164" s="257">
        <f t="shared" ref="AE164:AE227" si="169">AB164*AD164</f>
        <v>170918</v>
      </c>
      <c r="AF164" s="446">
        <f t="shared" ref="AF164:AF227" si="170">IF(ISERROR(AVERAGEIFS(MNU_COSTO_UNITARIO_TIPOC_SELECCIONADO,MNU_CODIGO_ALIMENTO_ENTREGA,CONCATENATE($E164,"_","P_"))),0,AVERAGEIFS(MNU_COSTO_UNITARIO_TIPOC_SELECCIONADO,MNU_CODIGO_ALIMENTO_ENTREGA,CONCATENATE($E164,"_","P_")))</f>
        <v>366</v>
      </c>
      <c r="AG164" s="446">
        <f t="shared" ref="AG164:AG227" si="171">(AF164*0.01)+(AF164*0.005)+(AF164*0.02)+(AF164*(13.8/1000))</f>
        <v>17.860800000000001</v>
      </c>
      <c r="AH164" s="446">
        <f t="shared" ref="AH164:AH227" si="172">((AF164+AG164)*0.00071)+((AF164+AG164)*0.00011)</f>
        <v>0.31476585600000001</v>
      </c>
      <c r="AI164" s="446">
        <f t="shared" ref="AI164:AI227" si="173">ROUND(AF164+AG164+AH164,0)</f>
        <v>384</v>
      </c>
      <c r="AJ164" s="258">
        <f t="shared" ref="AJ164:AJ227" si="174">AB164*AD164*AF164</f>
        <v>62555988</v>
      </c>
      <c r="AK164" s="258">
        <f t="shared" ref="AK164:AK227" si="175">AB164*AD164*AI164</f>
        <v>65632512</v>
      </c>
      <c r="AL164" s="426">
        <f t="shared" ref="AL164:AL227" si="176">SUMIF(MNU_CODIGO_ALIMENTO_ENTREGA,CONCATENATE($E164,"_","P_"),MNU_FRECUENCIAS_LAV_TIPOM)</f>
        <v>17</v>
      </c>
      <c r="AM164" s="426">
        <f t="array" ref="AM164">MAX((IF(MNU_CODIGO_ALIMENTO_ENTREGA=CONCATENATE($E164,"_","P_"),MNU_GRAMAJE_REQUERIDO_TIPOM,"")))</f>
        <v>40</v>
      </c>
      <c r="AN164" s="259">
        <f t="shared" ref="AN164:AN227" si="177">SUMIF(VOL_GRUPO,CONCATENATE($A164,"1052-1NO"),VOL_TIPOM)</f>
        <v>227</v>
      </c>
      <c r="AO164" s="259">
        <f t="shared" ref="AO164:AO227" si="178">AL164*AN164</f>
        <v>3859</v>
      </c>
      <c r="AP164" s="446">
        <f t="shared" ref="AP164:AP227" si="179">IF(ISERROR(AVERAGEIFS(MNU_COSTO_UNITARIO_TIPOM_SELECCIONADO,MNU_CODIGO_ALIMENTO_ENTREGA,CONCATENATE($E164,"_","P_"))),0,AVERAGEIFS(MNU_COSTO_UNITARIO_TIPOM_SELECCIONADO,MNU_CODIGO_ALIMENTO_ENTREGA,CONCATENATE($E164,"_","P_")))</f>
        <v>244</v>
      </c>
      <c r="AQ164" s="446">
        <f t="shared" ref="AQ164:AQ227" si="180">(AP164*0.01)+(AP164*0.005)+(AP164*0.02)+(AP164*(13.8/1000))</f>
        <v>11.9072</v>
      </c>
      <c r="AR164" s="446">
        <f t="shared" ref="AR164:AR227" si="181">((AP164+AQ164)*0.00071)+((AP164+AQ164)*0.00011)</f>
        <v>0.209843904</v>
      </c>
      <c r="AS164" s="446">
        <f t="shared" ref="AS164:AS227" si="182">ROUND(AP164+AQ164+AR164,0)</f>
        <v>256</v>
      </c>
      <c r="AT164" s="260">
        <f t="shared" ref="AT164:AT227" si="183">AL164*AN164*AP164</f>
        <v>941596</v>
      </c>
      <c r="AU164" s="260">
        <f t="shared" ref="AU164:AU227" si="184">AL164*AN164*AS164</f>
        <v>987904</v>
      </c>
      <c r="AV164" s="425">
        <f t="shared" ref="AV164:AV227" si="185">SUMIF(MNU_CODIGO_ALIMENTO_ENTREGA,CONCATENATE($E164,"_","P_"),MNU_FRECUENCIAS_LAV_TIPOH)</f>
        <v>17</v>
      </c>
      <c r="AW164" s="425">
        <f t="array" ref="AW164">MAX((IF(MNU_CODIGO_ALIMENTO_ENTREGA=CONCATENATE($E164,"_","P_"),MNU_GRAMAJE_REQUERIDO_TIPOH,"")))</f>
        <v>60</v>
      </c>
      <c r="AX164" s="257">
        <f t="shared" ref="AX164:AX227" si="186">SUMIF(VOL_GRUPO,CONCATENATE($A164,"1052-1NO"),VOL_TIPOH)</f>
        <v>281</v>
      </c>
      <c r="AY164" s="257">
        <f t="shared" ref="AY164:AY227" si="187">AV164*AX164</f>
        <v>4777</v>
      </c>
      <c r="AZ164" s="446">
        <f t="shared" ref="AZ164:AZ227" si="188">IF(ISERROR(AVERAGEIFS(MNU_COSTO_UNITARIO_TIPOH_SELECCIONADO,MNU_CODIGO_ALIMENTO_ENTREGA,CONCATENATE($E164,"_","P_"))),0,AVERAGEIFS(MNU_COSTO_UNITARIO_TIPOH_SELECCIONADO,MNU_CODIGO_ALIMENTO_ENTREGA,CONCATENATE($E164,"_","P_")))</f>
        <v>366</v>
      </c>
      <c r="BA164" s="446">
        <f t="shared" ref="BA164:BA227" si="189">(AZ164*0.01)+(AZ164*0.005)+(AZ164*0.02)+(AZ164*(13.8/1000))</f>
        <v>17.860800000000001</v>
      </c>
      <c r="BB164" s="446">
        <f t="shared" ref="BB164:BB227" si="190">((AZ164+BA164)*0.00071)+((AZ164+BA164)*0.00011)</f>
        <v>0.31476585600000001</v>
      </c>
      <c r="BC164" s="446">
        <f t="shared" ref="BC164:BC227" si="191">ROUND(AZ164+BA164+BB164,0)</f>
        <v>384</v>
      </c>
      <c r="BD164" s="258">
        <f t="shared" ref="BD164:BD227" si="192">AV164*AX164*AZ164</f>
        <v>1748382</v>
      </c>
      <c r="BE164" s="258">
        <f t="shared" ref="BE164:BE227" si="193">AV164*AX164*BC164</f>
        <v>1834368</v>
      </c>
      <c r="BF164" s="391">
        <f t="shared" ref="BF164:BF227" si="194">BD164+AT164+AJ164+Z164+P164</f>
        <v>117792830</v>
      </c>
      <c r="BG164" s="391">
        <f t="shared" ref="BG164:BG227" si="195">BE164+AU164+AK164+AA164+Q164</f>
        <v>123585920</v>
      </c>
    </row>
    <row r="165" spans="1:59" ht="15.75">
      <c r="A165" s="333">
        <v>13</v>
      </c>
      <c r="B165" s="333" t="str">
        <f t="shared" si="147"/>
        <v>CEREAL EMPACADO_13</v>
      </c>
      <c r="C165" s="333" t="str">
        <f t="shared" si="148"/>
        <v>26_13</v>
      </c>
      <c r="D165" s="333" t="s">
        <v>1607</v>
      </c>
      <c r="E165" s="256">
        <v>26</v>
      </c>
      <c r="F165" s="322" t="s">
        <v>69</v>
      </c>
      <c r="G165" s="256" t="s">
        <v>9</v>
      </c>
      <c r="H165" s="425">
        <f t="shared" si="149"/>
        <v>6</v>
      </c>
      <c r="I165" s="425">
        <f t="array" ref="I165">MAX((IF(MNU_CODIGO_ALIMENTO_ENTREGA=CONCATENATE($E165,"_","P_"),MNU_GRAMAJE_REQUERIDO_TIPOA,"")))</f>
        <v>30</v>
      </c>
      <c r="J165" s="257">
        <f t="shared" si="150"/>
        <v>5162</v>
      </c>
      <c r="K165" s="257">
        <f t="shared" si="151"/>
        <v>30972</v>
      </c>
      <c r="L165" s="446">
        <f t="shared" si="152"/>
        <v>163</v>
      </c>
      <c r="M165" s="446">
        <f t="shared" si="153"/>
        <v>7.9543999999999997</v>
      </c>
      <c r="N165" s="446">
        <f t="shared" si="154"/>
        <v>0.14018260800000001</v>
      </c>
      <c r="O165" s="446">
        <f t="shared" si="155"/>
        <v>171</v>
      </c>
      <c r="P165" s="258">
        <f t="shared" si="156"/>
        <v>5048436</v>
      </c>
      <c r="Q165" s="258">
        <f t="shared" si="157"/>
        <v>5296212</v>
      </c>
      <c r="R165" s="426">
        <f t="shared" si="158"/>
        <v>6</v>
      </c>
      <c r="S165" s="426">
        <f t="array" ref="S165">MAX((IF(MNU_CODIGO_ALIMENTO_ENTREGA=CONCATENATE($E165,"_","P_"),MNU_GRAMAJE_REQUERIDO_TIPOB,"")))</f>
        <v>30</v>
      </c>
      <c r="T165" s="259">
        <f t="shared" si="159"/>
        <v>7506</v>
      </c>
      <c r="U165" s="259">
        <f t="shared" si="160"/>
        <v>45036</v>
      </c>
      <c r="V165" s="446">
        <f t="shared" si="161"/>
        <v>163</v>
      </c>
      <c r="W165" s="446">
        <f t="shared" si="162"/>
        <v>7.9543999999999997</v>
      </c>
      <c r="X165" s="446">
        <f t="shared" si="163"/>
        <v>0.14018260800000001</v>
      </c>
      <c r="Y165" s="446">
        <f t="shared" si="164"/>
        <v>171</v>
      </c>
      <c r="Z165" s="260">
        <f t="shared" si="165"/>
        <v>7340868</v>
      </c>
      <c r="AA165" s="260">
        <f t="shared" si="166"/>
        <v>7701156</v>
      </c>
      <c r="AB165" s="425">
        <f t="shared" si="167"/>
        <v>6</v>
      </c>
      <c r="AC165" s="425">
        <f t="array" ref="AC165">MAX((IF(MNU_CODIGO_ALIMENTO_ENTREGA=CONCATENATE($E165,"_","P_"),MNU_GRAMAJE_REQUERIDO_TIPOC,"")))</f>
        <v>30</v>
      </c>
      <c r="AD165" s="257">
        <f t="shared" si="168"/>
        <v>10054</v>
      </c>
      <c r="AE165" s="257">
        <f t="shared" si="169"/>
        <v>60324</v>
      </c>
      <c r="AF165" s="446">
        <f t="shared" si="170"/>
        <v>163</v>
      </c>
      <c r="AG165" s="446">
        <f t="shared" si="171"/>
        <v>7.9543999999999997</v>
      </c>
      <c r="AH165" s="446">
        <f t="shared" si="172"/>
        <v>0.14018260800000001</v>
      </c>
      <c r="AI165" s="446">
        <f t="shared" si="173"/>
        <v>171</v>
      </c>
      <c r="AJ165" s="258">
        <f t="shared" si="174"/>
        <v>9832812</v>
      </c>
      <c r="AK165" s="258">
        <f t="shared" si="175"/>
        <v>10315404</v>
      </c>
      <c r="AL165" s="426">
        <f t="shared" si="176"/>
        <v>6</v>
      </c>
      <c r="AM165" s="426">
        <f t="array" ref="AM165">MAX((IF(MNU_CODIGO_ALIMENTO_ENTREGA=CONCATENATE($E165,"_","P_"),MNU_GRAMAJE_REQUERIDO_TIPOM,"")))</f>
        <v>30</v>
      </c>
      <c r="AN165" s="259">
        <f t="shared" si="177"/>
        <v>227</v>
      </c>
      <c r="AO165" s="259">
        <f t="shared" si="178"/>
        <v>1362</v>
      </c>
      <c r="AP165" s="446">
        <f t="shared" si="179"/>
        <v>163</v>
      </c>
      <c r="AQ165" s="446">
        <f t="shared" si="180"/>
        <v>7.9543999999999997</v>
      </c>
      <c r="AR165" s="446">
        <f t="shared" si="181"/>
        <v>0.14018260800000001</v>
      </c>
      <c r="AS165" s="446">
        <f t="shared" si="182"/>
        <v>171</v>
      </c>
      <c r="AT165" s="260">
        <f t="shared" si="183"/>
        <v>222006</v>
      </c>
      <c r="AU165" s="260">
        <f t="shared" si="184"/>
        <v>232902</v>
      </c>
      <c r="AV165" s="425">
        <f t="shared" si="185"/>
        <v>6</v>
      </c>
      <c r="AW165" s="425">
        <f t="array" ref="AW165">MAX((IF(MNU_CODIGO_ALIMENTO_ENTREGA=CONCATENATE($E165,"_","P_"),MNU_GRAMAJE_REQUERIDO_TIPOH,"")))</f>
        <v>30</v>
      </c>
      <c r="AX165" s="257">
        <f t="shared" si="186"/>
        <v>281</v>
      </c>
      <c r="AY165" s="257">
        <f t="shared" si="187"/>
        <v>1686</v>
      </c>
      <c r="AZ165" s="446">
        <f t="shared" si="188"/>
        <v>163</v>
      </c>
      <c r="BA165" s="446">
        <f t="shared" si="189"/>
        <v>7.9543999999999997</v>
      </c>
      <c r="BB165" s="446">
        <f t="shared" si="190"/>
        <v>0.14018260800000001</v>
      </c>
      <c r="BC165" s="446">
        <f t="shared" si="191"/>
        <v>171</v>
      </c>
      <c r="BD165" s="258">
        <f t="shared" si="192"/>
        <v>274818</v>
      </c>
      <c r="BE165" s="258">
        <f t="shared" si="193"/>
        <v>288306</v>
      </c>
      <c r="BF165" s="391">
        <f t="shared" si="194"/>
        <v>22718940</v>
      </c>
      <c r="BG165" s="391">
        <f t="shared" si="195"/>
        <v>23833980</v>
      </c>
    </row>
    <row r="166" spans="1:59" ht="27">
      <c r="A166" s="333">
        <v>13</v>
      </c>
      <c r="B166" s="333" t="str">
        <f t="shared" si="147"/>
        <v>CEREAL EMPACADO_13</v>
      </c>
      <c r="C166" s="333" t="str">
        <f t="shared" si="148"/>
        <v>28_13</v>
      </c>
      <c r="D166" s="333" t="s">
        <v>1607</v>
      </c>
      <c r="E166" s="256">
        <v>28</v>
      </c>
      <c r="F166" s="459" t="s">
        <v>67</v>
      </c>
      <c r="G166" s="256" t="s">
        <v>9</v>
      </c>
      <c r="H166" s="425">
        <f t="shared" si="149"/>
        <v>6</v>
      </c>
      <c r="I166" s="425">
        <f t="array" ref="I166">MAX((IF(MNU_CODIGO_ALIMENTO_ENTREGA=CONCATENATE($E166,"_","P_"),MNU_GRAMAJE_REQUERIDO_TIPOA,"")))</f>
        <v>30</v>
      </c>
      <c r="J166" s="257">
        <f t="shared" si="150"/>
        <v>5162</v>
      </c>
      <c r="K166" s="257">
        <f t="shared" si="151"/>
        <v>30972</v>
      </c>
      <c r="L166" s="446">
        <f t="shared" si="152"/>
        <v>215</v>
      </c>
      <c r="M166" s="446">
        <f t="shared" si="153"/>
        <v>10.492000000000001</v>
      </c>
      <c r="N166" s="446">
        <f t="shared" si="154"/>
        <v>0.18490343999999997</v>
      </c>
      <c r="O166" s="446">
        <f t="shared" si="155"/>
        <v>226</v>
      </c>
      <c r="P166" s="258">
        <f t="shared" si="156"/>
        <v>6658980</v>
      </c>
      <c r="Q166" s="258">
        <f t="shared" si="157"/>
        <v>6999672</v>
      </c>
      <c r="R166" s="426">
        <f t="shared" si="158"/>
        <v>6</v>
      </c>
      <c r="S166" s="426">
        <f t="array" ref="S166">MAX((IF(MNU_CODIGO_ALIMENTO_ENTREGA=CONCATENATE($E166,"_","P_"),MNU_GRAMAJE_REQUERIDO_TIPOB,"")))</f>
        <v>40</v>
      </c>
      <c r="T166" s="259">
        <f t="shared" si="159"/>
        <v>7506</v>
      </c>
      <c r="U166" s="259">
        <f t="shared" si="160"/>
        <v>45036</v>
      </c>
      <c r="V166" s="446">
        <f t="shared" si="161"/>
        <v>287</v>
      </c>
      <c r="W166" s="446">
        <f t="shared" si="162"/>
        <v>14.005600000000001</v>
      </c>
      <c r="X166" s="446">
        <f t="shared" si="163"/>
        <v>0.24682459200000004</v>
      </c>
      <c r="Y166" s="446">
        <f t="shared" si="164"/>
        <v>301</v>
      </c>
      <c r="Z166" s="260">
        <f t="shared" si="165"/>
        <v>12925332</v>
      </c>
      <c r="AA166" s="260">
        <f t="shared" si="166"/>
        <v>13555836</v>
      </c>
      <c r="AB166" s="425">
        <f t="shared" si="167"/>
        <v>6</v>
      </c>
      <c r="AC166" s="425">
        <f t="array" ref="AC166">MAX((IF(MNU_CODIGO_ALIMENTO_ENTREGA=CONCATENATE($E166,"_","P_"),MNU_GRAMAJE_REQUERIDO_TIPOC,"")))</f>
        <v>60</v>
      </c>
      <c r="AD166" s="257">
        <f t="shared" si="168"/>
        <v>10054</v>
      </c>
      <c r="AE166" s="257">
        <f t="shared" si="169"/>
        <v>60324</v>
      </c>
      <c r="AF166" s="446">
        <f t="shared" si="170"/>
        <v>430</v>
      </c>
      <c r="AG166" s="446">
        <f t="shared" si="171"/>
        <v>20.984000000000002</v>
      </c>
      <c r="AH166" s="446">
        <f t="shared" si="172"/>
        <v>0.36980687999999995</v>
      </c>
      <c r="AI166" s="446">
        <f t="shared" si="173"/>
        <v>451</v>
      </c>
      <c r="AJ166" s="258">
        <f t="shared" si="174"/>
        <v>25939320</v>
      </c>
      <c r="AK166" s="258">
        <f t="shared" si="175"/>
        <v>27206124</v>
      </c>
      <c r="AL166" s="426">
        <f t="shared" si="176"/>
        <v>6</v>
      </c>
      <c r="AM166" s="426">
        <f t="array" ref="AM166">MAX((IF(MNU_CODIGO_ALIMENTO_ENTREGA=CONCATENATE($E166,"_","P_"),MNU_GRAMAJE_REQUERIDO_TIPOM,"")))</f>
        <v>40</v>
      </c>
      <c r="AN166" s="259">
        <f t="shared" si="177"/>
        <v>227</v>
      </c>
      <c r="AO166" s="259">
        <f t="shared" si="178"/>
        <v>1362</v>
      </c>
      <c r="AP166" s="446">
        <f t="shared" si="179"/>
        <v>287</v>
      </c>
      <c r="AQ166" s="446">
        <f t="shared" si="180"/>
        <v>14.005600000000001</v>
      </c>
      <c r="AR166" s="446">
        <f t="shared" si="181"/>
        <v>0.24682459200000004</v>
      </c>
      <c r="AS166" s="446">
        <f t="shared" si="182"/>
        <v>301</v>
      </c>
      <c r="AT166" s="260">
        <f t="shared" si="183"/>
        <v>390894</v>
      </c>
      <c r="AU166" s="260">
        <f t="shared" si="184"/>
        <v>409962</v>
      </c>
      <c r="AV166" s="425">
        <f t="shared" si="185"/>
        <v>6</v>
      </c>
      <c r="AW166" s="425">
        <f t="array" ref="AW166">MAX((IF(MNU_CODIGO_ALIMENTO_ENTREGA=CONCATENATE($E166,"_","P_"),MNU_GRAMAJE_REQUERIDO_TIPOH,"")))</f>
        <v>60</v>
      </c>
      <c r="AX166" s="257">
        <f t="shared" si="186"/>
        <v>281</v>
      </c>
      <c r="AY166" s="257">
        <f t="shared" si="187"/>
        <v>1686</v>
      </c>
      <c r="AZ166" s="446">
        <f t="shared" si="188"/>
        <v>430</v>
      </c>
      <c r="BA166" s="446">
        <f t="shared" si="189"/>
        <v>20.984000000000002</v>
      </c>
      <c r="BB166" s="446">
        <f t="shared" si="190"/>
        <v>0.36980687999999995</v>
      </c>
      <c r="BC166" s="446">
        <f t="shared" si="191"/>
        <v>451</v>
      </c>
      <c r="BD166" s="258">
        <f t="shared" si="192"/>
        <v>724980</v>
      </c>
      <c r="BE166" s="258">
        <f t="shared" si="193"/>
        <v>760386</v>
      </c>
      <c r="BF166" s="391">
        <f t="shared" si="194"/>
        <v>46639506</v>
      </c>
      <c r="BG166" s="391">
        <f t="shared" si="195"/>
        <v>48931980</v>
      </c>
    </row>
    <row r="167" spans="1:59" ht="15.75">
      <c r="A167" s="333">
        <v>13</v>
      </c>
      <c r="B167" s="333" t="str">
        <f t="shared" si="147"/>
        <v>CEREAL EMPACADO_13</v>
      </c>
      <c r="C167" s="333" t="str">
        <f t="shared" si="148"/>
        <v>30_13</v>
      </c>
      <c r="D167" s="333" t="s">
        <v>1607</v>
      </c>
      <c r="E167" s="256">
        <v>30</v>
      </c>
      <c r="F167" s="322" t="s">
        <v>63</v>
      </c>
      <c r="G167" s="256" t="s">
        <v>9</v>
      </c>
      <c r="H167" s="425">
        <f t="shared" si="149"/>
        <v>16</v>
      </c>
      <c r="I167" s="425">
        <f t="array" ref="I167">MAX((IF(MNU_CODIGO_ALIMENTO_ENTREGA=CONCATENATE($E167,"_","P_"),MNU_GRAMAJE_REQUERIDO_TIPOA,"")))</f>
        <v>30</v>
      </c>
      <c r="J167" s="257">
        <f t="shared" si="150"/>
        <v>5162</v>
      </c>
      <c r="K167" s="257">
        <f t="shared" si="151"/>
        <v>82592</v>
      </c>
      <c r="L167" s="446">
        <f t="shared" si="152"/>
        <v>316</v>
      </c>
      <c r="M167" s="446">
        <f t="shared" si="153"/>
        <v>15.4208</v>
      </c>
      <c r="N167" s="446">
        <f t="shared" si="154"/>
        <v>0.271765056</v>
      </c>
      <c r="O167" s="446">
        <f t="shared" si="155"/>
        <v>332</v>
      </c>
      <c r="P167" s="258">
        <f t="shared" si="156"/>
        <v>26099072</v>
      </c>
      <c r="Q167" s="258">
        <f t="shared" si="157"/>
        <v>27420544</v>
      </c>
      <c r="R167" s="426">
        <f t="shared" si="158"/>
        <v>16</v>
      </c>
      <c r="S167" s="426">
        <f t="array" ref="S167">MAX((IF(MNU_CODIGO_ALIMENTO_ENTREGA=CONCATENATE($E167,"_","P_"),MNU_GRAMAJE_REQUERIDO_TIPOB,"")))</f>
        <v>30</v>
      </c>
      <c r="T167" s="259">
        <f t="shared" si="159"/>
        <v>7506</v>
      </c>
      <c r="U167" s="259">
        <f t="shared" si="160"/>
        <v>120096</v>
      </c>
      <c r="V167" s="446">
        <f t="shared" si="161"/>
        <v>316</v>
      </c>
      <c r="W167" s="446">
        <f t="shared" si="162"/>
        <v>15.4208</v>
      </c>
      <c r="X167" s="446">
        <f t="shared" si="163"/>
        <v>0.271765056</v>
      </c>
      <c r="Y167" s="446">
        <f t="shared" si="164"/>
        <v>332</v>
      </c>
      <c r="Z167" s="260">
        <f t="shared" si="165"/>
        <v>37950336</v>
      </c>
      <c r="AA167" s="260">
        <f t="shared" si="166"/>
        <v>39871872</v>
      </c>
      <c r="AB167" s="425">
        <f t="shared" si="167"/>
        <v>16</v>
      </c>
      <c r="AC167" s="425">
        <f t="array" ref="AC167">MAX((IF(MNU_CODIGO_ALIMENTO_ENTREGA=CONCATENATE($E167,"_","P_"),MNU_GRAMAJE_REQUERIDO_TIPOC,"")))</f>
        <v>30</v>
      </c>
      <c r="AD167" s="257">
        <f t="shared" si="168"/>
        <v>10054</v>
      </c>
      <c r="AE167" s="257">
        <f t="shared" si="169"/>
        <v>160864</v>
      </c>
      <c r="AF167" s="446">
        <f t="shared" si="170"/>
        <v>316</v>
      </c>
      <c r="AG167" s="446">
        <f t="shared" si="171"/>
        <v>15.4208</v>
      </c>
      <c r="AH167" s="446">
        <f t="shared" si="172"/>
        <v>0.271765056</v>
      </c>
      <c r="AI167" s="446">
        <f t="shared" si="173"/>
        <v>332</v>
      </c>
      <c r="AJ167" s="258">
        <f t="shared" si="174"/>
        <v>50833024</v>
      </c>
      <c r="AK167" s="258">
        <f t="shared" si="175"/>
        <v>53406848</v>
      </c>
      <c r="AL167" s="426">
        <f t="shared" si="176"/>
        <v>16</v>
      </c>
      <c r="AM167" s="426">
        <f t="array" ref="AM167">MAX((IF(MNU_CODIGO_ALIMENTO_ENTREGA=CONCATENATE($E167,"_","P_"),MNU_GRAMAJE_REQUERIDO_TIPOM,"")))</f>
        <v>30</v>
      </c>
      <c r="AN167" s="259">
        <f t="shared" si="177"/>
        <v>227</v>
      </c>
      <c r="AO167" s="259">
        <f t="shared" si="178"/>
        <v>3632</v>
      </c>
      <c r="AP167" s="446">
        <f t="shared" si="179"/>
        <v>316</v>
      </c>
      <c r="AQ167" s="446">
        <f t="shared" si="180"/>
        <v>15.4208</v>
      </c>
      <c r="AR167" s="446">
        <f t="shared" si="181"/>
        <v>0.271765056</v>
      </c>
      <c r="AS167" s="446">
        <f t="shared" si="182"/>
        <v>332</v>
      </c>
      <c r="AT167" s="260">
        <f t="shared" si="183"/>
        <v>1147712</v>
      </c>
      <c r="AU167" s="260">
        <f t="shared" si="184"/>
        <v>1205824</v>
      </c>
      <c r="AV167" s="425">
        <f t="shared" si="185"/>
        <v>16</v>
      </c>
      <c r="AW167" s="425">
        <f t="array" ref="AW167">MAX((IF(MNU_CODIGO_ALIMENTO_ENTREGA=CONCATENATE($E167,"_","P_"),MNU_GRAMAJE_REQUERIDO_TIPOH,"")))</f>
        <v>30</v>
      </c>
      <c r="AX167" s="257">
        <f t="shared" si="186"/>
        <v>281</v>
      </c>
      <c r="AY167" s="257">
        <f t="shared" si="187"/>
        <v>4496</v>
      </c>
      <c r="AZ167" s="446">
        <f t="shared" si="188"/>
        <v>316</v>
      </c>
      <c r="BA167" s="446">
        <f t="shared" si="189"/>
        <v>15.4208</v>
      </c>
      <c r="BB167" s="446">
        <f t="shared" si="190"/>
        <v>0.271765056</v>
      </c>
      <c r="BC167" s="446">
        <f t="shared" si="191"/>
        <v>332</v>
      </c>
      <c r="BD167" s="258">
        <f t="shared" si="192"/>
        <v>1420736</v>
      </c>
      <c r="BE167" s="258">
        <f t="shared" si="193"/>
        <v>1492672</v>
      </c>
      <c r="BF167" s="391">
        <f t="shared" si="194"/>
        <v>117450880</v>
      </c>
      <c r="BG167" s="391">
        <f t="shared" si="195"/>
        <v>123397760</v>
      </c>
    </row>
    <row r="168" spans="1:59" ht="15.75">
      <c r="A168" s="333">
        <v>13</v>
      </c>
      <c r="B168" s="333" t="str">
        <f t="shared" si="147"/>
        <v>CEREAL EMPACADO_13</v>
      </c>
      <c r="C168" s="333" t="str">
        <f t="shared" si="148"/>
        <v>45_13</v>
      </c>
      <c r="D168" s="333" t="s">
        <v>1607</v>
      </c>
      <c r="E168" s="256">
        <v>45</v>
      </c>
      <c r="F168" s="322" t="s">
        <v>10</v>
      </c>
      <c r="G168" s="256" t="s">
        <v>9</v>
      </c>
      <c r="H168" s="425">
        <f t="shared" si="149"/>
        <v>16</v>
      </c>
      <c r="I168" s="425">
        <f t="array" ref="I168">MAX((IF(MNU_CODIGO_ALIMENTO_ENTREGA=CONCATENATE($E168,"_","P_"),MNU_GRAMAJE_REQUERIDO_TIPOA,"")))</f>
        <v>20</v>
      </c>
      <c r="J168" s="257">
        <f t="shared" si="150"/>
        <v>5162</v>
      </c>
      <c r="K168" s="257">
        <f t="shared" si="151"/>
        <v>82592</v>
      </c>
      <c r="L168" s="446">
        <f t="shared" si="152"/>
        <v>190</v>
      </c>
      <c r="M168" s="446">
        <f t="shared" si="153"/>
        <v>9.2720000000000002</v>
      </c>
      <c r="N168" s="446">
        <f t="shared" si="154"/>
        <v>0.16340304</v>
      </c>
      <c r="O168" s="446">
        <f t="shared" si="155"/>
        <v>199</v>
      </c>
      <c r="P168" s="258">
        <f t="shared" si="156"/>
        <v>15692480</v>
      </c>
      <c r="Q168" s="258">
        <f t="shared" si="157"/>
        <v>16435808</v>
      </c>
      <c r="R168" s="426">
        <f t="shared" si="158"/>
        <v>16</v>
      </c>
      <c r="S168" s="426">
        <f t="array" ref="S168">MAX((IF(MNU_CODIGO_ALIMENTO_ENTREGA=CONCATENATE($E168,"_","P_"),MNU_GRAMAJE_REQUERIDO_TIPOB,"")))</f>
        <v>30</v>
      </c>
      <c r="T168" s="259">
        <f t="shared" si="159"/>
        <v>7506</v>
      </c>
      <c r="U168" s="259">
        <f t="shared" si="160"/>
        <v>120096</v>
      </c>
      <c r="V168" s="446">
        <f t="shared" si="161"/>
        <v>284</v>
      </c>
      <c r="W168" s="446">
        <f t="shared" si="162"/>
        <v>13.8592</v>
      </c>
      <c r="X168" s="446">
        <f t="shared" si="163"/>
        <v>0.24424454399999998</v>
      </c>
      <c r="Y168" s="446">
        <f t="shared" si="164"/>
        <v>298</v>
      </c>
      <c r="Z168" s="260">
        <f t="shared" si="165"/>
        <v>34107264</v>
      </c>
      <c r="AA168" s="260">
        <f t="shared" si="166"/>
        <v>35788608</v>
      </c>
      <c r="AB168" s="425">
        <f t="shared" si="167"/>
        <v>16</v>
      </c>
      <c r="AC168" s="425">
        <f t="array" ref="AC168">MAX((IF(MNU_CODIGO_ALIMENTO_ENTREGA=CONCATENATE($E168,"_","P_"),MNU_GRAMAJE_REQUERIDO_TIPOC,"")))</f>
        <v>60</v>
      </c>
      <c r="AD168" s="257">
        <f t="shared" si="168"/>
        <v>10054</v>
      </c>
      <c r="AE168" s="257">
        <f t="shared" si="169"/>
        <v>160864</v>
      </c>
      <c r="AF168" s="446">
        <f t="shared" si="170"/>
        <v>569</v>
      </c>
      <c r="AG168" s="446">
        <f t="shared" si="171"/>
        <v>27.767199999999999</v>
      </c>
      <c r="AH168" s="446">
        <f t="shared" si="172"/>
        <v>0.48934910400000003</v>
      </c>
      <c r="AI168" s="446">
        <f t="shared" si="173"/>
        <v>597</v>
      </c>
      <c r="AJ168" s="258">
        <f t="shared" si="174"/>
        <v>91531616</v>
      </c>
      <c r="AK168" s="258">
        <f t="shared" si="175"/>
        <v>96035808</v>
      </c>
      <c r="AL168" s="426">
        <f t="shared" si="176"/>
        <v>16</v>
      </c>
      <c r="AM168" s="426">
        <f t="array" ref="AM168">MAX((IF(MNU_CODIGO_ALIMENTO_ENTREGA=CONCATENATE($E168,"_","P_"),MNU_GRAMAJE_REQUERIDO_TIPOM,"")))</f>
        <v>30</v>
      </c>
      <c r="AN168" s="259">
        <f t="shared" si="177"/>
        <v>227</v>
      </c>
      <c r="AO168" s="259">
        <f t="shared" si="178"/>
        <v>3632</v>
      </c>
      <c r="AP168" s="446">
        <f t="shared" si="179"/>
        <v>284</v>
      </c>
      <c r="AQ168" s="446">
        <f t="shared" si="180"/>
        <v>13.8592</v>
      </c>
      <c r="AR168" s="446">
        <f t="shared" si="181"/>
        <v>0.24424454399999998</v>
      </c>
      <c r="AS168" s="446">
        <f t="shared" si="182"/>
        <v>298</v>
      </c>
      <c r="AT168" s="260">
        <f t="shared" si="183"/>
        <v>1031488</v>
      </c>
      <c r="AU168" s="260">
        <f t="shared" si="184"/>
        <v>1082336</v>
      </c>
      <c r="AV168" s="425">
        <f t="shared" si="185"/>
        <v>16</v>
      </c>
      <c r="AW168" s="425">
        <f t="array" ref="AW168">MAX((IF(MNU_CODIGO_ALIMENTO_ENTREGA=CONCATENATE($E168,"_","P_"),MNU_GRAMAJE_REQUERIDO_TIPOH,"")))</f>
        <v>60</v>
      </c>
      <c r="AX168" s="257">
        <f t="shared" si="186"/>
        <v>281</v>
      </c>
      <c r="AY168" s="257">
        <f t="shared" si="187"/>
        <v>4496</v>
      </c>
      <c r="AZ168" s="446">
        <f t="shared" si="188"/>
        <v>569</v>
      </c>
      <c r="BA168" s="446">
        <f t="shared" si="189"/>
        <v>27.767199999999999</v>
      </c>
      <c r="BB168" s="446">
        <f t="shared" si="190"/>
        <v>0.48934910400000003</v>
      </c>
      <c r="BC168" s="446">
        <f t="shared" si="191"/>
        <v>597</v>
      </c>
      <c r="BD168" s="258">
        <f t="shared" si="192"/>
        <v>2558224</v>
      </c>
      <c r="BE168" s="258">
        <f t="shared" si="193"/>
        <v>2684112</v>
      </c>
      <c r="BF168" s="391">
        <f t="shared" si="194"/>
        <v>144921072</v>
      </c>
      <c r="BG168" s="391">
        <f t="shared" si="195"/>
        <v>152026672</v>
      </c>
    </row>
    <row r="169" spans="1:59" ht="15.75">
      <c r="A169" s="333">
        <v>13</v>
      </c>
      <c r="B169" s="333" t="str">
        <f t="shared" si="147"/>
        <v>CEREAL EMPACADO_13</v>
      </c>
      <c r="C169" s="333" t="str">
        <f t="shared" si="148"/>
        <v>50_13</v>
      </c>
      <c r="D169" s="333" t="s">
        <v>1607</v>
      </c>
      <c r="E169" s="256">
        <v>50</v>
      </c>
      <c r="F169" s="322" t="s">
        <v>65</v>
      </c>
      <c r="G169" s="256" t="s">
        <v>9</v>
      </c>
      <c r="H169" s="425">
        <f t="shared" si="149"/>
        <v>17</v>
      </c>
      <c r="I169" s="425">
        <f t="array" ref="I169">MAX((IF(MNU_CODIGO_ALIMENTO_ENTREGA=CONCATENATE($E169,"_","P_"),MNU_GRAMAJE_REQUERIDO_TIPOA,"")))</f>
        <v>30</v>
      </c>
      <c r="J169" s="257">
        <f t="shared" si="150"/>
        <v>5162</v>
      </c>
      <c r="K169" s="257">
        <f t="shared" si="151"/>
        <v>87754</v>
      </c>
      <c r="L169" s="446">
        <f t="shared" si="152"/>
        <v>306</v>
      </c>
      <c r="M169" s="446">
        <f t="shared" si="153"/>
        <v>14.9328</v>
      </c>
      <c r="N169" s="446">
        <f t="shared" si="154"/>
        <v>0.26316489599999998</v>
      </c>
      <c r="O169" s="446">
        <f t="shared" si="155"/>
        <v>321</v>
      </c>
      <c r="P169" s="258">
        <f t="shared" si="156"/>
        <v>26852724</v>
      </c>
      <c r="Q169" s="258">
        <f t="shared" si="157"/>
        <v>28169034</v>
      </c>
      <c r="R169" s="426">
        <f t="shared" si="158"/>
        <v>17</v>
      </c>
      <c r="S169" s="426">
        <f t="array" ref="S169">MAX((IF(MNU_CODIGO_ALIMENTO_ENTREGA=CONCATENATE($E169,"_","P_"),MNU_GRAMAJE_REQUERIDO_TIPOB,"")))</f>
        <v>40</v>
      </c>
      <c r="T169" s="259">
        <f t="shared" si="159"/>
        <v>7506</v>
      </c>
      <c r="U169" s="259">
        <f t="shared" si="160"/>
        <v>127602</v>
      </c>
      <c r="V169" s="446">
        <f t="shared" si="161"/>
        <v>408</v>
      </c>
      <c r="W169" s="446">
        <f t="shared" si="162"/>
        <v>19.910400000000003</v>
      </c>
      <c r="X169" s="446">
        <f t="shared" si="163"/>
        <v>0.35088652799999998</v>
      </c>
      <c r="Y169" s="446">
        <f t="shared" si="164"/>
        <v>428</v>
      </c>
      <c r="Z169" s="260">
        <f t="shared" si="165"/>
        <v>52061616</v>
      </c>
      <c r="AA169" s="260">
        <f t="shared" si="166"/>
        <v>54613656</v>
      </c>
      <c r="AB169" s="425">
        <f t="shared" si="167"/>
        <v>17</v>
      </c>
      <c r="AC169" s="425">
        <f t="array" ref="AC169">MAX((IF(MNU_CODIGO_ALIMENTO_ENTREGA=CONCATENATE($E169,"_","P_"),MNU_GRAMAJE_REQUERIDO_TIPOC,"")))</f>
        <v>80</v>
      </c>
      <c r="AD169" s="257">
        <f t="shared" si="168"/>
        <v>10054</v>
      </c>
      <c r="AE169" s="257">
        <f t="shared" si="169"/>
        <v>170918</v>
      </c>
      <c r="AF169" s="446">
        <f t="shared" si="170"/>
        <v>815</v>
      </c>
      <c r="AG169" s="446">
        <f t="shared" si="171"/>
        <v>39.772000000000006</v>
      </c>
      <c r="AH169" s="446">
        <f t="shared" si="172"/>
        <v>0.7009130400000001</v>
      </c>
      <c r="AI169" s="446">
        <f t="shared" si="173"/>
        <v>855</v>
      </c>
      <c r="AJ169" s="258">
        <f t="shared" si="174"/>
        <v>139298170</v>
      </c>
      <c r="AK169" s="258">
        <f t="shared" si="175"/>
        <v>146134890</v>
      </c>
      <c r="AL169" s="426">
        <f t="shared" si="176"/>
        <v>17</v>
      </c>
      <c r="AM169" s="426">
        <f t="array" ref="AM169">MAX((IF(MNU_CODIGO_ALIMENTO_ENTREGA=CONCATENATE($E169,"_","P_"),MNU_GRAMAJE_REQUERIDO_TIPOM,"")))</f>
        <v>40</v>
      </c>
      <c r="AN169" s="259">
        <f t="shared" si="177"/>
        <v>227</v>
      </c>
      <c r="AO169" s="259">
        <f t="shared" si="178"/>
        <v>3859</v>
      </c>
      <c r="AP169" s="446">
        <f t="shared" si="179"/>
        <v>408</v>
      </c>
      <c r="AQ169" s="446">
        <f t="shared" si="180"/>
        <v>19.910400000000003</v>
      </c>
      <c r="AR169" s="446">
        <f t="shared" si="181"/>
        <v>0.35088652799999998</v>
      </c>
      <c r="AS169" s="446">
        <f t="shared" si="182"/>
        <v>428</v>
      </c>
      <c r="AT169" s="260">
        <f t="shared" si="183"/>
        <v>1574472</v>
      </c>
      <c r="AU169" s="260">
        <f t="shared" si="184"/>
        <v>1651652</v>
      </c>
      <c r="AV169" s="425">
        <f t="shared" si="185"/>
        <v>17</v>
      </c>
      <c r="AW169" s="425">
        <f t="array" ref="AW169">MAX((IF(MNU_CODIGO_ALIMENTO_ENTREGA=CONCATENATE($E169,"_","P_"),MNU_GRAMAJE_REQUERIDO_TIPOH,"")))</f>
        <v>80</v>
      </c>
      <c r="AX169" s="257">
        <f t="shared" si="186"/>
        <v>281</v>
      </c>
      <c r="AY169" s="257">
        <f t="shared" si="187"/>
        <v>4777</v>
      </c>
      <c r="AZ169" s="446">
        <f t="shared" si="188"/>
        <v>815</v>
      </c>
      <c r="BA169" s="446">
        <f t="shared" si="189"/>
        <v>39.772000000000006</v>
      </c>
      <c r="BB169" s="446">
        <f t="shared" si="190"/>
        <v>0.7009130400000001</v>
      </c>
      <c r="BC169" s="446">
        <f t="shared" si="191"/>
        <v>855</v>
      </c>
      <c r="BD169" s="258">
        <f t="shared" si="192"/>
        <v>3893255</v>
      </c>
      <c r="BE169" s="258">
        <f t="shared" si="193"/>
        <v>4084335</v>
      </c>
      <c r="BF169" s="391">
        <f t="shared" si="194"/>
        <v>223680237</v>
      </c>
      <c r="BG169" s="391">
        <f t="shared" si="195"/>
        <v>234653567</v>
      </c>
    </row>
    <row r="170" spans="1:59" ht="15.75">
      <c r="A170" s="333">
        <v>13</v>
      </c>
      <c r="B170" s="333" t="str">
        <f t="shared" si="147"/>
        <v>CEREAL EMPACADO_13</v>
      </c>
      <c r="C170" s="333" t="str">
        <f t="shared" si="148"/>
        <v>61_13</v>
      </c>
      <c r="D170" s="333" t="s">
        <v>1607</v>
      </c>
      <c r="E170" s="256">
        <v>61</v>
      </c>
      <c r="F170" s="322" t="s">
        <v>13</v>
      </c>
      <c r="G170" s="256" t="s">
        <v>9</v>
      </c>
      <c r="H170" s="425">
        <f t="shared" si="149"/>
        <v>16</v>
      </c>
      <c r="I170" s="425">
        <f t="array" ref="I170">MAX((IF(MNU_CODIGO_ALIMENTO_ENTREGA=CONCATENATE($E170,"_","P_"),MNU_GRAMAJE_REQUERIDO_TIPOA,"")))</f>
        <v>20</v>
      </c>
      <c r="J170" s="257">
        <f t="shared" si="150"/>
        <v>5162</v>
      </c>
      <c r="K170" s="257">
        <f t="shared" si="151"/>
        <v>82592</v>
      </c>
      <c r="L170" s="446">
        <f t="shared" si="152"/>
        <v>222</v>
      </c>
      <c r="M170" s="446">
        <f t="shared" si="153"/>
        <v>10.833600000000001</v>
      </c>
      <c r="N170" s="446">
        <f t="shared" si="154"/>
        <v>0.190923552</v>
      </c>
      <c r="O170" s="446">
        <f t="shared" si="155"/>
        <v>233</v>
      </c>
      <c r="P170" s="258">
        <f t="shared" si="156"/>
        <v>18335424</v>
      </c>
      <c r="Q170" s="258">
        <f t="shared" si="157"/>
        <v>19243936</v>
      </c>
      <c r="R170" s="426">
        <f t="shared" si="158"/>
        <v>16</v>
      </c>
      <c r="S170" s="426">
        <f t="array" ref="S170">MAX((IF(MNU_CODIGO_ALIMENTO_ENTREGA=CONCATENATE($E170,"_","P_"),MNU_GRAMAJE_REQUERIDO_TIPOB,"")))</f>
        <v>30</v>
      </c>
      <c r="T170" s="259">
        <f t="shared" si="159"/>
        <v>7506</v>
      </c>
      <c r="U170" s="259">
        <f t="shared" si="160"/>
        <v>120096</v>
      </c>
      <c r="V170" s="446">
        <f t="shared" si="161"/>
        <v>334</v>
      </c>
      <c r="W170" s="446">
        <f t="shared" si="162"/>
        <v>16.299199999999999</v>
      </c>
      <c r="X170" s="446">
        <f t="shared" si="163"/>
        <v>0.28724534400000001</v>
      </c>
      <c r="Y170" s="446">
        <f t="shared" si="164"/>
        <v>351</v>
      </c>
      <c r="Z170" s="260">
        <f t="shared" si="165"/>
        <v>40112064</v>
      </c>
      <c r="AA170" s="260">
        <f t="shared" si="166"/>
        <v>42153696</v>
      </c>
      <c r="AB170" s="425">
        <f t="shared" si="167"/>
        <v>16</v>
      </c>
      <c r="AC170" s="425">
        <f t="array" ref="AC170">MAX((IF(MNU_CODIGO_ALIMENTO_ENTREGA=CONCATENATE($E170,"_","P_"),MNU_GRAMAJE_REQUERIDO_TIPOC,"")))</f>
        <v>70</v>
      </c>
      <c r="AD170" s="257">
        <f t="shared" si="168"/>
        <v>10054</v>
      </c>
      <c r="AE170" s="257">
        <f t="shared" si="169"/>
        <v>160864</v>
      </c>
      <c r="AF170" s="446">
        <f t="shared" si="170"/>
        <v>779</v>
      </c>
      <c r="AG170" s="446">
        <f t="shared" si="171"/>
        <v>38.0152</v>
      </c>
      <c r="AH170" s="446">
        <f t="shared" si="172"/>
        <v>0.66995246400000008</v>
      </c>
      <c r="AI170" s="446">
        <f t="shared" si="173"/>
        <v>818</v>
      </c>
      <c r="AJ170" s="258">
        <f t="shared" si="174"/>
        <v>125313056</v>
      </c>
      <c r="AK170" s="258">
        <f t="shared" si="175"/>
        <v>131586752</v>
      </c>
      <c r="AL170" s="426">
        <f t="shared" si="176"/>
        <v>16</v>
      </c>
      <c r="AM170" s="426">
        <f t="array" ref="AM170">MAX((IF(MNU_CODIGO_ALIMENTO_ENTREGA=CONCATENATE($E170,"_","P_"),MNU_GRAMAJE_REQUERIDO_TIPOM,"")))</f>
        <v>30</v>
      </c>
      <c r="AN170" s="259">
        <f t="shared" si="177"/>
        <v>227</v>
      </c>
      <c r="AO170" s="259">
        <f t="shared" si="178"/>
        <v>3632</v>
      </c>
      <c r="AP170" s="446">
        <f t="shared" si="179"/>
        <v>334</v>
      </c>
      <c r="AQ170" s="446">
        <f t="shared" si="180"/>
        <v>16.299199999999999</v>
      </c>
      <c r="AR170" s="446">
        <f t="shared" si="181"/>
        <v>0.28724534400000001</v>
      </c>
      <c r="AS170" s="446">
        <f t="shared" si="182"/>
        <v>351</v>
      </c>
      <c r="AT170" s="260">
        <f t="shared" si="183"/>
        <v>1213088</v>
      </c>
      <c r="AU170" s="260">
        <f t="shared" si="184"/>
        <v>1274832</v>
      </c>
      <c r="AV170" s="425">
        <f t="shared" si="185"/>
        <v>16</v>
      </c>
      <c r="AW170" s="425">
        <f t="array" ref="AW170">MAX((IF(MNU_CODIGO_ALIMENTO_ENTREGA=CONCATENATE($E170,"_","P_"),MNU_GRAMAJE_REQUERIDO_TIPOH,"")))</f>
        <v>70</v>
      </c>
      <c r="AX170" s="257">
        <f t="shared" si="186"/>
        <v>281</v>
      </c>
      <c r="AY170" s="257">
        <f t="shared" si="187"/>
        <v>4496</v>
      </c>
      <c r="AZ170" s="446">
        <f t="shared" si="188"/>
        <v>779</v>
      </c>
      <c r="BA170" s="446">
        <f t="shared" si="189"/>
        <v>38.0152</v>
      </c>
      <c r="BB170" s="446">
        <f t="shared" si="190"/>
        <v>0.66995246400000008</v>
      </c>
      <c r="BC170" s="446">
        <f t="shared" si="191"/>
        <v>818</v>
      </c>
      <c r="BD170" s="258">
        <f t="shared" si="192"/>
        <v>3502384</v>
      </c>
      <c r="BE170" s="258">
        <f t="shared" si="193"/>
        <v>3677728</v>
      </c>
      <c r="BF170" s="391">
        <f t="shared" si="194"/>
        <v>188476016</v>
      </c>
      <c r="BG170" s="391">
        <f t="shared" si="195"/>
        <v>197936944</v>
      </c>
    </row>
    <row r="171" spans="1:59" ht="15.75">
      <c r="A171" s="333">
        <v>13</v>
      </c>
      <c r="B171" s="333" t="str">
        <f t="shared" si="147"/>
        <v>CEREAL EMPACADO_13</v>
      </c>
      <c r="C171" s="333" t="str">
        <f t="shared" si="148"/>
        <v>62_13</v>
      </c>
      <c r="D171" s="333" t="s">
        <v>1607</v>
      </c>
      <c r="E171" s="256">
        <v>62</v>
      </c>
      <c r="F171" s="322" t="s">
        <v>68</v>
      </c>
      <c r="G171" s="256" t="s">
        <v>9</v>
      </c>
      <c r="H171" s="425">
        <f t="shared" si="149"/>
        <v>5</v>
      </c>
      <c r="I171" s="425">
        <f t="array" ref="I171">MAX((IF(MNU_CODIGO_ALIMENTO_ENTREGA=CONCATENATE($E171,"_","P_"),MNU_GRAMAJE_REQUERIDO_TIPOA,"")))</f>
        <v>50</v>
      </c>
      <c r="J171" s="257">
        <f t="shared" si="150"/>
        <v>5162</v>
      </c>
      <c r="K171" s="257">
        <f t="shared" si="151"/>
        <v>25810</v>
      </c>
      <c r="L171" s="446">
        <f t="shared" si="152"/>
        <v>595</v>
      </c>
      <c r="M171" s="446">
        <f t="shared" si="153"/>
        <v>29.036000000000001</v>
      </c>
      <c r="N171" s="446">
        <f t="shared" si="154"/>
        <v>0.51170952000000014</v>
      </c>
      <c r="O171" s="446">
        <f t="shared" si="155"/>
        <v>625</v>
      </c>
      <c r="P171" s="258">
        <f t="shared" si="156"/>
        <v>15356950</v>
      </c>
      <c r="Q171" s="258">
        <f t="shared" si="157"/>
        <v>16131250</v>
      </c>
      <c r="R171" s="426">
        <f t="shared" si="158"/>
        <v>5</v>
      </c>
      <c r="S171" s="426">
        <f t="array" ref="S171">MAX((IF(MNU_CODIGO_ALIMENTO_ENTREGA=CONCATENATE($E171,"_","P_"),MNU_GRAMAJE_REQUERIDO_TIPOB,"")))</f>
        <v>50</v>
      </c>
      <c r="T171" s="259">
        <f t="shared" si="159"/>
        <v>7506</v>
      </c>
      <c r="U171" s="259">
        <f t="shared" si="160"/>
        <v>37530</v>
      </c>
      <c r="V171" s="446">
        <f t="shared" si="161"/>
        <v>595</v>
      </c>
      <c r="W171" s="446">
        <f t="shared" si="162"/>
        <v>29.036000000000001</v>
      </c>
      <c r="X171" s="446">
        <f t="shared" si="163"/>
        <v>0.51170952000000014</v>
      </c>
      <c r="Y171" s="446">
        <f t="shared" si="164"/>
        <v>625</v>
      </c>
      <c r="Z171" s="260">
        <f t="shared" si="165"/>
        <v>22330350</v>
      </c>
      <c r="AA171" s="260">
        <f t="shared" si="166"/>
        <v>23456250</v>
      </c>
      <c r="AB171" s="425">
        <f t="shared" si="167"/>
        <v>5</v>
      </c>
      <c r="AC171" s="425">
        <f t="array" ref="AC171">MAX((IF(MNU_CODIGO_ALIMENTO_ENTREGA=CONCATENATE($E171,"_","P_"),MNU_GRAMAJE_REQUERIDO_TIPOC,"")))</f>
        <v>50</v>
      </c>
      <c r="AD171" s="257">
        <f t="shared" si="168"/>
        <v>10054</v>
      </c>
      <c r="AE171" s="257">
        <f t="shared" si="169"/>
        <v>50270</v>
      </c>
      <c r="AF171" s="446">
        <f t="shared" si="170"/>
        <v>595</v>
      </c>
      <c r="AG171" s="446">
        <f t="shared" si="171"/>
        <v>29.036000000000001</v>
      </c>
      <c r="AH171" s="446">
        <f t="shared" si="172"/>
        <v>0.51170952000000014</v>
      </c>
      <c r="AI171" s="446">
        <f t="shared" si="173"/>
        <v>625</v>
      </c>
      <c r="AJ171" s="258">
        <f t="shared" si="174"/>
        <v>29910650</v>
      </c>
      <c r="AK171" s="258">
        <f t="shared" si="175"/>
        <v>31418750</v>
      </c>
      <c r="AL171" s="426">
        <f t="shared" si="176"/>
        <v>5</v>
      </c>
      <c r="AM171" s="426">
        <f t="array" ref="AM171">MAX((IF(MNU_CODIGO_ALIMENTO_ENTREGA=CONCATENATE($E171,"_","P_"),MNU_GRAMAJE_REQUERIDO_TIPOM,"")))</f>
        <v>50</v>
      </c>
      <c r="AN171" s="259">
        <f t="shared" si="177"/>
        <v>227</v>
      </c>
      <c r="AO171" s="259">
        <f t="shared" si="178"/>
        <v>1135</v>
      </c>
      <c r="AP171" s="446">
        <f t="shared" si="179"/>
        <v>595</v>
      </c>
      <c r="AQ171" s="446">
        <f t="shared" si="180"/>
        <v>29.036000000000001</v>
      </c>
      <c r="AR171" s="446">
        <f t="shared" si="181"/>
        <v>0.51170952000000014</v>
      </c>
      <c r="AS171" s="446">
        <f t="shared" si="182"/>
        <v>625</v>
      </c>
      <c r="AT171" s="260">
        <f t="shared" si="183"/>
        <v>675325</v>
      </c>
      <c r="AU171" s="260">
        <f t="shared" si="184"/>
        <v>709375</v>
      </c>
      <c r="AV171" s="425">
        <f t="shared" si="185"/>
        <v>5</v>
      </c>
      <c r="AW171" s="425">
        <f t="array" ref="AW171">MAX((IF(MNU_CODIGO_ALIMENTO_ENTREGA=CONCATENATE($E171,"_","P_"),MNU_GRAMAJE_REQUERIDO_TIPOH,"")))</f>
        <v>50</v>
      </c>
      <c r="AX171" s="257">
        <f t="shared" si="186"/>
        <v>281</v>
      </c>
      <c r="AY171" s="257">
        <f t="shared" si="187"/>
        <v>1405</v>
      </c>
      <c r="AZ171" s="446">
        <f t="shared" si="188"/>
        <v>595</v>
      </c>
      <c r="BA171" s="446">
        <f t="shared" si="189"/>
        <v>29.036000000000001</v>
      </c>
      <c r="BB171" s="446">
        <f t="shared" si="190"/>
        <v>0.51170952000000014</v>
      </c>
      <c r="BC171" s="446">
        <f t="shared" si="191"/>
        <v>625</v>
      </c>
      <c r="BD171" s="258">
        <f t="shared" si="192"/>
        <v>835975</v>
      </c>
      <c r="BE171" s="258">
        <f t="shared" si="193"/>
        <v>878125</v>
      </c>
      <c r="BF171" s="391">
        <f t="shared" si="194"/>
        <v>69109250</v>
      </c>
      <c r="BG171" s="391">
        <f t="shared" si="195"/>
        <v>72593750</v>
      </c>
    </row>
    <row r="172" spans="1:59" ht="15.75">
      <c r="A172" s="333">
        <v>14</v>
      </c>
      <c r="B172" s="333" t="str">
        <f t="shared" si="147"/>
        <v>CEREAL EMPACADO_14</v>
      </c>
      <c r="C172" s="333" t="str">
        <f t="shared" si="148"/>
        <v>1_14</v>
      </c>
      <c r="D172" s="333" t="s">
        <v>1607</v>
      </c>
      <c r="E172" s="256">
        <v>1</v>
      </c>
      <c r="F172" s="322" t="s">
        <v>16</v>
      </c>
      <c r="G172" s="256" t="s">
        <v>9</v>
      </c>
      <c r="H172" s="425">
        <f t="shared" si="149"/>
        <v>15</v>
      </c>
      <c r="I172" s="425">
        <f t="array" ref="I172">MAX((IF(MNU_CODIGO_ALIMENTO_ENTREGA=CONCATENATE($E172,"_","P_"),MNU_GRAMAJE_REQUERIDO_TIPOA,"")))</f>
        <v>30</v>
      </c>
      <c r="J172" s="257">
        <f t="shared" si="150"/>
        <v>4679</v>
      </c>
      <c r="K172" s="257">
        <f t="shared" si="151"/>
        <v>70185</v>
      </c>
      <c r="L172" s="446">
        <f t="shared" si="152"/>
        <v>770</v>
      </c>
      <c r="M172" s="446">
        <f t="shared" si="153"/>
        <v>37.576000000000008</v>
      </c>
      <c r="N172" s="446">
        <f t="shared" si="154"/>
        <v>0.66221231999999997</v>
      </c>
      <c r="O172" s="446">
        <f t="shared" si="155"/>
        <v>808</v>
      </c>
      <c r="P172" s="258">
        <f t="shared" si="156"/>
        <v>54042450</v>
      </c>
      <c r="Q172" s="258">
        <f t="shared" si="157"/>
        <v>56709480</v>
      </c>
      <c r="R172" s="426">
        <f t="shared" si="158"/>
        <v>15</v>
      </c>
      <c r="S172" s="426">
        <f t="array" ref="S172">MAX((IF(MNU_CODIGO_ALIMENTO_ENTREGA=CONCATENATE($E172,"_","P_"),MNU_GRAMAJE_REQUERIDO_TIPOB,"")))</f>
        <v>40</v>
      </c>
      <c r="T172" s="259">
        <f t="shared" si="159"/>
        <v>6284</v>
      </c>
      <c r="U172" s="259">
        <f t="shared" si="160"/>
        <v>94260</v>
      </c>
      <c r="V172" s="446">
        <f t="shared" si="161"/>
        <v>1027</v>
      </c>
      <c r="W172" s="446">
        <f t="shared" si="162"/>
        <v>50.117600000000003</v>
      </c>
      <c r="X172" s="446">
        <f t="shared" si="163"/>
        <v>0.88323643200000013</v>
      </c>
      <c r="Y172" s="446">
        <f t="shared" si="164"/>
        <v>1078</v>
      </c>
      <c r="Z172" s="260">
        <f t="shared" si="165"/>
        <v>96805020</v>
      </c>
      <c r="AA172" s="260">
        <f t="shared" si="166"/>
        <v>101612280</v>
      </c>
      <c r="AB172" s="425">
        <f t="shared" si="167"/>
        <v>15</v>
      </c>
      <c r="AC172" s="425">
        <f t="array" ref="AC172">MAX((IF(MNU_CODIGO_ALIMENTO_ENTREGA=CONCATENATE($E172,"_","P_"),MNU_GRAMAJE_REQUERIDO_TIPOC,"")))</f>
        <v>60</v>
      </c>
      <c r="AD172" s="257">
        <f t="shared" si="168"/>
        <v>6681</v>
      </c>
      <c r="AE172" s="257">
        <f t="shared" si="169"/>
        <v>100215</v>
      </c>
      <c r="AF172" s="446">
        <f t="shared" si="170"/>
        <v>1540</v>
      </c>
      <c r="AG172" s="446">
        <f t="shared" si="171"/>
        <v>75.152000000000015</v>
      </c>
      <c r="AH172" s="446">
        <f t="shared" si="172"/>
        <v>1.3244246399999999</v>
      </c>
      <c r="AI172" s="446">
        <f t="shared" si="173"/>
        <v>1616</v>
      </c>
      <c r="AJ172" s="258">
        <f t="shared" si="174"/>
        <v>154331100</v>
      </c>
      <c r="AK172" s="258">
        <f t="shared" si="175"/>
        <v>161947440</v>
      </c>
      <c r="AL172" s="426">
        <f t="shared" si="176"/>
        <v>15</v>
      </c>
      <c r="AM172" s="426">
        <f t="array" ref="AM172">MAX((IF(MNU_CODIGO_ALIMENTO_ENTREGA=CONCATENATE($E172,"_","P_"),MNU_GRAMAJE_REQUERIDO_TIPOM,"")))</f>
        <v>40</v>
      </c>
      <c r="AN172" s="259">
        <f t="shared" si="177"/>
        <v>465</v>
      </c>
      <c r="AO172" s="259">
        <f t="shared" si="178"/>
        <v>6975</v>
      </c>
      <c r="AP172" s="446">
        <f t="shared" si="179"/>
        <v>1027</v>
      </c>
      <c r="AQ172" s="446">
        <f t="shared" si="180"/>
        <v>50.117600000000003</v>
      </c>
      <c r="AR172" s="446">
        <f t="shared" si="181"/>
        <v>0.88323643200000013</v>
      </c>
      <c r="AS172" s="446">
        <f t="shared" si="182"/>
        <v>1078</v>
      </c>
      <c r="AT172" s="260">
        <f t="shared" si="183"/>
        <v>7163325</v>
      </c>
      <c r="AU172" s="260">
        <f t="shared" si="184"/>
        <v>7519050</v>
      </c>
      <c r="AV172" s="425">
        <f t="shared" si="185"/>
        <v>15</v>
      </c>
      <c r="AW172" s="425">
        <f t="array" ref="AW172">MAX((IF(MNU_CODIGO_ALIMENTO_ENTREGA=CONCATENATE($E172,"_","P_"),MNU_GRAMAJE_REQUERIDO_TIPOH,"")))</f>
        <v>60</v>
      </c>
      <c r="AX172" s="257">
        <f t="shared" si="186"/>
        <v>400</v>
      </c>
      <c r="AY172" s="257">
        <f t="shared" si="187"/>
        <v>6000</v>
      </c>
      <c r="AZ172" s="446">
        <f t="shared" si="188"/>
        <v>1540</v>
      </c>
      <c r="BA172" s="446">
        <f t="shared" si="189"/>
        <v>75.152000000000015</v>
      </c>
      <c r="BB172" s="446">
        <f t="shared" si="190"/>
        <v>1.3244246399999999</v>
      </c>
      <c r="BC172" s="446">
        <f t="shared" si="191"/>
        <v>1616</v>
      </c>
      <c r="BD172" s="258">
        <f t="shared" si="192"/>
        <v>9240000</v>
      </c>
      <c r="BE172" s="258">
        <f t="shared" si="193"/>
        <v>9696000</v>
      </c>
      <c r="BF172" s="391">
        <f t="shared" si="194"/>
        <v>321581895</v>
      </c>
      <c r="BG172" s="391">
        <f t="shared" si="195"/>
        <v>337484250</v>
      </c>
    </row>
    <row r="173" spans="1:59" ht="15.75">
      <c r="A173" s="333">
        <v>14</v>
      </c>
      <c r="B173" s="333" t="str">
        <f t="shared" si="147"/>
        <v>CEREAL EMPACADO_14</v>
      </c>
      <c r="C173" s="333" t="str">
        <f t="shared" si="148"/>
        <v>3_14</v>
      </c>
      <c r="D173" s="333" t="s">
        <v>1607</v>
      </c>
      <c r="E173" s="256">
        <v>3</v>
      </c>
      <c r="F173" s="322" t="s">
        <v>12</v>
      </c>
      <c r="G173" s="256" t="s">
        <v>9</v>
      </c>
      <c r="H173" s="425">
        <f t="shared" si="149"/>
        <v>17</v>
      </c>
      <c r="I173" s="425">
        <f t="array" ref="I173">MAX((IF(MNU_CODIGO_ALIMENTO_ENTREGA=CONCATENATE($E173,"_","P_"),MNU_GRAMAJE_REQUERIDO_TIPOA,"")))</f>
        <v>50</v>
      </c>
      <c r="J173" s="257">
        <f t="shared" si="150"/>
        <v>4679</v>
      </c>
      <c r="K173" s="257">
        <f t="shared" si="151"/>
        <v>79543</v>
      </c>
      <c r="L173" s="446">
        <f t="shared" si="152"/>
        <v>481</v>
      </c>
      <c r="M173" s="446">
        <f t="shared" si="153"/>
        <v>23.472799999999999</v>
      </c>
      <c r="N173" s="446">
        <f t="shared" si="154"/>
        <v>0.41366769599999997</v>
      </c>
      <c r="O173" s="446">
        <f t="shared" si="155"/>
        <v>505</v>
      </c>
      <c r="P173" s="258">
        <f t="shared" si="156"/>
        <v>38260183</v>
      </c>
      <c r="Q173" s="258">
        <f t="shared" si="157"/>
        <v>40169215</v>
      </c>
      <c r="R173" s="426">
        <f t="shared" si="158"/>
        <v>17</v>
      </c>
      <c r="S173" s="426">
        <f t="array" ref="S173">MAX((IF(MNU_CODIGO_ALIMENTO_ENTREGA=CONCATENATE($E173,"_","P_"),MNU_GRAMAJE_REQUERIDO_TIPOB,"")))</f>
        <v>50</v>
      </c>
      <c r="T173" s="259">
        <f t="shared" si="159"/>
        <v>6284</v>
      </c>
      <c r="U173" s="259">
        <f t="shared" si="160"/>
        <v>106828</v>
      </c>
      <c r="V173" s="446">
        <f t="shared" si="161"/>
        <v>481</v>
      </c>
      <c r="W173" s="446">
        <f t="shared" si="162"/>
        <v>23.472799999999999</v>
      </c>
      <c r="X173" s="446">
        <f t="shared" si="163"/>
        <v>0.41366769599999997</v>
      </c>
      <c r="Y173" s="446">
        <f t="shared" si="164"/>
        <v>505</v>
      </c>
      <c r="Z173" s="260">
        <f t="shared" si="165"/>
        <v>51384268</v>
      </c>
      <c r="AA173" s="260">
        <f t="shared" si="166"/>
        <v>53948140</v>
      </c>
      <c r="AB173" s="425">
        <f t="shared" si="167"/>
        <v>17</v>
      </c>
      <c r="AC173" s="425">
        <f t="array" ref="AC173">MAX((IF(MNU_CODIGO_ALIMENTO_ENTREGA=CONCATENATE($E173,"_","P_"),MNU_GRAMAJE_REQUERIDO_TIPOC,"")))</f>
        <v>80</v>
      </c>
      <c r="AD173" s="257">
        <f t="shared" si="168"/>
        <v>6681</v>
      </c>
      <c r="AE173" s="257">
        <f t="shared" si="169"/>
        <v>113577</v>
      </c>
      <c r="AF173" s="446">
        <f t="shared" si="170"/>
        <v>727</v>
      </c>
      <c r="AG173" s="446">
        <f t="shared" si="171"/>
        <v>35.477600000000002</v>
      </c>
      <c r="AH173" s="446">
        <f t="shared" si="172"/>
        <v>0.62523163200000009</v>
      </c>
      <c r="AI173" s="446">
        <f t="shared" si="173"/>
        <v>763</v>
      </c>
      <c r="AJ173" s="258">
        <f t="shared" si="174"/>
        <v>82570479</v>
      </c>
      <c r="AK173" s="258">
        <f t="shared" si="175"/>
        <v>86659251</v>
      </c>
      <c r="AL173" s="426">
        <f t="shared" si="176"/>
        <v>17</v>
      </c>
      <c r="AM173" s="426">
        <f t="array" ref="AM173">MAX((IF(MNU_CODIGO_ALIMENTO_ENTREGA=CONCATENATE($E173,"_","P_"),MNU_GRAMAJE_REQUERIDO_TIPOM,"")))</f>
        <v>50</v>
      </c>
      <c r="AN173" s="259">
        <f t="shared" si="177"/>
        <v>465</v>
      </c>
      <c r="AO173" s="259">
        <f t="shared" si="178"/>
        <v>7905</v>
      </c>
      <c r="AP173" s="446">
        <f t="shared" si="179"/>
        <v>481</v>
      </c>
      <c r="AQ173" s="446">
        <f t="shared" si="180"/>
        <v>23.472799999999999</v>
      </c>
      <c r="AR173" s="446">
        <f t="shared" si="181"/>
        <v>0.41366769599999997</v>
      </c>
      <c r="AS173" s="446">
        <f t="shared" si="182"/>
        <v>505</v>
      </c>
      <c r="AT173" s="260">
        <f t="shared" si="183"/>
        <v>3802305</v>
      </c>
      <c r="AU173" s="260">
        <f t="shared" si="184"/>
        <v>3992025</v>
      </c>
      <c r="AV173" s="425">
        <f t="shared" si="185"/>
        <v>17</v>
      </c>
      <c r="AW173" s="425">
        <f t="array" ref="AW173">MAX((IF(MNU_CODIGO_ALIMENTO_ENTREGA=CONCATENATE($E173,"_","P_"),MNU_GRAMAJE_REQUERIDO_TIPOH,"")))</f>
        <v>80</v>
      </c>
      <c r="AX173" s="257">
        <f t="shared" si="186"/>
        <v>400</v>
      </c>
      <c r="AY173" s="257">
        <f t="shared" si="187"/>
        <v>6800</v>
      </c>
      <c r="AZ173" s="446">
        <f t="shared" si="188"/>
        <v>727</v>
      </c>
      <c r="BA173" s="446">
        <f t="shared" si="189"/>
        <v>35.477600000000002</v>
      </c>
      <c r="BB173" s="446">
        <f t="shared" si="190"/>
        <v>0.62523163200000009</v>
      </c>
      <c r="BC173" s="446">
        <f t="shared" si="191"/>
        <v>763</v>
      </c>
      <c r="BD173" s="258">
        <f t="shared" si="192"/>
        <v>4943600</v>
      </c>
      <c r="BE173" s="258">
        <f t="shared" si="193"/>
        <v>5188400</v>
      </c>
      <c r="BF173" s="391">
        <f t="shared" si="194"/>
        <v>180960835</v>
      </c>
      <c r="BG173" s="391">
        <f t="shared" si="195"/>
        <v>189957031</v>
      </c>
    </row>
    <row r="174" spans="1:59" ht="15.75">
      <c r="A174" s="333">
        <v>14</v>
      </c>
      <c r="B174" s="333" t="str">
        <f t="shared" si="147"/>
        <v>CEREAL EMPACADO_14</v>
      </c>
      <c r="C174" s="333" t="str">
        <f t="shared" si="148"/>
        <v>15_14</v>
      </c>
      <c r="D174" s="333" t="s">
        <v>1607</v>
      </c>
      <c r="E174" s="256">
        <v>15</v>
      </c>
      <c r="F174" s="322" t="s">
        <v>66</v>
      </c>
      <c r="G174" s="256" t="s">
        <v>9</v>
      </c>
      <c r="H174" s="425">
        <f t="shared" si="149"/>
        <v>17</v>
      </c>
      <c r="I174" s="425">
        <f t="array" ref="I174">MAX((IF(MNU_CODIGO_ALIMENTO_ENTREGA=CONCATENATE($E174,"_","P_"),MNU_GRAMAJE_REQUERIDO_TIPOA,"")))</f>
        <v>50</v>
      </c>
      <c r="J174" s="257">
        <f t="shared" si="150"/>
        <v>4679</v>
      </c>
      <c r="K174" s="257">
        <f t="shared" si="151"/>
        <v>79543</v>
      </c>
      <c r="L174" s="446">
        <f t="shared" si="152"/>
        <v>641</v>
      </c>
      <c r="M174" s="446">
        <f t="shared" si="153"/>
        <v>31.280800000000003</v>
      </c>
      <c r="N174" s="446">
        <f t="shared" si="154"/>
        <v>0.55127025600000001</v>
      </c>
      <c r="O174" s="446">
        <f t="shared" si="155"/>
        <v>673</v>
      </c>
      <c r="P174" s="258">
        <f t="shared" si="156"/>
        <v>50987063</v>
      </c>
      <c r="Q174" s="258">
        <f t="shared" si="157"/>
        <v>53532439</v>
      </c>
      <c r="R174" s="426">
        <f t="shared" si="158"/>
        <v>17</v>
      </c>
      <c r="S174" s="426">
        <f t="array" ref="S174">MAX((IF(MNU_CODIGO_ALIMENTO_ENTREGA=CONCATENATE($E174,"_","P_"),MNU_GRAMAJE_REQUERIDO_TIPOB,"")))</f>
        <v>50</v>
      </c>
      <c r="T174" s="259">
        <f t="shared" si="159"/>
        <v>6284</v>
      </c>
      <c r="U174" s="259">
        <f t="shared" si="160"/>
        <v>106828</v>
      </c>
      <c r="V174" s="446">
        <f t="shared" si="161"/>
        <v>641</v>
      </c>
      <c r="W174" s="446">
        <f t="shared" si="162"/>
        <v>31.280800000000003</v>
      </c>
      <c r="X174" s="446">
        <f t="shared" si="163"/>
        <v>0.55127025600000001</v>
      </c>
      <c r="Y174" s="446">
        <f t="shared" si="164"/>
        <v>673</v>
      </c>
      <c r="Z174" s="260">
        <f t="shared" si="165"/>
        <v>68476748</v>
      </c>
      <c r="AA174" s="260">
        <f t="shared" si="166"/>
        <v>71895244</v>
      </c>
      <c r="AB174" s="425">
        <f t="shared" si="167"/>
        <v>17</v>
      </c>
      <c r="AC174" s="425">
        <f t="array" ref="AC174">MAX((IF(MNU_CODIGO_ALIMENTO_ENTREGA=CONCATENATE($E174,"_","P_"),MNU_GRAMAJE_REQUERIDO_TIPOC,"")))</f>
        <v>80</v>
      </c>
      <c r="AD174" s="257">
        <f t="shared" si="168"/>
        <v>6681</v>
      </c>
      <c r="AE174" s="257">
        <f t="shared" si="169"/>
        <v>113577</v>
      </c>
      <c r="AF174" s="446">
        <f t="shared" si="170"/>
        <v>1025</v>
      </c>
      <c r="AG174" s="446">
        <f t="shared" si="171"/>
        <v>50.02</v>
      </c>
      <c r="AH174" s="446">
        <f t="shared" si="172"/>
        <v>0.88151640000000009</v>
      </c>
      <c r="AI174" s="446">
        <f t="shared" si="173"/>
        <v>1076</v>
      </c>
      <c r="AJ174" s="258">
        <f t="shared" si="174"/>
        <v>116416425</v>
      </c>
      <c r="AK174" s="258">
        <f t="shared" si="175"/>
        <v>122208852</v>
      </c>
      <c r="AL174" s="426">
        <f t="shared" si="176"/>
        <v>17</v>
      </c>
      <c r="AM174" s="426">
        <f t="array" ref="AM174">MAX((IF(MNU_CODIGO_ALIMENTO_ENTREGA=CONCATENATE($E174,"_","P_"),MNU_GRAMAJE_REQUERIDO_TIPOM,"")))</f>
        <v>50</v>
      </c>
      <c r="AN174" s="259">
        <f t="shared" si="177"/>
        <v>465</v>
      </c>
      <c r="AO174" s="259">
        <f t="shared" si="178"/>
        <v>7905</v>
      </c>
      <c r="AP174" s="446">
        <f t="shared" si="179"/>
        <v>641</v>
      </c>
      <c r="AQ174" s="446">
        <f t="shared" si="180"/>
        <v>31.280800000000003</v>
      </c>
      <c r="AR174" s="446">
        <f t="shared" si="181"/>
        <v>0.55127025600000001</v>
      </c>
      <c r="AS174" s="446">
        <f t="shared" si="182"/>
        <v>673</v>
      </c>
      <c r="AT174" s="260">
        <f t="shared" si="183"/>
        <v>5067105</v>
      </c>
      <c r="AU174" s="260">
        <f t="shared" si="184"/>
        <v>5320065</v>
      </c>
      <c r="AV174" s="425">
        <f t="shared" si="185"/>
        <v>17</v>
      </c>
      <c r="AW174" s="425">
        <f t="array" ref="AW174">MAX((IF(MNU_CODIGO_ALIMENTO_ENTREGA=CONCATENATE($E174,"_","P_"),MNU_GRAMAJE_REQUERIDO_TIPOH,"")))</f>
        <v>80</v>
      </c>
      <c r="AX174" s="257">
        <f t="shared" si="186"/>
        <v>400</v>
      </c>
      <c r="AY174" s="257">
        <f t="shared" si="187"/>
        <v>6800</v>
      </c>
      <c r="AZ174" s="446">
        <f t="shared" si="188"/>
        <v>1025</v>
      </c>
      <c r="BA174" s="446">
        <f t="shared" si="189"/>
        <v>50.02</v>
      </c>
      <c r="BB174" s="446">
        <f t="shared" si="190"/>
        <v>0.88151640000000009</v>
      </c>
      <c r="BC174" s="446">
        <f t="shared" si="191"/>
        <v>1076</v>
      </c>
      <c r="BD174" s="258">
        <f t="shared" si="192"/>
        <v>6970000</v>
      </c>
      <c r="BE174" s="258">
        <f t="shared" si="193"/>
        <v>7316800</v>
      </c>
      <c r="BF174" s="391">
        <f t="shared" si="194"/>
        <v>247917341</v>
      </c>
      <c r="BG174" s="391">
        <f t="shared" si="195"/>
        <v>260273400</v>
      </c>
    </row>
    <row r="175" spans="1:59" ht="15.75">
      <c r="A175" s="333">
        <v>14</v>
      </c>
      <c r="B175" s="333" t="str">
        <f t="shared" si="147"/>
        <v>CEREAL EMPACADO_14</v>
      </c>
      <c r="C175" s="333" t="str">
        <f t="shared" si="148"/>
        <v>24_14</v>
      </c>
      <c r="D175" s="333" t="s">
        <v>1607</v>
      </c>
      <c r="E175" s="256">
        <v>24</v>
      </c>
      <c r="F175" s="322" t="s">
        <v>61</v>
      </c>
      <c r="G175" s="256" t="s">
        <v>9</v>
      </c>
      <c r="H175" s="425">
        <f t="shared" si="149"/>
        <v>17</v>
      </c>
      <c r="I175" s="425">
        <f t="array" ref="I175">MAX((IF(MNU_CODIGO_ALIMENTO_ENTREGA=CONCATENATE($E175,"_","P_"),MNU_GRAMAJE_REQUERIDO_TIPOA,"")))</f>
        <v>20</v>
      </c>
      <c r="J175" s="257">
        <f t="shared" si="150"/>
        <v>4679</v>
      </c>
      <c r="K175" s="257">
        <f t="shared" si="151"/>
        <v>79543</v>
      </c>
      <c r="L175" s="446">
        <f t="shared" si="152"/>
        <v>122</v>
      </c>
      <c r="M175" s="446">
        <f t="shared" si="153"/>
        <v>5.9535999999999998</v>
      </c>
      <c r="N175" s="446">
        <f t="shared" si="154"/>
        <v>0.104921952</v>
      </c>
      <c r="O175" s="446">
        <f t="shared" si="155"/>
        <v>128</v>
      </c>
      <c r="P175" s="258">
        <f t="shared" si="156"/>
        <v>9704246</v>
      </c>
      <c r="Q175" s="258">
        <f t="shared" si="157"/>
        <v>10181504</v>
      </c>
      <c r="R175" s="426">
        <f t="shared" si="158"/>
        <v>17</v>
      </c>
      <c r="S175" s="426">
        <f t="array" ref="S175">MAX((IF(MNU_CODIGO_ALIMENTO_ENTREGA=CONCATENATE($E175,"_","P_"),MNU_GRAMAJE_REQUERIDO_TIPOB,"")))</f>
        <v>30</v>
      </c>
      <c r="T175" s="259">
        <f t="shared" si="159"/>
        <v>6284</v>
      </c>
      <c r="U175" s="259">
        <f t="shared" si="160"/>
        <v>106828</v>
      </c>
      <c r="V175" s="446">
        <f t="shared" si="161"/>
        <v>191</v>
      </c>
      <c r="W175" s="446">
        <f t="shared" si="162"/>
        <v>9.3208000000000002</v>
      </c>
      <c r="X175" s="446">
        <f t="shared" si="163"/>
        <v>0.16426305600000002</v>
      </c>
      <c r="Y175" s="446">
        <f t="shared" si="164"/>
        <v>200</v>
      </c>
      <c r="Z175" s="260">
        <f t="shared" si="165"/>
        <v>20404148</v>
      </c>
      <c r="AA175" s="260">
        <f t="shared" si="166"/>
        <v>21365600</v>
      </c>
      <c r="AB175" s="425">
        <f t="shared" si="167"/>
        <v>17</v>
      </c>
      <c r="AC175" s="425">
        <f t="array" ref="AC175">MAX((IF(MNU_CODIGO_ALIMENTO_ENTREGA=CONCATENATE($E175,"_","P_"),MNU_GRAMAJE_REQUERIDO_TIPOC,"")))</f>
        <v>60</v>
      </c>
      <c r="AD175" s="257">
        <f t="shared" si="168"/>
        <v>6681</v>
      </c>
      <c r="AE175" s="257">
        <f t="shared" si="169"/>
        <v>113577</v>
      </c>
      <c r="AF175" s="446">
        <f t="shared" si="170"/>
        <v>367</v>
      </c>
      <c r="AG175" s="446">
        <f t="shared" si="171"/>
        <v>17.909599999999998</v>
      </c>
      <c r="AH175" s="446">
        <f t="shared" si="172"/>
        <v>0.31562587200000003</v>
      </c>
      <c r="AI175" s="446">
        <f t="shared" si="173"/>
        <v>385</v>
      </c>
      <c r="AJ175" s="258">
        <f t="shared" si="174"/>
        <v>41682759</v>
      </c>
      <c r="AK175" s="258">
        <f t="shared" si="175"/>
        <v>43727145</v>
      </c>
      <c r="AL175" s="426">
        <f t="shared" si="176"/>
        <v>17</v>
      </c>
      <c r="AM175" s="426">
        <f t="array" ref="AM175">MAX((IF(MNU_CODIGO_ALIMENTO_ENTREGA=CONCATENATE($E175,"_","P_"),MNU_GRAMAJE_REQUERIDO_TIPOM,"")))</f>
        <v>30</v>
      </c>
      <c r="AN175" s="259">
        <f t="shared" si="177"/>
        <v>465</v>
      </c>
      <c r="AO175" s="259">
        <f t="shared" si="178"/>
        <v>7905</v>
      </c>
      <c r="AP175" s="446">
        <f t="shared" si="179"/>
        <v>191</v>
      </c>
      <c r="AQ175" s="446">
        <f t="shared" si="180"/>
        <v>9.3208000000000002</v>
      </c>
      <c r="AR175" s="446">
        <f t="shared" si="181"/>
        <v>0.16426305600000002</v>
      </c>
      <c r="AS175" s="446">
        <f t="shared" si="182"/>
        <v>200</v>
      </c>
      <c r="AT175" s="260">
        <f t="shared" si="183"/>
        <v>1509855</v>
      </c>
      <c r="AU175" s="260">
        <f t="shared" si="184"/>
        <v>1581000</v>
      </c>
      <c r="AV175" s="425">
        <f t="shared" si="185"/>
        <v>17</v>
      </c>
      <c r="AW175" s="425">
        <f t="array" ref="AW175">MAX((IF(MNU_CODIGO_ALIMENTO_ENTREGA=CONCATENATE($E175,"_","P_"),MNU_GRAMAJE_REQUERIDO_TIPOH,"")))</f>
        <v>60</v>
      </c>
      <c r="AX175" s="257">
        <f t="shared" si="186"/>
        <v>400</v>
      </c>
      <c r="AY175" s="257">
        <f t="shared" si="187"/>
        <v>6800</v>
      </c>
      <c r="AZ175" s="446">
        <f t="shared" si="188"/>
        <v>367</v>
      </c>
      <c r="BA175" s="446">
        <f t="shared" si="189"/>
        <v>17.909599999999998</v>
      </c>
      <c r="BB175" s="446">
        <f t="shared" si="190"/>
        <v>0.31562587200000003</v>
      </c>
      <c r="BC175" s="446">
        <f t="shared" si="191"/>
        <v>385</v>
      </c>
      <c r="BD175" s="258">
        <f t="shared" si="192"/>
        <v>2495600</v>
      </c>
      <c r="BE175" s="258">
        <f t="shared" si="193"/>
        <v>2618000</v>
      </c>
      <c r="BF175" s="391">
        <f t="shared" si="194"/>
        <v>75796608</v>
      </c>
      <c r="BG175" s="391">
        <f t="shared" si="195"/>
        <v>79473249</v>
      </c>
    </row>
    <row r="176" spans="1:59" ht="15.75">
      <c r="A176" s="333">
        <v>14</v>
      </c>
      <c r="B176" s="333" t="str">
        <f t="shared" si="147"/>
        <v>CEREAL EMPACADO_14</v>
      </c>
      <c r="C176" s="333" t="str">
        <f t="shared" si="148"/>
        <v>25_14</v>
      </c>
      <c r="D176" s="333" t="s">
        <v>1607</v>
      </c>
      <c r="E176" s="256">
        <v>25</v>
      </c>
      <c r="F176" s="322" t="s">
        <v>64</v>
      </c>
      <c r="G176" s="256" t="s">
        <v>9</v>
      </c>
      <c r="H176" s="425">
        <f t="shared" si="149"/>
        <v>17</v>
      </c>
      <c r="I176" s="425">
        <f t="array" ref="I176">MAX((IF(MNU_CODIGO_ALIMENTO_ENTREGA=CONCATENATE($E176,"_","P_"),MNU_GRAMAJE_REQUERIDO_TIPOA,"")))</f>
        <v>40</v>
      </c>
      <c r="J176" s="257">
        <f t="shared" si="150"/>
        <v>4679</v>
      </c>
      <c r="K176" s="257">
        <f t="shared" si="151"/>
        <v>79543</v>
      </c>
      <c r="L176" s="446">
        <f t="shared" si="152"/>
        <v>244</v>
      </c>
      <c r="M176" s="446">
        <f t="shared" si="153"/>
        <v>11.9072</v>
      </c>
      <c r="N176" s="446">
        <f t="shared" si="154"/>
        <v>0.209843904</v>
      </c>
      <c r="O176" s="446">
        <f t="shared" si="155"/>
        <v>256</v>
      </c>
      <c r="P176" s="258">
        <f t="shared" si="156"/>
        <v>19408492</v>
      </c>
      <c r="Q176" s="258">
        <f t="shared" si="157"/>
        <v>20363008</v>
      </c>
      <c r="R176" s="426">
        <f t="shared" si="158"/>
        <v>17</v>
      </c>
      <c r="S176" s="426">
        <f t="array" ref="S176">MAX((IF(MNU_CODIGO_ALIMENTO_ENTREGA=CONCATENATE($E176,"_","P_"),MNU_GRAMAJE_REQUERIDO_TIPOB,"")))</f>
        <v>40</v>
      </c>
      <c r="T176" s="259">
        <f t="shared" si="159"/>
        <v>6284</v>
      </c>
      <c r="U176" s="259">
        <f t="shared" si="160"/>
        <v>106828</v>
      </c>
      <c r="V176" s="446">
        <f t="shared" si="161"/>
        <v>244</v>
      </c>
      <c r="W176" s="446">
        <f t="shared" si="162"/>
        <v>11.9072</v>
      </c>
      <c r="X176" s="446">
        <f t="shared" si="163"/>
        <v>0.209843904</v>
      </c>
      <c r="Y176" s="446">
        <f t="shared" si="164"/>
        <v>256</v>
      </c>
      <c r="Z176" s="260">
        <f t="shared" si="165"/>
        <v>26066032</v>
      </c>
      <c r="AA176" s="260">
        <f t="shared" si="166"/>
        <v>27347968</v>
      </c>
      <c r="AB176" s="425">
        <f t="shared" si="167"/>
        <v>17</v>
      </c>
      <c r="AC176" s="425">
        <f t="array" ref="AC176">MAX((IF(MNU_CODIGO_ALIMENTO_ENTREGA=CONCATENATE($E176,"_","P_"),MNU_GRAMAJE_REQUERIDO_TIPOC,"")))</f>
        <v>60</v>
      </c>
      <c r="AD176" s="257">
        <f t="shared" si="168"/>
        <v>6681</v>
      </c>
      <c r="AE176" s="257">
        <f t="shared" si="169"/>
        <v>113577</v>
      </c>
      <c r="AF176" s="446">
        <f t="shared" si="170"/>
        <v>366</v>
      </c>
      <c r="AG176" s="446">
        <f t="shared" si="171"/>
        <v>17.860800000000001</v>
      </c>
      <c r="AH176" s="446">
        <f t="shared" si="172"/>
        <v>0.31476585600000001</v>
      </c>
      <c r="AI176" s="446">
        <f t="shared" si="173"/>
        <v>384</v>
      </c>
      <c r="AJ176" s="258">
        <f t="shared" si="174"/>
        <v>41569182</v>
      </c>
      <c r="AK176" s="258">
        <f t="shared" si="175"/>
        <v>43613568</v>
      </c>
      <c r="AL176" s="426">
        <f t="shared" si="176"/>
        <v>17</v>
      </c>
      <c r="AM176" s="426">
        <f t="array" ref="AM176">MAX((IF(MNU_CODIGO_ALIMENTO_ENTREGA=CONCATENATE($E176,"_","P_"),MNU_GRAMAJE_REQUERIDO_TIPOM,"")))</f>
        <v>40</v>
      </c>
      <c r="AN176" s="259">
        <f t="shared" si="177"/>
        <v>465</v>
      </c>
      <c r="AO176" s="259">
        <f t="shared" si="178"/>
        <v>7905</v>
      </c>
      <c r="AP176" s="446">
        <f t="shared" si="179"/>
        <v>244</v>
      </c>
      <c r="AQ176" s="446">
        <f t="shared" si="180"/>
        <v>11.9072</v>
      </c>
      <c r="AR176" s="446">
        <f t="shared" si="181"/>
        <v>0.209843904</v>
      </c>
      <c r="AS176" s="446">
        <f t="shared" si="182"/>
        <v>256</v>
      </c>
      <c r="AT176" s="260">
        <f t="shared" si="183"/>
        <v>1928820</v>
      </c>
      <c r="AU176" s="260">
        <f t="shared" si="184"/>
        <v>2023680</v>
      </c>
      <c r="AV176" s="425">
        <f t="shared" si="185"/>
        <v>17</v>
      </c>
      <c r="AW176" s="425">
        <f t="array" ref="AW176">MAX((IF(MNU_CODIGO_ALIMENTO_ENTREGA=CONCATENATE($E176,"_","P_"),MNU_GRAMAJE_REQUERIDO_TIPOH,"")))</f>
        <v>60</v>
      </c>
      <c r="AX176" s="257">
        <f t="shared" si="186"/>
        <v>400</v>
      </c>
      <c r="AY176" s="257">
        <f t="shared" si="187"/>
        <v>6800</v>
      </c>
      <c r="AZ176" s="446">
        <f t="shared" si="188"/>
        <v>366</v>
      </c>
      <c r="BA176" s="446">
        <f t="shared" si="189"/>
        <v>17.860800000000001</v>
      </c>
      <c r="BB176" s="446">
        <f t="shared" si="190"/>
        <v>0.31476585600000001</v>
      </c>
      <c r="BC176" s="446">
        <f t="shared" si="191"/>
        <v>384</v>
      </c>
      <c r="BD176" s="258">
        <f t="shared" si="192"/>
        <v>2488800</v>
      </c>
      <c r="BE176" s="258">
        <f t="shared" si="193"/>
        <v>2611200</v>
      </c>
      <c r="BF176" s="391">
        <f t="shared" si="194"/>
        <v>91461326</v>
      </c>
      <c r="BG176" s="391">
        <f t="shared" si="195"/>
        <v>95959424</v>
      </c>
    </row>
    <row r="177" spans="1:59" ht="15.75">
      <c r="A177" s="333">
        <v>14</v>
      </c>
      <c r="B177" s="333" t="str">
        <f t="shared" si="147"/>
        <v>CEREAL EMPACADO_14</v>
      </c>
      <c r="C177" s="333" t="str">
        <f t="shared" si="148"/>
        <v>26_14</v>
      </c>
      <c r="D177" s="333" t="s">
        <v>1607</v>
      </c>
      <c r="E177" s="256">
        <v>26</v>
      </c>
      <c r="F177" s="322" t="s">
        <v>69</v>
      </c>
      <c r="G177" s="256" t="s">
        <v>9</v>
      </c>
      <c r="H177" s="425">
        <f t="shared" si="149"/>
        <v>6</v>
      </c>
      <c r="I177" s="425">
        <f t="array" ref="I177">MAX((IF(MNU_CODIGO_ALIMENTO_ENTREGA=CONCATENATE($E177,"_","P_"),MNU_GRAMAJE_REQUERIDO_TIPOA,"")))</f>
        <v>30</v>
      </c>
      <c r="J177" s="257">
        <f t="shared" si="150"/>
        <v>4679</v>
      </c>
      <c r="K177" s="257">
        <f t="shared" si="151"/>
        <v>28074</v>
      </c>
      <c r="L177" s="446">
        <f t="shared" si="152"/>
        <v>163</v>
      </c>
      <c r="M177" s="446">
        <f t="shared" si="153"/>
        <v>7.9543999999999997</v>
      </c>
      <c r="N177" s="446">
        <f t="shared" si="154"/>
        <v>0.14018260800000001</v>
      </c>
      <c r="O177" s="446">
        <f t="shared" si="155"/>
        <v>171</v>
      </c>
      <c r="P177" s="258">
        <f t="shared" si="156"/>
        <v>4576062</v>
      </c>
      <c r="Q177" s="258">
        <f t="shared" si="157"/>
        <v>4800654</v>
      </c>
      <c r="R177" s="426">
        <f t="shared" si="158"/>
        <v>6</v>
      </c>
      <c r="S177" s="426">
        <f t="array" ref="S177">MAX((IF(MNU_CODIGO_ALIMENTO_ENTREGA=CONCATENATE($E177,"_","P_"),MNU_GRAMAJE_REQUERIDO_TIPOB,"")))</f>
        <v>30</v>
      </c>
      <c r="T177" s="259">
        <f t="shared" si="159"/>
        <v>6284</v>
      </c>
      <c r="U177" s="259">
        <f t="shared" si="160"/>
        <v>37704</v>
      </c>
      <c r="V177" s="446">
        <f t="shared" si="161"/>
        <v>163</v>
      </c>
      <c r="W177" s="446">
        <f t="shared" si="162"/>
        <v>7.9543999999999997</v>
      </c>
      <c r="X177" s="446">
        <f t="shared" si="163"/>
        <v>0.14018260800000001</v>
      </c>
      <c r="Y177" s="446">
        <f t="shared" si="164"/>
        <v>171</v>
      </c>
      <c r="Z177" s="260">
        <f t="shared" si="165"/>
        <v>6145752</v>
      </c>
      <c r="AA177" s="260">
        <f t="shared" si="166"/>
        <v>6447384</v>
      </c>
      <c r="AB177" s="425">
        <f t="shared" si="167"/>
        <v>6</v>
      </c>
      <c r="AC177" s="425">
        <f t="array" ref="AC177">MAX((IF(MNU_CODIGO_ALIMENTO_ENTREGA=CONCATENATE($E177,"_","P_"),MNU_GRAMAJE_REQUERIDO_TIPOC,"")))</f>
        <v>30</v>
      </c>
      <c r="AD177" s="257">
        <f t="shared" si="168"/>
        <v>6681</v>
      </c>
      <c r="AE177" s="257">
        <f t="shared" si="169"/>
        <v>40086</v>
      </c>
      <c r="AF177" s="446">
        <f t="shared" si="170"/>
        <v>163</v>
      </c>
      <c r="AG177" s="446">
        <f t="shared" si="171"/>
        <v>7.9543999999999997</v>
      </c>
      <c r="AH177" s="446">
        <f t="shared" si="172"/>
        <v>0.14018260800000001</v>
      </c>
      <c r="AI177" s="446">
        <f t="shared" si="173"/>
        <v>171</v>
      </c>
      <c r="AJ177" s="258">
        <f t="shared" si="174"/>
        <v>6534018</v>
      </c>
      <c r="AK177" s="258">
        <f t="shared" si="175"/>
        <v>6854706</v>
      </c>
      <c r="AL177" s="426">
        <f t="shared" si="176"/>
        <v>6</v>
      </c>
      <c r="AM177" s="426">
        <f t="array" ref="AM177">MAX((IF(MNU_CODIGO_ALIMENTO_ENTREGA=CONCATENATE($E177,"_","P_"),MNU_GRAMAJE_REQUERIDO_TIPOM,"")))</f>
        <v>30</v>
      </c>
      <c r="AN177" s="259">
        <f t="shared" si="177"/>
        <v>465</v>
      </c>
      <c r="AO177" s="259">
        <f t="shared" si="178"/>
        <v>2790</v>
      </c>
      <c r="AP177" s="446">
        <f t="shared" si="179"/>
        <v>163</v>
      </c>
      <c r="AQ177" s="446">
        <f t="shared" si="180"/>
        <v>7.9543999999999997</v>
      </c>
      <c r="AR177" s="446">
        <f t="shared" si="181"/>
        <v>0.14018260800000001</v>
      </c>
      <c r="AS177" s="446">
        <f t="shared" si="182"/>
        <v>171</v>
      </c>
      <c r="AT177" s="260">
        <f t="shared" si="183"/>
        <v>454770</v>
      </c>
      <c r="AU177" s="260">
        <f t="shared" si="184"/>
        <v>477090</v>
      </c>
      <c r="AV177" s="425">
        <f t="shared" si="185"/>
        <v>6</v>
      </c>
      <c r="AW177" s="425">
        <f t="array" ref="AW177">MAX((IF(MNU_CODIGO_ALIMENTO_ENTREGA=CONCATENATE($E177,"_","P_"),MNU_GRAMAJE_REQUERIDO_TIPOH,"")))</f>
        <v>30</v>
      </c>
      <c r="AX177" s="257">
        <f t="shared" si="186"/>
        <v>400</v>
      </c>
      <c r="AY177" s="257">
        <f t="shared" si="187"/>
        <v>2400</v>
      </c>
      <c r="AZ177" s="446">
        <f t="shared" si="188"/>
        <v>163</v>
      </c>
      <c r="BA177" s="446">
        <f t="shared" si="189"/>
        <v>7.9543999999999997</v>
      </c>
      <c r="BB177" s="446">
        <f t="shared" si="190"/>
        <v>0.14018260800000001</v>
      </c>
      <c r="BC177" s="446">
        <f t="shared" si="191"/>
        <v>171</v>
      </c>
      <c r="BD177" s="258">
        <f t="shared" si="192"/>
        <v>391200</v>
      </c>
      <c r="BE177" s="258">
        <f t="shared" si="193"/>
        <v>410400</v>
      </c>
      <c r="BF177" s="391">
        <f t="shared" si="194"/>
        <v>18101802</v>
      </c>
      <c r="BG177" s="391">
        <f t="shared" si="195"/>
        <v>18990234</v>
      </c>
    </row>
    <row r="178" spans="1:59" ht="27">
      <c r="A178" s="333">
        <v>14</v>
      </c>
      <c r="B178" s="333" t="str">
        <f t="shared" si="147"/>
        <v>CEREAL EMPACADO_14</v>
      </c>
      <c r="C178" s="333" t="str">
        <f t="shared" si="148"/>
        <v>28_14</v>
      </c>
      <c r="D178" s="333" t="s">
        <v>1607</v>
      </c>
      <c r="E178" s="256">
        <v>28</v>
      </c>
      <c r="F178" s="322" t="s">
        <v>67</v>
      </c>
      <c r="G178" s="256" t="s">
        <v>9</v>
      </c>
      <c r="H178" s="425">
        <f t="shared" si="149"/>
        <v>6</v>
      </c>
      <c r="I178" s="425">
        <f t="array" ref="I178">MAX((IF(MNU_CODIGO_ALIMENTO_ENTREGA=CONCATENATE($E178,"_","P_"),MNU_GRAMAJE_REQUERIDO_TIPOA,"")))</f>
        <v>30</v>
      </c>
      <c r="J178" s="257">
        <f t="shared" si="150"/>
        <v>4679</v>
      </c>
      <c r="K178" s="257">
        <f t="shared" si="151"/>
        <v>28074</v>
      </c>
      <c r="L178" s="446">
        <f t="shared" si="152"/>
        <v>215</v>
      </c>
      <c r="M178" s="446">
        <f t="shared" si="153"/>
        <v>10.492000000000001</v>
      </c>
      <c r="N178" s="446">
        <f t="shared" si="154"/>
        <v>0.18490343999999997</v>
      </c>
      <c r="O178" s="446">
        <f t="shared" si="155"/>
        <v>226</v>
      </c>
      <c r="P178" s="258">
        <f t="shared" si="156"/>
        <v>6035910</v>
      </c>
      <c r="Q178" s="258">
        <f t="shared" si="157"/>
        <v>6344724</v>
      </c>
      <c r="R178" s="426">
        <f t="shared" si="158"/>
        <v>6</v>
      </c>
      <c r="S178" s="426">
        <f t="array" ref="S178">MAX((IF(MNU_CODIGO_ALIMENTO_ENTREGA=CONCATENATE($E178,"_","P_"),MNU_GRAMAJE_REQUERIDO_TIPOB,"")))</f>
        <v>40</v>
      </c>
      <c r="T178" s="259">
        <f t="shared" si="159"/>
        <v>6284</v>
      </c>
      <c r="U178" s="259">
        <f t="shared" si="160"/>
        <v>37704</v>
      </c>
      <c r="V178" s="446">
        <f t="shared" si="161"/>
        <v>287</v>
      </c>
      <c r="W178" s="446">
        <f t="shared" si="162"/>
        <v>14.005600000000001</v>
      </c>
      <c r="X178" s="446">
        <f t="shared" si="163"/>
        <v>0.24682459200000004</v>
      </c>
      <c r="Y178" s="446">
        <f t="shared" si="164"/>
        <v>301</v>
      </c>
      <c r="Z178" s="260">
        <f t="shared" si="165"/>
        <v>10821048</v>
      </c>
      <c r="AA178" s="260">
        <f t="shared" si="166"/>
        <v>11348904</v>
      </c>
      <c r="AB178" s="425">
        <f t="shared" si="167"/>
        <v>6</v>
      </c>
      <c r="AC178" s="425">
        <f t="array" ref="AC178">MAX((IF(MNU_CODIGO_ALIMENTO_ENTREGA=CONCATENATE($E178,"_","P_"),MNU_GRAMAJE_REQUERIDO_TIPOC,"")))</f>
        <v>60</v>
      </c>
      <c r="AD178" s="257">
        <f t="shared" si="168"/>
        <v>6681</v>
      </c>
      <c r="AE178" s="257">
        <f t="shared" si="169"/>
        <v>40086</v>
      </c>
      <c r="AF178" s="446">
        <f t="shared" si="170"/>
        <v>430</v>
      </c>
      <c r="AG178" s="446">
        <f t="shared" si="171"/>
        <v>20.984000000000002</v>
      </c>
      <c r="AH178" s="446">
        <f t="shared" si="172"/>
        <v>0.36980687999999995</v>
      </c>
      <c r="AI178" s="446">
        <f t="shared" si="173"/>
        <v>451</v>
      </c>
      <c r="AJ178" s="258">
        <f t="shared" si="174"/>
        <v>17236980</v>
      </c>
      <c r="AK178" s="258">
        <f t="shared" si="175"/>
        <v>18078786</v>
      </c>
      <c r="AL178" s="426">
        <f t="shared" si="176"/>
        <v>6</v>
      </c>
      <c r="AM178" s="426">
        <f t="array" ref="AM178">MAX((IF(MNU_CODIGO_ALIMENTO_ENTREGA=CONCATENATE($E178,"_","P_"),MNU_GRAMAJE_REQUERIDO_TIPOM,"")))</f>
        <v>40</v>
      </c>
      <c r="AN178" s="259">
        <f t="shared" si="177"/>
        <v>465</v>
      </c>
      <c r="AO178" s="259">
        <f t="shared" si="178"/>
        <v>2790</v>
      </c>
      <c r="AP178" s="446">
        <f t="shared" si="179"/>
        <v>287</v>
      </c>
      <c r="AQ178" s="446">
        <f t="shared" si="180"/>
        <v>14.005600000000001</v>
      </c>
      <c r="AR178" s="446">
        <f t="shared" si="181"/>
        <v>0.24682459200000004</v>
      </c>
      <c r="AS178" s="446">
        <f t="shared" si="182"/>
        <v>301</v>
      </c>
      <c r="AT178" s="260">
        <f t="shared" si="183"/>
        <v>800730</v>
      </c>
      <c r="AU178" s="260">
        <f t="shared" si="184"/>
        <v>839790</v>
      </c>
      <c r="AV178" s="425">
        <f t="shared" si="185"/>
        <v>6</v>
      </c>
      <c r="AW178" s="425">
        <f t="array" ref="AW178">MAX((IF(MNU_CODIGO_ALIMENTO_ENTREGA=CONCATENATE($E178,"_","P_"),MNU_GRAMAJE_REQUERIDO_TIPOH,"")))</f>
        <v>60</v>
      </c>
      <c r="AX178" s="257">
        <f t="shared" si="186"/>
        <v>400</v>
      </c>
      <c r="AY178" s="257">
        <f t="shared" si="187"/>
        <v>2400</v>
      </c>
      <c r="AZ178" s="446">
        <f t="shared" si="188"/>
        <v>430</v>
      </c>
      <c r="BA178" s="446">
        <f t="shared" si="189"/>
        <v>20.984000000000002</v>
      </c>
      <c r="BB178" s="446">
        <f t="shared" si="190"/>
        <v>0.36980687999999995</v>
      </c>
      <c r="BC178" s="446">
        <f t="shared" si="191"/>
        <v>451</v>
      </c>
      <c r="BD178" s="258">
        <f t="shared" si="192"/>
        <v>1032000</v>
      </c>
      <c r="BE178" s="258">
        <f t="shared" si="193"/>
        <v>1082400</v>
      </c>
      <c r="BF178" s="391">
        <f t="shared" si="194"/>
        <v>35926668</v>
      </c>
      <c r="BG178" s="391">
        <f t="shared" si="195"/>
        <v>37694604</v>
      </c>
    </row>
    <row r="179" spans="1:59" ht="15.75">
      <c r="A179" s="333">
        <v>14</v>
      </c>
      <c r="B179" s="333" t="str">
        <f t="shared" si="147"/>
        <v>CEREAL EMPACADO_14</v>
      </c>
      <c r="C179" s="333" t="str">
        <f t="shared" si="148"/>
        <v>30_14</v>
      </c>
      <c r="D179" s="333" t="s">
        <v>1607</v>
      </c>
      <c r="E179" s="256">
        <v>30</v>
      </c>
      <c r="F179" s="322" t="s">
        <v>63</v>
      </c>
      <c r="G179" s="256" t="s">
        <v>9</v>
      </c>
      <c r="H179" s="425">
        <f t="shared" si="149"/>
        <v>16</v>
      </c>
      <c r="I179" s="425">
        <f t="array" ref="I179">MAX((IF(MNU_CODIGO_ALIMENTO_ENTREGA=CONCATENATE($E179,"_","P_"),MNU_GRAMAJE_REQUERIDO_TIPOA,"")))</f>
        <v>30</v>
      </c>
      <c r="J179" s="257">
        <f t="shared" si="150"/>
        <v>4679</v>
      </c>
      <c r="K179" s="257">
        <f t="shared" si="151"/>
        <v>74864</v>
      </c>
      <c r="L179" s="446">
        <f t="shared" si="152"/>
        <v>316</v>
      </c>
      <c r="M179" s="446">
        <f t="shared" si="153"/>
        <v>15.4208</v>
      </c>
      <c r="N179" s="446">
        <f t="shared" si="154"/>
        <v>0.271765056</v>
      </c>
      <c r="O179" s="446">
        <f t="shared" si="155"/>
        <v>332</v>
      </c>
      <c r="P179" s="258">
        <f t="shared" si="156"/>
        <v>23657024</v>
      </c>
      <c r="Q179" s="258">
        <f t="shared" si="157"/>
        <v>24854848</v>
      </c>
      <c r="R179" s="426">
        <f t="shared" si="158"/>
        <v>16</v>
      </c>
      <c r="S179" s="426">
        <f t="array" ref="S179">MAX((IF(MNU_CODIGO_ALIMENTO_ENTREGA=CONCATENATE($E179,"_","P_"),MNU_GRAMAJE_REQUERIDO_TIPOB,"")))</f>
        <v>30</v>
      </c>
      <c r="T179" s="259">
        <f t="shared" si="159"/>
        <v>6284</v>
      </c>
      <c r="U179" s="259">
        <f t="shared" si="160"/>
        <v>100544</v>
      </c>
      <c r="V179" s="446">
        <f t="shared" si="161"/>
        <v>316</v>
      </c>
      <c r="W179" s="446">
        <f t="shared" si="162"/>
        <v>15.4208</v>
      </c>
      <c r="X179" s="446">
        <f t="shared" si="163"/>
        <v>0.271765056</v>
      </c>
      <c r="Y179" s="446">
        <f t="shared" si="164"/>
        <v>332</v>
      </c>
      <c r="Z179" s="260">
        <f t="shared" si="165"/>
        <v>31771904</v>
      </c>
      <c r="AA179" s="260">
        <f t="shared" si="166"/>
        <v>33380608</v>
      </c>
      <c r="AB179" s="425">
        <f t="shared" si="167"/>
        <v>16</v>
      </c>
      <c r="AC179" s="425">
        <f t="array" ref="AC179">MAX((IF(MNU_CODIGO_ALIMENTO_ENTREGA=CONCATENATE($E179,"_","P_"),MNU_GRAMAJE_REQUERIDO_TIPOC,"")))</f>
        <v>30</v>
      </c>
      <c r="AD179" s="257">
        <f t="shared" si="168"/>
        <v>6681</v>
      </c>
      <c r="AE179" s="257">
        <f t="shared" si="169"/>
        <v>106896</v>
      </c>
      <c r="AF179" s="446">
        <f t="shared" si="170"/>
        <v>316</v>
      </c>
      <c r="AG179" s="446">
        <f t="shared" si="171"/>
        <v>15.4208</v>
      </c>
      <c r="AH179" s="446">
        <f t="shared" si="172"/>
        <v>0.271765056</v>
      </c>
      <c r="AI179" s="446">
        <f t="shared" si="173"/>
        <v>332</v>
      </c>
      <c r="AJ179" s="258">
        <f t="shared" si="174"/>
        <v>33779136</v>
      </c>
      <c r="AK179" s="258">
        <f t="shared" si="175"/>
        <v>35489472</v>
      </c>
      <c r="AL179" s="426">
        <f t="shared" si="176"/>
        <v>16</v>
      </c>
      <c r="AM179" s="426">
        <f t="array" ref="AM179">MAX((IF(MNU_CODIGO_ALIMENTO_ENTREGA=CONCATENATE($E179,"_","P_"),MNU_GRAMAJE_REQUERIDO_TIPOM,"")))</f>
        <v>30</v>
      </c>
      <c r="AN179" s="259">
        <f t="shared" si="177"/>
        <v>465</v>
      </c>
      <c r="AO179" s="259">
        <f t="shared" si="178"/>
        <v>7440</v>
      </c>
      <c r="AP179" s="446">
        <f t="shared" si="179"/>
        <v>316</v>
      </c>
      <c r="AQ179" s="446">
        <f t="shared" si="180"/>
        <v>15.4208</v>
      </c>
      <c r="AR179" s="446">
        <f t="shared" si="181"/>
        <v>0.271765056</v>
      </c>
      <c r="AS179" s="446">
        <f t="shared" si="182"/>
        <v>332</v>
      </c>
      <c r="AT179" s="260">
        <f t="shared" si="183"/>
        <v>2351040</v>
      </c>
      <c r="AU179" s="260">
        <f t="shared" si="184"/>
        <v>2470080</v>
      </c>
      <c r="AV179" s="425">
        <f t="shared" si="185"/>
        <v>16</v>
      </c>
      <c r="AW179" s="425">
        <f t="array" ref="AW179">MAX((IF(MNU_CODIGO_ALIMENTO_ENTREGA=CONCATENATE($E179,"_","P_"),MNU_GRAMAJE_REQUERIDO_TIPOH,"")))</f>
        <v>30</v>
      </c>
      <c r="AX179" s="257">
        <f t="shared" si="186"/>
        <v>400</v>
      </c>
      <c r="AY179" s="257">
        <f t="shared" si="187"/>
        <v>6400</v>
      </c>
      <c r="AZ179" s="446">
        <f t="shared" si="188"/>
        <v>316</v>
      </c>
      <c r="BA179" s="446">
        <f t="shared" si="189"/>
        <v>15.4208</v>
      </c>
      <c r="BB179" s="446">
        <f t="shared" si="190"/>
        <v>0.271765056</v>
      </c>
      <c r="BC179" s="446">
        <f t="shared" si="191"/>
        <v>332</v>
      </c>
      <c r="BD179" s="258">
        <f t="shared" si="192"/>
        <v>2022400</v>
      </c>
      <c r="BE179" s="258">
        <f t="shared" si="193"/>
        <v>2124800</v>
      </c>
      <c r="BF179" s="391">
        <f t="shared" si="194"/>
        <v>93581504</v>
      </c>
      <c r="BG179" s="391">
        <f t="shared" si="195"/>
        <v>98319808</v>
      </c>
    </row>
    <row r="180" spans="1:59" ht="15.75">
      <c r="A180" s="333">
        <v>14</v>
      </c>
      <c r="B180" s="333" t="str">
        <f t="shared" si="147"/>
        <v>CEREAL EMPACADO_14</v>
      </c>
      <c r="C180" s="333" t="str">
        <f t="shared" si="148"/>
        <v>45_14</v>
      </c>
      <c r="D180" s="333" t="s">
        <v>1607</v>
      </c>
      <c r="E180" s="256">
        <v>45</v>
      </c>
      <c r="F180" s="322" t="s">
        <v>10</v>
      </c>
      <c r="G180" s="256" t="s">
        <v>9</v>
      </c>
      <c r="H180" s="425">
        <f t="shared" si="149"/>
        <v>16</v>
      </c>
      <c r="I180" s="425">
        <f t="array" ref="I180">MAX((IF(MNU_CODIGO_ALIMENTO_ENTREGA=CONCATENATE($E180,"_","P_"),MNU_GRAMAJE_REQUERIDO_TIPOA,"")))</f>
        <v>20</v>
      </c>
      <c r="J180" s="257">
        <f t="shared" si="150"/>
        <v>4679</v>
      </c>
      <c r="K180" s="257">
        <f t="shared" si="151"/>
        <v>74864</v>
      </c>
      <c r="L180" s="446">
        <f t="shared" si="152"/>
        <v>190</v>
      </c>
      <c r="M180" s="446">
        <f t="shared" si="153"/>
        <v>9.2720000000000002</v>
      </c>
      <c r="N180" s="446">
        <f t="shared" si="154"/>
        <v>0.16340304</v>
      </c>
      <c r="O180" s="446">
        <f t="shared" si="155"/>
        <v>199</v>
      </c>
      <c r="P180" s="258">
        <f t="shared" si="156"/>
        <v>14224160</v>
      </c>
      <c r="Q180" s="258">
        <f t="shared" si="157"/>
        <v>14897936</v>
      </c>
      <c r="R180" s="426">
        <f t="shared" si="158"/>
        <v>16</v>
      </c>
      <c r="S180" s="426">
        <f t="array" ref="S180">MAX((IF(MNU_CODIGO_ALIMENTO_ENTREGA=CONCATENATE($E180,"_","P_"),MNU_GRAMAJE_REQUERIDO_TIPOB,"")))</f>
        <v>30</v>
      </c>
      <c r="T180" s="259">
        <f t="shared" si="159"/>
        <v>6284</v>
      </c>
      <c r="U180" s="259">
        <f t="shared" si="160"/>
        <v>100544</v>
      </c>
      <c r="V180" s="446">
        <f t="shared" si="161"/>
        <v>284</v>
      </c>
      <c r="W180" s="446">
        <f t="shared" si="162"/>
        <v>13.8592</v>
      </c>
      <c r="X180" s="446">
        <f t="shared" si="163"/>
        <v>0.24424454399999998</v>
      </c>
      <c r="Y180" s="446">
        <f t="shared" si="164"/>
        <v>298</v>
      </c>
      <c r="Z180" s="260">
        <f t="shared" si="165"/>
        <v>28554496</v>
      </c>
      <c r="AA180" s="260">
        <f t="shared" si="166"/>
        <v>29962112</v>
      </c>
      <c r="AB180" s="425">
        <f t="shared" si="167"/>
        <v>16</v>
      </c>
      <c r="AC180" s="425">
        <f t="array" ref="AC180">MAX((IF(MNU_CODIGO_ALIMENTO_ENTREGA=CONCATENATE($E180,"_","P_"),MNU_GRAMAJE_REQUERIDO_TIPOC,"")))</f>
        <v>60</v>
      </c>
      <c r="AD180" s="257">
        <f t="shared" si="168"/>
        <v>6681</v>
      </c>
      <c r="AE180" s="257">
        <f t="shared" si="169"/>
        <v>106896</v>
      </c>
      <c r="AF180" s="446">
        <f t="shared" si="170"/>
        <v>569</v>
      </c>
      <c r="AG180" s="446">
        <f t="shared" si="171"/>
        <v>27.767199999999999</v>
      </c>
      <c r="AH180" s="446">
        <f t="shared" si="172"/>
        <v>0.48934910400000003</v>
      </c>
      <c r="AI180" s="446">
        <f t="shared" si="173"/>
        <v>597</v>
      </c>
      <c r="AJ180" s="258">
        <f t="shared" si="174"/>
        <v>60823824</v>
      </c>
      <c r="AK180" s="258">
        <f t="shared" si="175"/>
        <v>63816912</v>
      </c>
      <c r="AL180" s="426">
        <f t="shared" si="176"/>
        <v>16</v>
      </c>
      <c r="AM180" s="426">
        <f t="array" ref="AM180">MAX((IF(MNU_CODIGO_ALIMENTO_ENTREGA=CONCATENATE($E180,"_","P_"),MNU_GRAMAJE_REQUERIDO_TIPOM,"")))</f>
        <v>30</v>
      </c>
      <c r="AN180" s="259">
        <f t="shared" si="177"/>
        <v>465</v>
      </c>
      <c r="AO180" s="259">
        <f t="shared" si="178"/>
        <v>7440</v>
      </c>
      <c r="AP180" s="446">
        <f t="shared" si="179"/>
        <v>284</v>
      </c>
      <c r="AQ180" s="446">
        <f t="shared" si="180"/>
        <v>13.8592</v>
      </c>
      <c r="AR180" s="446">
        <f t="shared" si="181"/>
        <v>0.24424454399999998</v>
      </c>
      <c r="AS180" s="446">
        <f t="shared" si="182"/>
        <v>298</v>
      </c>
      <c r="AT180" s="260">
        <f t="shared" si="183"/>
        <v>2112960</v>
      </c>
      <c r="AU180" s="260">
        <f t="shared" si="184"/>
        <v>2217120</v>
      </c>
      <c r="AV180" s="425">
        <f t="shared" si="185"/>
        <v>16</v>
      </c>
      <c r="AW180" s="425">
        <f t="array" ref="AW180">MAX((IF(MNU_CODIGO_ALIMENTO_ENTREGA=CONCATENATE($E180,"_","P_"),MNU_GRAMAJE_REQUERIDO_TIPOH,"")))</f>
        <v>60</v>
      </c>
      <c r="AX180" s="257">
        <f t="shared" si="186"/>
        <v>400</v>
      </c>
      <c r="AY180" s="257">
        <f t="shared" si="187"/>
        <v>6400</v>
      </c>
      <c r="AZ180" s="446">
        <f t="shared" si="188"/>
        <v>569</v>
      </c>
      <c r="BA180" s="446">
        <f t="shared" si="189"/>
        <v>27.767199999999999</v>
      </c>
      <c r="BB180" s="446">
        <f t="shared" si="190"/>
        <v>0.48934910400000003</v>
      </c>
      <c r="BC180" s="446">
        <f t="shared" si="191"/>
        <v>597</v>
      </c>
      <c r="BD180" s="258">
        <f t="shared" si="192"/>
        <v>3641600</v>
      </c>
      <c r="BE180" s="258">
        <f t="shared" si="193"/>
        <v>3820800</v>
      </c>
      <c r="BF180" s="391">
        <f t="shared" si="194"/>
        <v>109357040</v>
      </c>
      <c r="BG180" s="391">
        <f t="shared" si="195"/>
        <v>114714880</v>
      </c>
    </row>
    <row r="181" spans="1:59" ht="15.75">
      <c r="A181" s="333">
        <v>14</v>
      </c>
      <c r="B181" s="333" t="str">
        <f t="shared" si="147"/>
        <v>CEREAL EMPACADO_14</v>
      </c>
      <c r="C181" s="333" t="str">
        <f t="shared" si="148"/>
        <v>50_14</v>
      </c>
      <c r="D181" s="333" t="s">
        <v>1607</v>
      </c>
      <c r="E181" s="256">
        <v>50</v>
      </c>
      <c r="F181" s="322" t="s">
        <v>65</v>
      </c>
      <c r="G181" s="256" t="s">
        <v>9</v>
      </c>
      <c r="H181" s="425">
        <f t="shared" si="149"/>
        <v>17</v>
      </c>
      <c r="I181" s="425">
        <f t="array" ref="I181">MAX((IF(MNU_CODIGO_ALIMENTO_ENTREGA=CONCATENATE($E181,"_","P_"),MNU_GRAMAJE_REQUERIDO_TIPOA,"")))</f>
        <v>30</v>
      </c>
      <c r="J181" s="257">
        <f t="shared" si="150"/>
        <v>4679</v>
      </c>
      <c r="K181" s="257">
        <f t="shared" si="151"/>
        <v>79543</v>
      </c>
      <c r="L181" s="446">
        <f t="shared" si="152"/>
        <v>306</v>
      </c>
      <c r="M181" s="446">
        <f t="shared" si="153"/>
        <v>14.9328</v>
      </c>
      <c r="N181" s="446">
        <f t="shared" si="154"/>
        <v>0.26316489599999998</v>
      </c>
      <c r="O181" s="446">
        <f t="shared" si="155"/>
        <v>321</v>
      </c>
      <c r="P181" s="258">
        <f t="shared" si="156"/>
        <v>24340158</v>
      </c>
      <c r="Q181" s="258">
        <f t="shared" si="157"/>
        <v>25533303</v>
      </c>
      <c r="R181" s="426">
        <f t="shared" si="158"/>
        <v>17</v>
      </c>
      <c r="S181" s="426">
        <f t="array" ref="S181">MAX((IF(MNU_CODIGO_ALIMENTO_ENTREGA=CONCATENATE($E181,"_","P_"),MNU_GRAMAJE_REQUERIDO_TIPOB,"")))</f>
        <v>40</v>
      </c>
      <c r="T181" s="259">
        <f t="shared" si="159"/>
        <v>6284</v>
      </c>
      <c r="U181" s="259">
        <f t="shared" si="160"/>
        <v>106828</v>
      </c>
      <c r="V181" s="446">
        <f t="shared" si="161"/>
        <v>408</v>
      </c>
      <c r="W181" s="446">
        <f t="shared" si="162"/>
        <v>19.910400000000003</v>
      </c>
      <c r="X181" s="446">
        <f t="shared" si="163"/>
        <v>0.35088652799999998</v>
      </c>
      <c r="Y181" s="446">
        <f t="shared" si="164"/>
        <v>428</v>
      </c>
      <c r="Z181" s="260">
        <f t="shared" si="165"/>
        <v>43585824</v>
      </c>
      <c r="AA181" s="260">
        <f t="shared" si="166"/>
        <v>45722384</v>
      </c>
      <c r="AB181" s="425">
        <f t="shared" si="167"/>
        <v>17</v>
      </c>
      <c r="AC181" s="425">
        <f t="array" ref="AC181">MAX((IF(MNU_CODIGO_ALIMENTO_ENTREGA=CONCATENATE($E181,"_","P_"),MNU_GRAMAJE_REQUERIDO_TIPOC,"")))</f>
        <v>80</v>
      </c>
      <c r="AD181" s="257">
        <f t="shared" si="168"/>
        <v>6681</v>
      </c>
      <c r="AE181" s="257">
        <f t="shared" si="169"/>
        <v>113577</v>
      </c>
      <c r="AF181" s="446">
        <f t="shared" si="170"/>
        <v>815</v>
      </c>
      <c r="AG181" s="446">
        <f t="shared" si="171"/>
        <v>39.772000000000006</v>
      </c>
      <c r="AH181" s="446">
        <f t="shared" si="172"/>
        <v>0.7009130400000001</v>
      </c>
      <c r="AI181" s="446">
        <f t="shared" si="173"/>
        <v>855</v>
      </c>
      <c r="AJ181" s="258">
        <f t="shared" si="174"/>
        <v>92565255</v>
      </c>
      <c r="AK181" s="258">
        <f t="shared" si="175"/>
        <v>97108335</v>
      </c>
      <c r="AL181" s="426">
        <f t="shared" si="176"/>
        <v>17</v>
      </c>
      <c r="AM181" s="426">
        <f t="array" ref="AM181">MAX((IF(MNU_CODIGO_ALIMENTO_ENTREGA=CONCATENATE($E181,"_","P_"),MNU_GRAMAJE_REQUERIDO_TIPOM,"")))</f>
        <v>40</v>
      </c>
      <c r="AN181" s="259">
        <f t="shared" si="177"/>
        <v>465</v>
      </c>
      <c r="AO181" s="259">
        <f t="shared" si="178"/>
        <v>7905</v>
      </c>
      <c r="AP181" s="446">
        <f t="shared" si="179"/>
        <v>408</v>
      </c>
      <c r="AQ181" s="446">
        <f t="shared" si="180"/>
        <v>19.910400000000003</v>
      </c>
      <c r="AR181" s="446">
        <f t="shared" si="181"/>
        <v>0.35088652799999998</v>
      </c>
      <c r="AS181" s="446">
        <f t="shared" si="182"/>
        <v>428</v>
      </c>
      <c r="AT181" s="260">
        <f t="shared" si="183"/>
        <v>3225240</v>
      </c>
      <c r="AU181" s="260">
        <f t="shared" si="184"/>
        <v>3383340</v>
      </c>
      <c r="AV181" s="425">
        <f t="shared" si="185"/>
        <v>17</v>
      </c>
      <c r="AW181" s="425">
        <f t="array" ref="AW181">MAX((IF(MNU_CODIGO_ALIMENTO_ENTREGA=CONCATENATE($E181,"_","P_"),MNU_GRAMAJE_REQUERIDO_TIPOH,"")))</f>
        <v>80</v>
      </c>
      <c r="AX181" s="257">
        <f t="shared" si="186"/>
        <v>400</v>
      </c>
      <c r="AY181" s="257">
        <f t="shared" si="187"/>
        <v>6800</v>
      </c>
      <c r="AZ181" s="446">
        <f t="shared" si="188"/>
        <v>815</v>
      </c>
      <c r="BA181" s="446">
        <f t="shared" si="189"/>
        <v>39.772000000000006</v>
      </c>
      <c r="BB181" s="446">
        <f t="shared" si="190"/>
        <v>0.7009130400000001</v>
      </c>
      <c r="BC181" s="446">
        <f t="shared" si="191"/>
        <v>855</v>
      </c>
      <c r="BD181" s="258">
        <f t="shared" si="192"/>
        <v>5542000</v>
      </c>
      <c r="BE181" s="258">
        <f t="shared" si="193"/>
        <v>5814000</v>
      </c>
      <c r="BF181" s="391">
        <f t="shared" si="194"/>
        <v>169258477</v>
      </c>
      <c r="BG181" s="391">
        <f t="shared" si="195"/>
        <v>177561362</v>
      </c>
    </row>
    <row r="182" spans="1:59" ht="15.75">
      <c r="A182" s="333">
        <v>14</v>
      </c>
      <c r="B182" s="333" t="str">
        <f t="shared" si="147"/>
        <v>CEREAL EMPACADO_14</v>
      </c>
      <c r="C182" s="333" t="str">
        <f t="shared" si="148"/>
        <v>61_14</v>
      </c>
      <c r="D182" s="333" t="s">
        <v>1607</v>
      </c>
      <c r="E182" s="256">
        <v>61</v>
      </c>
      <c r="F182" s="322" t="s">
        <v>13</v>
      </c>
      <c r="G182" s="256" t="s">
        <v>9</v>
      </c>
      <c r="H182" s="425">
        <f t="shared" si="149"/>
        <v>16</v>
      </c>
      <c r="I182" s="425">
        <f t="array" ref="I182">MAX((IF(MNU_CODIGO_ALIMENTO_ENTREGA=CONCATENATE($E182,"_","P_"),MNU_GRAMAJE_REQUERIDO_TIPOA,"")))</f>
        <v>20</v>
      </c>
      <c r="J182" s="257">
        <f t="shared" si="150"/>
        <v>4679</v>
      </c>
      <c r="K182" s="257">
        <f t="shared" si="151"/>
        <v>74864</v>
      </c>
      <c r="L182" s="446">
        <f t="shared" si="152"/>
        <v>222</v>
      </c>
      <c r="M182" s="446">
        <f t="shared" si="153"/>
        <v>10.833600000000001</v>
      </c>
      <c r="N182" s="446">
        <f t="shared" si="154"/>
        <v>0.190923552</v>
      </c>
      <c r="O182" s="446">
        <f t="shared" si="155"/>
        <v>233</v>
      </c>
      <c r="P182" s="258">
        <f t="shared" si="156"/>
        <v>16619808</v>
      </c>
      <c r="Q182" s="258">
        <f t="shared" si="157"/>
        <v>17443312</v>
      </c>
      <c r="R182" s="426">
        <f t="shared" si="158"/>
        <v>16</v>
      </c>
      <c r="S182" s="426">
        <f t="array" ref="S182">MAX((IF(MNU_CODIGO_ALIMENTO_ENTREGA=CONCATENATE($E182,"_","P_"),MNU_GRAMAJE_REQUERIDO_TIPOB,"")))</f>
        <v>30</v>
      </c>
      <c r="T182" s="259">
        <f t="shared" si="159"/>
        <v>6284</v>
      </c>
      <c r="U182" s="259">
        <f t="shared" si="160"/>
        <v>100544</v>
      </c>
      <c r="V182" s="446">
        <f t="shared" si="161"/>
        <v>334</v>
      </c>
      <c r="W182" s="446">
        <f t="shared" si="162"/>
        <v>16.299199999999999</v>
      </c>
      <c r="X182" s="446">
        <f t="shared" si="163"/>
        <v>0.28724534400000001</v>
      </c>
      <c r="Y182" s="446">
        <f t="shared" si="164"/>
        <v>351</v>
      </c>
      <c r="Z182" s="260">
        <f t="shared" si="165"/>
        <v>33581696</v>
      </c>
      <c r="AA182" s="260">
        <f t="shared" si="166"/>
        <v>35290944</v>
      </c>
      <c r="AB182" s="425">
        <f t="shared" si="167"/>
        <v>16</v>
      </c>
      <c r="AC182" s="425">
        <f t="array" ref="AC182">MAX((IF(MNU_CODIGO_ALIMENTO_ENTREGA=CONCATENATE($E182,"_","P_"),MNU_GRAMAJE_REQUERIDO_TIPOC,"")))</f>
        <v>70</v>
      </c>
      <c r="AD182" s="257">
        <f t="shared" si="168"/>
        <v>6681</v>
      </c>
      <c r="AE182" s="257">
        <f t="shared" si="169"/>
        <v>106896</v>
      </c>
      <c r="AF182" s="446">
        <f t="shared" si="170"/>
        <v>779</v>
      </c>
      <c r="AG182" s="446">
        <f t="shared" si="171"/>
        <v>38.0152</v>
      </c>
      <c r="AH182" s="446">
        <f t="shared" si="172"/>
        <v>0.66995246400000008</v>
      </c>
      <c r="AI182" s="446">
        <f t="shared" si="173"/>
        <v>818</v>
      </c>
      <c r="AJ182" s="258">
        <f t="shared" si="174"/>
        <v>83271984</v>
      </c>
      <c r="AK182" s="258">
        <f t="shared" si="175"/>
        <v>87440928</v>
      </c>
      <c r="AL182" s="426">
        <f t="shared" si="176"/>
        <v>16</v>
      </c>
      <c r="AM182" s="426">
        <f t="array" ref="AM182">MAX((IF(MNU_CODIGO_ALIMENTO_ENTREGA=CONCATENATE($E182,"_","P_"),MNU_GRAMAJE_REQUERIDO_TIPOM,"")))</f>
        <v>30</v>
      </c>
      <c r="AN182" s="259">
        <f t="shared" si="177"/>
        <v>465</v>
      </c>
      <c r="AO182" s="259">
        <f t="shared" si="178"/>
        <v>7440</v>
      </c>
      <c r="AP182" s="446">
        <f t="shared" si="179"/>
        <v>334</v>
      </c>
      <c r="AQ182" s="446">
        <f t="shared" si="180"/>
        <v>16.299199999999999</v>
      </c>
      <c r="AR182" s="446">
        <f t="shared" si="181"/>
        <v>0.28724534400000001</v>
      </c>
      <c r="AS182" s="446">
        <f t="shared" si="182"/>
        <v>351</v>
      </c>
      <c r="AT182" s="260">
        <f t="shared" si="183"/>
        <v>2484960</v>
      </c>
      <c r="AU182" s="260">
        <f t="shared" si="184"/>
        <v>2611440</v>
      </c>
      <c r="AV182" s="425">
        <f t="shared" si="185"/>
        <v>16</v>
      </c>
      <c r="AW182" s="425">
        <f t="array" ref="AW182">MAX((IF(MNU_CODIGO_ALIMENTO_ENTREGA=CONCATENATE($E182,"_","P_"),MNU_GRAMAJE_REQUERIDO_TIPOH,"")))</f>
        <v>70</v>
      </c>
      <c r="AX182" s="257">
        <f t="shared" si="186"/>
        <v>400</v>
      </c>
      <c r="AY182" s="257">
        <f t="shared" si="187"/>
        <v>6400</v>
      </c>
      <c r="AZ182" s="446">
        <f t="shared" si="188"/>
        <v>779</v>
      </c>
      <c r="BA182" s="446">
        <f t="shared" si="189"/>
        <v>38.0152</v>
      </c>
      <c r="BB182" s="446">
        <f t="shared" si="190"/>
        <v>0.66995246400000008</v>
      </c>
      <c r="BC182" s="446">
        <f t="shared" si="191"/>
        <v>818</v>
      </c>
      <c r="BD182" s="258">
        <f t="shared" si="192"/>
        <v>4985600</v>
      </c>
      <c r="BE182" s="258">
        <f t="shared" si="193"/>
        <v>5235200</v>
      </c>
      <c r="BF182" s="391">
        <f t="shared" si="194"/>
        <v>140944048</v>
      </c>
      <c r="BG182" s="391">
        <f t="shared" si="195"/>
        <v>148021824</v>
      </c>
    </row>
    <row r="183" spans="1:59" ht="15.75">
      <c r="A183" s="333">
        <v>14</v>
      </c>
      <c r="B183" s="333" t="str">
        <f t="shared" si="147"/>
        <v>CEREAL EMPACADO_14</v>
      </c>
      <c r="C183" s="333" t="str">
        <f t="shared" si="148"/>
        <v>62_14</v>
      </c>
      <c r="D183" s="333" t="s">
        <v>1607</v>
      </c>
      <c r="E183" s="256">
        <v>62</v>
      </c>
      <c r="F183" s="322" t="s">
        <v>68</v>
      </c>
      <c r="G183" s="256" t="s">
        <v>9</v>
      </c>
      <c r="H183" s="425">
        <f t="shared" si="149"/>
        <v>5</v>
      </c>
      <c r="I183" s="425">
        <f t="array" ref="I183">MAX((IF(MNU_CODIGO_ALIMENTO_ENTREGA=CONCATENATE($E183,"_","P_"),MNU_GRAMAJE_REQUERIDO_TIPOA,"")))</f>
        <v>50</v>
      </c>
      <c r="J183" s="257">
        <f t="shared" si="150"/>
        <v>4679</v>
      </c>
      <c r="K183" s="257">
        <f t="shared" si="151"/>
        <v>23395</v>
      </c>
      <c r="L183" s="446">
        <f t="shared" si="152"/>
        <v>595</v>
      </c>
      <c r="M183" s="446">
        <f t="shared" si="153"/>
        <v>29.036000000000001</v>
      </c>
      <c r="N183" s="446">
        <f t="shared" si="154"/>
        <v>0.51170952000000014</v>
      </c>
      <c r="O183" s="446">
        <f t="shared" si="155"/>
        <v>625</v>
      </c>
      <c r="P183" s="258">
        <f t="shared" si="156"/>
        <v>13920025</v>
      </c>
      <c r="Q183" s="258">
        <f t="shared" si="157"/>
        <v>14621875</v>
      </c>
      <c r="R183" s="426">
        <f t="shared" si="158"/>
        <v>5</v>
      </c>
      <c r="S183" s="426">
        <f t="array" ref="S183">MAX((IF(MNU_CODIGO_ALIMENTO_ENTREGA=CONCATENATE($E183,"_","P_"),MNU_GRAMAJE_REQUERIDO_TIPOB,"")))</f>
        <v>50</v>
      </c>
      <c r="T183" s="259">
        <f t="shared" si="159"/>
        <v>6284</v>
      </c>
      <c r="U183" s="259">
        <f t="shared" si="160"/>
        <v>31420</v>
      </c>
      <c r="V183" s="446">
        <f t="shared" si="161"/>
        <v>595</v>
      </c>
      <c r="W183" s="446">
        <f t="shared" si="162"/>
        <v>29.036000000000001</v>
      </c>
      <c r="X183" s="446">
        <f t="shared" si="163"/>
        <v>0.51170952000000014</v>
      </c>
      <c r="Y183" s="446">
        <f t="shared" si="164"/>
        <v>625</v>
      </c>
      <c r="Z183" s="260">
        <f t="shared" si="165"/>
        <v>18694900</v>
      </c>
      <c r="AA183" s="260">
        <f t="shared" si="166"/>
        <v>19637500</v>
      </c>
      <c r="AB183" s="425">
        <f t="shared" si="167"/>
        <v>5</v>
      </c>
      <c r="AC183" s="425">
        <f t="array" ref="AC183">MAX((IF(MNU_CODIGO_ALIMENTO_ENTREGA=CONCATENATE($E183,"_","P_"),MNU_GRAMAJE_REQUERIDO_TIPOC,"")))</f>
        <v>50</v>
      </c>
      <c r="AD183" s="257">
        <f t="shared" si="168"/>
        <v>6681</v>
      </c>
      <c r="AE183" s="257">
        <f t="shared" si="169"/>
        <v>33405</v>
      </c>
      <c r="AF183" s="446">
        <f t="shared" si="170"/>
        <v>595</v>
      </c>
      <c r="AG183" s="446">
        <f t="shared" si="171"/>
        <v>29.036000000000001</v>
      </c>
      <c r="AH183" s="446">
        <f t="shared" si="172"/>
        <v>0.51170952000000014</v>
      </c>
      <c r="AI183" s="446">
        <f t="shared" si="173"/>
        <v>625</v>
      </c>
      <c r="AJ183" s="258">
        <f t="shared" si="174"/>
        <v>19875975</v>
      </c>
      <c r="AK183" s="258">
        <f t="shared" si="175"/>
        <v>20878125</v>
      </c>
      <c r="AL183" s="426">
        <f t="shared" si="176"/>
        <v>5</v>
      </c>
      <c r="AM183" s="426">
        <f t="array" ref="AM183">MAX((IF(MNU_CODIGO_ALIMENTO_ENTREGA=CONCATENATE($E183,"_","P_"),MNU_GRAMAJE_REQUERIDO_TIPOM,"")))</f>
        <v>50</v>
      </c>
      <c r="AN183" s="259">
        <f t="shared" si="177"/>
        <v>465</v>
      </c>
      <c r="AO183" s="259">
        <f t="shared" si="178"/>
        <v>2325</v>
      </c>
      <c r="AP183" s="446">
        <f t="shared" si="179"/>
        <v>595</v>
      </c>
      <c r="AQ183" s="446">
        <f t="shared" si="180"/>
        <v>29.036000000000001</v>
      </c>
      <c r="AR183" s="446">
        <f t="shared" si="181"/>
        <v>0.51170952000000014</v>
      </c>
      <c r="AS183" s="446">
        <f t="shared" si="182"/>
        <v>625</v>
      </c>
      <c r="AT183" s="260">
        <f t="shared" si="183"/>
        <v>1383375</v>
      </c>
      <c r="AU183" s="260">
        <f t="shared" si="184"/>
        <v>1453125</v>
      </c>
      <c r="AV183" s="425">
        <f t="shared" si="185"/>
        <v>5</v>
      </c>
      <c r="AW183" s="425">
        <f t="array" ref="AW183">MAX((IF(MNU_CODIGO_ALIMENTO_ENTREGA=CONCATENATE($E183,"_","P_"),MNU_GRAMAJE_REQUERIDO_TIPOH,"")))</f>
        <v>50</v>
      </c>
      <c r="AX183" s="257">
        <f t="shared" si="186"/>
        <v>400</v>
      </c>
      <c r="AY183" s="257">
        <f t="shared" si="187"/>
        <v>2000</v>
      </c>
      <c r="AZ183" s="446">
        <f t="shared" si="188"/>
        <v>595</v>
      </c>
      <c r="BA183" s="446">
        <f t="shared" si="189"/>
        <v>29.036000000000001</v>
      </c>
      <c r="BB183" s="446">
        <f t="shared" si="190"/>
        <v>0.51170952000000014</v>
      </c>
      <c r="BC183" s="446">
        <f t="shared" si="191"/>
        <v>625</v>
      </c>
      <c r="BD183" s="258">
        <f t="shared" si="192"/>
        <v>1190000</v>
      </c>
      <c r="BE183" s="258">
        <f t="shared" si="193"/>
        <v>1250000</v>
      </c>
      <c r="BF183" s="391">
        <f t="shared" si="194"/>
        <v>55064275</v>
      </c>
      <c r="BG183" s="391">
        <f t="shared" si="195"/>
        <v>57840625</v>
      </c>
    </row>
    <row r="184" spans="1:59" ht="15.75">
      <c r="A184" s="333">
        <v>15</v>
      </c>
      <c r="B184" s="333" t="str">
        <f t="shared" si="147"/>
        <v>CEREAL EMPACADO_15</v>
      </c>
      <c r="C184" s="333" t="str">
        <f t="shared" si="148"/>
        <v>1_15</v>
      </c>
      <c r="D184" s="333" t="s">
        <v>1607</v>
      </c>
      <c r="E184" s="256">
        <v>1</v>
      </c>
      <c r="F184" s="322" t="s">
        <v>16</v>
      </c>
      <c r="G184" s="256" t="s">
        <v>9</v>
      </c>
      <c r="H184" s="425">
        <f t="shared" si="149"/>
        <v>15</v>
      </c>
      <c r="I184" s="425">
        <f t="array" ref="I184">MAX((IF(MNU_CODIGO_ALIMENTO_ENTREGA=CONCATENATE($E184,"_","P_"),MNU_GRAMAJE_REQUERIDO_TIPOA,"")))</f>
        <v>30</v>
      </c>
      <c r="J184" s="257">
        <f t="shared" si="150"/>
        <v>6986</v>
      </c>
      <c r="K184" s="257">
        <f t="shared" si="151"/>
        <v>104790</v>
      </c>
      <c r="L184" s="446">
        <f t="shared" si="152"/>
        <v>770</v>
      </c>
      <c r="M184" s="446">
        <f t="shared" si="153"/>
        <v>37.576000000000008</v>
      </c>
      <c r="N184" s="446">
        <f t="shared" si="154"/>
        <v>0.66221231999999997</v>
      </c>
      <c r="O184" s="446">
        <f t="shared" si="155"/>
        <v>808</v>
      </c>
      <c r="P184" s="258">
        <f t="shared" si="156"/>
        <v>80688300</v>
      </c>
      <c r="Q184" s="258">
        <f t="shared" si="157"/>
        <v>84670320</v>
      </c>
      <c r="R184" s="426">
        <f t="shared" si="158"/>
        <v>15</v>
      </c>
      <c r="S184" s="426">
        <f t="array" ref="S184">MAX((IF(MNU_CODIGO_ALIMENTO_ENTREGA=CONCATENATE($E184,"_","P_"),MNU_GRAMAJE_REQUERIDO_TIPOB,"")))</f>
        <v>40</v>
      </c>
      <c r="T184" s="259">
        <f t="shared" si="159"/>
        <v>8585</v>
      </c>
      <c r="U184" s="259">
        <f t="shared" si="160"/>
        <v>128775</v>
      </c>
      <c r="V184" s="446">
        <f t="shared" si="161"/>
        <v>1027</v>
      </c>
      <c r="W184" s="446">
        <f t="shared" si="162"/>
        <v>50.117600000000003</v>
      </c>
      <c r="X184" s="446">
        <f t="shared" si="163"/>
        <v>0.88323643200000013</v>
      </c>
      <c r="Y184" s="446">
        <f t="shared" si="164"/>
        <v>1078</v>
      </c>
      <c r="Z184" s="260">
        <f t="shared" si="165"/>
        <v>132251925</v>
      </c>
      <c r="AA184" s="260">
        <f t="shared" si="166"/>
        <v>138819450</v>
      </c>
      <c r="AB184" s="425">
        <f t="shared" si="167"/>
        <v>15</v>
      </c>
      <c r="AC184" s="425">
        <f t="array" ref="AC184">MAX((IF(MNU_CODIGO_ALIMENTO_ENTREGA=CONCATENATE($E184,"_","P_"),MNU_GRAMAJE_REQUERIDO_TIPOC,"")))</f>
        <v>60</v>
      </c>
      <c r="AD184" s="257">
        <f t="shared" si="168"/>
        <v>7800</v>
      </c>
      <c r="AE184" s="257">
        <f t="shared" si="169"/>
        <v>117000</v>
      </c>
      <c r="AF184" s="446">
        <f t="shared" si="170"/>
        <v>1540</v>
      </c>
      <c r="AG184" s="446">
        <f t="shared" si="171"/>
        <v>75.152000000000015</v>
      </c>
      <c r="AH184" s="446">
        <f t="shared" si="172"/>
        <v>1.3244246399999999</v>
      </c>
      <c r="AI184" s="446">
        <f t="shared" si="173"/>
        <v>1616</v>
      </c>
      <c r="AJ184" s="258">
        <f t="shared" si="174"/>
        <v>180180000</v>
      </c>
      <c r="AK184" s="258">
        <f t="shared" si="175"/>
        <v>189072000</v>
      </c>
      <c r="AL184" s="426">
        <f t="shared" si="176"/>
        <v>15</v>
      </c>
      <c r="AM184" s="426">
        <f t="array" ref="AM184">MAX((IF(MNU_CODIGO_ALIMENTO_ENTREGA=CONCATENATE($E184,"_","P_"),MNU_GRAMAJE_REQUERIDO_TIPOM,"")))</f>
        <v>40</v>
      </c>
      <c r="AN184" s="259">
        <f t="shared" si="177"/>
        <v>0</v>
      </c>
      <c r="AO184" s="259">
        <f t="shared" si="178"/>
        <v>0</v>
      </c>
      <c r="AP184" s="446">
        <f t="shared" si="179"/>
        <v>1027</v>
      </c>
      <c r="AQ184" s="446">
        <f t="shared" si="180"/>
        <v>50.117600000000003</v>
      </c>
      <c r="AR184" s="446">
        <f t="shared" si="181"/>
        <v>0.88323643200000013</v>
      </c>
      <c r="AS184" s="446">
        <f t="shared" si="182"/>
        <v>1078</v>
      </c>
      <c r="AT184" s="260">
        <f t="shared" si="183"/>
        <v>0</v>
      </c>
      <c r="AU184" s="260">
        <f t="shared" si="184"/>
        <v>0</v>
      </c>
      <c r="AV184" s="425">
        <f t="shared" si="185"/>
        <v>15</v>
      </c>
      <c r="AW184" s="425">
        <f t="array" ref="AW184">MAX((IF(MNU_CODIGO_ALIMENTO_ENTREGA=CONCATENATE($E184,"_","P_"),MNU_GRAMAJE_REQUERIDO_TIPOH,"")))</f>
        <v>60</v>
      </c>
      <c r="AX184" s="257">
        <f t="shared" si="186"/>
        <v>0</v>
      </c>
      <c r="AY184" s="257">
        <f t="shared" si="187"/>
        <v>0</v>
      </c>
      <c r="AZ184" s="446">
        <f t="shared" si="188"/>
        <v>1540</v>
      </c>
      <c r="BA184" s="446">
        <f t="shared" si="189"/>
        <v>75.152000000000015</v>
      </c>
      <c r="BB184" s="446">
        <f t="shared" si="190"/>
        <v>1.3244246399999999</v>
      </c>
      <c r="BC184" s="446">
        <f t="shared" si="191"/>
        <v>1616</v>
      </c>
      <c r="BD184" s="258">
        <f t="shared" si="192"/>
        <v>0</v>
      </c>
      <c r="BE184" s="258">
        <f t="shared" si="193"/>
        <v>0</v>
      </c>
      <c r="BF184" s="391">
        <f t="shared" si="194"/>
        <v>393120225</v>
      </c>
      <c r="BG184" s="391">
        <f t="shared" si="195"/>
        <v>412561770</v>
      </c>
    </row>
    <row r="185" spans="1:59" ht="15.75">
      <c r="A185" s="333">
        <v>15</v>
      </c>
      <c r="B185" s="333" t="str">
        <f t="shared" si="147"/>
        <v>CEREAL EMPACADO_15</v>
      </c>
      <c r="C185" s="333" t="str">
        <f t="shared" si="148"/>
        <v>3_15</v>
      </c>
      <c r="D185" s="333" t="s">
        <v>1607</v>
      </c>
      <c r="E185" s="256">
        <v>3</v>
      </c>
      <c r="F185" s="322" t="s">
        <v>12</v>
      </c>
      <c r="G185" s="256" t="s">
        <v>9</v>
      </c>
      <c r="H185" s="425">
        <f t="shared" si="149"/>
        <v>17</v>
      </c>
      <c r="I185" s="425">
        <f t="array" ref="I185">MAX((IF(MNU_CODIGO_ALIMENTO_ENTREGA=CONCATENATE($E185,"_","P_"),MNU_GRAMAJE_REQUERIDO_TIPOA,"")))</f>
        <v>50</v>
      </c>
      <c r="J185" s="257">
        <f t="shared" si="150"/>
        <v>6986</v>
      </c>
      <c r="K185" s="257">
        <f t="shared" si="151"/>
        <v>118762</v>
      </c>
      <c r="L185" s="446">
        <f t="shared" si="152"/>
        <v>481</v>
      </c>
      <c r="M185" s="446">
        <f t="shared" si="153"/>
        <v>23.472799999999999</v>
      </c>
      <c r="N185" s="446">
        <f t="shared" si="154"/>
        <v>0.41366769599999997</v>
      </c>
      <c r="O185" s="446">
        <f t="shared" si="155"/>
        <v>505</v>
      </c>
      <c r="P185" s="258">
        <f t="shared" si="156"/>
        <v>57124522</v>
      </c>
      <c r="Q185" s="258">
        <f t="shared" si="157"/>
        <v>59974810</v>
      </c>
      <c r="R185" s="426">
        <f t="shared" si="158"/>
        <v>17</v>
      </c>
      <c r="S185" s="426">
        <f t="array" ref="S185">MAX((IF(MNU_CODIGO_ALIMENTO_ENTREGA=CONCATENATE($E185,"_","P_"),MNU_GRAMAJE_REQUERIDO_TIPOB,"")))</f>
        <v>50</v>
      </c>
      <c r="T185" s="259">
        <f t="shared" si="159"/>
        <v>8585</v>
      </c>
      <c r="U185" s="259">
        <f t="shared" si="160"/>
        <v>145945</v>
      </c>
      <c r="V185" s="446">
        <f t="shared" si="161"/>
        <v>481</v>
      </c>
      <c r="W185" s="446">
        <f t="shared" si="162"/>
        <v>23.472799999999999</v>
      </c>
      <c r="X185" s="446">
        <f t="shared" si="163"/>
        <v>0.41366769599999997</v>
      </c>
      <c r="Y185" s="446">
        <f t="shared" si="164"/>
        <v>505</v>
      </c>
      <c r="Z185" s="260">
        <f t="shared" si="165"/>
        <v>70199545</v>
      </c>
      <c r="AA185" s="260">
        <f t="shared" si="166"/>
        <v>73702225</v>
      </c>
      <c r="AB185" s="425">
        <f t="shared" si="167"/>
        <v>17</v>
      </c>
      <c r="AC185" s="425">
        <f t="array" ref="AC185">MAX((IF(MNU_CODIGO_ALIMENTO_ENTREGA=CONCATENATE($E185,"_","P_"),MNU_GRAMAJE_REQUERIDO_TIPOC,"")))</f>
        <v>80</v>
      </c>
      <c r="AD185" s="257">
        <f t="shared" si="168"/>
        <v>7800</v>
      </c>
      <c r="AE185" s="257">
        <f t="shared" si="169"/>
        <v>132600</v>
      </c>
      <c r="AF185" s="446">
        <f t="shared" si="170"/>
        <v>727</v>
      </c>
      <c r="AG185" s="446">
        <f t="shared" si="171"/>
        <v>35.477600000000002</v>
      </c>
      <c r="AH185" s="446">
        <f t="shared" si="172"/>
        <v>0.62523163200000009</v>
      </c>
      <c r="AI185" s="446">
        <f t="shared" si="173"/>
        <v>763</v>
      </c>
      <c r="AJ185" s="258">
        <f t="shared" si="174"/>
        <v>96400200</v>
      </c>
      <c r="AK185" s="258">
        <f t="shared" si="175"/>
        <v>101173800</v>
      </c>
      <c r="AL185" s="426">
        <f t="shared" si="176"/>
        <v>17</v>
      </c>
      <c r="AM185" s="426">
        <f t="array" ref="AM185">MAX((IF(MNU_CODIGO_ALIMENTO_ENTREGA=CONCATENATE($E185,"_","P_"),MNU_GRAMAJE_REQUERIDO_TIPOM,"")))</f>
        <v>50</v>
      </c>
      <c r="AN185" s="259">
        <f t="shared" si="177"/>
        <v>0</v>
      </c>
      <c r="AO185" s="259">
        <f t="shared" si="178"/>
        <v>0</v>
      </c>
      <c r="AP185" s="446">
        <f t="shared" si="179"/>
        <v>481</v>
      </c>
      <c r="AQ185" s="446">
        <f t="shared" si="180"/>
        <v>23.472799999999999</v>
      </c>
      <c r="AR185" s="446">
        <f t="shared" si="181"/>
        <v>0.41366769599999997</v>
      </c>
      <c r="AS185" s="446">
        <f t="shared" si="182"/>
        <v>505</v>
      </c>
      <c r="AT185" s="260">
        <f t="shared" si="183"/>
        <v>0</v>
      </c>
      <c r="AU185" s="260">
        <f t="shared" si="184"/>
        <v>0</v>
      </c>
      <c r="AV185" s="425">
        <f t="shared" si="185"/>
        <v>17</v>
      </c>
      <c r="AW185" s="425">
        <f t="array" ref="AW185">MAX((IF(MNU_CODIGO_ALIMENTO_ENTREGA=CONCATENATE($E185,"_","P_"),MNU_GRAMAJE_REQUERIDO_TIPOH,"")))</f>
        <v>80</v>
      </c>
      <c r="AX185" s="257">
        <f t="shared" si="186"/>
        <v>0</v>
      </c>
      <c r="AY185" s="257">
        <f t="shared" si="187"/>
        <v>0</v>
      </c>
      <c r="AZ185" s="446">
        <f t="shared" si="188"/>
        <v>727</v>
      </c>
      <c r="BA185" s="446">
        <f t="shared" si="189"/>
        <v>35.477600000000002</v>
      </c>
      <c r="BB185" s="446">
        <f t="shared" si="190"/>
        <v>0.62523163200000009</v>
      </c>
      <c r="BC185" s="446">
        <f t="shared" si="191"/>
        <v>763</v>
      </c>
      <c r="BD185" s="258">
        <f t="shared" si="192"/>
        <v>0</v>
      </c>
      <c r="BE185" s="258">
        <f t="shared" si="193"/>
        <v>0</v>
      </c>
      <c r="BF185" s="391">
        <f t="shared" si="194"/>
        <v>223724267</v>
      </c>
      <c r="BG185" s="391">
        <f t="shared" si="195"/>
        <v>234850835</v>
      </c>
    </row>
    <row r="186" spans="1:59" ht="15.75">
      <c r="A186" s="333">
        <v>15</v>
      </c>
      <c r="B186" s="333" t="str">
        <f t="shared" si="147"/>
        <v>CEREAL EMPACADO_15</v>
      </c>
      <c r="C186" s="333" t="str">
        <f t="shared" si="148"/>
        <v>15_15</v>
      </c>
      <c r="D186" s="333" t="s">
        <v>1607</v>
      </c>
      <c r="E186" s="256">
        <v>15</v>
      </c>
      <c r="F186" s="322" t="s">
        <v>66</v>
      </c>
      <c r="G186" s="256" t="s">
        <v>9</v>
      </c>
      <c r="H186" s="425">
        <f t="shared" si="149"/>
        <v>17</v>
      </c>
      <c r="I186" s="425">
        <f t="array" ref="I186">MAX((IF(MNU_CODIGO_ALIMENTO_ENTREGA=CONCATENATE($E186,"_","P_"),MNU_GRAMAJE_REQUERIDO_TIPOA,"")))</f>
        <v>50</v>
      </c>
      <c r="J186" s="257">
        <f t="shared" si="150"/>
        <v>6986</v>
      </c>
      <c r="K186" s="257">
        <f t="shared" si="151"/>
        <v>118762</v>
      </c>
      <c r="L186" s="446">
        <f t="shared" si="152"/>
        <v>641</v>
      </c>
      <c r="M186" s="446">
        <f t="shared" si="153"/>
        <v>31.280800000000003</v>
      </c>
      <c r="N186" s="446">
        <f t="shared" si="154"/>
        <v>0.55127025600000001</v>
      </c>
      <c r="O186" s="446">
        <f t="shared" si="155"/>
        <v>673</v>
      </c>
      <c r="P186" s="258">
        <f t="shared" si="156"/>
        <v>76126442</v>
      </c>
      <c r="Q186" s="258">
        <f t="shared" si="157"/>
        <v>79926826</v>
      </c>
      <c r="R186" s="426">
        <f t="shared" si="158"/>
        <v>17</v>
      </c>
      <c r="S186" s="426">
        <f t="array" ref="S186">MAX((IF(MNU_CODIGO_ALIMENTO_ENTREGA=CONCATENATE($E186,"_","P_"),MNU_GRAMAJE_REQUERIDO_TIPOB,"")))</f>
        <v>50</v>
      </c>
      <c r="T186" s="259">
        <f t="shared" si="159"/>
        <v>8585</v>
      </c>
      <c r="U186" s="259">
        <f t="shared" si="160"/>
        <v>145945</v>
      </c>
      <c r="V186" s="446">
        <f t="shared" si="161"/>
        <v>641</v>
      </c>
      <c r="W186" s="446">
        <f t="shared" si="162"/>
        <v>31.280800000000003</v>
      </c>
      <c r="X186" s="446">
        <f t="shared" si="163"/>
        <v>0.55127025600000001</v>
      </c>
      <c r="Y186" s="446">
        <f t="shared" si="164"/>
        <v>673</v>
      </c>
      <c r="Z186" s="260">
        <f t="shared" si="165"/>
        <v>93550745</v>
      </c>
      <c r="AA186" s="260">
        <f t="shared" si="166"/>
        <v>98220985</v>
      </c>
      <c r="AB186" s="425">
        <f t="shared" si="167"/>
        <v>17</v>
      </c>
      <c r="AC186" s="425">
        <f t="array" ref="AC186">MAX((IF(MNU_CODIGO_ALIMENTO_ENTREGA=CONCATENATE($E186,"_","P_"),MNU_GRAMAJE_REQUERIDO_TIPOC,"")))</f>
        <v>80</v>
      </c>
      <c r="AD186" s="257">
        <f t="shared" si="168"/>
        <v>7800</v>
      </c>
      <c r="AE186" s="257">
        <f t="shared" si="169"/>
        <v>132600</v>
      </c>
      <c r="AF186" s="446">
        <f t="shared" si="170"/>
        <v>1025</v>
      </c>
      <c r="AG186" s="446">
        <f t="shared" si="171"/>
        <v>50.02</v>
      </c>
      <c r="AH186" s="446">
        <f t="shared" si="172"/>
        <v>0.88151640000000009</v>
      </c>
      <c r="AI186" s="446">
        <f t="shared" si="173"/>
        <v>1076</v>
      </c>
      <c r="AJ186" s="258">
        <f t="shared" si="174"/>
        <v>135915000</v>
      </c>
      <c r="AK186" s="258">
        <f t="shared" si="175"/>
        <v>142677600</v>
      </c>
      <c r="AL186" s="426">
        <f t="shared" si="176"/>
        <v>17</v>
      </c>
      <c r="AM186" s="426">
        <f t="array" ref="AM186">MAX((IF(MNU_CODIGO_ALIMENTO_ENTREGA=CONCATENATE($E186,"_","P_"),MNU_GRAMAJE_REQUERIDO_TIPOM,"")))</f>
        <v>50</v>
      </c>
      <c r="AN186" s="259">
        <f t="shared" si="177"/>
        <v>0</v>
      </c>
      <c r="AO186" s="259">
        <f t="shared" si="178"/>
        <v>0</v>
      </c>
      <c r="AP186" s="446">
        <f t="shared" si="179"/>
        <v>641</v>
      </c>
      <c r="AQ186" s="446">
        <f t="shared" si="180"/>
        <v>31.280800000000003</v>
      </c>
      <c r="AR186" s="446">
        <f t="shared" si="181"/>
        <v>0.55127025600000001</v>
      </c>
      <c r="AS186" s="446">
        <f t="shared" si="182"/>
        <v>673</v>
      </c>
      <c r="AT186" s="260">
        <f t="shared" si="183"/>
        <v>0</v>
      </c>
      <c r="AU186" s="260">
        <f t="shared" si="184"/>
        <v>0</v>
      </c>
      <c r="AV186" s="425">
        <f t="shared" si="185"/>
        <v>17</v>
      </c>
      <c r="AW186" s="425">
        <f t="array" ref="AW186">MAX((IF(MNU_CODIGO_ALIMENTO_ENTREGA=CONCATENATE($E186,"_","P_"),MNU_GRAMAJE_REQUERIDO_TIPOH,"")))</f>
        <v>80</v>
      </c>
      <c r="AX186" s="257">
        <f t="shared" si="186"/>
        <v>0</v>
      </c>
      <c r="AY186" s="257">
        <f t="shared" si="187"/>
        <v>0</v>
      </c>
      <c r="AZ186" s="446">
        <f t="shared" si="188"/>
        <v>1025</v>
      </c>
      <c r="BA186" s="446">
        <f t="shared" si="189"/>
        <v>50.02</v>
      </c>
      <c r="BB186" s="446">
        <f t="shared" si="190"/>
        <v>0.88151640000000009</v>
      </c>
      <c r="BC186" s="446">
        <f t="shared" si="191"/>
        <v>1076</v>
      </c>
      <c r="BD186" s="258">
        <f t="shared" si="192"/>
        <v>0</v>
      </c>
      <c r="BE186" s="258">
        <f t="shared" si="193"/>
        <v>0</v>
      </c>
      <c r="BF186" s="391">
        <f t="shared" si="194"/>
        <v>305592187</v>
      </c>
      <c r="BG186" s="391">
        <f t="shared" si="195"/>
        <v>320825411</v>
      </c>
    </row>
    <row r="187" spans="1:59" ht="15.75">
      <c r="A187" s="333">
        <v>15</v>
      </c>
      <c r="B187" s="333" t="str">
        <f t="shared" si="147"/>
        <v>CEREAL EMPACADO_15</v>
      </c>
      <c r="C187" s="333" t="str">
        <f t="shared" si="148"/>
        <v>24_15</v>
      </c>
      <c r="D187" s="333" t="s">
        <v>1607</v>
      </c>
      <c r="E187" s="256">
        <v>24</v>
      </c>
      <c r="F187" s="322" t="s">
        <v>61</v>
      </c>
      <c r="G187" s="256" t="s">
        <v>9</v>
      </c>
      <c r="H187" s="425">
        <f t="shared" si="149"/>
        <v>17</v>
      </c>
      <c r="I187" s="425">
        <f t="array" ref="I187">MAX((IF(MNU_CODIGO_ALIMENTO_ENTREGA=CONCATENATE($E187,"_","P_"),MNU_GRAMAJE_REQUERIDO_TIPOA,"")))</f>
        <v>20</v>
      </c>
      <c r="J187" s="257">
        <f t="shared" si="150"/>
        <v>6986</v>
      </c>
      <c r="K187" s="257">
        <f t="shared" si="151"/>
        <v>118762</v>
      </c>
      <c r="L187" s="446">
        <f t="shared" si="152"/>
        <v>122</v>
      </c>
      <c r="M187" s="446">
        <f t="shared" si="153"/>
        <v>5.9535999999999998</v>
      </c>
      <c r="N187" s="446">
        <f t="shared" si="154"/>
        <v>0.104921952</v>
      </c>
      <c r="O187" s="446">
        <f t="shared" si="155"/>
        <v>128</v>
      </c>
      <c r="P187" s="258">
        <f t="shared" si="156"/>
        <v>14488964</v>
      </c>
      <c r="Q187" s="258">
        <f t="shared" si="157"/>
        <v>15201536</v>
      </c>
      <c r="R187" s="426">
        <f t="shared" si="158"/>
        <v>17</v>
      </c>
      <c r="S187" s="426">
        <f t="array" ref="S187">MAX((IF(MNU_CODIGO_ALIMENTO_ENTREGA=CONCATENATE($E187,"_","P_"),MNU_GRAMAJE_REQUERIDO_TIPOB,"")))</f>
        <v>30</v>
      </c>
      <c r="T187" s="259">
        <f t="shared" si="159"/>
        <v>8585</v>
      </c>
      <c r="U187" s="259">
        <f t="shared" si="160"/>
        <v>145945</v>
      </c>
      <c r="V187" s="446">
        <f t="shared" si="161"/>
        <v>191</v>
      </c>
      <c r="W187" s="446">
        <f t="shared" si="162"/>
        <v>9.3208000000000002</v>
      </c>
      <c r="X187" s="446">
        <f t="shared" si="163"/>
        <v>0.16426305600000002</v>
      </c>
      <c r="Y187" s="446">
        <f t="shared" si="164"/>
        <v>200</v>
      </c>
      <c r="Z187" s="260">
        <f t="shared" si="165"/>
        <v>27875495</v>
      </c>
      <c r="AA187" s="260">
        <f t="shared" si="166"/>
        <v>29189000</v>
      </c>
      <c r="AB187" s="425">
        <f t="shared" si="167"/>
        <v>17</v>
      </c>
      <c r="AC187" s="425">
        <f t="array" ref="AC187">MAX((IF(MNU_CODIGO_ALIMENTO_ENTREGA=CONCATENATE($E187,"_","P_"),MNU_GRAMAJE_REQUERIDO_TIPOC,"")))</f>
        <v>60</v>
      </c>
      <c r="AD187" s="257">
        <f t="shared" si="168"/>
        <v>7800</v>
      </c>
      <c r="AE187" s="257">
        <f t="shared" si="169"/>
        <v>132600</v>
      </c>
      <c r="AF187" s="446">
        <f t="shared" si="170"/>
        <v>367</v>
      </c>
      <c r="AG187" s="446">
        <f t="shared" si="171"/>
        <v>17.909599999999998</v>
      </c>
      <c r="AH187" s="446">
        <f t="shared" si="172"/>
        <v>0.31562587200000003</v>
      </c>
      <c r="AI187" s="446">
        <f t="shared" si="173"/>
        <v>385</v>
      </c>
      <c r="AJ187" s="258">
        <f t="shared" si="174"/>
        <v>48664200</v>
      </c>
      <c r="AK187" s="258">
        <f t="shared" si="175"/>
        <v>51051000</v>
      </c>
      <c r="AL187" s="426">
        <f t="shared" si="176"/>
        <v>17</v>
      </c>
      <c r="AM187" s="426">
        <f t="array" ref="AM187">MAX((IF(MNU_CODIGO_ALIMENTO_ENTREGA=CONCATENATE($E187,"_","P_"),MNU_GRAMAJE_REQUERIDO_TIPOM,"")))</f>
        <v>30</v>
      </c>
      <c r="AN187" s="259">
        <f t="shared" si="177"/>
        <v>0</v>
      </c>
      <c r="AO187" s="259">
        <f t="shared" si="178"/>
        <v>0</v>
      </c>
      <c r="AP187" s="446">
        <f t="shared" si="179"/>
        <v>191</v>
      </c>
      <c r="AQ187" s="446">
        <f t="shared" si="180"/>
        <v>9.3208000000000002</v>
      </c>
      <c r="AR187" s="446">
        <f t="shared" si="181"/>
        <v>0.16426305600000002</v>
      </c>
      <c r="AS187" s="446">
        <f t="shared" si="182"/>
        <v>200</v>
      </c>
      <c r="AT187" s="260">
        <f t="shared" si="183"/>
        <v>0</v>
      </c>
      <c r="AU187" s="260">
        <f t="shared" si="184"/>
        <v>0</v>
      </c>
      <c r="AV187" s="425">
        <f t="shared" si="185"/>
        <v>17</v>
      </c>
      <c r="AW187" s="425">
        <f t="array" ref="AW187">MAX((IF(MNU_CODIGO_ALIMENTO_ENTREGA=CONCATENATE($E187,"_","P_"),MNU_GRAMAJE_REQUERIDO_TIPOH,"")))</f>
        <v>60</v>
      </c>
      <c r="AX187" s="257">
        <f t="shared" si="186"/>
        <v>0</v>
      </c>
      <c r="AY187" s="257">
        <f t="shared" si="187"/>
        <v>0</v>
      </c>
      <c r="AZ187" s="446">
        <f t="shared" si="188"/>
        <v>367</v>
      </c>
      <c r="BA187" s="446">
        <f t="shared" si="189"/>
        <v>17.909599999999998</v>
      </c>
      <c r="BB187" s="446">
        <f t="shared" si="190"/>
        <v>0.31562587200000003</v>
      </c>
      <c r="BC187" s="446">
        <f t="shared" si="191"/>
        <v>385</v>
      </c>
      <c r="BD187" s="258">
        <f t="shared" si="192"/>
        <v>0</v>
      </c>
      <c r="BE187" s="258">
        <f t="shared" si="193"/>
        <v>0</v>
      </c>
      <c r="BF187" s="391">
        <f t="shared" si="194"/>
        <v>91028659</v>
      </c>
      <c r="BG187" s="391">
        <f t="shared" si="195"/>
        <v>95441536</v>
      </c>
    </row>
    <row r="188" spans="1:59" ht="15.75">
      <c r="A188" s="333">
        <v>15</v>
      </c>
      <c r="B188" s="333" t="str">
        <f t="shared" si="147"/>
        <v>CEREAL EMPACADO_15</v>
      </c>
      <c r="C188" s="333" t="str">
        <f t="shared" si="148"/>
        <v>25_15</v>
      </c>
      <c r="D188" s="333" t="s">
        <v>1607</v>
      </c>
      <c r="E188" s="256">
        <v>25</v>
      </c>
      <c r="F188" s="322" t="s">
        <v>64</v>
      </c>
      <c r="G188" s="256" t="s">
        <v>9</v>
      </c>
      <c r="H188" s="425">
        <f t="shared" si="149"/>
        <v>17</v>
      </c>
      <c r="I188" s="425">
        <f t="array" ref="I188">MAX((IF(MNU_CODIGO_ALIMENTO_ENTREGA=CONCATENATE($E188,"_","P_"),MNU_GRAMAJE_REQUERIDO_TIPOA,"")))</f>
        <v>40</v>
      </c>
      <c r="J188" s="257">
        <f t="shared" si="150"/>
        <v>6986</v>
      </c>
      <c r="K188" s="257">
        <f t="shared" si="151"/>
        <v>118762</v>
      </c>
      <c r="L188" s="446">
        <f t="shared" si="152"/>
        <v>244</v>
      </c>
      <c r="M188" s="446">
        <f t="shared" si="153"/>
        <v>11.9072</v>
      </c>
      <c r="N188" s="446">
        <f t="shared" si="154"/>
        <v>0.209843904</v>
      </c>
      <c r="O188" s="446">
        <f t="shared" si="155"/>
        <v>256</v>
      </c>
      <c r="P188" s="258">
        <f t="shared" si="156"/>
        <v>28977928</v>
      </c>
      <c r="Q188" s="258">
        <f t="shared" si="157"/>
        <v>30403072</v>
      </c>
      <c r="R188" s="426">
        <f t="shared" si="158"/>
        <v>17</v>
      </c>
      <c r="S188" s="426">
        <f t="array" ref="S188">MAX((IF(MNU_CODIGO_ALIMENTO_ENTREGA=CONCATENATE($E188,"_","P_"),MNU_GRAMAJE_REQUERIDO_TIPOB,"")))</f>
        <v>40</v>
      </c>
      <c r="T188" s="259">
        <f t="shared" si="159"/>
        <v>8585</v>
      </c>
      <c r="U188" s="259">
        <f t="shared" si="160"/>
        <v>145945</v>
      </c>
      <c r="V188" s="446">
        <f t="shared" si="161"/>
        <v>244</v>
      </c>
      <c r="W188" s="446">
        <f t="shared" si="162"/>
        <v>11.9072</v>
      </c>
      <c r="X188" s="446">
        <f t="shared" si="163"/>
        <v>0.209843904</v>
      </c>
      <c r="Y188" s="446">
        <f t="shared" si="164"/>
        <v>256</v>
      </c>
      <c r="Z188" s="260">
        <f t="shared" si="165"/>
        <v>35610580</v>
      </c>
      <c r="AA188" s="260">
        <f t="shared" si="166"/>
        <v>37361920</v>
      </c>
      <c r="AB188" s="425">
        <f t="shared" si="167"/>
        <v>17</v>
      </c>
      <c r="AC188" s="425">
        <f t="array" ref="AC188">MAX((IF(MNU_CODIGO_ALIMENTO_ENTREGA=CONCATENATE($E188,"_","P_"),MNU_GRAMAJE_REQUERIDO_TIPOC,"")))</f>
        <v>60</v>
      </c>
      <c r="AD188" s="257">
        <f t="shared" si="168"/>
        <v>7800</v>
      </c>
      <c r="AE188" s="257">
        <f t="shared" si="169"/>
        <v>132600</v>
      </c>
      <c r="AF188" s="446">
        <f t="shared" si="170"/>
        <v>366</v>
      </c>
      <c r="AG188" s="446">
        <f t="shared" si="171"/>
        <v>17.860800000000001</v>
      </c>
      <c r="AH188" s="446">
        <f t="shared" si="172"/>
        <v>0.31476585600000001</v>
      </c>
      <c r="AI188" s="446">
        <f t="shared" si="173"/>
        <v>384</v>
      </c>
      <c r="AJ188" s="258">
        <f t="shared" si="174"/>
        <v>48531600</v>
      </c>
      <c r="AK188" s="258">
        <f t="shared" si="175"/>
        <v>50918400</v>
      </c>
      <c r="AL188" s="426">
        <f t="shared" si="176"/>
        <v>17</v>
      </c>
      <c r="AM188" s="426">
        <f t="array" ref="AM188">MAX((IF(MNU_CODIGO_ALIMENTO_ENTREGA=CONCATENATE($E188,"_","P_"),MNU_GRAMAJE_REQUERIDO_TIPOM,"")))</f>
        <v>40</v>
      </c>
      <c r="AN188" s="259">
        <f t="shared" si="177"/>
        <v>0</v>
      </c>
      <c r="AO188" s="259">
        <f t="shared" si="178"/>
        <v>0</v>
      </c>
      <c r="AP188" s="446">
        <f t="shared" si="179"/>
        <v>244</v>
      </c>
      <c r="AQ188" s="446">
        <f t="shared" si="180"/>
        <v>11.9072</v>
      </c>
      <c r="AR188" s="446">
        <f t="shared" si="181"/>
        <v>0.209843904</v>
      </c>
      <c r="AS188" s="446">
        <f t="shared" si="182"/>
        <v>256</v>
      </c>
      <c r="AT188" s="260">
        <f t="shared" si="183"/>
        <v>0</v>
      </c>
      <c r="AU188" s="260">
        <f t="shared" si="184"/>
        <v>0</v>
      </c>
      <c r="AV188" s="425">
        <f t="shared" si="185"/>
        <v>17</v>
      </c>
      <c r="AW188" s="425">
        <f t="array" ref="AW188">MAX((IF(MNU_CODIGO_ALIMENTO_ENTREGA=CONCATENATE($E188,"_","P_"),MNU_GRAMAJE_REQUERIDO_TIPOH,"")))</f>
        <v>60</v>
      </c>
      <c r="AX188" s="257">
        <f t="shared" si="186"/>
        <v>0</v>
      </c>
      <c r="AY188" s="257">
        <f t="shared" si="187"/>
        <v>0</v>
      </c>
      <c r="AZ188" s="446">
        <f t="shared" si="188"/>
        <v>366</v>
      </c>
      <c r="BA188" s="446">
        <f t="shared" si="189"/>
        <v>17.860800000000001</v>
      </c>
      <c r="BB188" s="446">
        <f t="shared" si="190"/>
        <v>0.31476585600000001</v>
      </c>
      <c r="BC188" s="446">
        <f t="shared" si="191"/>
        <v>384</v>
      </c>
      <c r="BD188" s="258">
        <f t="shared" si="192"/>
        <v>0</v>
      </c>
      <c r="BE188" s="258">
        <f t="shared" si="193"/>
        <v>0</v>
      </c>
      <c r="BF188" s="391">
        <f t="shared" si="194"/>
        <v>113120108</v>
      </c>
      <c r="BG188" s="391">
        <f t="shared" si="195"/>
        <v>118683392</v>
      </c>
    </row>
    <row r="189" spans="1:59" ht="15.75">
      <c r="A189" s="333">
        <v>15</v>
      </c>
      <c r="B189" s="333" t="str">
        <f t="shared" si="147"/>
        <v>CEREAL EMPACADO_15</v>
      </c>
      <c r="C189" s="333" t="str">
        <f t="shared" si="148"/>
        <v>26_15</v>
      </c>
      <c r="D189" s="333" t="s">
        <v>1607</v>
      </c>
      <c r="E189" s="256">
        <v>26</v>
      </c>
      <c r="F189" s="322" t="s">
        <v>69</v>
      </c>
      <c r="G189" s="256" t="s">
        <v>9</v>
      </c>
      <c r="H189" s="425">
        <f t="shared" si="149"/>
        <v>6</v>
      </c>
      <c r="I189" s="425">
        <f t="array" ref="I189">MAX((IF(MNU_CODIGO_ALIMENTO_ENTREGA=CONCATENATE($E189,"_","P_"),MNU_GRAMAJE_REQUERIDO_TIPOA,"")))</f>
        <v>30</v>
      </c>
      <c r="J189" s="257">
        <f t="shared" si="150"/>
        <v>6986</v>
      </c>
      <c r="K189" s="257">
        <f t="shared" si="151"/>
        <v>41916</v>
      </c>
      <c r="L189" s="446">
        <f t="shared" si="152"/>
        <v>163</v>
      </c>
      <c r="M189" s="446">
        <f t="shared" si="153"/>
        <v>7.9543999999999997</v>
      </c>
      <c r="N189" s="446">
        <f t="shared" si="154"/>
        <v>0.14018260800000001</v>
      </c>
      <c r="O189" s="446">
        <f t="shared" si="155"/>
        <v>171</v>
      </c>
      <c r="P189" s="258">
        <f t="shared" si="156"/>
        <v>6832308</v>
      </c>
      <c r="Q189" s="258">
        <f t="shared" si="157"/>
        <v>7167636</v>
      </c>
      <c r="R189" s="426">
        <f t="shared" si="158"/>
        <v>6</v>
      </c>
      <c r="S189" s="426">
        <f t="array" ref="S189">MAX((IF(MNU_CODIGO_ALIMENTO_ENTREGA=CONCATENATE($E189,"_","P_"),MNU_GRAMAJE_REQUERIDO_TIPOB,"")))</f>
        <v>30</v>
      </c>
      <c r="T189" s="259">
        <f t="shared" si="159"/>
        <v>8585</v>
      </c>
      <c r="U189" s="259">
        <f t="shared" si="160"/>
        <v>51510</v>
      </c>
      <c r="V189" s="446">
        <f t="shared" si="161"/>
        <v>163</v>
      </c>
      <c r="W189" s="446">
        <f t="shared" si="162"/>
        <v>7.9543999999999997</v>
      </c>
      <c r="X189" s="446">
        <f t="shared" si="163"/>
        <v>0.14018260800000001</v>
      </c>
      <c r="Y189" s="446">
        <f t="shared" si="164"/>
        <v>171</v>
      </c>
      <c r="Z189" s="260">
        <f t="shared" si="165"/>
        <v>8396130</v>
      </c>
      <c r="AA189" s="260">
        <f t="shared" si="166"/>
        <v>8808210</v>
      </c>
      <c r="AB189" s="425">
        <f t="shared" si="167"/>
        <v>6</v>
      </c>
      <c r="AC189" s="425">
        <f t="array" ref="AC189">MAX((IF(MNU_CODIGO_ALIMENTO_ENTREGA=CONCATENATE($E189,"_","P_"),MNU_GRAMAJE_REQUERIDO_TIPOC,"")))</f>
        <v>30</v>
      </c>
      <c r="AD189" s="257">
        <f t="shared" si="168"/>
        <v>7800</v>
      </c>
      <c r="AE189" s="257">
        <f t="shared" si="169"/>
        <v>46800</v>
      </c>
      <c r="AF189" s="446">
        <f t="shared" si="170"/>
        <v>163</v>
      </c>
      <c r="AG189" s="446">
        <f t="shared" si="171"/>
        <v>7.9543999999999997</v>
      </c>
      <c r="AH189" s="446">
        <f t="shared" si="172"/>
        <v>0.14018260800000001</v>
      </c>
      <c r="AI189" s="446">
        <f t="shared" si="173"/>
        <v>171</v>
      </c>
      <c r="AJ189" s="258">
        <f t="shared" si="174"/>
        <v>7628400</v>
      </c>
      <c r="AK189" s="258">
        <f t="shared" si="175"/>
        <v>8002800</v>
      </c>
      <c r="AL189" s="426">
        <f t="shared" si="176"/>
        <v>6</v>
      </c>
      <c r="AM189" s="426">
        <f t="array" ref="AM189">MAX((IF(MNU_CODIGO_ALIMENTO_ENTREGA=CONCATENATE($E189,"_","P_"),MNU_GRAMAJE_REQUERIDO_TIPOM,"")))</f>
        <v>30</v>
      </c>
      <c r="AN189" s="259">
        <f t="shared" si="177"/>
        <v>0</v>
      </c>
      <c r="AO189" s="259">
        <f t="shared" si="178"/>
        <v>0</v>
      </c>
      <c r="AP189" s="446">
        <f t="shared" si="179"/>
        <v>163</v>
      </c>
      <c r="AQ189" s="446">
        <f t="shared" si="180"/>
        <v>7.9543999999999997</v>
      </c>
      <c r="AR189" s="446">
        <f t="shared" si="181"/>
        <v>0.14018260800000001</v>
      </c>
      <c r="AS189" s="446">
        <f t="shared" si="182"/>
        <v>171</v>
      </c>
      <c r="AT189" s="260">
        <f t="shared" si="183"/>
        <v>0</v>
      </c>
      <c r="AU189" s="260">
        <f t="shared" si="184"/>
        <v>0</v>
      </c>
      <c r="AV189" s="425">
        <f t="shared" si="185"/>
        <v>6</v>
      </c>
      <c r="AW189" s="425">
        <f t="array" ref="AW189">MAX((IF(MNU_CODIGO_ALIMENTO_ENTREGA=CONCATENATE($E189,"_","P_"),MNU_GRAMAJE_REQUERIDO_TIPOH,"")))</f>
        <v>30</v>
      </c>
      <c r="AX189" s="257">
        <f t="shared" si="186"/>
        <v>0</v>
      </c>
      <c r="AY189" s="257">
        <f t="shared" si="187"/>
        <v>0</v>
      </c>
      <c r="AZ189" s="446">
        <f t="shared" si="188"/>
        <v>163</v>
      </c>
      <c r="BA189" s="446">
        <f t="shared" si="189"/>
        <v>7.9543999999999997</v>
      </c>
      <c r="BB189" s="446">
        <f t="shared" si="190"/>
        <v>0.14018260800000001</v>
      </c>
      <c r="BC189" s="446">
        <f t="shared" si="191"/>
        <v>171</v>
      </c>
      <c r="BD189" s="258">
        <f t="shared" si="192"/>
        <v>0</v>
      </c>
      <c r="BE189" s="258">
        <f t="shared" si="193"/>
        <v>0</v>
      </c>
      <c r="BF189" s="391">
        <f t="shared" si="194"/>
        <v>22856838</v>
      </c>
      <c r="BG189" s="391">
        <f t="shared" si="195"/>
        <v>23978646</v>
      </c>
    </row>
    <row r="190" spans="1:59" ht="27">
      <c r="A190" s="333">
        <v>15</v>
      </c>
      <c r="B190" s="333" t="str">
        <f t="shared" si="147"/>
        <v>CEREAL EMPACADO_15</v>
      </c>
      <c r="C190" s="333" t="str">
        <f t="shared" si="148"/>
        <v>28_15</v>
      </c>
      <c r="D190" s="333" t="s">
        <v>1607</v>
      </c>
      <c r="E190" s="256">
        <v>28</v>
      </c>
      <c r="F190" s="322" t="s">
        <v>67</v>
      </c>
      <c r="G190" s="256" t="s">
        <v>9</v>
      </c>
      <c r="H190" s="425">
        <f t="shared" si="149"/>
        <v>6</v>
      </c>
      <c r="I190" s="425">
        <f t="array" ref="I190">MAX((IF(MNU_CODIGO_ALIMENTO_ENTREGA=CONCATENATE($E190,"_","P_"),MNU_GRAMAJE_REQUERIDO_TIPOA,"")))</f>
        <v>30</v>
      </c>
      <c r="J190" s="257">
        <f t="shared" si="150"/>
        <v>6986</v>
      </c>
      <c r="K190" s="257">
        <f t="shared" si="151"/>
        <v>41916</v>
      </c>
      <c r="L190" s="446">
        <f t="shared" si="152"/>
        <v>215</v>
      </c>
      <c r="M190" s="446">
        <f t="shared" si="153"/>
        <v>10.492000000000001</v>
      </c>
      <c r="N190" s="446">
        <f t="shared" si="154"/>
        <v>0.18490343999999997</v>
      </c>
      <c r="O190" s="446">
        <f t="shared" si="155"/>
        <v>226</v>
      </c>
      <c r="P190" s="258">
        <f t="shared" si="156"/>
        <v>9011940</v>
      </c>
      <c r="Q190" s="258">
        <f t="shared" si="157"/>
        <v>9473016</v>
      </c>
      <c r="R190" s="426">
        <f t="shared" si="158"/>
        <v>6</v>
      </c>
      <c r="S190" s="426">
        <f t="array" ref="S190">MAX((IF(MNU_CODIGO_ALIMENTO_ENTREGA=CONCATENATE($E190,"_","P_"),MNU_GRAMAJE_REQUERIDO_TIPOB,"")))</f>
        <v>40</v>
      </c>
      <c r="T190" s="259">
        <f t="shared" si="159"/>
        <v>8585</v>
      </c>
      <c r="U190" s="259">
        <f t="shared" si="160"/>
        <v>51510</v>
      </c>
      <c r="V190" s="446">
        <f t="shared" si="161"/>
        <v>287</v>
      </c>
      <c r="W190" s="446">
        <f t="shared" si="162"/>
        <v>14.005600000000001</v>
      </c>
      <c r="X190" s="446">
        <f t="shared" si="163"/>
        <v>0.24682459200000004</v>
      </c>
      <c r="Y190" s="446">
        <f t="shared" si="164"/>
        <v>301</v>
      </c>
      <c r="Z190" s="260">
        <f t="shared" si="165"/>
        <v>14783370</v>
      </c>
      <c r="AA190" s="260">
        <f t="shared" si="166"/>
        <v>15504510</v>
      </c>
      <c r="AB190" s="425">
        <f t="shared" si="167"/>
        <v>6</v>
      </c>
      <c r="AC190" s="425">
        <f t="array" ref="AC190">MAX((IF(MNU_CODIGO_ALIMENTO_ENTREGA=CONCATENATE($E190,"_","P_"),MNU_GRAMAJE_REQUERIDO_TIPOC,"")))</f>
        <v>60</v>
      </c>
      <c r="AD190" s="257">
        <f t="shared" si="168"/>
        <v>7800</v>
      </c>
      <c r="AE190" s="257">
        <f t="shared" si="169"/>
        <v>46800</v>
      </c>
      <c r="AF190" s="446">
        <f t="shared" si="170"/>
        <v>430</v>
      </c>
      <c r="AG190" s="446">
        <f t="shared" si="171"/>
        <v>20.984000000000002</v>
      </c>
      <c r="AH190" s="446">
        <f t="shared" si="172"/>
        <v>0.36980687999999995</v>
      </c>
      <c r="AI190" s="446">
        <f t="shared" si="173"/>
        <v>451</v>
      </c>
      <c r="AJ190" s="258">
        <f t="shared" si="174"/>
        <v>20124000</v>
      </c>
      <c r="AK190" s="258">
        <f t="shared" si="175"/>
        <v>21106800</v>
      </c>
      <c r="AL190" s="426">
        <f t="shared" si="176"/>
        <v>6</v>
      </c>
      <c r="AM190" s="426">
        <f t="array" ref="AM190">MAX((IF(MNU_CODIGO_ALIMENTO_ENTREGA=CONCATENATE($E190,"_","P_"),MNU_GRAMAJE_REQUERIDO_TIPOM,"")))</f>
        <v>40</v>
      </c>
      <c r="AN190" s="259">
        <f t="shared" si="177"/>
        <v>0</v>
      </c>
      <c r="AO190" s="259">
        <f t="shared" si="178"/>
        <v>0</v>
      </c>
      <c r="AP190" s="446">
        <f t="shared" si="179"/>
        <v>287</v>
      </c>
      <c r="AQ190" s="446">
        <f t="shared" si="180"/>
        <v>14.005600000000001</v>
      </c>
      <c r="AR190" s="446">
        <f t="shared" si="181"/>
        <v>0.24682459200000004</v>
      </c>
      <c r="AS190" s="446">
        <f t="shared" si="182"/>
        <v>301</v>
      </c>
      <c r="AT190" s="260">
        <f t="shared" si="183"/>
        <v>0</v>
      </c>
      <c r="AU190" s="260">
        <f t="shared" si="184"/>
        <v>0</v>
      </c>
      <c r="AV190" s="425">
        <f t="shared" si="185"/>
        <v>6</v>
      </c>
      <c r="AW190" s="425">
        <f t="array" ref="AW190">MAX((IF(MNU_CODIGO_ALIMENTO_ENTREGA=CONCATENATE($E190,"_","P_"),MNU_GRAMAJE_REQUERIDO_TIPOH,"")))</f>
        <v>60</v>
      </c>
      <c r="AX190" s="257">
        <f t="shared" si="186"/>
        <v>0</v>
      </c>
      <c r="AY190" s="257">
        <f t="shared" si="187"/>
        <v>0</v>
      </c>
      <c r="AZ190" s="446">
        <f t="shared" si="188"/>
        <v>430</v>
      </c>
      <c r="BA190" s="446">
        <f t="shared" si="189"/>
        <v>20.984000000000002</v>
      </c>
      <c r="BB190" s="446">
        <f t="shared" si="190"/>
        <v>0.36980687999999995</v>
      </c>
      <c r="BC190" s="446">
        <f t="shared" si="191"/>
        <v>451</v>
      </c>
      <c r="BD190" s="258">
        <f t="shared" si="192"/>
        <v>0</v>
      </c>
      <c r="BE190" s="258">
        <f t="shared" si="193"/>
        <v>0</v>
      </c>
      <c r="BF190" s="391">
        <f t="shared" si="194"/>
        <v>43919310</v>
      </c>
      <c r="BG190" s="391">
        <f t="shared" si="195"/>
        <v>46084326</v>
      </c>
    </row>
    <row r="191" spans="1:59" ht="15.75">
      <c r="A191" s="333">
        <v>15</v>
      </c>
      <c r="B191" s="333" t="str">
        <f t="shared" si="147"/>
        <v>CEREAL EMPACADO_15</v>
      </c>
      <c r="C191" s="333" t="str">
        <f t="shared" si="148"/>
        <v>30_15</v>
      </c>
      <c r="D191" s="333" t="s">
        <v>1607</v>
      </c>
      <c r="E191" s="256">
        <v>30</v>
      </c>
      <c r="F191" s="322" t="s">
        <v>63</v>
      </c>
      <c r="G191" s="256" t="s">
        <v>9</v>
      </c>
      <c r="H191" s="425">
        <f t="shared" si="149"/>
        <v>16</v>
      </c>
      <c r="I191" s="425">
        <f t="array" ref="I191">MAX((IF(MNU_CODIGO_ALIMENTO_ENTREGA=CONCATENATE($E191,"_","P_"),MNU_GRAMAJE_REQUERIDO_TIPOA,"")))</f>
        <v>30</v>
      </c>
      <c r="J191" s="257">
        <f t="shared" si="150"/>
        <v>6986</v>
      </c>
      <c r="K191" s="257">
        <f t="shared" si="151"/>
        <v>111776</v>
      </c>
      <c r="L191" s="446">
        <f t="shared" si="152"/>
        <v>316</v>
      </c>
      <c r="M191" s="446">
        <f t="shared" si="153"/>
        <v>15.4208</v>
      </c>
      <c r="N191" s="446">
        <f t="shared" si="154"/>
        <v>0.271765056</v>
      </c>
      <c r="O191" s="446">
        <f t="shared" si="155"/>
        <v>332</v>
      </c>
      <c r="P191" s="258">
        <f t="shared" si="156"/>
        <v>35321216</v>
      </c>
      <c r="Q191" s="258">
        <f t="shared" si="157"/>
        <v>37109632</v>
      </c>
      <c r="R191" s="426">
        <f t="shared" si="158"/>
        <v>16</v>
      </c>
      <c r="S191" s="426">
        <f t="array" ref="S191">MAX((IF(MNU_CODIGO_ALIMENTO_ENTREGA=CONCATENATE($E191,"_","P_"),MNU_GRAMAJE_REQUERIDO_TIPOB,"")))</f>
        <v>30</v>
      </c>
      <c r="T191" s="259">
        <f t="shared" si="159"/>
        <v>8585</v>
      </c>
      <c r="U191" s="259">
        <f t="shared" si="160"/>
        <v>137360</v>
      </c>
      <c r="V191" s="446">
        <f t="shared" si="161"/>
        <v>316</v>
      </c>
      <c r="W191" s="446">
        <f t="shared" si="162"/>
        <v>15.4208</v>
      </c>
      <c r="X191" s="446">
        <f t="shared" si="163"/>
        <v>0.271765056</v>
      </c>
      <c r="Y191" s="446">
        <f t="shared" si="164"/>
        <v>332</v>
      </c>
      <c r="Z191" s="260">
        <f t="shared" si="165"/>
        <v>43405760</v>
      </c>
      <c r="AA191" s="260">
        <f t="shared" si="166"/>
        <v>45603520</v>
      </c>
      <c r="AB191" s="425">
        <f t="shared" si="167"/>
        <v>16</v>
      </c>
      <c r="AC191" s="425">
        <f t="array" ref="AC191">MAX((IF(MNU_CODIGO_ALIMENTO_ENTREGA=CONCATENATE($E191,"_","P_"),MNU_GRAMAJE_REQUERIDO_TIPOC,"")))</f>
        <v>30</v>
      </c>
      <c r="AD191" s="257">
        <f t="shared" si="168"/>
        <v>7800</v>
      </c>
      <c r="AE191" s="257">
        <f t="shared" si="169"/>
        <v>124800</v>
      </c>
      <c r="AF191" s="446">
        <f t="shared" si="170"/>
        <v>316</v>
      </c>
      <c r="AG191" s="446">
        <f t="shared" si="171"/>
        <v>15.4208</v>
      </c>
      <c r="AH191" s="446">
        <f t="shared" si="172"/>
        <v>0.271765056</v>
      </c>
      <c r="AI191" s="446">
        <f t="shared" si="173"/>
        <v>332</v>
      </c>
      <c r="AJ191" s="258">
        <f t="shared" si="174"/>
        <v>39436800</v>
      </c>
      <c r="AK191" s="258">
        <f t="shared" si="175"/>
        <v>41433600</v>
      </c>
      <c r="AL191" s="426">
        <f t="shared" si="176"/>
        <v>16</v>
      </c>
      <c r="AM191" s="426">
        <f t="array" ref="AM191">MAX((IF(MNU_CODIGO_ALIMENTO_ENTREGA=CONCATENATE($E191,"_","P_"),MNU_GRAMAJE_REQUERIDO_TIPOM,"")))</f>
        <v>30</v>
      </c>
      <c r="AN191" s="259">
        <f t="shared" si="177"/>
        <v>0</v>
      </c>
      <c r="AO191" s="259">
        <f t="shared" si="178"/>
        <v>0</v>
      </c>
      <c r="AP191" s="446">
        <f t="shared" si="179"/>
        <v>316</v>
      </c>
      <c r="AQ191" s="446">
        <f t="shared" si="180"/>
        <v>15.4208</v>
      </c>
      <c r="AR191" s="446">
        <f t="shared" si="181"/>
        <v>0.271765056</v>
      </c>
      <c r="AS191" s="446">
        <f t="shared" si="182"/>
        <v>332</v>
      </c>
      <c r="AT191" s="260">
        <f t="shared" si="183"/>
        <v>0</v>
      </c>
      <c r="AU191" s="260">
        <f t="shared" si="184"/>
        <v>0</v>
      </c>
      <c r="AV191" s="425">
        <f t="shared" si="185"/>
        <v>16</v>
      </c>
      <c r="AW191" s="425">
        <f t="array" ref="AW191">MAX((IF(MNU_CODIGO_ALIMENTO_ENTREGA=CONCATENATE($E191,"_","P_"),MNU_GRAMAJE_REQUERIDO_TIPOH,"")))</f>
        <v>30</v>
      </c>
      <c r="AX191" s="257">
        <f t="shared" si="186"/>
        <v>0</v>
      </c>
      <c r="AY191" s="257">
        <f t="shared" si="187"/>
        <v>0</v>
      </c>
      <c r="AZ191" s="446">
        <f t="shared" si="188"/>
        <v>316</v>
      </c>
      <c r="BA191" s="446">
        <f t="shared" si="189"/>
        <v>15.4208</v>
      </c>
      <c r="BB191" s="446">
        <f t="shared" si="190"/>
        <v>0.271765056</v>
      </c>
      <c r="BC191" s="446">
        <f t="shared" si="191"/>
        <v>332</v>
      </c>
      <c r="BD191" s="258">
        <f t="shared" si="192"/>
        <v>0</v>
      </c>
      <c r="BE191" s="258">
        <f t="shared" si="193"/>
        <v>0</v>
      </c>
      <c r="BF191" s="391">
        <f t="shared" si="194"/>
        <v>118163776</v>
      </c>
      <c r="BG191" s="391">
        <f t="shared" si="195"/>
        <v>124146752</v>
      </c>
    </row>
    <row r="192" spans="1:59" ht="15.75">
      <c r="A192" s="333">
        <v>15</v>
      </c>
      <c r="B192" s="333" t="str">
        <f t="shared" si="147"/>
        <v>CEREAL EMPACADO_15</v>
      </c>
      <c r="C192" s="333" t="str">
        <f t="shared" si="148"/>
        <v>45_15</v>
      </c>
      <c r="D192" s="333" t="s">
        <v>1607</v>
      </c>
      <c r="E192" s="256">
        <v>45</v>
      </c>
      <c r="F192" s="322" t="s">
        <v>10</v>
      </c>
      <c r="G192" s="256" t="s">
        <v>9</v>
      </c>
      <c r="H192" s="425">
        <f t="shared" si="149"/>
        <v>16</v>
      </c>
      <c r="I192" s="425">
        <f t="array" ref="I192">MAX((IF(MNU_CODIGO_ALIMENTO_ENTREGA=CONCATENATE($E192,"_","P_"),MNU_GRAMAJE_REQUERIDO_TIPOA,"")))</f>
        <v>20</v>
      </c>
      <c r="J192" s="257">
        <f t="shared" si="150"/>
        <v>6986</v>
      </c>
      <c r="K192" s="257">
        <f t="shared" si="151"/>
        <v>111776</v>
      </c>
      <c r="L192" s="446">
        <f t="shared" si="152"/>
        <v>190</v>
      </c>
      <c r="M192" s="446">
        <f t="shared" si="153"/>
        <v>9.2720000000000002</v>
      </c>
      <c r="N192" s="446">
        <f t="shared" si="154"/>
        <v>0.16340304</v>
      </c>
      <c r="O192" s="446">
        <f t="shared" si="155"/>
        <v>199</v>
      </c>
      <c r="P192" s="258">
        <f t="shared" si="156"/>
        <v>21237440</v>
      </c>
      <c r="Q192" s="258">
        <f t="shared" si="157"/>
        <v>22243424</v>
      </c>
      <c r="R192" s="426">
        <f t="shared" si="158"/>
        <v>16</v>
      </c>
      <c r="S192" s="426">
        <f t="array" ref="S192">MAX((IF(MNU_CODIGO_ALIMENTO_ENTREGA=CONCATENATE($E192,"_","P_"),MNU_GRAMAJE_REQUERIDO_TIPOB,"")))</f>
        <v>30</v>
      </c>
      <c r="T192" s="259">
        <f t="shared" si="159"/>
        <v>8585</v>
      </c>
      <c r="U192" s="259">
        <f t="shared" si="160"/>
        <v>137360</v>
      </c>
      <c r="V192" s="446">
        <f t="shared" si="161"/>
        <v>284</v>
      </c>
      <c r="W192" s="446">
        <f t="shared" si="162"/>
        <v>13.8592</v>
      </c>
      <c r="X192" s="446">
        <f t="shared" si="163"/>
        <v>0.24424454399999998</v>
      </c>
      <c r="Y192" s="446">
        <f t="shared" si="164"/>
        <v>298</v>
      </c>
      <c r="Z192" s="260">
        <f t="shared" si="165"/>
        <v>39010240</v>
      </c>
      <c r="AA192" s="260">
        <f t="shared" si="166"/>
        <v>40933280</v>
      </c>
      <c r="AB192" s="425">
        <f t="shared" si="167"/>
        <v>16</v>
      </c>
      <c r="AC192" s="425">
        <f t="array" ref="AC192">MAX((IF(MNU_CODIGO_ALIMENTO_ENTREGA=CONCATENATE($E192,"_","P_"),MNU_GRAMAJE_REQUERIDO_TIPOC,"")))</f>
        <v>60</v>
      </c>
      <c r="AD192" s="257">
        <f t="shared" si="168"/>
        <v>7800</v>
      </c>
      <c r="AE192" s="257">
        <f t="shared" si="169"/>
        <v>124800</v>
      </c>
      <c r="AF192" s="446">
        <f t="shared" si="170"/>
        <v>569</v>
      </c>
      <c r="AG192" s="446">
        <f t="shared" si="171"/>
        <v>27.767199999999999</v>
      </c>
      <c r="AH192" s="446">
        <f t="shared" si="172"/>
        <v>0.48934910400000003</v>
      </c>
      <c r="AI192" s="446">
        <f t="shared" si="173"/>
        <v>597</v>
      </c>
      <c r="AJ192" s="258">
        <f t="shared" si="174"/>
        <v>71011200</v>
      </c>
      <c r="AK192" s="258">
        <f t="shared" si="175"/>
        <v>74505600</v>
      </c>
      <c r="AL192" s="426">
        <f t="shared" si="176"/>
        <v>16</v>
      </c>
      <c r="AM192" s="426">
        <f t="array" ref="AM192">MAX((IF(MNU_CODIGO_ALIMENTO_ENTREGA=CONCATENATE($E192,"_","P_"),MNU_GRAMAJE_REQUERIDO_TIPOM,"")))</f>
        <v>30</v>
      </c>
      <c r="AN192" s="259">
        <f t="shared" si="177"/>
        <v>0</v>
      </c>
      <c r="AO192" s="259">
        <f t="shared" si="178"/>
        <v>0</v>
      </c>
      <c r="AP192" s="446">
        <f t="shared" si="179"/>
        <v>284</v>
      </c>
      <c r="AQ192" s="446">
        <f t="shared" si="180"/>
        <v>13.8592</v>
      </c>
      <c r="AR192" s="446">
        <f t="shared" si="181"/>
        <v>0.24424454399999998</v>
      </c>
      <c r="AS192" s="446">
        <f t="shared" si="182"/>
        <v>298</v>
      </c>
      <c r="AT192" s="260">
        <f t="shared" si="183"/>
        <v>0</v>
      </c>
      <c r="AU192" s="260">
        <f t="shared" si="184"/>
        <v>0</v>
      </c>
      <c r="AV192" s="425">
        <f t="shared" si="185"/>
        <v>16</v>
      </c>
      <c r="AW192" s="425">
        <f t="array" ref="AW192">MAX((IF(MNU_CODIGO_ALIMENTO_ENTREGA=CONCATENATE($E192,"_","P_"),MNU_GRAMAJE_REQUERIDO_TIPOH,"")))</f>
        <v>60</v>
      </c>
      <c r="AX192" s="257">
        <f t="shared" si="186"/>
        <v>0</v>
      </c>
      <c r="AY192" s="257">
        <f t="shared" si="187"/>
        <v>0</v>
      </c>
      <c r="AZ192" s="446">
        <f t="shared" si="188"/>
        <v>569</v>
      </c>
      <c r="BA192" s="446">
        <f t="shared" si="189"/>
        <v>27.767199999999999</v>
      </c>
      <c r="BB192" s="446">
        <f t="shared" si="190"/>
        <v>0.48934910400000003</v>
      </c>
      <c r="BC192" s="446">
        <f t="shared" si="191"/>
        <v>597</v>
      </c>
      <c r="BD192" s="258">
        <f t="shared" si="192"/>
        <v>0</v>
      </c>
      <c r="BE192" s="258">
        <f t="shared" si="193"/>
        <v>0</v>
      </c>
      <c r="BF192" s="391">
        <f t="shared" si="194"/>
        <v>131258880</v>
      </c>
      <c r="BG192" s="391">
        <f t="shared" si="195"/>
        <v>137682304</v>
      </c>
    </row>
    <row r="193" spans="1:59" ht="15.75">
      <c r="A193" s="333">
        <v>15</v>
      </c>
      <c r="B193" s="333" t="str">
        <f t="shared" si="147"/>
        <v>CEREAL EMPACADO_15</v>
      </c>
      <c r="C193" s="333" t="str">
        <f t="shared" si="148"/>
        <v>50_15</v>
      </c>
      <c r="D193" s="333" t="s">
        <v>1607</v>
      </c>
      <c r="E193" s="256">
        <v>50</v>
      </c>
      <c r="F193" s="322" t="s">
        <v>65</v>
      </c>
      <c r="G193" s="256" t="s">
        <v>9</v>
      </c>
      <c r="H193" s="425">
        <f t="shared" si="149"/>
        <v>17</v>
      </c>
      <c r="I193" s="425">
        <f t="array" ref="I193">MAX((IF(MNU_CODIGO_ALIMENTO_ENTREGA=CONCATENATE($E193,"_","P_"),MNU_GRAMAJE_REQUERIDO_TIPOA,"")))</f>
        <v>30</v>
      </c>
      <c r="J193" s="257">
        <f t="shared" si="150"/>
        <v>6986</v>
      </c>
      <c r="K193" s="257">
        <f t="shared" si="151"/>
        <v>118762</v>
      </c>
      <c r="L193" s="446">
        <f t="shared" si="152"/>
        <v>306</v>
      </c>
      <c r="M193" s="446">
        <f t="shared" si="153"/>
        <v>14.9328</v>
      </c>
      <c r="N193" s="446">
        <f t="shared" si="154"/>
        <v>0.26316489599999998</v>
      </c>
      <c r="O193" s="446">
        <f t="shared" si="155"/>
        <v>321</v>
      </c>
      <c r="P193" s="258">
        <f t="shared" si="156"/>
        <v>36341172</v>
      </c>
      <c r="Q193" s="258">
        <f t="shared" si="157"/>
        <v>38122602</v>
      </c>
      <c r="R193" s="426">
        <f t="shared" si="158"/>
        <v>17</v>
      </c>
      <c r="S193" s="426">
        <f t="array" ref="S193">MAX((IF(MNU_CODIGO_ALIMENTO_ENTREGA=CONCATENATE($E193,"_","P_"),MNU_GRAMAJE_REQUERIDO_TIPOB,"")))</f>
        <v>40</v>
      </c>
      <c r="T193" s="259">
        <f t="shared" si="159"/>
        <v>8585</v>
      </c>
      <c r="U193" s="259">
        <f t="shared" si="160"/>
        <v>145945</v>
      </c>
      <c r="V193" s="446">
        <f t="shared" si="161"/>
        <v>408</v>
      </c>
      <c r="W193" s="446">
        <f t="shared" si="162"/>
        <v>19.910400000000003</v>
      </c>
      <c r="X193" s="446">
        <f t="shared" si="163"/>
        <v>0.35088652799999998</v>
      </c>
      <c r="Y193" s="446">
        <f t="shared" si="164"/>
        <v>428</v>
      </c>
      <c r="Z193" s="260">
        <f t="shared" si="165"/>
        <v>59545560</v>
      </c>
      <c r="AA193" s="260">
        <f t="shared" si="166"/>
        <v>62464460</v>
      </c>
      <c r="AB193" s="425">
        <f t="shared" si="167"/>
        <v>17</v>
      </c>
      <c r="AC193" s="425">
        <f t="array" ref="AC193">MAX((IF(MNU_CODIGO_ALIMENTO_ENTREGA=CONCATENATE($E193,"_","P_"),MNU_GRAMAJE_REQUERIDO_TIPOC,"")))</f>
        <v>80</v>
      </c>
      <c r="AD193" s="257">
        <f t="shared" si="168"/>
        <v>7800</v>
      </c>
      <c r="AE193" s="257">
        <f t="shared" si="169"/>
        <v>132600</v>
      </c>
      <c r="AF193" s="446">
        <f t="shared" si="170"/>
        <v>815</v>
      </c>
      <c r="AG193" s="446">
        <f t="shared" si="171"/>
        <v>39.772000000000006</v>
      </c>
      <c r="AH193" s="446">
        <f t="shared" si="172"/>
        <v>0.7009130400000001</v>
      </c>
      <c r="AI193" s="446">
        <f t="shared" si="173"/>
        <v>855</v>
      </c>
      <c r="AJ193" s="258">
        <f t="shared" si="174"/>
        <v>108069000</v>
      </c>
      <c r="AK193" s="258">
        <f t="shared" si="175"/>
        <v>113373000</v>
      </c>
      <c r="AL193" s="426">
        <f t="shared" si="176"/>
        <v>17</v>
      </c>
      <c r="AM193" s="426">
        <f t="array" ref="AM193">MAX((IF(MNU_CODIGO_ALIMENTO_ENTREGA=CONCATENATE($E193,"_","P_"),MNU_GRAMAJE_REQUERIDO_TIPOM,"")))</f>
        <v>40</v>
      </c>
      <c r="AN193" s="259">
        <f t="shared" si="177"/>
        <v>0</v>
      </c>
      <c r="AO193" s="259">
        <f t="shared" si="178"/>
        <v>0</v>
      </c>
      <c r="AP193" s="446">
        <f t="shared" si="179"/>
        <v>408</v>
      </c>
      <c r="AQ193" s="446">
        <f t="shared" si="180"/>
        <v>19.910400000000003</v>
      </c>
      <c r="AR193" s="446">
        <f t="shared" si="181"/>
        <v>0.35088652799999998</v>
      </c>
      <c r="AS193" s="446">
        <f t="shared" si="182"/>
        <v>428</v>
      </c>
      <c r="AT193" s="260">
        <f t="shared" si="183"/>
        <v>0</v>
      </c>
      <c r="AU193" s="260">
        <f t="shared" si="184"/>
        <v>0</v>
      </c>
      <c r="AV193" s="425">
        <f t="shared" si="185"/>
        <v>17</v>
      </c>
      <c r="AW193" s="425">
        <f t="array" ref="AW193">MAX((IF(MNU_CODIGO_ALIMENTO_ENTREGA=CONCATENATE($E193,"_","P_"),MNU_GRAMAJE_REQUERIDO_TIPOH,"")))</f>
        <v>80</v>
      </c>
      <c r="AX193" s="257">
        <f t="shared" si="186"/>
        <v>0</v>
      </c>
      <c r="AY193" s="257">
        <f t="shared" si="187"/>
        <v>0</v>
      </c>
      <c r="AZ193" s="446">
        <f t="shared" si="188"/>
        <v>815</v>
      </c>
      <c r="BA193" s="446">
        <f t="shared" si="189"/>
        <v>39.772000000000006</v>
      </c>
      <c r="BB193" s="446">
        <f t="shared" si="190"/>
        <v>0.7009130400000001</v>
      </c>
      <c r="BC193" s="446">
        <f t="shared" si="191"/>
        <v>855</v>
      </c>
      <c r="BD193" s="258">
        <f t="shared" si="192"/>
        <v>0</v>
      </c>
      <c r="BE193" s="258">
        <f t="shared" si="193"/>
        <v>0</v>
      </c>
      <c r="BF193" s="391">
        <f t="shared" si="194"/>
        <v>203955732</v>
      </c>
      <c r="BG193" s="391">
        <f t="shared" si="195"/>
        <v>213960062</v>
      </c>
    </row>
    <row r="194" spans="1:59" ht="15.75">
      <c r="A194" s="333">
        <v>15</v>
      </c>
      <c r="B194" s="333" t="str">
        <f t="shared" si="147"/>
        <v>CEREAL EMPACADO_15</v>
      </c>
      <c r="C194" s="333" t="str">
        <f t="shared" si="148"/>
        <v>61_15</v>
      </c>
      <c r="D194" s="333" t="s">
        <v>1607</v>
      </c>
      <c r="E194" s="256">
        <v>61</v>
      </c>
      <c r="F194" s="322" t="s">
        <v>13</v>
      </c>
      <c r="G194" s="256" t="s">
        <v>9</v>
      </c>
      <c r="H194" s="425">
        <f t="shared" si="149"/>
        <v>16</v>
      </c>
      <c r="I194" s="425">
        <f t="array" ref="I194">MAX((IF(MNU_CODIGO_ALIMENTO_ENTREGA=CONCATENATE($E194,"_","P_"),MNU_GRAMAJE_REQUERIDO_TIPOA,"")))</f>
        <v>20</v>
      </c>
      <c r="J194" s="257">
        <f t="shared" si="150"/>
        <v>6986</v>
      </c>
      <c r="K194" s="257">
        <f t="shared" si="151"/>
        <v>111776</v>
      </c>
      <c r="L194" s="446">
        <f t="shared" si="152"/>
        <v>222</v>
      </c>
      <c r="M194" s="446">
        <f t="shared" si="153"/>
        <v>10.833600000000001</v>
      </c>
      <c r="N194" s="446">
        <f t="shared" si="154"/>
        <v>0.190923552</v>
      </c>
      <c r="O194" s="446">
        <f t="shared" si="155"/>
        <v>233</v>
      </c>
      <c r="P194" s="258">
        <f t="shared" si="156"/>
        <v>24814272</v>
      </c>
      <c r="Q194" s="258">
        <f t="shared" si="157"/>
        <v>26043808</v>
      </c>
      <c r="R194" s="426">
        <f t="shared" si="158"/>
        <v>16</v>
      </c>
      <c r="S194" s="426">
        <f t="array" ref="S194">MAX((IF(MNU_CODIGO_ALIMENTO_ENTREGA=CONCATENATE($E194,"_","P_"),MNU_GRAMAJE_REQUERIDO_TIPOB,"")))</f>
        <v>30</v>
      </c>
      <c r="T194" s="259">
        <f t="shared" si="159"/>
        <v>8585</v>
      </c>
      <c r="U194" s="259">
        <f t="shared" si="160"/>
        <v>137360</v>
      </c>
      <c r="V194" s="446">
        <f t="shared" si="161"/>
        <v>334</v>
      </c>
      <c r="W194" s="446">
        <f t="shared" si="162"/>
        <v>16.299199999999999</v>
      </c>
      <c r="X194" s="446">
        <f t="shared" si="163"/>
        <v>0.28724534400000001</v>
      </c>
      <c r="Y194" s="446">
        <f t="shared" si="164"/>
        <v>351</v>
      </c>
      <c r="Z194" s="260">
        <f t="shared" si="165"/>
        <v>45878240</v>
      </c>
      <c r="AA194" s="260">
        <f t="shared" si="166"/>
        <v>48213360</v>
      </c>
      <c r="AB194" s="425">
        <f t="shared" si="167"/>
        <v>16</v>
      </c>
      <c r="AC194" s="425">
        <f t="array" ref="AC194">MAX((IF(MNU_CODIGO_ALIMENTO_ENTREGA=CONCATENATE($E194,"_","P_"),MNU_GRAMAJE_REQUERIDO_TIPOC,"")))</f>
        <v>70</v>
      </c>
      <c r="AD194" s="257">
        <f t="shared" si="168"/>
        <v>7800</v>
      </c>
      <c r="AE194" s="257">
        <f t="shared" si="169"/>
        <v>124800</v>
      </c>
      <c r="AF194" s="446">
        <f t="shared" si="170"/>
        <v>779</v>
      </c>
      <c r="AG194" s="446">
        <f t="shared" si="171"/>
        <v>38.0152</v>
      </c>
      <c r="AH194" s="446">
        <f t="shared" si="172"/>
        <v>0.66995246400000008</v>
      </c>
      <c r="AI194" s="446">
        <f t="shared" si="173"/>
        <v>818</v>
      </c>
      <c r="AJ194" s="258">
        <f t="shared" si="174"/>
        <v>97219200</v>
      </c>
      <c r="AK194" s="258">
        <f t="shared" si="175"/>
        <v>102086400</v>
      </c>
      <c r="AL194" s="426">
        <f t="shared" si="176"/>
        <v>16</v>
      </c>
      <c r="AM194" s="426">
        <f t="array" ref="AM194">MAX((IF(MNU_CODIGO_ALIMENTO_ENTREGA=CONCATENATE($E194,"_","P_"),MNU_GRAMAJE_REQUERIDO_TIPOM,"")))</f>
        <v>30</v>
      </c>
      <c r="AN194" s="259">
        <f t="shared" si="177"/>
        <v>0</v>
      </c>
      <c r="AO194" s="259">
        <f t="shared" si="178"/>
        <v>0</v>
      </c>
      <c r="AP194" s="446">
        <f t="shared" si="179"/>
        <v>334</v>
      </c>
      <c r="AQ194" s="446">
        <f t="shared" si="180"/>
        <v>16.299199999999999</v>
      </c>
      <c r="AR194" s="446">
        <f t="shared" si="181"/>
        <v>0.28724534400000001</v>
      </c>
      <c r="AS194" s="446">
        <f t="shared" si="182"/>
        <v>351</v>
      </c>
      <c r="AT194" s="260">
        <f t="shared" si="183"/>
        <v>0</v>
      </c>
      <c r="AU194" s="260">
        <f t="shared" si="184"/>
        <v>0</v>
      </c>
      <c r="AV194" s="425">
        <f t="shared" si="185"/>
        <v>16</v>
      </c>
      <c r="AW194" s="425">
        <f t="array" ref="AW194">MAX((IF(MNU_CODIGO_ALIMENTO_ENTREGA=CONCATENATE($E194,"_","P_"),MNU_GRAMAJE_REQUERIDO_TIPOH,"")))</f>
        <v>70</v>
      </c>
      <c r="AX194" s="257">
        <f t="shared" si="186"/>
        <v>0</v>
      </c>
      <c r="AY194" s="257">
        <f t="shared" si="187"/>
        <v>0</v>
      </c>
      <c r="AZ194" s="446">
        <f t="shared" si="188"/>
        <v>779</v>
      </c>
      <c r="BA194" s="446">
        <f t="shared" si="189"/>
        <v>38.0152</v>
      </c>
      <c r="BB194" s="446">
        <f t="shared" si="190"/>
        <v>0.66995246400000008</v>
      </c>
      <c r="BC194" s="446">
        <f t="shared" si="191"/>
        <v>818</v>
      </c>
      <c r="BD194" s="258">
        <f t="shared" si="192"/>
        <v>0</v>
      </c>
      <c r="BE194" s="258">
        <f t="shared" si="193"/>
        <v>0</v>
      </c>
      <c r="BF194" s="391">
        <f t="shared" si="194"/>
        <v>167911712</v>
      </c>
      <c r="BG194" s="391">
        <f t="shared" si="195"/>
        <v>176343568</v>
      </c>
    </row>
    <row r="195" spans="1:59" ht="15.75">
      <c r="A195" s="333">
        <v>15</v>
      </c>
      <c r="B195" s="333" t="str">
        <f t="shared" si="147"/>
        <v>CEREAL EMPACADO_15</v>
      </c>
      <c r="C195" s="333" t="str">
        <f t="shared" si="148"/>
        <v>62_15</v>
      </c>
      <c r="D195" s="333" t="s">
        <v>1607</v>
      </c>
      <c r="E195" s="256">
        <v>62</v>
      </c>
      <c r="F195" s="322" t="s">
        <v>68</v>
      </c>
      <c r="G195" s="256" t="s">
        <v>9</v>
      </c>
      <c r="H195" s="425">
        <f t="shared" si="149"/>
        <v>5</v>
      </c>
      <c r="I195" s="425">
        <f t="array" ref="I195">MAX((IF(MNU_CODIGO_ALIMENTO_ENTREGA=CONCATENATE($E195,"_","P_"),MNU_GRAMAJE_REQUERIDO_TIPOA,"")))</f>
        <v>50</v>
      </c>
      <c r="J195" s="257">
        <f t="shared" si="150"/>
        <v>6986</v>
      </c>
      <c r="K195" s="257">
        <f t="shared" si="151"/>
        <v>34930</v>
      </c>
      <c r="L195" s="446">
        <f t="shared" si="152"/>
        <v>595</v>
      </c>
      <c r="M195" s="446">
        <f t="shared" si="153"/>
        <v>29.036000000000001</v>
      </c>
      <c r="N195" s="446">
        <f t="shared" si="154"/>
        <v>0.51170952000000014</v>
      </c>
      <c r="O195" s="446">
        <f t="shared" si="155"/>
        <v>625</v>
      </c>
      <c r="P195" s="258">
        <f t="shared" si="156"/>
        <v>20783350</v>
      </c>
      <c r="Q195" s="258">
        <f t="shared" si="157"/>
        <v>21831250</v>
      </c>
      <c r="R195" s="426">
        <f t="shared" si="158"/>
        <v>5</v>
      </c>
      <c r="S195" s="426">
        <f t="array" ref="S195">MAX((IF(MNU_CODIGO_ALIMENTO_ENTREGA=CONCATENATE($E195,"_","P_"),MNU_GRAMAJE_REQUERIDO_TIPOB,"")))</f>
        <v>50</v>
      </c>
      <c r="T195" s="259">
        <f t="shared" si="159"/>
        <v>8585</v>
      </c>
      <c r="U195" s="259">
        <f t="shared" si="160"/>
        <v>42925</v>
      </c>
      <c r="V195" s="446">
        <f t="shared" si="161"/>
        <v>595</v>
      </c>
      <c r="W195" s="446">
        <f t="shared" si="162"/>
        <v>29.036000000000001</v>
      </c>
      <c r="X195" s="446">
        <f t="shared" si="163"/>
        <v>0.51170952000000014</v>
      </c>
      <c r="Y195" s="446">
        <f t="shared" si="164"/>
        <v>625</v>
      </c>
      <c r="Z195" s="260">
        <f t="shared" si="165"/>
        <v>25540375</v>
      </c>
      <c r="AA195" s="260">
        <f t="shared" si="166"/>
        <v>26828125</v>
      </c>
      <c r="AB195" s="425">
        <f t="shared" si="167"/>
        <v>5</v>
      </c>
      <c r="AC195" s="425">
        <f t="array" ref="AC195">MAX((IF(MNU_CODIGO_ALIMENTO_ENTREGA=CONCATENATE($E195,"_","P_"),MNU_GRAMAJE_REQUERIDO_TIPOC,"")))</f>
        <v>50</v>
      </c>
      <c r="AD195" s="257">
        <f t="shared" si="168"/>
        <v>7800</v>
      </c>
      <c r="AE195" s="257">
        <f t="shared" si="169"/>
        <v>39000</v>
      </c>
      <c r="AF195" s="446">
        <f t="shared" si="170"/>
        <v>595</v>
      </c>
      <c r="AG195" s="446">
        <f t="shared" si="171"/>
        <v>29.036000000000001</v>
      </c>
      <c r="AH195" s="446">
        <f t="shared" si="172"/>
        <v>0.51170952000000014</v>
      </c>
      <c r="AI195" s="446">
        <f t="shared" si="173"/>
        <v>625</v>
      </c>
      <c r="AJ195" s="258">
        <f t="shared" si="174"/>
        <v>23205000</v>
      </c>
      <c r="AK195" s="258">
        <f t="shared" si="175"/>
        <v>24375000</v>
      </c>
      <c r="AL195" s="426">
        <f t="shared" si="176"/>
        <v>5</v>
      </c>
      <c r="AM195" s="426">
        <f t="array" ref="AM195">MAX((IF(MNU_CODIGO_ALIMENTO_ENTREGA=CONCATENATE($E195,"_","P_"),MNU_GRAMAJE_REQUERIDO_TIPOM,"")))</f>
        <v>50</v>
      </c>
      <c r="AN195" s="259">
        <f t="shared" si="177"/>
        <v>0</v>
      </c>
      <c r="AO195" s="259">
        <f t="shared" si="178"/>
        <v>0</v>
      </c>
      <c r="AP195" s="446">
        <f t="shared" si="179"/>
        <v>595</v>
      </c>
      <c r="AQ195" s="446">
        <f t="shared" si="180"/>
        <v>29.036000000000001</v>
      </c>
      <c r="AR195" s="446">
        <f t="shared" si="181"/>
        <v>0.51170952000000014</v>
      </c>
      <c r="AS195" s="446">
        <f t="shared" si="182"/>
        <v>625</v>
      </c>
      <c r="AT195" s="260">
        <f t="shared" si="183"/>
        <v>0</v>
      </c>
      <c r="AU195" s="260">
        <f t="shared" si="184"/>
        <v>0</v>
      </c>
      <c r="AV195" s="425">
        <f t="shared" si="185"/>
        <v>5</v>
      </c>
      <c r="AW195" s="425">
        <f t="array" ref="AW195">MAX((IF(MNU_CODIGO_ALIMENTO_ENTREGA=CONCATENATE($E195,"_","P_"),MNU_GRAMAJE_REQUERIDO_TIPOH,"")))</f>
        <v>50</v>
      </c>
      <c r="AX195" s="257">
        <f t="shared" si="186"/>
        <v>0</v>
      </c>
      <c r="AY195" s="257">
        <f t="shared" si="187"/>
        <v>0</v>
      </c>
      <c r="AZ195" s="446">
        <f t="shared" si="188"/>
        <v>595</v>
      </c>
      <c r="BA195" s="446">
        <f t="shared" si="189"/>
        <v>29.036000000000001</v>
      </c>
      <c r="BB195" s="446">
        <f t="shared" si="190"/>
        <v>0.51170952000000014</v>
      </c>
      <c r="BC195" s="446">
        <f t="shared" si="191"/>
        <v>625</v>
      </c>
      <c r="BD195" s="258">
        <f t="shared" si="192"/>
        <v>0</v>
      </c>
      <c r="BE195" s="258">
        <f t="shared" si="193"/>
        <v>0</v>
      </c>
      <c r="BF195" s="391">
        <f t="shared" si="194"/>
        <v>69528725</v>
      </c>
      <c r="BG195" s="391">
        <f t="shared" si="195"/>
        <v>73034375</v>
      </c>
    </row>
    <row r="196" spans="1:59" ht="15.75">
      <c r="A196" s="333">
        <v>16</v>
      </c>
      <c r="B196" s="333" t="str">
        <f t="shared" si="147"/>
        <v>CEREAL EMPACADO_16</v>
      </c>
      <c r="C196" s="333" t="str">
        <f t="shared" si="148"/>
        <v>1_16</v>
      </c>
      <c r="D196" s="333" t="s">
        <v>1607</v>
      </c>
      <c r="E196" s="256">
        <v>1</v>
      </c>
      <c r="F196" s="322" t="s">
        <v>16</v>
      </c>
      <c r="G196" s="256" t="s">
        <v>9</v>
      </c>
      <c r="H196" s="425">
        <f t="shared" si="149"/>
        <v>15</v>
      </c>
      <c r="I196" s="425">
        <f t="array" ref="I196">MAX((IF(MNU_CODIGO_ALIMENTO_ENTREGA=CONCATENATE($E196,"_","P_"),MNU_GRAMAJE_REQUERIDO_TIPOA,"")))</f>
        <v>30</v>
      </c>
      <c r="J196" s="257">
        <f t="shared" si="150"/>
        <v>4807</v>
      </c>
      <c r="K196" s="257">
        <f t="shared" si="151"/>
        <v>72105</v>
      </c>
      <c r="L196" s="446">
        <f t="shared" si="152"/>
        <v>770</v>
      </c>
      <c r="M196" s="446">
        <f t="shared" si="153"/>
        <v>37.576000000000008</v>
      </c>
      <c r="N196" s="446">
        <f t="shared" si="154"/>
        <v>0.66221231999999997</v>
      </c>
      <c r="O196" s="446">
        <f t="shared" si="155"/>
        <v>808</v>
      </c>
      <c r="P196" s="258">
        <f t="shared" si="156"/>
        <v>55520850</v>
      </c>
      <c r="Q196" s="258">
        <f t="shared" si="157"/>
        <v>58260840</v>
      </c>
      <c r="R196" s="426">
        <f t="shared" si="158"/>
        <v>15</v>
      </c>
      <c r="S196" s="426">
        <f t="array" ref="S196">MAX((IF(MNU_CODIGO_ALIMENTO_ENTREGA=CONCATENATE($E196,"_","P_"),MNU_GRAMAJE_REQUERIDO_TIPOB,"")))</f>
        <v>40</v>
      </c>
      <c r="T196" s="259">
        <f t="shared" si="159"/>
        <v>6802</v>
      </c>
      <c r="U196" s="259">
        <f t="shared" si="160"/>
        <v>102030</v>
      </c>
      <c r="V196" s="446">
        <f t="shared" si="161"/>
        <v>1027</v>
      </c>
      <c r="W196" s="446">
        <f t="shared" si="162"/>
        <v>50.117600000000003</v>
      </c>
      <c r="X196" s="446">
        <f t="shared" si="163"/>
        <v>0.88323643200000013</v>
      </c>
      <c r="Y196" s="446">
        <f t="shared" si="164"/>
        <v>1078</v>
      </c>
      <c r="Z196" s="260">
        <f t="shared" si="165"/>
        <v>104784810</v>
      </c>
      <c r="AA196" s="260">
        <f t="shared" si="166"/>
        <v>109988340</v>
      </c>
      <c r="AB196" s="425">
        <f t="shared" si="167"/>
        <v>15</v>
      </c>
      <c r="AC196" s="425">
        <f t="array" ref="AC196">MAX((IF(MNU_CODIGO_ALIMENTO_ENTREGA=CONCATENATE($E196,"_","P_"),MNU_GRAMAJE_REQUERIDO_TIPOC,"")))</f>
        <v>60</v>
      </c>
      <c r="AD196" s="257">
        <f t="shared" si="168"/>
        <v>6799</v>
      </c>
      <c r="AE196" s="257">
        <f t="shared" si="169"/>
        <v>101985</v>
      </c>
      <c r="AF196" s="446">
        <f t="shared" si="170"/>
        <v>1540</v>
      </c>
      <c r="AG196" s="446">
        <f t="shared" si="171"/>
        <v>75.152000000000015</v>
      </c>
      <c r="AH196" s="446">
        <f t="shared" si="172"/>
        <v>1.3244246399999999</v>
      </c>
      <c r="AI196" s="446">
        <f t="shared" si="173"/>
        <v>1616</v>
      </c>
      <c r="AJ196" s="258">
        <f t="shared" si="174"/>
        <v>157056900</v>
      </c>
      <c r="AK196" s="258">
        <f t="shared" si="175"/>
        <v>164807760</v>
      </c>
      <c r="AL196" s="426">
        <f t="shared" si="176"/>
        <v>15</v>
      </c>
      <c r="AM196" s="426">
        <f t="array" ref="AM196">MAX((IF(MNU_CODIGO_ALIMENTO_ENTREGA=CONCATENATE($E196,"_","P_"),MNU_GRAMAJE_REQUERIDO_TIPOM,"")))</f>
        <v>40</v>
      </c>
      <c r="AN196" s="259">
        <f t="shared" si="177"/>
        <v>367</v>
      </c>
      <c r="AO196" s="259">
        <f t="shared" si="178"/>
        <v>5505</v>
      </c>
      <c r="AP196" s="446">
        <f t="shared" si="179"/>
        <v>1027</v>
      </c>
      <c r="AQ196" s="446">
        <f t="shared" si="180"/>
        <v>50.117600000000003</v>
      </c>
      <c r="AR196" s="446">
        <f t="shared" si="181"/>
        <v>0.88323643200000013</v>
      </c>
      <c r="AS196" s="446">
        <f t="shared" si="182"/>
        <v>1078</v>
      </c>
      <c r="AT196" s="260">
        <f t="shared" si="183"/>
        <v>5653635</v>
      </c>
      <c r="AU196" s="260">
        <f t="shared" si="184"/>
        <v>5934390</v>
      </c>
      <c r="AV196" s="425">
        <f t="shared" si="185"/>
        <v>15</v>
      </c>
      <c r="AW196" s="425">
        <f t="array" ref="AW196">MAX((IF(MNU_CODIGO_ALIMENTO_ENTREGA=CONCATENATE($E196,"_","P_"),MNU_GRAMAJE_REQUERIDO_TIPOH,"")))</f>
        <v>60</v>
      </c>
      <c r="AX196" s="257">
        <f t="shared" si="186"/>
        <v>402</v>
      </c>
      <c r="AY196" s="257">
        <f t="shared" si="187"/>
        <v>6030</v>
      </c>
      <c r="AZ196" s="446">
        <f t="shared" si="188"/>
        <v>1540</v>
      </c>
      <c r="BA196" s="446">
        <f t="shared" si="189"/>
        <v>75.152000000000015</v>
      </c>
      <c r="BB196" s="446">
        <f t="shared" si="190"/>
        <v>1.3244246399999999</v>
      </c>
      <c r="BC196" s="446">
        <f t="shared" si="191"/>
        <v>1616</v>
      </c>
      <c r="BD196" s="258">
        <f t="shared" si="192"/>
        <v>9286200</v>
      </c>
      <c r="BE196" s="258">
        <f t="shared" si="193"/>
        <v>9744480</v>
      </c>
      <c r="BF196" s="391">
        <f t="shared" si="194"/>
        <v>332302395</v>
      </c>
      <c r="BG196" s="391">
        <f t="shared" si="195"/>
        <v>348735810</v>
      </c>
    </row>
    <row r="197" spans="1:59" ht="15.75">
      <c r="A197" s="333">
        <v>16</v>
      </c>
      <c r="B197" s="333" t="str">
        <f t="shared" si="147"/>
        <v>CEREAL EMPACADO_16</v>
      </c>
      <c r="C197" s="333" t="str">
        <f t="shared" si="148"/>
        <v>3_16</v>
      </c>
      <c r="D197" s="333" t="s">
        <v>1607</v>
      </c>
      <c r="E197" s="256">
        <v>3</v>
      </c>
      <c r="F197" s="322" t="s">
        <v>12</v>
      </c>
      <c r="G197" s="256" t="s">
        <v>9</v>
      </c>
      <c r="H197" s="425">
        <f t="shared" si="149"/>
        <v>17</v>
      </c>
      <c r="I197" s="425">
        <f t="array" ref="I197">MAX((IF(MNU_CODIGO_ALIMENTO_ENTREGA=CONCATENATE($E197,"_","P_"),MNU_GRAMAJE_REQUERIDO_TIPOA,"")))</f>
        <v>50</v>
      </c>
      <c r="J197" s="257">
        <f t="shared" si="150"/>
        <v>4807</v>
      </c>
      <c r="K197" s="257">
        <f t="shared" si="151"/>
        <v>81719</v>
      </c>
      <c r="L197" s="446">
        <f t="shared" si="152"/>
        <v>481</v>
      </c>
      <c r="M197" s="446">
        <f t="shared" si="153"/>
        <v>23.472799999999999</v>
      </c>
      <c r="N197" s="446">
        <f t="shared" si="154"/>
        <v>0.41366769599999997</v>
      </c>
      <c r="O197" s="446">
        <f t="shared" si="155"/>
        <v>505</v>
      </c>
      <c r="P197" s="258">
        <f t="shared" si="156"/>
        <v>39306839</v>
      </c>
      <c r="Q197" s="258">
        <f t="shared" si="157"/>
        <v>41268095</v>
      </c>
      <c r="R197" s="426">
        <f t="shared" si="158"/>
        <v>17</v>
      </c>
      <c r="S197" s="426">
        <f t="array" ref="S197">MAX((IF(MNU_CODIGO_ALIMENTO_ENTREGA=CONCATENATE($E197,"_","P_"),MNU_GRAMAJE_REQUERIDO_TIPOB,"")))</f>
        <v>50</v>
      </c>
      <c r="T197" s="259">
        <f t="shared" si="159"/>
        <v>6802</v>
      </c>
      <c r="U197" s="259">
        <f t="shared" si="160"/>
        <v>115634</v>
      </c>
      <c r="V197" s="446">
        <f t="shared" si="161"/>
        <v>481</v>
      </c>
      <c r="W197" s="446">
        <f t="shared" si="162"/>
        <v>23.472799999999999</v>
      </c>
      <c r="X197" s="446">
        <f t="shared" si="163"/>
        <v>0.41366769599999997</v>
      </c>
      <c r="Y197" s="446">
        <f t="shared" si="164"/>
        <v>505</v>
      </c>
      <c r="Z197" s="260">
        <f t="shared" si="165"/>
        <v>55619954</v>
      </c>
      <c r="AA197" s="260">
        <f t="shared" si="166"/>
        <v>58395170</v>
      </c>
      <c r="AB197" s="425">
        <f t="shared" si="167"/>
        <v>17</v>
      </c>
      <c r="AC197" s="425">
        <f t="array" ref="AC197">MAX((IF(MNU_CODIGO_ALIMENTO_ENTREGA=CONCATENATE($E197,"_","P_"),MNU_GRAMAJE_REQUERIDO_TIPOC,"")))</f>
        <v>80</v>
      </c>
      <c r="AD197" s="257">
        <f t="shared" si="168"/>
        <v>6799</v>
      </c>
      <c r="AE197" s="257">
        <f t="shared" si="169"/>
        <v>115583</v>
      </c>
      <c r="AF197" s="446">
        <f t="shared" si="170"/>
        <v>727</v>
      </c>
      <c r="AG197" s="446">
        <f t="shared" si="171"/>
        <v>35.477600000000002</v>
      </c>
      <c r="AH197" s="446">
        <f t="shared" si="172"/>
        <v>0.62523163200000009</v>
      </c>
      <c r="AI197" s="446">
        <f t="shared" si="173"/>
        <v>763</v>
      </c>
      <c r="AJ197" s="258">
        <f t="shared" si="174"/>
        <v>84028841</v>
      </c>
      <c r="AK197" s="258">
        <f t="shared" si="175"/>
        <v>88189829</v>
      </c>
      <c r="AL197" s="426">
        <f t="shared" si="176"/>
        <v>17</v>
      </c>
      <c r="AM197" s="426">
        <f t="array" ref="AM197">MAX((IF(MNU_CODIGO_ALIMENTO_ENTREGA=CONCATENATE($E197,"_","P_"),MNU_GRAMAJE_REQUERIDO_TIPOM,"")))</f>
        <v>50</v>
      </c>
      <c r="AN197" s="259">
        <f t="shared" si="177"/>
        <v>367</v>
      </c>
      <c r="AO197" s="259">
        <f t="shared" si="178"/>
        <v>6239</v>
      </c>
      <c r="AP197" s="446">
        <f t="shared" si="179"/>
        <v>481</v>
      </c>
      <c r="AQ197" s="446">
        <f t="shared" si="180"/>
        <v>23.472799999999999</v>
      </c>
      <c r="AR197" s="446">
        <f t="shared" si="181"/>
        <v>0.41366769599999997</v>
      </c>
      <c r="AS197" s="446">
        <f t="shared" si="182"/>
        <v>505</v>
      </c>
      <c r="AT197" s="260">
        <f t="shared" si="183"/>
        <v>3000959</v>
      </c>
      <c r="AU197" s="260">
        <f t="shared" si="184"/>
        <v>3150695</v>
      </c>
      <c r="AV197" s="425">
        <f t="shared" si="185"/>
        <v>17</v>
      </c>
      <c r="AW197" s="425">
        <f t="array" ref="AW197">MAX((IF(MNU_CODIGO_ALIMENTO_ENTREGA=CONCATENATE($E197,"_","P_"),MNU_GRAMAJE_REQUERIDO_TIPOH,"")))</f>
        <v>80</v>
      </c>
      <c r="AX197" s="257">
        <f t="shared" si="186"/>
        <v>402</v>
      </c>
      <c r="AY197" s="257">
        <f t="shared" si="187"/>
        <v>6834</v>
      </c>
      <c r="AZ197" s="446">
        <f t="shared" si="188"/>
        <v>727</v>
      </c>
      <c r="BA197" s="446">
        <f t="shared" si="189"/>
        <v>35.477600000000002</v>
      </c>
      <c r="BB197" s="446">
        <f t="shared" si="190"/>
        <v>0.62523163200000009</v>
      </c>
      <c r="BC197" s="446">
        <f t="shared" si="191"/>
        <v>763</v>
      </c>
      <c r="BD197" s="258">
        <f t="shared" si="192"/>
        <v>4968318</v>
      </c>
      <c r="BE197" s="258">
        <f t="shared" si="193"/>
        <v>5214342</v>
      </c>
      <c r="BF197" s="391">
        <f t="shared" si="194"/>
        <v>186924911</v>
      </c>
      <c r="BG197" s="391">
        <f t="shared" si="195"/>
        <v>196218131</v>
      </c>
    </row>
    <row r="198" spans="1:59" ht="15.75">
      <c r="A198" s="333">
        <v>16</v>
      </c>
      <c r="B198" s="333" t="str">
        <f t="shared" si="147"/>
        <v>CEREAL EMPACADO_16</v>
      </c>
      <c r="C198" s="333" t="str">
        <f t="shared" si="148"/>
        <v>15_16</v>
      </c>
      <c r="D198" s="333" t="s">
        <v>1607</v>
      </c>
      <c r="E198" s="256">
        <v>15</v>
      </c>
      <c r="F198" s="322" t="s">
        <v>66</v>
      </c>
      <c r="G198" s="256" t="s">
        <v>9</v>
      </c>
      <c r="H198" s="425">
        <f t="shared" si="149"/>
        <v>17</v>
      </c>
      <c r="I198" s="425">
        <f t="array" ref="I198">MAX((IF(MNU_CODIGO_ALIMENTO_ENTREGA=CONCATENATE($E198,"_","P_"),MNU_GRAMAJE_REQUERIDO_TIPOA,"")))</f>
        <v>50</v>
      </c>
      <c r="J198" s="257">
        <f t="shared" si="150"/>
        <v>4807</v>
      </c>
      <c r="K198" s="257">
        <f t="shared" si="151"/>
        <v>81719</v>
      </c>
      <c r="L198" s="446">
        <f t="shared" si="152"/>
        <v>641</v>
      </c>
      <c r="M198" s="446">
        <f t="shared" si="153"/>
        <v>31.280800000000003</v>
      </c>
      <c r="N198" s="446">
        <f t="shared" si="154"/>
        <v>0.55127025600000001</v>
      </c>
      <c r="O198" s="446">
        <f t="shared" si="155"/>
        <v>673</v>
      </c>
      <c r="P198" s="258">
        <f t="shared" si="156"/>
        <v>52381879</v>
      </c>
      <c r="Q198" s="258">
        <f t="shared" si="157"/>
        <v>54996887</v>
      </c>
      <c r="R198" s="426">
        <f t="shared" si="158"/>
        <v>17</v>
      </c>
      <c r="S198" s="426">
        <f t="array" ref="S198">MAX((IF(MNU_CODIGO_ALIMENTO_ENTREGA=CONCATENATE($E198,"_","P_"),MNU_GRAMAJE_REQUERIDO_TIPOB,"")))</f>
        <v>50</v>
      </c>
      <c r="T198" s="259">
        <f t="shared" si="159"/>
        <v>6802</v>
      </c>
      <c r="U198" s="259">
        <f t="shared" si="160"/>
        <v>115634</v>
      </c>
      <c r="V198" s="446">
        <f t="shared" si="161"/>
        <v>641</v>
      </c>
      <c r="W198" s="446">
        <f t="shared" si="162"/>
        <v>31.280800000000003</v>
      </c>
      <c r="X198" s="446">
        <f t="shared" si="163"/>
        <v>0.55127025600000001</v>
      </c>
      <c r="Y198" s="446">
        <f t="shared" si="164"/>
        <v>673</v>
      </c>
      <c r="Z198" s="260">
        <f t="shared" si="165"/>
        <v>74121394</v>
      </c>
      <c r="AA198" s="260">
        <f t="shared" si="166"/>
        <v>77821682</v>
      </c>
      <c r="AB198" s="425">
        <f t="shared" si="167"/>
        <v>17</v>
      </c>
      <c r="AC198" s="425">
        <f t="array" ref="AC198">MAX((IF(MNU_CODIGO_ALIMENTO_ENTREGA=CONCATENATE($E198,"_","P_"),MNU_GRAMAJE_REQUERIDO_TIPOC,"")))</f>
        <v>80</v>
      </c>
      <c r="AD198" s="257">
        <f t="shared" si="168"/>
        <v>6799</v>
      </c>
      <c r="AE198" s="257">
        <f t="shared" si="169"/>
        <v>115583</v>
      </c>
      <c r="AF198" s="446">
        <f t="shared" si="170"/>
        <v>1025</v>
      </c>
      <c r="AG198" s="446">
        <f t="shared" si="171"/>
        <v>50.02</v>
      </c>
      <c r="AH198" s="446">
        <f t="shared" si="172"/>
        <v>0.88151640000000009</v>
      </c>
      <c r="AI198" s="446">
        <f t="shared" si="173"/>
        <v>1076</v>
      </c>
      <c r="AJ198" s="258">
        <f t="shared" si="174"/>
        <v>118472575</v>
      </c>
      <c r="AK198" s="258">
        <f t="shared" si="175"/>
        <v>124367308</v>
      </c>
      <c r="AL198" s="426">
        <f t="shared" si="176"/>
        <v>17</v>
      </c>
      <c r="AM198" s="426">
        <f t="array" ref="AM198">MAX((IF(MNU_CODIGO_ALIMENTO_ENTREGA=CONCATENATE($E198,"_","P_"),MNU_GRAMAJE_REQUERIDO_TIPOM,"")))</f>
        <v>50</v>
      </c>
      <c r="AN198" s="259">
        <f t="shared" si="177"/>
        <v>367</v>
      </c>
      <c r="AO198" s="259">
        <f t="shared" si="178"/>
        <v>6239</v>
      </c>
      <c r="AP198" s="446">
        <f t="shared" si="179"/>
        <v>641</v>
      </c>
      <c r="AQ198" s="446">
        <f t="shared" si="180"/>
        <v>31.280800000000003</v>
      </c>
      <c r="AR198" s="446">
        <f t="shared" si="181"/>
        <v>0.55127025600000001</v>
      </c>
      <c r="AS198" s="446">
        <f t="shared" si="182"/>
        <v>673</v>
      </c>
      <c r="AT198" s="260">
        <f t="shared" si="183"/>
        <v>3999199</v>
      </c>
      <c r="AU198" s="260">
        <f t="shared" si="184"/>
        <v>4198847</v>
      </c>
      <c r="AV198" s="425">
        <f t="shared" si="185"/>
        <v>17</v>
      </c>
      <c r="AW198" s="425">
        <f t="array" ref="AW198">MAX((IF(MNU_CODIGO_ALIMENTO_ENTREGA=CONCATENATE($E198,"_","P_"),MNU_GRAMAJE_REQUERIDO_TIPOH,"")))</f>
        <v>80</v>
      </c>
      <c r="AX198" s="257">
        <f t="shared" si="186"/>
        <v>402</v>
      </c>
      <c r="AY198" s="257">
        <f t="shared" si="187"/>
        <v>6834</v>
      </c>
      <c r="AZ198" s="446">
        <f t="shared" si="188"/>
        <v>1025</v>
      </c>
      <c r="BA198" s="446">
        <f t="shared" si="189"/>
        <v>50.02</v>
      </c>
      <c r="BB198" s="446">
        <f t="shared" si="190"/>
        <v>0.88151640000000009</v>
      </c>
      <c r="BC198" s="446">
        <f t="shared" si="191"/>
        <v>1076</v>
      </c>
      <c r="BD198" s="258">
        <f t="shared" si="192"/>
        <v>7004850</v>
      </c>
      <c r="BE198" s="258">
        <f t="shared" si="193"/>
        <v>7353384</v>
      </c>
      <c r="BF198" s="391">
        <f t="shared" si="194"/>
        <v>255979897</v>
      </c>
      <c r="BG198" s="391">
        <f t="shared" si="195"/>
        <v>268738108</v>
      </c>
    </row>
    <row r="199" spans="1:59" ht="15.75">
      <c r="A199" s="333">
        <v>16</v>
      </c>
      <c r="B199" s="333" t="str">
        <f t="shared" si="147"/>
        <v>CEREAL EMPACADO_16</v>
      </c>
      <c r="C199" s="333" t="str">
        <f t="shared" si="148"/>
        <v>24_16</v>
      </c>
      <c r="D199" s="333" t="s">
        <v>1607</v>
      </c>
      <c r="E199" s="256">
        <v>24</v>
      </c>
      <c r="F199" s="322" t="s">
        <v>61</v>
      </c>
      <c r="G199" s="256" t="s">
        <v>9</v>
      </c>
      <c r="H199" s="425">
        <f t="shared" si="149"/>
        <v>17</v>
      </c>
      <c r="I199" s="425">
        <f t="array" ref="I199">MAX((IF(MNU_CODIGO_ALIMENTO_ENTREGA=CONCATENATE($E199,"_","P_"),MNU_GRAMAJE_REQUERIDO_TIPOA,"")))</f>
        <v>20</v>
      </c>
      <c r="J199" s="257">
        <f t="shared" si="150"/>
        <v>4807</v>
      </c>
      <c r="K199" s="257">
        <f t="shared" si="151"/>
        <v>81719</v>
      </c>
      <c r="L199" s="446">
        <f t="shared" si="152"/>
        <v>122</v>
      </c>
      <c r="M199" s="446">
        <f t="shared" si="153"/>
        <v>5.9535999999999998</v>
      </c>
      <c r="N199" s="446">
        <f t="shared" si="154"/>
        <v>0.104921952</v>
      </c>
      <c r="O199" s="446">
        <f t="shared" si="155"/>
        <v>128</v>
      </c>
      <c r="P199" s="258">
        <f t="shared" si="156"/>
        <v>9969718</v>
      </c>
      <c r="Q199" s="258">
        <f t="shared" si="157"/>
        <v>10460032</v>
      </c>
      <c r="R199" s="426">
        <f t="shared" si="158"/>
        <v>17</v>
      </c>
      <c r="S199" s="426">
        <f t="array" ref="S199">MAX((IF(MNU_CODIGO_ALIMENTO_ENTREGA=CONCATENATE($E199,"_","P_"),MNU_GRAMAJE_REQUERIDO_TIPOB,"")))</f>
        <v>30</v>
      </c>
      <c r="T199" s="259">
        <f t="shared" si="159"/>
        <v>6802</v>
      </c>
      <c r="U199" s="259">
        <f t="shared" si="160"/>
        <v>115634</v>
      </c>
      <c r="V199" s="446">
        <f t="shared" si="161"/>
        <v>191</v>
      </c>
      <c r="W199" s="446">
        <f t="shared" si="162"/>
        <v>9.3208000000000002</v>
      </c>
      <c r="X199" s="446">
        <f t="shared" si="163"/>
        <v>0.16426305600000002</v>
      </c>
      <c r="Y199" s="446">
        <f t="shared" si="164"/>
        <v>200</v>
      </c>
      <c r="Z199" s="260">
        <f t="shared" si="165"/>
        <v>22086094</v>
      </c>
      <c r="AA199" s="260">
        <f t="shared" si="166"/>
        <v>23126800</v>
      </c>
      <c r="AB199" s="425">
        <f t="shared" si="167"/>
        <v>17</v>
      </c>
      <c r="AC199" s="425">
        <f t="array" ref="AC199">MAX((IF(MNU_CODIGO_ALIMENTO_ENTREGA=CONCATENATE($E199,"_","P_"),MNU_GRAMAJE_REQUERIDO_TIPOC,"")))</f>
        <v>60</v>
      </c>
      <c r="AD199" s="257">
        <f t="shared" si="168"/>
        <v>6799</v>
      </c>
      <c r="AE199" s="257">
        <f t="shared" si="169"/>
        <v>115583</v>
      </c>
      <c r="AF199" s="446">
        <f t="shared" si="170"/>
        <v>367</v>
      </c>
      <c r="AG199" s="446">
        <f t="shared" si="171"/>
        <v>17.909599999999998</v>
      </c>
      <c r="AH199" s="446">
        <f t="shared" si="172"/>
        <v>0.31562587200000003</v>
      </c>
      <c r="AI199" s="446">
        <f t="shared" si="173"/>
        <v>385</v>
      </c>
      <c r="AJ199" s="258">
        <f t="shared" si="174"/>
        <v>42418961</v>
      </c>
      <c r="AK199" s="258">
        <f t="shared" si="175"/>
        <v>44499455</v>
      </c>
      <c r="AL199" s="426">
        <f t="shared" si="176"/>
        <v>17</v>
      </c>
      <c r="AM199" s="426">
        <f t="array" ref="AM199">MAX((IF(MNU_CODIGO_ALIMENTO_ENTREGA=CONCATENATE($E199,"_","P_"),MNU_GRAMAJE_REQUERIDO_TIPOM,"")))</f>
        <v>30</v>
      </c>
      <c r="AN199" s="259">
        <f t="shared" si="177"/>
        <v>367</v>
      </c>
      <c r="AO199" s="259">
        <f t="shared" si="178"/>
        <v>6239</v>
      </c>
      <c r="AP199" s="446">
        <f t="shared" si="179"/>
        <v>191</v>
      </c>
      <c r="AQ199" s="446">
        <f t="shared" si="180"/>
        <v>9.3208000000000002</v>
      </c>
      <c r="AR199" s="446">
        <f t="shared" si="181"/>
        <v>0.16426305600000002</v>
      </c>
      <c r="AS199" s="446">
        <f t="shared" si="182"/>
        <v>200</v>
      </c>
      <c r="AT199" s="260">
        <f t="shared" si="183"/>
        <v>1191649</v>
      </c>
      <c r="AU199" s="260">
        <f t="shared" si="184"/>
        <v>1247800</v>
      </c>
      <c r="AV199" s="425">
        <f t="shared" si="185"/>
        <v>17</v>
      </c>
      <c r="AW199" s="425">
        <f t="array" ref="AW199">MAX((IF(MNU_CODIGO_ALIMENTO_ENTREGA=CONCATENATE($E199,"_","P_"),MNU_GRAMAJE_REQUERIDO_TIPOH,"")))</f>
        <v>60</v>
      </c>
      <c r="AX199" s="257">
        <f t="shared" si="186"/>
        <v>402</v>
      </c>
      <c r="AY199" s="257">
        <f t="shared" si="187"/>
        <v>6834</v>
      </c>
      <c r="AZ199" s="446">
        <f t="shared" si="188"/>
        <v>367</v>
      </c>
      <c r="BA199" s="446">
        <f t="shared" si="189"/>
        <v>17.909599999999998</v>
      </c>
      <c r="BB199" s="446">
        <f t="shared" si="190"/>
        <v>0.31562587200000003</v>
      </c>
      <c r="BC199" s="446">
        <f t="shared" si="191"/>
        <v>385</v>
      </c>
      <c r="BD199" s="258">
        <f t="shared" si="192"/>
        <v>2508078</v>
      </c>
      <c r="BE199" s="258">
        <f t="shared" si="193"/>
        <v>2631090</v>
      </c>
      <c r="BF199" s="391">
        <f t="shared" si="194"/>
        <v>78174500</v>
      </c>
      <c r="BG199" s="391">
        <f t="shared" si="195"/>
        <v>81965177</v>
      </c>
    </row>
    <row r="200" spans="1:59" ht="15.75">
      <c r="A200" s="333">
        <v>16</v>
      </c>
      <c r="B200" s="333" t="str">
        <f t="shared" si="147"/>
        <v>CEREAL EMPACADO_16</v>
      </c>
      <c r="C200" s="333" t="str">
        <f t="shared" si="148"/>
        <v>25_16</v>
      </c>
      <c r="D200" s="333" t="s">
        <v>1607</v>
      </c>
      <c r="E200" s="256">
        <v>25</v>
      </c>
      <c r="F200" s="322" t="s">
        <v>64</v>
      </c>
      <c r="G200" s="256" t="s">
        <v>9</v>
      </c>
      <c r="H200" s="425">
        <f t="shared" si="149"/>
        <v>17</v>
      </c>
      <c r="I200" s="425">
        <f t="array" ref="I200">MAX((IF(MNU_CODIGO_ALIMENTO_ENTREGA=CONCATENATE($E200,"_","P_"),MNU_GRAMAJE_REQUERIDO_TIPOA,"")))</f>
        <v>40</v>
      </c>
      <c r="J200" s="257">
        <f t="shared" si="150"/>
        <v>4807</v>
      </c>
      <c r="K200" s="257">
        <f t="shared" si="151"/>
        <v>81719</v>
      </c>
      <c r="L200" s="446">
        <f t="shared" si="152"/>
        <v>244</v>
      </c>
      <c r="M200" s="446">
        <f t="shared" si="153"/>
        <v>11.9072</v>
      </c>
      <c r="N200" s="446">
        <f t="shared" si="154"/>
        <v>0.209843904</v>
      </c>
      <c r="O200" s="446">
        <f t="shared" si="155"/>
        <v>256</v>
      </c>
      <c r="P200" s="258">
        <f t="shared" si="156"/>
        <v>19939436</v>
      </c>
      <c r="Q200" s="258">
        <f t="shared" si="157"/>
        <v>20920064</v>
      </c>
      <c r="R200" s="426">
        <f t="shared" si="158"/>
        <v>17</v>
      </c>
      <c r="S200" s="426">
        <f t="array" ref="S200">MAX((IF(MNU_CODIGO_ALIMENTO_ENTREGA=CONCATENATE($E200,"_","P_"),MNU_GRAMAJE_REQUERIDO_TIPOB,"")))</f>
        <v>40</v>
      </c>
      <c r="T200" s="259">
        <f t="shared" si="159"/>
        <v>6802</v>
      </c>
      <c r="U200" s="259">
        <f t="shared" si="160"/>
        <v>115634</v>
      </c>
      <c r="V200" s="446">
        <f t="shared" si="161"/>
        <v>244</v>
      </c>
      <c r="W200" s="446">
        <f t="shared" si="162"/>
        <v>11.9072</v>
      </c>
      <c r="X200" s="446">
        <f t="shared" si="163"/>
        <v>0.209843904</v>
      </c>
      <c r="Y200" s="446">
        <f t="shared" si="164"/>
        <v>256</v>
      </c>
      <c r="Z200" s="260">
        <f t="shared" si="165"/>
        <v>28214696</v>
      </c>
      <c r="AA200" s="260">
        <f t="shared" si="166"/>
        <v>29602304</v>
      </c>
      <c r="AB200" s="425">
        <f t="shared" si="167"/>
        <v>17</v>
      </c>
      <c r="AC200" s="425">
        <f t="array" ref="AC200">MAX((IF(MNU_CODIGO_ALIMENTO_ENTREGA=CONCATENATE($E200,"_","P_"),MNU_GRAMAJE_REQUERIDO_TIPOC,"")))</f>
        <v>60</v>
      </c>
      <c r="AD200" s="257">
        <f t="shared" si="168"/>
        <v>6799</v>
      </c>
      <c r="AE200" s="257">
        <f t="shared" si="169"/>
        <v>115583</v>
      </c>
      <c r="AF200" s="446">
        <f t="shared" si="170"/>
        <v>366</v>
      </c>
      <c r="AG200" s="446">
        <f t="shared" si="171"/>
        <v>17.860800000000001</v>
      </c>
      <c r="AH200" s="446">
        <f t="shared" si="172"/>
        <v>0.31476585600000001</v>
      </c>
      <c r="AI200" s="446">
        <f t="shared" si="173"/>
        <v>384</v>
      </c>
      <c r="AJ200" s="258">
        <f t="shared" si="174"/>
        <v>42303378</v>
      </c>
      <c r="AK200" s="258">
        <f t="shared" si="175"/>
        <v>44383872</v>
      </c>
      <c r="AL200" s="426">
        <f t="shared" si="176"/>
        <v>17</v>
      </c>
      <c r="AM200" s="426">
        <f t="array" ref="AM200">MAX((IF(MNU_CODIGO_ALIMENTO_ENTREGA=CONCATENATE($E200,"_","P_"),MNU_GRAMAJE_REQUERIDO_TIPOM,"")))</f>
        <v>40</v>
      </c>
      <c r="AN200" s="259">
        <f t="shared" si="177"/>
        <v>367</v>
      </c>
      <c r="AO200" s="259">
        <f t="shared" si="178"/>
        <v>6239</v>
      </c>
      <c r="AP200" s="446">
        <f t="shared" si="179"/>
        <v>244</v>
      </c>
      <c r="AQ200" s="446">
        <f t="shared" si="180"/>
        <v>11.9072</v>
      </c>
      <c r="AR200" s="446">
        <f t="shared" si="181"/>
        <v>0.209843904</v>
      </c>
      <c r="AS200" s="446">
        <f t="shared" si="182"/>
        <v>256</v>
      </c>
      <c r="AT200" s="260">
        <f t="shared" si="183"/>
        <v>1522316</v>
      </c>
      <c r="AU200" s="260">
        <f t="shared" si="184"/>
        <v>1597184</v>
      </c>
      <c r="AV200" s="425">
        <f t="shared" si="185"/>
        <v>17</v>
      </c>
      <c r="AW200" s="425">
        <f t="array" ref="AW200">MAX((IF(MNU_CODIGO_ALIMENTO_ENTREGA=CONCATENATE($E200,"_","P_"),MNU_GRAMAJE_REQUERIDO_TIPOH,"")))</f>
        <v>60</v>
      </c>
      <c r="AX200" s="257">
        <f t="shared" si="186"/>
        <v>402</v>
      </c>
      <c r="AY200" s="257">
        <f t="shared" si="187"/>
        <v>6834</v>
      </c>
      <c r="AZ200" s="446">
        <f t="shared" si="188"/>
        <v>366</v>
      </c>
      <c r="BA200" s="446">
        <f t="shared" si="189"/>
        <v>17.860800000000001</v>
      </c>
      <c r="BB200" s="446">
        <f t="shared" si="190"/>
        <v>0.31476585600000001</v>
      </c>
      <c r="BC200" s="446">
        <f t="shared" si="191"/>
        <v>384</v>
      </c>
      <c r="BD200" s="258">
        <f t="shared" si="192"/>
        <v>2501244</v>
      </c>
      <c r="BE200" s="258">
        <f t="shared" si="193"/>
        <v>2624256</v>
      </c>
      <c r="BF200" s="391">
        <f t="shared" si="194"/>
        <v>94481070</v>
      </c>
      <c r="BG200" s="391">
        <f t="shared" si="195"/>
        <v>99127680</v>
      </c>
    </row>
    <row r="201" spans="1:59" ht="15.75">
      <c r="A201" s="333">
        <v>16</v>
      </c>
      <c r="B201" s="333" t="str">
        <f t="shared" si="147"/>
        <v>CEREAL EMPACADO_16</v>
      </c>
      <c r="C201" s="333" t="str">
        <f t="shared" si="148"/>
        <v>26_16</v>
      </c>
      <c r="D201" s="333" t="s">
        <v>1607</v>
      </c>
      <c r="E201" s="256">
        <v>26</v>
      </c>
      <c r="F201" s="322" t="s">
        <v>69</v>
      </c>
      <c r="G201" s="256" t="s">
        <v>9</v>
      </c>
      <c r="H201" s="425">
        <f t="shared" si="149"/>
        <v>6</v>
      </c>
      <c r="I201" s="425">
        <f t="array" ref="I201">MAX((IF(MNU_CODIGO_ALIMENTO_ENTREGA=CONCATENATE($E201,"_","P_"),MNU_GRAMAJE_REQUERIDO_TIPOA,"")))</f>
        <v>30</v>
      </c>
      <c r="J201" s="257">
        <f t="shared" si="150"/>
        <v>4807</v>
      </c>
      <c r="K201" s="257">
        <f t="shared" si="151"/>
        <v>28842</v>
      </c>
      <c r="L201" s="446">
        <f t="shared" si="152"/>
        <v>163</v>
      </c>
      <c r="M201" s="446">
        <f t="shared" si="153"/>
        <v>7.9543999999999997</v>
      </c>
      <c r="N201" s="446">
        <f t="shared" si="154"/>
        <v>0.14018260800000001</v>
      </c>
      <c r="O201" s="446">
        <f t="shared" si="155"/>
        <v>171</v>
      </c>
      <c r="P201" s="258">
        <f t="shared" si="156"/>
        <v>4701246</v>
      </c>
      <c r="Q201" s="258">
        <f t="shared" si="157"/>
        <v>4931982</v>
      </c>
      <c r="R201" s="426">
        <f t="shared" si="158"/>
        <v>6</v>
      </c>
      <c r="S201" s="426">
        <f t="array" ref="S201">MAX((IF(MNU_CODIGO_ALIMENTO_ENTREGA=CONCATENATE($E201,"_","P_"),MNU_GRAMAJE_REQUERIDO_TIPOB,"")))</f>
        <v>30</v>
      </c>
      <c r="T201" s="259">
        <f t="shared" si="159"/>
        <v>6802</v>
      </c>
      <c r="U201" s="259">
        <f t="shared" si="160"/>
        <v>40812</v>
      </c>
      <c r="V201" s="446">
        <f t="shared" si="161"/>
        <v>163</v>
      </c>
      <c r="W201" s="446">
        <f t="shared" si="162"/>
        <v>7.9543999999999997</v>
      </c>
      <c r="X201" s="446">
        <f t="shared" si="163"/>
        <v>0.14018260800000001</v>
      </c>
      <c r="Y201" s="446">
        <f t="shared" si="164"/>
        <v>171</v>
      </c>
      <c r="Z201" s="260">
        <f t="shared" si="165"/>
        <v>6652356</v>
      </c>
      <c r="AA201" s="260">
        <f t="shared" si="166"/>
        <v>6978852</v>
      </c>
      <c r="AB201" s="425">
        <f t="shared" si="167"/>
        <v>6</v>
      </c>
      <c r="AC201" s="425">
        <f t="array" ref="AC201">MAX((IF(MNU_CODIGO_ALIMENTO_ENTREGA=CONCATENATE($E201,"_","P_"),MNU_GRAMAJE_REQUERIDO_TIPOC,"")))</f>
        <v>30</v>
      </c>
      <c r="AD201" s="257">
        <f t="shared" si="168"/>
        <v>6799</v>
      </c>
      <c r="AE201" s="257">
        <f t="shared" si="169"/>
        <v>40794</v>
      </c>
      <c r="AF201" s="446">
        <f t="shared" si="170"/>
        <v>163</v>
      </c>
      <c r="AG201" s="446">
        <f t="shared" si="171"/>
        <v>7.9543999999999997</v>
      </c>
      <c r="AH201" s="446">
        <f t="shared" si="172"/>
        <v>0.14018260800000001</v>
      </c>
      <c r="AI201" s="446">
        <f t="shared" si="173"/>
        <v>171</v>
      </c>
      <c r="AJ201" s="258">
        <f t="shared" si="174"/>
        <v>6649422</v>
      </c>
      <c r="AK201" s="258">
        <f t="shared" si="175"/>
        <v>6975774</v>
      </c>
      <c r="AL201" s="426">
        <f t="shared" si="176"/>
        <v>6</v>
      </c>
      <c r="AM201" s="426">
        <f t="array" ref="AM201">MAX((IF(MNU_CODIGO_ALIMENTO_ENTREGA=CONCATENATE($E201,"_","P_"),MNU_GRAMAJE_REQUERIDO_TIPOM,"")))</f>
        <v>30</v>
      </c>
      <c r="AN201" s="259">
        <f t="shared" si="177"/>
        <v>367</v>
      </c>
      <c r="AO201" s="259">
        <f t="shared" si="178"/>
        <v>2202</v>
      </c>
      <c r="AP201" s="446">
        <f t="shared" si="179"/>
        <v>163</v>
      </c>
      <c r="AQ201" s="446">
        <f t="shared" si="180"/>
        <v>7.9543999999999997</v>
      </c>
      <c r="AR201" s="446">
        <f t="shared" si="181"/>
        <v>0.14018260800000001</v>
      </c>
      <c r="AS201" s="446">
        <f t="shared" si="182"/>
        <v>171</v>
      </c>
      <c r="AT201" s="260">
        <f t="shared" si="183"/>
        <v>358926</v>
      </c>
      <c r="AU201" s="260">
        <f t="shared" si="184"/>
        <v>376542</v>
      </c>
      <c r="AV201" s="425">
        <f t="shared" si="185"/>
        <v>6</v>
      </c>
      <c r="AW201" s="425">
        <f t="array" ref="AW201">MAX((IF(MNU_CODIGO_ALIMENTO_ENTREGA=CONCATENATE($E201,"_","P_"),MNU_GRAMAJE_REQUERIDO_TIPOH,"")))</f>
        <v>30</v>
      </c>
      <c r="AX201" s="257">
        <f t="shared" si="186"/>
        <v>402</v>
      </c>
      <c r="AY201" s="257">
        <f t="shared" si="187"/>
        <v>2412</v>
      </c>
      <c r="AZ201" s="446">
        <f t="shared" si="188"/>
        <v>163</v>
      </c>
      <c r="BA201" s="446">
        <f t="shared" si="189"/>
        <v>7.9543999999999997</v>
      </c>
      <c r="BB201" s="446">
        <f t="shared" si="190"/>
        <v>0.14018260800000001</v>
      </c>
      <c r="BC201" s="446">
        <f t="shared" si="191"/>
        <v>171</v>
      </c>
      <c r="BD201" s="258">
        <f t="shared" si="192"/>
        <v>393156</v>
      </c>
      <c r="BE201" s="258">
        <f t="shared" si="193"/>
        <v>412452</v>
      </c>
      <c r="BF201" s="391">
        <f t="shared" si="194"/>
        <v>18755106</v>
      </c>
      <c r="BG201" s="391">
        <f t="shared" si="195"/>
        <v>19675602</v>
      </c>
    </row>
    <row r="202" spans="1:59" ht="27">
      <c r="A202" s="333">
        <v>16</v>
      </c>
      <c r="B202" s="333" t="str">
        <f t="shared" si="147"/>
        <v>CEREAL EMPACADO_16</v>
      </c>
      <c r="C202" s="333" t="str">
        <f t="shared" si="148"/>
        <v>28_16</v>
      </c>
      <c r="D202" s="333" t="s">
        <v>1607</v>
      </c>
      <c r="E202" s="256">
        <v>28</v>
      </c>
      <c r="F202" s="322" t="s">
        <v>67</v>
      </c>
      <c r="G202" s="256" t="s">
        <v>9</v>
      </c>
      <c r="H202" s="425">
        <f t="shared" si="149"/>
        <v>6</v>
      </c>
      <c r="I202" s="425">
        <f t="array" ref="I202">MAX((IF(MNU_CODIGO_ALIMENTO_ENTREGA=CONCATENATE($E202,"_","P_"),MNU_GRAMAJE_REQUERIDO_TIPOA,"")))</f>
        <v>30</v>
      </c>
      <c r="J202" s="257">
        <f t="shared" si="150"/>
        <v>4807</v>
      </c>
      <c r="K202" s="257">
        <f t="shared" si="151"/>
        <v>28842</v>
      </c>
      <c r="L202" s="446">
        <f t="shared" si="152"/>
        <v>215</v>
      </c>
      <c r="M202" s="446">
        <f t="shared" si="153"/>
        <v>10.492000000000001</v>
      </c>
      <c r="N202" s="446">
        <f t="shared" si="154"/>
        <v>0.18490343999999997</v>
      </c>
      <c r="O202" s="446">
        <f t="shared" si="155"/>
        <v>226</v>
      </c>
      <c r="P202" s="258">
        <f t="shared" si="156"/>
        <v>6201030</v>
      </c>
      <c r="Q202" s="258">
        <f t="shared" si="157"/>
        <v>6518292</v>
      </c>
      <c r="R202" s="426">
        <f t="shared" si="158"/>
        <v>6</v>
      </c>
      <c r="S202" s="426">
        <f t="array" ref="S202">MAX((IF(MNU_CODIGO_ALIMENTO_ENTREGA=CONCATENATE($E202,"_","P_"),MNU_GRAMAJE_REQUERIDO_TIPOB,"")))</f>
        <v>40</v>
      </c>
      <c r="T202" s="259">
        <f t="shared" si="159"/>
        <v>6802</v>
      </c>
      <c r="U202" s="259">
        <f t="shared" si="160"/>
        <v>40812</v>
      </c>
      <c r="V202" s="446">
        <f t="shared" si="161"/>
        <v>287</v>
      </c>
      <c r="W202" s="446">
        <f t="shared" si="162"/>
        <v>14.005600000000001</v>
      </c>
      <c r="X202" s="446">
        <f t="shared" si="163"/>
        <v>0.24682459200000004</v>
      </c>
      <c r="Y202" s="446">
        <f t="shared" si="164"/>
        <v>301</v>
      </c>
      <c r="Z202" s="260">
        <f t="shared" si="165"/>
        <v>11713044</v>
      </c>
      <c r="AA202" s="260">
        <f t="shared" si="166"/>
        <v>12284412</v>
      </c>
      <c r="AB202" s="425">
        <f t="shared" si="167"/>
        <v>6</v>
      </c>
      <c r="AC202" s="425">
        <f t="array" ref="AC202">MAX((IF(MNU_CODIGO_ALIMENTO_ENTREGA=CONCATENATE($E202,"_","P_"),MNU_GRAMAJE_REQUERIDO_TIPOC,"")))</f>
        <v>60</v>
      </c>
      <c r="AD202" s="257">
        <f t="shared" si="168"/>
        <v>6799</v>
      </c>
      <c r="AE202" s="257">
        <f t="shared" si="169"/>
        <v>40794</v>
      </c>
      <c r="AF202" s="446">
        <f t="shared" si="170"/>
        <v>430</v>
      </c>
      <c r="AG202" s="446">
        <f t="shared" si="171"/>
        <v>20.984000000000002</v>
      </c>
      <c r="AH202" s="446">
        <f t="shared" si="172"/>
        <v>0.36980687999999995</v>
      </c>
      <c r="AI202" s="446">
        <f t="shared" si="173"/>
        <v>451</v>
      </c>
      <c r="AJ202" s="258">
        <f t="shared" si="174"/>
        <v>17541420</v>
      </c>
      <c r="AK202" s="258">
        <f t="shared" si="175"/>
        <v>18398094</v>
      </c>
      <c r="AL202" s="426">
        <f t="shared" si="176"/>
        <v>6</v>
      </c>
      <c r="AM202" s="426">
        <f t="array" ref="AM202">MAX((IF(MNU_CODIGO_ALIMENTO_ENTREGA=CONCATENATE($E202,"_","P_"),MNU_GRAMAJE_REQUERIDO_TIPOM,"")))</f>
        <v>40</v>
      </c>
      <c r="AN202" s="259">
        <f t="shared" si="177"/>
        <v>367</v>
      </c>
      <c r="AO202" s="259">
        <f t="shared" si="178"/>
        <v>2202</v>
      </c>
      <c r="AP202" s="446">
        <f t="shared" si="179"/>
        <v>287</v>
      </c>
      <c r="AQ202" s="446">
        <f t="shared" si="180"/>
        <v>14.005600000000001</v>
      </c>
      <c r="AR202" s="446">
        <f t="shared" si="181"/>
        <v>0.24682459200000004</v>
      </c>
      <c r="AS202" s="446">
        <f t="shared" si="182"/>
        <v>301</v>
      </c>
      <c r="AT202" s="260">
        <f t="shared" si="183"/>
        <v>631974</v>
      </c>
      <c r="AU202" s="260">
        <f t="shared" si="184"/>
        <v>662802</v>
      </c>
      <c r="AV202" s="425">
        <f t="shared" si="185"/>
        <v>6</v>
      </c>
      <c r="AW202" s="425">
        <f t="array" ref="AW202">MAX((IF(MNU_CODIGO_ALIMENTO_ENTREGA=CONCATENATE($E202,"_","P_"),MNU_GRAMAJE_REQUERIDO_TIPOH,"")))</f>
        <v>60</v>
      </c>
      <c r="AX202" s="257">
        <f t="shared" si="186"/>
        <v>402</v>
      </c>
      <c r="AY202" s="257">
        <f t="shared" si="187"/>
        <v>2412</v>
      </c>
      <c r="AZ202" s="446">
        <f t="shared" si="188"/>
        <v>430</v>
      </c>
      <c r="BA202" s="446">
        <f t="shared" si="189"/>
        <v>20.984000000000002</v>
      </c>
      <c r="BB202" s="446">
        <f t="shared" si="190"/>
        <v>0.36980687999999995</v>
      </c>
      <c r="BC202" s="446">
        <f t="shared" si="191"/>
        <v>451</v>
      </c>
      <c r="BD202" s="258">
        <f t="shared" si="192"/>
        <v>1037160</v>
      </c>
      <c r="BE202" s="258">
        <f t="shared" si="193"/>
        <v>1087812</v>
      </c>
      <c r="BF202" s="391">
        <f t="shared" si="194"/>
        <v>37124628</v>
      </c>
      <c r="BG202" s="391">
        <f t="shared" si="195"/>
        <v>38951412</v>
      </c>
    </row>
    <row r="203" spans="1:59" ht="15.75">
      <c r="A203" s="333">
        <v>16</v>
      </c>
      <c r="B203" s="333" t="str">
        <f t="shared" si="147"/>
        <v>CEREAL EMPACADO_16</v>
      </c>
      <c r="C203" s="333" t="str">
        <f t="shared" si="148"/>
        <v>30_16</v>
      </c>
      <c r="D203" s="333" t="s">
        <v>1607</v>
      </c>
      <c r="E203" s="256">
        <v>30</v>
      </c>
      <c r="F203" s="322" t="s">
        <v>63</v>
      </c>
      <c r="G203" s="256" t="s">
        <v>9</v>
      </c>
      <c r="H203" s="425">
        <f t="shared" si="149"/>
        <v>16</v>
      </c>
      <c r="I203" s="425">
        <f t="array" ref="I203">MAX((IF(MNU_CODIGO_ALIMENTO_ENTREGA=CONCATENATE($E203,"_","P_"),MNU_GRAMAJE_REQUERIDO_TIPOA,"")))</f>
        <v>30</v>
      </c>
      <c r="J203" s="257">
        <f t="shared" si="150"/>
        <v>4807</v>
      </c>
      <c r="K203" s="257">
        <f t="shared" si="151"/>
        <v>76912</v>
      </c>
      <c r="L203" s="446">
        <f t="shared" si="152"/>
        <v>316</v>
      </c>
      <c r="M203" s="446">
        <f t="shared" si="153"/>
        <v>15.4208</v>
      </c>
      <c r="N203" s="446">
        <f t="shared" si="154"/>
        <v>0.271765056</v>
      </c>
      <c r="O203" s="446">
        <f t="shared" si="155"/>
        <v>332</v>
      </c>
      <c r="P203" s="258">
        <f t="shared" si="156"/>
        <v>24304192</v>
      </c>
      <c r="Q203" s="258">
        <f t="shared" si="157"/>
        <v>25534784</v>
      </c>
      <c r="R203" s="426">
        <f t="shared" si="158"/>
        <v>16</v>
      </c>
      <c r="S203" s="426">
        <f t="array" ref="S203">MAX((IF(MNU_CODIGO_ALIMENTO_ENTREGA=CONCATENATE($E203,"_","P_"),MNU_GRAMAJE_REQUERIDO_TIPOB,"")))</f>
        <v>30</v>
      </c>
      <c r="T203" s="259">
        <f t="shared" si="159"/>
        <v>6802</v>
      </c>
      <c r="U203" s="259">
        <f t="shared" si="160"/>
        <v>108832</v>
      </c>
      <c r="V203" s="446">
        <f t="shared" si="161"/>
        <v>316</v>
      </c>
      <c r="W203" s="446">
        <f t="shared" si="162"/>
        <v>15.4208</v>
      </c>
      <c r="X203" s="446">
        <f t="shared" si="163"/>
        <v>0.271765056</v>
      </c>
      <c r="Y203" s="446">
        <f t="shared" si="164"/>
        <v>332</v>
      </c>
      <c r="Z203" s="260">
        <f t="shared" si="165"/>
        <v>34390912</v>
      </c>
      <c r="AA203" s="260">
        <f t="shared" si="166"/>
        <v>36132224</v>
      </c>
      <c r="AB203" s="425">
        <f t="shared" si="167"/>
        <v>16</v>
      </c>
      <c r="AC203" s="425">
        <f t="array" ref="AC203">MAX((IF(MNU_CODIGO_ALIMENTO_ENTREGA=CONCATENATE($E203,"_","P_"),MNU_GRAMAJE_REQUERIDO_TIPOC,"")))</f>
        <v>30</v>
      </c>
      <c r="AD203" s="257">
        <f t="shared" si="168"/>
        <v>6799</v>
      </c>
      <c r="AE203" s="257">
        <f t="shared" si="169"/>
        <v>108784</v>
      </c>
      <c r="AF203" s="446">
        <f t="shared" si="170"/>
        <v>316</v>
      </c>
      <c r="AG203" s="446">
        <f t="shared" si="171"/>
        <v>15.4208</v>
      </c>
      <c r="AH203" s="446">
        <f t="shared" si="172"/>
        <v>0.271765056</v>
      </c>
      <c r="AI203" s="446">
        <f t="shared" si="173"/>
        <v>332</v>
      </c>
      <c r="AJ203" s="258">
        <f t="shared" si="174"/>
        <v>34375744</v>
      </c>
      <c r="AK203" s="258">
        <f t="shared" si="175"/>
        <v>36116288</v>
      </c>
      <c r="AL203" s="426">
        <f t="shared" si="176"/>
        <v>16</v>
      </c>
      <c r="AM203" s="426">
        <f t="array" ref="AM203">MAX((IF(MNU_CODIGO_ALIMENTO_ENTREGA=CONCATENATE($E203,"_","P_"),MNU_GRAMAJE_REQUERIDO_TIPOM,"")))</f>
        <v>30</v>
      </c>
      <c r="AN203" s="259">
        <f t="shared" si="177"/>
        <v>367</v>
      </c>
      <c r="AO203" s="259">
        <f t="shared" si="178"/>
        <v>5872</v>
      </c>
      <c r="AP203" s="446">
        <f t="shared" si="179"/>
        <v>316</v>
      </c>
      <c r="AQ203" s="446">
        <f t="shared" si="180"/>
        <v>15.4208</v>
      </c>
      <c r="AR203" s="446">
        <f t="shared" si="181"/>
        <v>0.271765056</v>
      </c>
      <c r="AS203" s="446">
        <f t="shared" si="182"/>
        <v>332</v>
      </c>
      <c r="AT203" s="260">
        <f t="shared" si="183"/>
        <v>1855552</v>
      </c>
      <c r="AU203" s="260">
        <f t="shared" si="184"/>
        <v>1949504</v>
      </c>
      <c r="AV203" s="425">
        <f t="shared" si="185"/>
        <v>16</v>
      </c>
      <c r="AW203" s="425">
        <f t="array" ref="AW203">MAX((IF(MNU_CODIGO_ALIMENTO_ENTREGA=CONCATENATE($E203,"_","P_"),MNU_GRAMAJE_REQUERIDO_TIPOH,"")))</f>
        <v>30</v>
      </c>
      <c r="AX203" s="257">
        <f t="shared" si="186"/>
        <v>402</v>
      </c>
      <c r="AY203" s="257">
        <f t="shared" si="187"/>
        <v>6432</v>
      </c>
      <c r="AZ203" s="446">
        <f t="shared" si="188"/>
        <v>316</v>
      </c>
      <c r="BA203" s="446">
        <f t="shared" si="189"/>
        <v>15.4208</v>
      </c>
      <c r="BB203" s="446">
        <f t="shared" si="190"/>
        <v>0.271765056</v>
      </c>
      <c r="BC203" s="446">
        <f t="shared" si="191"/>
        <v>332</v>
      </c>
      <c r="BD203" s="258">
        <f t="shared" si="192"/>
        <v>2032512</v>
      </c>
      <c r="BE203" s="258">
        <f t="shared" si="193"/>
        <v>2135424</v>
      </c>
      <c r="BF203" s="391">
        <f t="shared" si="194"/>
        <v>96958912</v>
      </c>
      <c r="BG203" s="391">
        <f t="shared" si="195"/>
        <v>101868224</v>
      </c>
    </row>
    <row r="204" spans="1:59" ht="15.75">
      <c r="A204" s="333">
        <v>16</v>
      </c>
      <c r="B204" s="333" t="str">
        <f t="shared" si="147"/>
        <v>CEREAL EMPACADO_16</v>
      </c>
      <c r="C204" s="333" t="str">
        <f t="shared" si="148"/>
        <v>45_16</v>
      </c>
      <c r="D204" s="333" t="s">
        <v>1607</v>
      </c>
      <c r="E204" s="256">
        <v>45</v>
      </c>
      <c r="F204" s="322" t="s">
        <v>10</v>
      </c>
      <c r="G204" s="256" t="s">
        <v>9</v>
      </c>
      <c r="H204" s="425">
        <f t="shared" si="149"/>
        <v>16</v>
      </c>
      <c r="I204" s="425">
        <f t="array" ref="I204">MAX((IF(MNU_CODIGO_ALIMENTO_ENTREGA=CONCATENATE($E204,"_","P_"),MNU_GRAMAJE_REQUERIDO_TIPOA,"")))</f>
        <v>20</v>
      </c>
      <c r="J204" s="257">
        <f t="shared" si="150"/>
        <v>4807</v>
      </c>
      <c r="K204" s="257">
        <f t="shared" si="151"/>
        <v>76912</v>
      </c>
      <c r="L204" s="446">
        <f t="shared" si="152"/>
        <v>190</v>
      </c>
      <c r="M204" s="446">
        <f t="shared" si="153"/>
        <v>9.2720000000000002</v>
      </c>
      <c r="N204" s="446">
        <f t="shared" si="154"/>
        <v>0.16340304</v>
      </c>
      <c r="O204" s="446">
        <f t="shared" si="155"/>
        <v>199</v>
      </c>
      <c r="P204" s="258">
        <f t="shared" si="156"/>
        <v>14613280</v>
      </c>
      <c r="Q204" s="258">
        <f t="shared" si="157"/>
        <v>15305488</v>
      </c>
      <c r="R204" s="426">
        <f t="shared" si="158"/>
        <v>16</v>
      </c>
      <c r="S204" s="426">
        <f t="array" ref="S204">MAX((IF(MNU_CODIGO_ALIMENTO_ENTREGA=CONCATENATE($E204,"_","P_"),MNU_GRAMAJE_REQUERIDO_TIPOB,"")))</f>
        <v>30</v>
      </c>
      <c r="T204" s="259">
        <f t="shared" si="159"/>
        <v>6802</v>
      </c>
      <c r="U204" s="259">
        <f t="shared" si="160"/>
        <v>108832</v>
      </c>
      <c r="V204" s="446">
        <f t="shared" si="161"/>
        <v>284</v>
      </c>
      <c r="W204" s="446">
        <f t="shared" si="162"/>
        <v>13.8592</v>
      </c>
      <c r="X204" s="446">
        <f t="shared" si="163"/>
        <v>0.24424454399999998</v>
      </c>
      <c r="Y204" s="446">
        <f t="shared" si="164"/>
        <v>298</v>
      </c>
      <c r="Z204" s="260">
        <f t="shared" si="165"/>
        <v>30908288</v>
      </c>
      <c r="AA204" s="260">
        <f t="shared" si="166"/>
        <v>32431936</v>
      </c>
      <c r="AB204" s="425">
        <f t="shared" si="167"/>
        <v>16</v>
      </c>
      <c r="AC204" s="425">
        <f t="array" ref="AC204">MAX((IF(MNU_CODIGO_ALIMENTO_ENTREGA=CONCATENATE($E204,"_","P_"),MNU_GRAMAJE_REQUERIDO_TIPOC,"")))</f>
        <v>60</v>
      </c>
      <c r="AD204" s="257">
        <f t="shared" si="168"/>
        <v>6799</v>
      </c>
      <c r="AE204" s="257">
        <f t="shared" si="169"/>
        <v>108784</v>
      </c>
      <c r="AF204" s="446">
        <f t="shared" si="170"/>
        <v>569</v>
      </c>
      <c r="AG204" s="446">
        <f t="shared" si="171"/>
        <v>27.767199999999999</v>
      </c>
      <c r="AH204" s="446">
        <f t="shared" si="172"/>
        <v>0.48934910400000003</v>
      </c>
      <c r="AI204" s="446">
        <f t="shared" si="173"/>
        <v>597</v>
      </c>
      <c r="AJ204" s="258">
        <f t="shared" si="174"/>
        <v>61898096</v>
      </c>
      <c r="AK204" s="258">
        <f t="shared" si="175"/>
        <v>64944048</v>
      </c>
      <c r="AL204" s="426">
        <f t="shared" si="176"/>
        <v>16</v>
      </c>
      <c r="AM204" s="426">
        <f t="array" ref="AM204">MAX((IF(MNU_CODIGO_ALIMENTO_ENTREGA=CONCATENATE($E204,"_","P_"),MNU_GRAMAJE_REQUERIDO_TIPOM,"")))</f>
        <v>30</v>
      </c>
      <c r="AN204" s="259">
        <f t="shared" si="177"/>
        <v>367</v>
      </c>
      <c r="AO204" s="259">
        <f t="shared" si="178"/>
        <v>5872</v>
      </c>
      <c r="AP204" s="446">
        <f t="shared" si="179"/>
        <v>284</v>
      </c>
      <c r="AQ204" s="446">
        <f t="shared" si="180"/>
        <v>13.8592</v>
      </c>
      <c r="AR204" s="446">
        <f t="shared" si="181"/>
        <v>0.24424454399999998</v>
      </c>
      <c r="AS204" s="446">
        <f t="shared" si="182"/>
        <v>298</v>
      </c>
      <c r="AT204" s="260">
        <f t="shared" si="183"/>
        <v>1667648</v>
      </c>
      <c r="AU204" s="260">
        <f t="shared" si="184"/>
        <v>1749856</v>
      </c>
      <c r="AV204" s="425">
        <f t="shared" si="185"/>
        <v>16</v>
      </c>
      <c r="AW204" s="425">
        <f t="array" ref="AW204">MAX((IF(MNU_CODIGO_ALIMENTO_ENTREGA=CONCATENATE($E204,"_","P_"),MNU_GRAMAJE_REQUERIDO_TIPOH,"")))</f>
        <v>60</v>
      </c>
      <c r="AX204" s="257">
        <f t="shared" si="186"/>
        <v>402</v>
      </c>
      <c r="AY204" s="257">
        <f t="shared" si="187"/>
        <v>6432</v>
      </c>
      <c r="AZ204" s="446">
        <f t="shared" si="188"/>
        <v>569</v>
      </c>
      <c r="BA204" s="446">
        <f t="shared" si="189"/>
        <v>27.767199999999999</v>
      </c>
      <c r="BB204" s="446">
        <f t="shared" si="190"/>
        <v>0.48934910400000003</v>
      </c>
      <c r="BC204" s="446">
        <f t="shared" si="191"/>
        <v>597</v>
      </c>
      <c r="BD204" s="258">
        <f t="shared" si="192"/>
        <v>3659808</v>
      </c>
      <c r="BE204" s="258">
        <f t="shared" si="193"/>
        <v>3839904</v>
      </c>
      <c r="BF204" s="391">
        <f t="shared" si="194"/>
        <v>112747120</v>
      </c>
      <c r="BG204" s="391">
        <f t="shared" si="195"/>
        <v>118271232</v>
      </c>
    </row>
    <row r="205" spans="1:59" ht="15.75">
      <c r="A205" s="333">
        <v>16</v>
      </c>
      <c r="B205" s="333" t="str">
        <f t="shared" si="147"/>
        <v>CEREAL EMPACADO_16</v>
      </c>
      <c r="C205" s="333" t="str">
        <f t="shared" si="148"/>
        <v>50_16</v>
      </c>
      <c r="D205" s="333" t="s">
        <v>1607</v>
      </c>
      <c r="E205" s="256">
        <v>50</v>
      </c>
      <c r="F205" s="322" t="s">
        <v>65</v>
      </c>
      <c r="G205" s="256" t="s">
        <v>9</v>
      </c>
      <c r="H205" s="425">
        <f t="shared" si="149"/>
        <v>17</v>
      </c>
      <c r="I205" s="425">
        <f t="array" ref="I205">MAX((IF(MNU_CODIGO_ALIMENTO_ENTREGA=CONCATENATE($E205,"_","P_"),MNU_GRAMAJE_REQUERIDO_TIPOA,"")))</f>
        <v>30</v>
      </c>
      <c r="J205" s="257">
        <f t="shared" si="150"/>
        <v>4807</v>
      </c>
      <c r="K205" s="257">
        <f t="shared" si="151"/>
        <v>81719</v>
      </c>
      <c r="L205" s="446">
        <f t="shared" si="152"/>
        <v>306</v>
      </c>
      <c r="M205" s="446">
        <f t="shared" si="153"/>
        <v>14.9328</v>
      </c>
      <c r="N205" s="446">
        <f t="shared" si="154"/>
        <v>0.26316489599999998</v>
      </c>
      <c r="O205" s="446">
        <f t="shared" si="155"/>
        <v>321</v>
      </c>
      <c r="P205" s="258">
        <f t="shared" si="156"/>
        <v>25006014</v>
      </c>
      <c r="Q205" s="258">
        <f t="shared" si="157"/>
        <v>26231799</v>
      </c>
      <c r="R205" s="426">
        <f t="shared" si="158"/>
        <v>17</v>
      </c>
      <c r="S205" s="426">
        <f t="array" ref="S205">MAX((IF(MNU_CODIGO_ALIMENTO_ENTREGA=CONCATENATE($E205,"_","P_"),MNU_GRAMAJE_REQUERIDO_TIPOB,"")))</f>
        <v>40</v>
      </c>
      <c r="T205" s="259">
        <f t="shared" si="159"/>
        <v>6802</v>
      </c>
      <c r="U205" s="259">
        <f t="shared" si="160"/>
        <v>115634</v>
      </c>
      <c r="V205" s="446">
        <f t="shared" si="161"/>
        <v>408</v>
      </c>
      <c r="W205" s="446">
        <f t="shared" si="162"/>
        <v>19.910400000000003</v>
      </c>
      <c r="X205" s="446">
        <f t="shared" si="163"/>
        <v>0.35088652799999998</v>
      </c>
      <c r="Y205" s="446">
        <f t="shared" si="164"/>
        <v>428</v>
      </c>
      <c r="Z205" s="260">
        <f t="shared" si="165"/>
        <v>47178672</v>
      </c>
      <c r="AA205" s="260">
        <f t="shared" si="166"/>
        <v>49491352</v>
      </c>
      <c r="AB205" s="425">
        <f t="shared" si="167"/>
        <v>17</v>
      </c>
      <c r="AC205" s="425">
        <f t="array" ref="AC205">MAX((IF(MNU_CODIGO_ALIMENTO_ENTREGA=CONCATENATE($E205,"_","P_"),MNU_GRAMAJE_REQUERIDO_TIPOC,"")))</f>
        <v>80</v>
      </c>
      <c r="AD205" s="257">
        <f t="shared" si="168"/>
        <v>6799</v>
      </c>
      <c r="AE205" s="257">
        <f t="shared" si="169"/>
        <v>115583</v>
      </c>
      <c r="AF205" s="446">
        <f t="shared" si="170"/>
        <v>815</v>
      </c>
      <c r="AG205" s="446">
        <f t="shared" si="171"/>
        <v>39.772000000000006</v>
      </c>
      <c r="AH205" s="446">
        <f t="shared" si="172"/>
        <v>0.7009130400000001</v>
      </c>
      <c r="AI205" s="446">
        <f t="shared" si="173"/>
        <v>855</v>
      </c>
      <c r="AJ205" s="258">
        <f t="shared" si="174"/>
        <v>94200145</v>
      </c>
      <c r="AK205" s="258">
        <f t="shared" si="175"/>
        <v>98823465</v>
      </c>
      <c r="AL205" s="426">
        <f t="shared" si="176"/>
        <v>17</v>
      </c>
      <c r="AM205" s="426">
        <f t="array" ref="AM205">MAX((IF(MNU_CODIGO_ALIMENTO_ENTREGA=CONCATENATE($E205,"_","P_"),MNU_GRAMAJE_REQUERIDO_TIPOM,"")))</f>
        <v>40</v>
      </c>
      <c r="AN205" s="259">
        <f t="shared" si="177"/>
        <v>367</v>
      </c>
      <c r="AO205" s="259">
        <f t="shared" si="178"/>
        <v>6239</v>
      </c>
      <c r="AP205" s="446">
        <f t="shared" si="179"/>
        <v>408</v>
      </c>
      <c r="AQ205" s="446">
        <f t="shared" si="180"/>
        <v>19.910400000000003</v>
      </c>
      <c r="AR205" s="446">
        <f t="shared" si="181"/>
        <v>0.35088652799999998</v>
      </c>
      <c r="AS205" s="446">
        <f t="shared" si="182"/>
        <v>428</v>
      </c>
      <c r="AT205" s="260">
        <f t="shared" si="183"/>
        <v>2545512</v>
      </c>
      <c r="AU205" s="260">
        <f t="shared" si="184"/>
        <v>2670292</v>
      </c>
      <c r="AV205" s="425">
        <f t="shared" si="185"/>
        <v>17</v>
      </c>
      <c r="AW205" s="425">
        <f t="array" ref="AW205">MAX((IF(MNU_CODIGO_ALIMENTO_ENTREGA=CONCATENATE($E205,"_","P_"),MNU_GRAMAJE_REQUERIDO_TIPOH,"")))</f>
        <v>80</v>
      </c>
      <c r="AX205" s="257">
        <f t="shared" si="186"/>
        <v>402</v>
      </c>
      <c r="AY205" s="257">
        <f t="shared" si="187"/>
        <v>6834</v>
      </c>
      <c r="AZ205" s="446">
        <f t="shared" si="188"/>
        <v>815</v>
      </c>
      <c r="BA205" s="446">
        <f t="shared" si="189"/>
        <v>39.772000000000006</v>
      </c>
      <c r="BB205" s="446">
        <f t="shared" si="190"/>
        <v>0.7009130400000001</v>
      </c>
      <c r="BC205" s="446">
        <f t="shared" si="191"/>
        <v>855</v>
      </c>
      <c r="BD205" s="258">
        <f t="shared" si="192"/>
        <v>5569710</v>
      </c>
      <c r="BE205" s="258">
        <f t="shared" si="193"/>
        <v>5843070</v>
      </c>
      <c r="BF205" s="391">
        <f t="shared" si="194"/>
        <v>174500053</v>
      </c>
      <c r="BG205" s="391">
        <f t="shared" si="195"/>
        <v>183059978</v>
      </c>
    </row>
    <row r="206" spans="1:59" ht="15.75">
      <c r="A206" s="333">
        <v>16</v>
      </c>
      <c r="B206" s="333" t="str">
        <f t="shared" si="147"/>
        <v>CEREAL EMPACADO_16</v>
      </c>
      <c r="C206" s="333" t="str">
        <f t="shared" si="148"/>
        <v>61_16</v>
      </c>
      <c r="D206" s="333" t="s">
        <v>1607</v>
      </c>
      <c r="E206" s="256">
        <v>61</v>
      </c>
      <c r="F206" s="322" t="s">
        <v>13</v>
      </c>
      <c r="G206" s="256" t="s">
        <v>9</v>
      </c>
      <c r="H206" s="425">
        <f t="shared" si="149"/>
        <v>16</v>
      </c>
      <c r="I206" s="425">
        <f t="array" ref="I206">MAX((IF(MNU_CODIGO_ALIMENTO_ENTREGA=CONCATENATE($E206,"_","P_"),MNU_GRAMAJE_REQUERIDO_TIPOA,"")))</f>
        <v>20</v>
      </c>
      <c r="J206" s="257">
        <f t="shared" si="150"/>
        <v>4807</v>
      </c>
      <c r="K206" s="257">
        <f t="shared" si="151"/>
        <v>76912</v>
      </c>
      <c r="L206" s="446">
        <f t="shared" si="152"/>
        <v>222</v>
      </c>
      <c r="M206" s="446">
        <f t="shared" si="153"/>
        <v>10.833600000000001</v>
      </c>
      <c r="N206" s="446">
        <f t="shared" si="154"/>
        <v>0.190923552</v>
      </c>
      <c r="O206" s="446">
        <f t="shared" si="155"/>
        <v>233</v>
      </c>
      <c r="P206" s="258">
        <f t="shared" si="156"/>
        <v>17074464</v>
      </c>
      <c r="Q206" s="258">
        <f t="shared" si="157"/>
        <v>17920496</v>
      </c>
      <c r="R206" s="426">
        <f t="shared" si="158"/>
        <v>16</v>
      </c>
      <c r="S206" s="426">
        <f t="array" ref="S206">MAX((IF(MNU_CODIGO_ALIMENTO_ENTREGA=CONCATENATE($E206,"_","P_"),MNU_GRAMAJE_REQUERIDO_TIPOB,"")))</f>
        <v>30</v>
      </c>
      <c r="T206" s="259">
        <f t="shared" si="159"/>
        <v>6802</v>
      </c>
      <c r="U206" s="259">
        <f t="shared" si="160"/>
        <v>108832</v>
      </c>
      <c r="V206" s="446">
        <f t="shared" si="161"/>
        <v>334</v>
      </c>
      <c r="W206" s="446">
        <f t="shared" si="162"/>
        <v>16.299199999999999</v>
      </c>
      <c r="X206" s="446">
        <f t="shared" si="163"/>
        <v>0.28724534400000001</v>
      </c>
      <c r="Y206" s="446">
        <f t="shared" si="164"/>
        <v>351</v>
      </c>
      <c r="Z206" s="260">
        <f t="shared" si="165"/>
        <v>36349888</v>
      </c>
      <c r="AA206" s="260">
        <f t="shared" si="166"/>
        <v>38200032</v>
      </c>
      <c r="AB206" s="425">
        <f t="shared" si="167"/>
        <v>16</v>
      </c>
      <c r="AC206" s="425">
        <f t="array" ref="AC206">MAX((IF(MNU_CODIGO_ALIMENTO_ENTREGA=CONCATENATE($E206,"_","P_"),MNU_GRAMAJE_REQUERIDO_TIPOC,"")))</f>
        <v>70</v>
      </c>
      <c r="AD206" s="257">
        <f t="shared" si="168"/>
        <v>6799</v>
      </c>
      <c r="AE206" s="257">
        <f t="shared" si="169"/>
        <v>108784</v>
      </c>
      <c r="AF206" s="446">
        <f t="shared" si="170"/>
        <v>779</v>
      </c>
      <c r="AG206" s="446">
        <f t="shared" si="171"/>
        <v>38.0152</v>
      </c>
      <c r="AH206" s="446">
        <f t="shared" si="172"/>
        <v>0.66995246400000008</v>
      </c>
      <c r="AI206" s="446">
        <f t="shared" si="173"/>
        <v>818</v>
      </c>
      <c r="AJ206" s="258">
        <f t="shared" si="174"/>
        <v>84742736</v>
      </c>
      <c r="AK206" s="258">
        <f t="shared" si="175"/>
        <v>88985312</v>
      </c>
      <c r="AL206" s="426">
        <f t="shared" si="176"/>
        <v>16</v>
      </c>
      <c r="AM206" s="426">
        <f t="array" ref="AM206">MAX((IF(MNU_CODIGO_ALIMENTO_ENTREGA=CONCATENATE($E206,"_","P_"),MNU_GRAMAJE_REQUERIDO_TIPOM,"")))</f>
        <v>30</v>
      </c>
      <c r="AN206" s="259">
        <f t="shared" si="177"/>
        <v>367</v>
      </c>
      <c r="AO206" s="259">
        <f t="shared" si="178"/>
        <v>5872</v>
      </c>
      <c r="AP206" s="446">
        <f t="shared" si="179"/>
        <v>334</v>
      </c>
      <c r="AQ206" s="446">
        <f t="shared" si="180"/>
        <v>16.299199999999999</v>
      </c>
      <c r="AR206" s="446">
        <f t="shared" si="181"/>
        <v>0.28724534400000001</v>
      </c>
      <c r="AS206" s="446">
        <f t="shared" si="182"/>
        <v>351</v>
      </c>
      <c r="AT206" s="260">
        <f t="shared" si="183"/>
        <v>1961248</v>
      </c>
      <c r="AU206" s="260">
        <f t="shared" si="184"/>
        <v>2061072</v>
      </c>
      <c r="AV206" s="425">
        <f t="shared" si="185"/>
        <v>16</v>
      </c>
      <c r="AW206" s="425">
        <f t="array" ref="AW206">MAX((IF(MNU_CODIGO_ALIMENTO_ENTREGA=CONCATENATE($E206,"_","P_"),MNU_GRAMAJE_REQUERIDO_TIPOH,"")))</f>
        <v>70</v>
      </c>
      <c r="AX206" s="257">
        <f t="shared" si="186"/>
        <v>402</v>
      </c>
      <c r="AY206" s="257">
        <f t="shared" si="187"/>
        <v>6432</v>
      </c>
      <c r="AZ206" s="446">
        <f t="shared" si="188"/>
        <v>779</v>
      </c>
      <c r="BA206" s="446">
        <f t="shared" si="189"/>
        <v>38.0152</v>
      </c>
      <c r="BB206" s="446">
        <f t="shared" si="190"/>
        <v>0.66995246400000008</v>
      </c>
      <c r="BC206" s="446">
        <f t="shared" si="191"/>
        <v>818</v>
      </c>
      <c r="BD206" s="258">
        <f t="shared" si="192"/>
        <v>5010528</v>
      </c>
      <c r="BE206" s="258">
        <f t="shared" si="193"/>
        <v>5261376</v>
      </c>
      <c r="BF206" s="391">
        <f t="shared" si="194"/>
        <v>145138864</v>
      </c>
      <c r="BG206" s="391">
        <f t="shared" si="195"/>
        <v>152428288</v>
      </c>
    </row>
    <row r="207" spans="1:59" ht="15.75">
      <c r="A207" s="333">
        <v>16</v>
      </c>
      <c r="B207" s="333" t="str">
        <f t="shared" si="147"/>
        <v>CEREAL EMPACADO_16</v>
      </c>
      <c r="C207" s="333" t="str">
        <f t="shared" si="148"/>
        <v>62_16</v>
      </c>
      <c r="D207" s="333" t="s">
        <v>1607</v>
      </c>
      <c r="E207" s="256">
        <v>62</v>
      </c>
      <c r="F207" s="322" t="s">
        <v>68</v>
      </c>
      <c r="G207" s="256" t="s">
        <v>9</v>
      </c>
      <c r="H207" s="425">
        <f t="shared" si="149"/>
        <v>5</v>
      </c>
      <c r="I207" s="425">
        <f t="array" ref="I207">MAX((IF(MNU_CODIGO_ALIMENTO_ENTREGA=CONCATENATE($E207,"_","P_"),MNU_GRAMAJE_REQUERIDO_TIPOA,"")))</f>
        <v>50</v>
      </c>
      <c r="J207" s="257">
        <f t="shared" si="150"/>
        <v>4807</v>
      </c>
      <c r="K207" s="257">
        <f t="shared" si="151"/>
        <v>24035</v>
      </c>
      <c r="L207" s="446">
        <f t="shared" si="152"/>
        <v>595</v>
      </c>
      <c r="M207" s="446">
        <f t="shared" si="153"/>
        <v>29.036000000000001</v>
      </c>
      <c r="N207" s="446">
        <f t="shared" si="154"/>
        <v>0.51170952000000014</v>
      </c>
      <c r="O207" s="446">
        <f t="shared" si="155"/>
        <v>625</v>
      </c>
      <c r="P207" s="258">
        <f t="shared" si="156"/>
        <v>14300825</v>
      </c>
      <c r="Q207" s="258">
        <f t="shared" si="157"/>
        <v>15021875</v>
      </c>
      <c r="R207" s="426">
        <f t="shared" si="158"/>
        <v>5</v>
      </c>
      <c r="S207" s="426">
        <f t="array" ref="S207">MAX((IF(MNU_CODIGO_ALIMENTO_ENTREGA=CONCATENATE($E207,"_","P_"),MNU_GRAMAJE_REQUERIDO_TIPOB,"")))</f>
        <v>50</v>
      </c>
      <c r="T207" s="259">
        <f t="shared" si="159"/>
        <v>6802</v>
      </c>
      <c r="U207" s="259">
        <f t="shared" si="160"/>
        <v>34010</v>
      </c>
      <c r="V207" s="446">
        <f t="shared" si="161"/>
        <v>595</v>
      </c>
      <c r="W207" s="446">
        <f t="shared" si="162"/>
        <v>29.036000000000001</v>
      </c>
      <c r="X207" s="446">
        <f t="shared" si="163"/>
        <v>0.51170952000000014</v>
      </c>
      <c r="Y207" s="446">
        <f t="shared" si="164"/>
        <v>625</v>
      </c>
      <c r="Z207" s="260">
        <f t="shared" si="165"/>
        <v>20235950</v>
      </c>
      <c r="AA207" s="260">
        <f t="shared" si="166"/>
        <v>21256250</v>
      </c>
      <c r="AB207" s="425">
        <f t="shared" si="167"/>
        <v>5</v>
      </c>
      <c r="AC207" s="425">
        <f t="array" ref="AC207">MAX((IF(MNU_CODIGO_ALIMENTO_ENTREGA=CONCATENATE($E207,"_","P_"),MNU_GRAMAJE_REQUERIDO_TIPOC,"")))</f>
        <v>50</v>
      </c>
      <c r="AD207" s="257">
        <f t="shared" si="168"/>
        <v>6799</v>
      </c>
      <c r="AE207" s="257">
        <f t="shared" si="169"/>
        <v>33995</v>
      </c>
      <c r="AF207" s="446">
        <f t="shared" si="170"/>
        <v>595</v>
      </c>
      <c r="AG207" s="446">
        <f t="shared" si="171"/>
        <v>29.036000000000001</v>
      </c>
      <c r="AH207" s="446">
        <f t="shared" si="172"/>
        <v>0.51170952000000014</v>
      </c>
      <c r="AI207" s="446">
        <f t="shared" si="173"/>
        <v>625</v>
      </c>
      <c r="AJ207" s="258">
        <f t="shared" si="174"/>
        <v>20227025</v>
      </c>
      <c r="AK207" s="258">
        <f t="shared" si="175"/>
        <v>21246875</v>
      </c>
      <c r="AL207" s="426">
        <f t="shared" si="176"/>
        <v>5</v>
      </c>
      <c r="AM207" s="426">
        <f t="array" ref="AM207">MAX((IF(MNU_CODIGO_ALIMENTO_ENTREGA=CONCATENATE($E207,"_","P_"),MNU_GRAMAJE_REQUERIDO_TIPOM,"")))</f>
        <v>50</v>
      </c>
      <c r="AN207" s="259">
        <f t="shared" si="177"/>
        <v>367</v>
      </c>
      <c r="AO207" s="259">
        <f t="shared" si="178"/>
        <v>1835</v>
      </c>
      <c r="AP207" s="446">
        <f t="shared" si="179"/>
        <v>595</v>
      </c>
      <c r="AQ207" s="446">
        <f t="shared" si="180"/>
        <v>29.036000000000001</v>
      </c>
      <c r="AR207" s="446">
        <f t="shared" si="181"/>
        <v>0.51170952000000014</v>
      </c>
      <c r="AS207" s="446">
        <f t="shared" si="182"/>
        <v>625</v>
      </c>
      <c r="AT207" s="260">
        <f t="shared" si="183"/>
        <v>1091825</v>
      </c>
      <c r="AU207" s="260">
        <f t="shared" si="184"/>
        <v>1146875</v>
      </c>
      <c r="AV207" s="425">
        <f t="shared" si="185"/>
        <v>5</v>
      </c>
      <c r="AW207" s="425">
        <f t="array" ref="AW207">MAX((IF(MNU_CODIGO_ALIMENTO_ENTREGA=CONCATENATE($E207,"_","P_"),MNU_GRAMAJE_REQUERIDO_TIPOH,"")))</f>
        <v>50</v>
      </c>
      <c r="AX207" s="257">
        <f t="shared" si="186"/>
        <v>402</v>
      </c>
      <c r="AY207" s="257">
        <f t="shared" si="187"/>
        <v>2010</v>
      </c>
      <c r="AZ207" s="446">
        <f t="shared" si="188"/>
        <v>595</v>
      </c>
      <c r="BA207" s="446">
        <f t="shared" si="189"/>
        <v>29.036000000000001</v>
      </c>
      <c r="BB207" s="446">
        <f t="shared" si="190"/>
        <v>0.51170952000000014</v>
      </c>
      <c r="BC207" s="446">
        <f t="shared" si="191"/>
        <v>625</v>
      </c>
      <c r="BD207" s="258">
        <f t="shared" si="192"/>
        <v>1195950</v>
      </c>
      <c r="BE207" s="258">
        <f t="shared" si="193"/>
        <v>1256250</v>
      </c>
      <c r="BF207" s="391">
        <f t="shared" si="194"/>
        <v>57051575</v>
      </c>
      <c r="BG207" s="391">
        <f t="shared" si="195"/>
        <v>59928125</v>
      </c>
    </row>
    <row r="208" spans="1:59" ht="15.75">
      <c r="A208" s="333">
        <v>17</v>
      </c>
      <c r="B208" s="333" t="str">
        <f t="shared" si="147"/>
        <v>CEREAL EMPACADO_17</v>
      </c>
      <c r="C208" s="333" t="str">
        <f t="shared" si="148"/>
        <v>1_17</v>
      </c>
      <c r="D208" s="333" t="s">
        <v>1607</v>
      </c>
      <c r="E208" s="256">
        <v>1</v>
      </c>
      <c r="F208" s="322" t="s">
        <v>16</v>
      </c>
      <c r="G208" s="256" t="s">
        <v>9</v>
      </c>
      <c r="H208" s="425">
        <f t="shared" si="149"/>
        <v>15</v>
      </c>
      <c r="I208" s="425">
        <f t="array" ref="I208">MAX((IF(MNU_CODIGO_ALIMENTO_ENTREGA=CONCATENATE($E208,"_","P_"),MNU_GRAMAJE_REQUERIDO_TIPOA,"")))</f>
        <v>30</v>
      </c>
      <c r="J208" s="257">
        <f t="shared" si="150"/>
        <v>5655</v>
      </c>
      <c r="K208" s="257">
        <f t="shared" si="151"/>
        <v>84825</v>
      </c>
      <c r="L208" s="446">
        <f t="shared" si="152"/>
        <v>770</v>
      </c>
      <c r="M208" s="446">
        <f t="shared" si="153"/>
        <v>37.576000000000008</v>
      </c>
      <c r="N208" s="446">
        <f t="shared" si="154"/>
        <v>0.66221231999999997</v>
      </c>
      <c r="O208" s="446">
        <f t="shared" si="155"/>
        <v>808</v>
      </c>
      <c r="P208" s="258">
        <f t="shared" si="156"/>
        <v>65315250</v>
      </c>
      <c r="Q208" s="258">
        <f t="shared" si="157"/>
        <v>68538600</v>
      </c>
      <c r="R208" s="426">
        <f t="shared" si="158"/>
        <v>15</v>
      </c>
      <c r="S208" s="426">
        <f t="array" ref="S208">MAX((IF(MNU_CODIGO_ALIMENTO_ENTREGA=CONCATENATE($E208,"_","P_"),MNU_GRAMAJE_REQUERIDO_TIPOB,"")))</f>
        <v>40</v>
      </c>
      <c r="T208" s="259">
        <f t="shared" si="159"/>
        <v>7756</v>
      </c>
      <c r="U208" s="259">
        <f t="shared" si="160"/>
        <v>116340</v>
      </c>
      <c r="V208" s="446">
        <f t="shared" si="161"/>
        <v>1027</v>
      </c>
      <c r="W208" s="446">
        <f t="shared" si="162"/>
        <v>50.117600000000003</v>
      </c>
      <c r="X208" s="446">
        <f t="shared" si="163"/>
        <v>0.88323643200000013</v>
      </c>
      <c r="Y208" s="446">
        <f t="shared" si="164"/>
        <v>1078</v>
      </c>
      <c r="Z208" s="260">
        <f t="shared" si="165"/>
        <v>119481180</v>
      </c>
      <c r="AA208" s="260">
        <f t="shared" si="166"/>
        <v>125414520</v>
      </c>
      <c r="AB208" s="425">
        <f t="shared" si="167"/>
        <v>15</v>
      </c>
      <c r="AC208" s="425">
        <f t="array" ref="AC208">MAX((IF(MNU_CODIGO_ALIMENTO_ENTREGA=CONCATENATE($E208,"_","P_"),MNU_GRAMAJE_REQUERIDO_TIPOC,"")))</f>
        <v>60</v>
      </c>
      <c r="AD208" s="257">
        <f t="shared" si="168"/>
        <v>7978</v>
      </c>
      <c r="AE208" s="257">
        <f t="shared" si="169"/>
        <v>119670</v>
      </c>
      <c r="AF208" s="446">
        <f t="shared" si="170"/>
        <v>1540</v>
      </c>
      <c r="AG208" s="446">
        <f t="shared" si="171"/>
        <v>75.152000000000015</v>
      </c>
      <c r="AH208" s="446">
        <f t="shared" si="172"/>
        <v>1.3244246399999999</v>
      </c>
      <c r="AI208" s="446">
        <f t="shared" si="173"/>
        <v>1616</v>
      </c>
      <c r="AJ208" s="258">
        <f t="shared" si="174"/>
        <v>184291800</v>
      </c>
      <c r="AK208" s="258">
        <f t="shared" si="175"/>
        <v>193386720</v>
      </c>
      <c r="AL208" s="426">
        <f t="shared" si="176"/>
        <v>15</v>
      </c>
      <c r="AM208" s="426">
        <f t="array" ref="AM208">MAX((IF(MNU_CODIGO_ALIMENTO_ENTREGA=CONCATENATE($E208,"_","P_"),MNU_GRAMAJE_REQUERIDO_TIPOM,"")))</f>
        <v>40</v>
      </c>
      <c r="AN208" s="259">
        <f t="shared" si="177"/>
        <v>285</v>
      </c>
      <c r="AO208" s="259">
        <f t="shared" si="178"/>
        <v>4275</v>
      </c>
      <c r="AP208" s="446">
        <f t="shared" si="179"/>
        <v>1027</v>
      </c>
      <c r="AQ208" s="446">
        <f t="shared" si="180"/>
        <v>50.117600000000003</v>
      </c>
      <c r="AR208" s="446">
        <f t="shared" si="181"/>
        <v>0.88323643200000013</v>
      </c>
      <c r="AS208" s="446">
        <f t="shared" si="182"/>
        <v>1078</v>
      </c>
      <c r="AT208" s="260">
        <f t="shared" si="183"/>
        <v>4390425</v>
      </c>
      <c r="AU208" s="260">
        <f t="shared" si="184"/>
        <v>4608450</v>
      </c>
      <c r="AV208" s="425">
        <f t="shared" si="185"/>
        <v>15</v>
      </c>
      <c r="AW208" s="425">
        <f t="array" ref="AW208">MAX((IF(MNU_CODIGO_ALIMENTO_ENTREGA=CONCATENATE($E208,"_","P_"),MNU_GRAMAJE_REQUERIDO_TIPOH,"")))</f>
        <v>60</v>
      </c>
      <c r="AX208" s="257">
        <f t="shared" si="186"/>
        <v>294</v>
      </c>
      <c r="AY208" s="257">
        <f t="shared" si="187"/>
        <v>4410</v>
      </c>
      <c r="AZ208" s="446">
        <f t="shared" si="188"/>
        <v>1540</v>
      </c>
      <c r="BA208" s="446">
        <f t="shared" si="189"/>
        <v>75.152000000000015</v>
      </c>
      <c r="BB208" s="446">
        <f t="shared" si="190"/>
        <v>1.3244246399999999</v>
      </c>
      <c r="BC208" s="446">
        <f t="shared" si="191"/>
        <v>1616</v>
      </c>
      <c r="BD208" s="258">
        <f t="shared" si="192"/>
        <v>6791400</v>
      </c>
      <c r="BE208" s="258">
        <f t="shared" si="193"/>
        <v>7126560</v>
      </c>
      <c r="BF208" s="391">
        <f t="shared" si="194"/>
        <v>380270055</v>
      </c>
      <c r="BG208" s="391">
        <f t="shared" si="195"/>
        <v>399074850</v>
      </c>
    </row>
    <row r="209" spans="1:59" ht="15.75">
      <c r="A209" s="333">
        <v>17</v>
      </c>
      <c r="B209" s="333" t="str">
        <f t="shared" si="147"/>
        <v>CEREAL EMPACADO_17</v>
      </c>
      <c r="C209" s="333" t="str">
        <f t="shared" si="148"/>
        <v>3_17</v>
      </c>
      <c r="D209" s="333" t="s">
        <v>1607</v>
      </c>
      <c r="E209" s="256">
        <v>3</v>
      </c>
      <c r="F209" s="322" t="s">
        <v>12</v>
      </c>
      <c r="G209" s="256" t="s">
        <v>9</v>
      </c>
      <c r="H209" s="425">
        <f t="shared" si="149"/>
        <v>17</v>
      </c>
      <c r="I209" s="425">
        <f t="array" ref="I209">MAX((IF(MNU_CODIGO_ALIMENTO_ENTREGA=CONCATENATE($E209,"_","P_"),MNU_GRAMAJE_REQUERIDO_TIPOA,"")))</f>
        <v>50</v>
      </c>
      <c r="J209" s="257">
        <f t="shared" si="150"/>
        <v>5655</v>
      </c>
      <c r="K209" s="257">
        <f t="shared" si="151"/>
        <v>96135</v>
      </c>
      <c r="L209" s="446">
        <f t="shared" si="152"/>
        <v>481</v>
      </c>
      <c r="M209" s="446">
        <f t="shared" si="153"/>
        <v>23.472799999999999</v>
      </c>
      <c r="N209" s="446">
        <f t="shared" si="154"/>
        <v>0.41366769599999997</v>
      </c>
      <c r="O209" s="446">
        <f t="shared" si="155"/>
        <v>505</v>
      </c>
      <c r="P209" s="258">
        <f t="shared" si="156"/>
        <v>46240935</v>
      </c>
      <c r="Q209" s="258">
        <f t="shared" si="157"/>
        <v>48548175</v>
      </c>
      <c r="R209" s="426">
        <f t="shared" si="158"/>
        <v>17</v>
      </c>
      <c r="S209" s="426">
        <f t="array" ref="S209">MAX((IF(MNU_CODIGO_ALIMENTO_ENTREGA=CONCATENATE($E209,"_","P_"),MNU_GRAMAJE_REQUERIDO_TIPOB,"")))</f>
        <v>50</v>
      </c>
      <c r="T209" s="259">
        <f t="shared" si="159"/>
        <v>7756</v>
      </c>
      <c r="U209" s="259">
        <f t="shared" si="160"/>
        <v>131852</v>
      </c>
      <c r="V209" s="446">
        <f t="shared" si="161"/>
        <v>481</v>
      </c>
      <c r="W209" s="446">
        <f t="shared" si="162"/>
        <v>23.472799999999999</v>
      </c>
      <c r="X209" s="446">
        <f t="shared" si="163"/>
        <v>0.41366769599999997</v>
      </c>
      <c r="Y209" s="446">
        <f t="shared" si="164"/>
        <v>505</v>
      </c>
      <c r="Z209" s="260">
        <f t="shared" si="165"/>
        <v>63420812</v>
      </c>
      <c r="AA209" s="260">
        <f t="shared" si="166"/>
        <v>66585260</v>
      </c>
      <c r="AB209" s="425">
        <f t="shared" si="167"/>
        <v>17</v>
      </c>
      <c r="AC209" s="425">
        <f t="array" ref="AC209">MAX((IF(MNU_CODIGO_ALIMENTO_ENTREGA=CONCATENATE($E209,"_","P_"),MNU_GRAMAJE_REQUERIDO_TIPOC,"")))</f>
        <v>80</v>
      </c>
      <c r="AD209" s="257">
        <f t="shared" si="168"/>
        <v>7978</v>
      </c>
      <c r="AE209" s="257">
        <f t="shared" si="169"/>
        <v>135626</v>
      </c>
      <c r="AF209" s="446">
        <f t="shared" si="170"/>
        <v>727</v>
      </c>
      <c r="AG209" s="446">
        <f t="shared" si="171"/>
        <v>35.477600000000002</v>
      </c>
      <c r="AH209" s="446">
        <f t="shared" si="172"/>
        <v>0.62523163200000009</v>
      </c>
      <c r="AI209" s="446">
        <f t="shared" si="173"/>
        <v>763</v>
      </c>
      <c r="AJ209" s="258">
        <f t="shared" si="174"/>
        <v>98600102</v>
      </c>
      <c r="AK209" s="258">
        <f t="shared" si="175"/>
        <v>103482638</v>
      </c>
      <c r="AL209" s="426">
        <f t="shared" si="176"/>
        <v>17</v>
      </c>
      <c r="AM209" s="426">
        <f t="array" ref="AM209">MAX((IF(MNU_CODIGO_ALIMENTO_ENTREGA=CONCATENATE($E209,"_","P_"),MNU_GRAMAJE_REQUERIDO_TIPOM,"")))</f>
        <v>50</v>
      </c>
      <c r="AN209" s="259">
        <f t="shared" si="177"/>
        <v>285</v>
      </c>
      <c r="AO209" s="259">
        <f t="shared" si="178"/>
        <v>4845</v>
      </c>
      <c r="AP209" s="446">
        <f t="shared" si="179"/>
        <v>481</v>
      </c>
      <c r="AQ209" s="446">
        <f t="shared" si="180"/>
        <v>23.472799999999999</v>
      </c>
      <c r="AR209" s="446">
        <f t="shared" si="181"/>
        <v>0.41366769599999997</v>
      </c>
      <c r="AS209" s="446">
        <f t="shared" si="182"/>
        <v>505</v>
      </c>
      <c r="AT209" s="260">
        <f t="shared" si="183"/>
        <v>2330445</v>
      </c>
      <c r="AU209" s="260">
        <f t="shared" si="184"/>
        <v>2446725</v>
      </c>
      <c r="AV209" s="425">
        <f t="shared" si="185"/>
        <v>17</v>
      </c>
      <c r="AW209" s="425">
        <f t="array" ref="AW209">MAX((IF(MNU_CODIGO_ALIMENTO_ENTREGA=CONCATENATE($E209,"_","P_"),MNU_GRAMAJE_REQUERIDO_TIPOH,"")))</f>
        <v>80</v>
      </c>
      <c r="AX209" s="257">
        <f t="shared" si="186"/>
        <v>294</v>
      </c>
      <c r="AY209" s="257">
        <f t="shared" si="187"/>
        <v>4998</v>
      </c>
      <c r="AZ209" s="446">
        <f t="shared" si="188"/>
        <v>727</v>
      </c>
      <c r="BA209" s="446">
        <f t="shared" si="189"/>
        <v>35.477600000000002</v>
      </c>
      <c r="BB209" s="446">
        <f t="shared" si="190"/>
        <v>0.62523163200000009</v>
      </c>
      <c r="BC209" s="446">
        <f t="shared" si="191"/>
        <v>763</v>
      </c>
      <c r="BD209" s="258">
        <f t="shared" si="192"/>
        <v>3633546</v>
      </c>
      <c r="BE209" s="258">
        <f t="shared" si="193"/>
        <v>3813474</v>
      </c>
      <c r="BF209" s="391">
        <f t="shared" si="194"/>
        <v>214225840</v>
      </c>
      <c r="BG209" s="391">
        <f t="shared" si="195"/>
        <v>224876272</v>
      </c>
    </row>
    <row r="210" spans="1:59" ht="15.75">
      <c r="A210" s="333">
        <v>17</v>
      </c>
      <c r="B210" s="333" t="str">
        <f t="shared" si="147"/>
        <v>CEREAL EMPACADO_17</v>
      </c>
      <c r="C210" s="333" t="str">
        <f t="shared" si="148"/>
        <v>15_17</v>
      </c>
      <c r="D210" s="333" t="s">
        <v>1607</v>
      </c>
      <c r="E210" s="256">
        <v>15</v>
      </c>
      <c r="F210" s="322" t="s">
        <v>66</v>
      </c>
      <c r="G210" s="256" t="s">
        <v>9</v>
      </c>
      <c r="H210" s="425">
        <f t="shared" si="149"/>
        <v>17</v>
      </c>
      <c r="I210" s="425">
        <f t="array" ref="I210">MAX((IF(MNU_CODIGO_ALIMENTO_ENTREGA=CONCATENATE($E210,"_","P_"),MNU_GRAMAJE_REQUERIDO_TIPOA,"")))</f>
        <v>50</v>
      </c>
      <c r="J210" s="257">
        <f t="shared" si="150"/>
        <v>5655</v>
      </c>
      <c r="K210" s="257">
        <f t="shared" si="151"/>
        <v>96135</v>
      </c>
      <c r="L210" s="446">
        <f t="shared" si="152"/>
        <v>641</v>
      </c>
      <c r="M210" s="446">
        <f t="shared" si="153"/>
        <v>31.280800000000003</v>
      </c>
      <c r="N210" s="446">
        <f t="shared" si="154"/>
        <v>0.55127025600000001</v>
      </c>
      <c r="O210" s="446">
        <f t="shared" si="155"/>
        <v>673</v>
      </c>
      <c r="P210" s="258">
        <f t="shared" si="156"/>
        <v>61622535</v>
      </c>
      <c r="Q210" s="258">
        <f t="shared" si="157"/>
        <v>64698855</v>
      </c>
      <c r="R210" s="426">
        <f t="shared" si="158"/>
        <v>17</v>
      </c>
      <c r="S210" s="426">
        <f t="array" ref="S210">MAX((IF(MNU_CODIGO_ALIMENTO_ENTREGA=CONCATENATE($E210,"_","P_"),MNU_GRAMAJE_REQUERIDO_TIPOB,"")))</f>
        <v>50</v>
      </c>
      <c r="T210" s="259">
        <f t="shared" si="159"/>
        <v>7756</v>
      </c>
      <c r="U210" s="259">
        <f t="shared" si="160"/>
        <v>131852</v>
      </c>
      <c r="V210" s="446">
        <f t="shared" si="161"/>
        <v>641</v>
      </c>
      <c r="W210" s="446">
        <f t="shared" si="162"/>
        <v>31.280800000000003</v>
      </c>
      <c r="X210" s="446">
        <f t="shared" si="163"/>
        <v>0.55127025600000001</v>
      </c>
      <c r="Y210" s="446">
        <f t="shared" si="164"/>
        <v>673</v>
      </c>
      <c r="Z210" s="260">
        <f t="shared" si="165"/>
        <v>84517132</v>
      </c>
      <c r="AA210" s="260">
        <f t="shared" si="166"/>
        <v>88736396</v>
      </c>
      <c r="AB210" s="425">
        <f t="shared" si="167"/>
        <v>17</v>
      </c>
      <c r="AC210" s="425">
        <f t="array" ref="AC210">MAX((IF(MNU_CODIGO_ALIMENTO_ENTREGA=CONCATENATE($E210,"_","P_"),MNU_GRAMAJE_REQUERIDO_TIPOC,"")))</f>
        <v>80</v>
      </c>
      <c r="AD210" s="257">
        <f t="shared" si="168"/>
        <v>7978</v>
      </c>
      <c r="AE210" s="257">
        <f t="shared" si="169"/>
        <v>135626</v>
      </c>
      <c r="AF210" s="446">
        <f t="shared" si="170"/>
        <v>1025</v>
      </c>
      <c r="AG210" s="446">
        <f t="shared" si="171"/>
        <v>50.02</v>
      </c>
      <c r="AH210" s="446">
        <f t="shared" si="172"/>
        <v>0.88151640000000009</v>
      </c>
      <c r="AI210" s="446">
        <f t="shared" si="173"/>
        <v>1076</v>
      </c>
      <c r="AJ210" s="258">
        <f t="shared" si="174"/>
        <v>139016650</v>
      </c>
      <c r="AK210" s="258">
        <f t="shared" si="175"/>
        <v>145933576</v>
      </c>
      <c r="AL210" s="426">
        <f t="shared" si="176"/>
        <v>17</v>
      </c>
      <c r="AM210" s="426">
        <f t="array" ref="AM210">MAX((IF(MNU_CODIGO_ALIMENTO_ENTREGA=CONCATENATE($E210,"_","P_"),MNU_GRAMAJE_REQUERIDO_TIPOM,"")))</f>
        <v>50</v>
      </c>
      <c r="AN210" s="259">
        <f t="shared" si="177"/>
        <v>285</v>
      </c>
      <c r="AO210" s="259">
        <f t="shared" si="178"/>
        <v>4845</v>
      </c>
      <c r="AP210" s="446">
        <f t="shared" si="179"/>
        <v>641</v>
      </c>
      <c r="AQ210" s="446">
        <f t="shared" si="180"/>
        <v>31.280800000000003</v>
      </c>
      <c r="AR210" s="446">
        <f t="shared" si="181"/>
        <v>0.55127025600000001</v>
      </c>
      <c r="AS210" s="446">
        <f t="shared" si="182"/>
        <v>673</v>
      </c>
      <c r="AT210" s="260">
        <f t="shared" si="183"/>
        <v>3105645</v>
      </c>
      <c r="AU210" s="260">
        <f t="shared" si="184"/>
        <v>3260685</v>
      </c>
      <c r="AV210" s="425">
        <f t="shared" si="185"/>
        <v>17</v>
      </c>
      <c r="AW210" s="425">
        <f t="array" ref="AW210">MAX((IF(MNU_CODIGO_ALIMENTO_ENTREGA=CONCATENATE($E210,"_","P_"),MNU_GRAMAJE_REQUERIDO_TIPOH,"")))</f>
        <v>80</v>
      </c>
      <c r="AX210" s="257">
        <f t="shared" si="186"/>
        <v>294</v>
      </c>
      <c r="AY210" s="257">
        <f t="shared" si="187"/>
        <v>4998</v>
      </c>
      <c r="AZ210" s="446">
        <f t="shared" si="188"/>
        <v>1025</v>
      </c>
      <c r="BA210" s="446">
        <f t="shared" si="189"/>
        <v>50.02</v>
      </c>
      <c r="BB210" s="446">
        <f t="shared" si="190"/>
        <v>0.88151640000000009</v>
      </c>
      <c r="BC210" s="446">
        <f t="shared" si="191"/>
        <v>1076</v>
      </c>
      <c r="BD210" s="258">
        <f t="shared" si="192"/>
        <v>5122950</v>
      </c>
      <c r="BE210" s="258">
        <f t="shared" si="193"/>
        <v>5377848</v>
      </c>
      <c r="BF210" s="391">
        <f t="shared" si="194"/>
        <v>293384912</v>
      </c>
      <c r="BG210" s="391">
        <f t="shared" si="195"/>
        <v>308007360</v>
      </c>
    </row>
    <row r="211" spans="1:59" ht="15.75">
      <c r="A211" s="333">
        <v>17</v>
      </c>
      <c r="B211" s="333" t="str">
        <f t="shared" si="147"/>
        <v>CEREAL EMPACADO_17</v>
      </c>
      <c r="C211" s="333" t="str">
        <f t="shared" si="148"/>
        <v>24_17</v>
      </c>
      <c r="D211" s="333" t="s">
        <v>1607</v>
      </c>
      <c r="E211" s="256">
        <v>24</v>
      </c>
      <c r="F211" s="322" t="s">
        <v>61</v>
      </c>
      <c r="G211" s="256" t="s">
        <v>9</v>
      </c>
      <c r="H211" s="425">
        <f t="shared" si="149"/>
        <v>17</v>
      </c>
      <c r="I211" s="425">
        <f t="array" ref="I211">MAX((IF(MNU_CODIGO_ALIMENTO_ENTREGA=CONCATENATE($E211,"_","P_"),MNU_GRAMAJE_REQUERIDO_TIPOA,"")))</f>
        <v>20</v>
      </c>
      <c r="J211" s="257">
        <f t="shared" si="150"/>
        <v>5655</v>
      </c>
      <c r="K211" s="257">
        <f t="shared" si="151"/>
        <v>96135</v>
      </c>
      <c r="L211" s="446">
        <f t="shared" si="152"/>
        <v>122</v>
      </c>
      <c r="M211" s="446">
        <f t="shared" si="153"/>
        <v>5.9535999999999998</v>
      </c>
      <c r="N211" s="446">
        <f t="shared" si="154"/>
        <v>0.104921952</v>
      </c>
      <c r="O211" s="446">
        <f t="shared" si="155"/>
        <v>128</v>
      </c>
      <c r="P211" s="258">
        <f t="shared" si="156"/>
        <v>11728470</v>
      </c>
      <c r="Q211" s="258">
        <f t="shared" si="157"/>
        <v>12305280</v>
      </c>
      <c r="R211" s="426">
        <f t="shared" si="158"/>
        <v>17</v>
      </c>
      <c r="S211" s="426">
        <f t="array" ref="S211">MAX((IF(MNU_CODIGO_ALIMENTO_ENTREGA=CONCATENATE($E211,"_","P_"),MNU_GRAMAJE_REQUERIDO_TIPOB,"")))</f>
        <v>30</v>
      </c>
      <c r="T211" s="259">
        <f t="shared" si="159"/>
        <v>7756</v>
      </c>
      <c r="U211" s="259">
        <f t="shared" si="160"/>
        <v>131852</v>
      </c>
      <c r="V211" s="446">
        <f t="shared" si="161"/>
        <v>191</v>
      </c>
      <c r="W211" s="446">
        <f t="shared" si="162"/>
        <v>9.3208000000000002</v>
      </c>
      <c r="X211" s="446">
        <f t="shared" si="163"/>
        <v>0.16426305600000002</v>
      </c>
      <c r="Y211" s="446">
        <f t="shared" si="164"/>
        <v>200</v>
      </c>
      <c r="Z211" s="260">
        <f t="shared" si="165"/>
        <v>25183732</v>
      </c>
      <c r="AA211" s="260">
        <f t="shared" si="166"/>
        <v>26370400</v>
      </c>
      <c r="AB211" s="425">
        <f t="shared" si="167"/>
        <v>17</v>
      </c>
      <c r="AC211" s="425">
        <f t="array" ref="AC211">MAX((IF(MNU_CODIGO_ALIMENTO_ENTREGA=CONCATENATE($E211,"_","P_"),MNU_GRAMAJE_REQUERIDO_TIPOC,"")))</f>
        <v>60</v>
      </c>
      <c r="AD211" s="257">
        <f t="shared" si="168"/>
        <v>7978</v>
      </c>
      <c r="AE211" s="257">
        <f t="shared" si="169"/>
        <v>135626</v>
      </c>
      <c r="AF211" s="446">
        <f t="shared" si="170"/>
        <v>367</v>
      </c>
      <c r="AG211" s="446">
        <f t="shared" si="171"/>
        <v>17.909599999999998</v>
      </c>
      <c r="AH211" s="446">
        <f t="shared" si="172"/>
        <v>0.31562587200000003</v>
      </c>
      <c r="AI211" s="446">
        <f t="shared" si="173"/>
        <v>385</v>
      </c>
      <c r="AJ211" s="258">
        <f t="shared" si="174"/>
        <v>49774742</v>
      </c>
      <c r="AK211" s="258">
        <f t="shared" si="175"/>
        <v>52216010</v>
      </c>
      <c r="AL211" s="426">
        <f t="shared" si="176"/>
        <v>17</v>
      </c>
      <c r="AM211" s="426">
        <f t="array" ref="AM211">MAX((IF(MNU_CODIGO_ALIMENTO_ENTREGA=CONCATENATE($E211,"_","P_"),MNU_GRAMAJE_REQUERIDO_TIPOM,"")))</f>
        <v>30</v>
      </c>
      <c r="AN211" s="259">
        <f t="shared" si="177"/>
        <v>285</v>
      </c>
      <c r="AO211" s="259">
        <f t="shared" si="178"/>
        <v>4845</v>
      </c>
      <c r="AP211" s="446">
        <f t="shared" si="179"/>
        <v>191</v>
      </c>
      <c r="AQ211" s="446">
        <f t="shared" si="180"/>
        <v>9.3208000000000002</v>
      </c>
      <c r="AR211" s="446">
        <f t="shared" si="181"/>
        <v>0.16426305600000002</v>
      </c>
      <c r="AS211" s="446">
        <f t="shared" si="182"/>
        <v>200</v>
      </c>
      <c r="AT211" s="260">
        <f t="shared" si="183"/>
        <v>925395</v>
      </c>
      <c r="AU211" s="260">
        <f t="shared" si="184"/>
        <v>969000</v>
      </c>
      <c r="AV211" s="425">
        <f t="shared" si="185"/>
        <v>17</v>
      </c>
      <c r="AW211" s="425">
        <f t="array" ref="AW211">MAX((IF(MNU_CODIGO_ALIMENTO_ENTREGA=CONCATENATE($E211,"_","P_"),MNU_GRAMAJE_REQUERIDO_TIPOH,"")))</f>
        <v>60</v>
      </c>
      <c r="AX211" s="257">
        <f t="shared" si="186"/>
        <v>294</v>
      </c>
      <c r="AY211" s="257">
        <f t="shared" si="187"/>
        <v>4998</v>
      </c>
      <c r="AZ211" s="446">
        <f t="shared" si="188"/>
        <v>367</v>
      </c>
      <c r="BA211" s="446">
        <f t="shared" si="189"/>
        <v>17.909599999999998</v>
      </c>
      <c r="BB211" s="446">
        <f t="shared" si="190"/>
        <v>0.31562587200000003</v>
      </c>
      <c r="BC211" s="446">
        <f t="shared" si="191"/>
        <v>385</v>
      </c>
      <c r="BD211" s="258">
        <f t="shared" si="192"/>
        <v>1834266</v>
      </c>
      <c r="BE211" s="258">
        <f t="shared" si="193"/>
        <v>1924230</v>
      </c>
      <c r="BF211" s="391">
        <f t="shared" si="194"/>
        <v>89446605</v>
      </c>
      <c r="BG211" s="391">
        <f t="shared" si="195"/>
        <v>93784920</v>
      </c>
    </row>
    <row r="212" spans="1:59" ht="15.75">
      <c r="A212" s="333">
        <v>17</v>
      </c>
      <c r="B212" s="333" t="str">
        <f t="shared" si="147"/>
        <v>CEREAL EMPACADO_17</v>
      </c>
      <c r="C212" s="333" t="str">
        <f t="shared" si="148"/>
        <v>25_17</v>
      </c>
      <c r="D212" s="333" t="s">
        <v>1607</v>
      </c>
      <c r="E212" s="256">
        <v>25</v>
      </c>
      <c r="F212" s="322" t="s">
        <v>64</v>
      </c>
      <c r="G212" s="256" t="s">
        <v>9</v>
      </c>
      <c r="H212" s="425">
        <f t="shared" si="149"/>
        <v>17</v>
      </c>
      <c r="I212" s="425">
        <f t="array" ref="I212">MAX((IF(MNU_CODIGO_ALIMENTO_ENTREGA=CONCATENATE($E212,"_","P_"),MNU_GRAMAJE_REQUERIDO_TIPOA,"")))</f>
        <v>40</v>
      </c>
      <c r="J212" s="257">
        <f t="shared" si="150"/>
        <v>5655</v>
      </c>
      <c r="K212" s="257">
        <f t="shared" si="151"/>
        <v>96135</v>
      </c>
      <c r="L212" s="446">
        <f t="shared" si="152"/>
        <v>244</v>
      </c>
      <c r="M212" s="446">
        <f t="shared" si="153"/>
        <v>11.9072</v>
      </c>
      <c r="N212" s="446">
        <f t="shared" si="154"/>
        <v>0.209843904</v>
      </c>
      <c r="O212" s="446">
        <f t="shared" si="155"/>
        <v>256</v>
      </c>
      <c r="P212" s="258">
        <f t="shared" si="156"/>
        <v>23456940</v>
      </c>
      <c r="Q212" s="258">
        <f t="shared" si="157"/>
        <v>24610560</v>
      </c>
      <c r="R212" s="426">
        <f t="shared" si="158"/>
        <v>17</v>
      </c>
      <c r="S212" s="426">
        <f t="array" ref="S212">MAX((IF(MNU_CODIGO_ALIMENTO_ENTREGA=CONCATENATE($E212,"_","P_"),MNU_GRAMAJE_REQUERIDO_TIPOB,"")))</f>
        <v>40</v>
      </c>
      <c r="T212" s="259">
        <f t="shared" si="159"/>
        <v>7756</v>
      </c>
      <c r="U212" s="259">
        <f t="shared" si="160"/>
        <v>131852</v>
      </c>
      <c r="V212" s="446">
        <f t="shared" si="161"/>
        <v>244</v>
      </c>
      <c r="W212" s="446">
        <f t="shared" si="162"/>
        <v>11.9072</v>
      </c>
      <c r="X212" s="446">
        <f t="shared" si="163"/>
        <v>0.209843904</v>
      </c>
      <c r="Y212" s="446">
        <f t="shared" si="164"/>
        <v>256</v>
      </c>
      <c r="Z212" s="260">
        <f t="shared" si="165"/>
        <v>32171888</v>
      </c>
      <c r="AA212" s="260">
        <f t="shared" si="166"/>
        <v>33754112</v>
      </c>
      <c r="AB212" s="425">
        <f t="shared" si="167"/>
        <v>17</v>
      </c>
      <c r="AC212" s="425">
        <f t="array" ref="AC212">MAX((IF(MNU_CODIGO_ALIMENTO_ENTREGA=CONCATENATE($E212,"_","P_"),MNU_GRAMAJE_REQUERIDO_TIPOC,"")))</f>
        <v>60</v>
      </c>
      <c r="AD212" s="257">
        <f t="shared" si="168"/>
        <v>7978</v>
      </c>
      <c r="AE212" s="257">
        <f t="shared" si="169"/>
        <v>135626</v>
      </c>
      <c r="AF212" s="446">
        <f t="shared" si="170"/>
        <v>366</v>
      </c>
      <c r="AG212" s="446">
        <f t="shared" si="171"/>
        <v>17.860800000000001</v>
      </c>
      <c r="AH212" s="446">
        <f t="shared" si="172"/>
        <v>0.31476585600000001</v>
      </c>
      <c r="AI212" s="446">
        <f t="shared" si="173"/>
        <v>384</v>
      </c>
      <c r="AJ212" s="258">
        <f t="shared" si="174"/>
        <v>49639116</v>
      </c>
      <c r="AK212" s="258">
        <f t="shared" si="175"/>
        <v>52080384</v>
      </c>
      <c r="AL212" s="426">
        <f t="shared" si="176"/>
        <v>17</v>
      </c>
      <c r="AM212" s="426">
        <f t="array" ref="AM212">MAX((IF(MNU_CODIGO_ALIMENTO_ENTREGA=CONCATENATE($E212,"_","P_"),MNU_GRAMAJE_REQUERIDO_TIPOM,"")))</f>
        <v>40</v>
      </c>
      <c r="AN212" s="259">
        <f t="shared" si="177"/>
        <v>285</v>
      </c>
      <c r="AO212" s="259">
        <f t="shared" si="178"/>
        <v>4845</v>
      </c>
      <c r="AP212" s="446">
        <f t="shared" si="179"/>
        <v>244</v>
      </c>
      <c r="AQ212" s="446">
        <f t="shared" si="180"/>
        <v>11.9072</v>
      </c>
      <c r="AR212" s="446">
        <f t="shared" si="181"/>
        <v>0.209843904</v>
      </c>
      <c r="AS212" s="446">
        <f t="shared" si="182"/>
        <v>256</v>
      </c>
      <c r="AT212" s="260">
        <f t="shared" si="183"/>
        <v>1182180</v>
      </c>
      <c r="AU212" s="260">
        <f t="shared" si="184"/>
        <v>1240320</v>
      </c>
      <c r="AV212" s="425">
        <f t="shared" si="185"/>
        <v>17</v>
      </c>
      <c r="AW212" s="425">
        <f t="array" ref="AW212">MAX((IF(MNU_CODIGO_ALIMENTO_ENTREGA=CONCATENATE($E212,"_","P_"),MNU_GRAMAJE_REQUERIDO_TIPOH,"")))</f>
        <v>60</v>
      </c>
      <c r="AX212" s="257">
        <f t="shared" si="186"/>
        <v>294</v>
      </c>
      <c r="AY212" s="257">
        <f t="shared" si="187"/>
        <v>4998</v>
      </c>
      <c r="AZ212" s="446">
        <f t="shared" si="188"/>
        <v>366</v>
      </c>
      <c r="BA212" s="446">
        <f t="shared" si="189"/>
        <v>17.860800000000001</v>
      </c>
      <c r="BB212" s="446">
        <f t="shared" si="190"/>
        <v>0.31476585600000001</v>
      </c>
      <c r="BC212" s="446">
        <f t="shared" si="191"/>
        <v>384</v>
      </c>
      <c r="BD212" s="258">
        <f t="shared" si="192"/>
        <v>1829268</v>
      </c>
      <c r="BE212" s="258">
        <f t="shared" si="193"/>
        <v>1919232</v>
      </c>
      <c r="BF212" s="391">
        <f t="shared" si="194"/>
        <v>108279392</v>
      </c>
      <c r="BG212" s="391">
        <f t="shared" si="195"/>
        <v>113604608</v>
      </c>
    </row>
    <row r="213" spans="1:59" ht="15.75">
      <c r="A213" s="333">
        <v>17</v>
      </c>
      <c r="B213" s="333" t="str">
        <f t="shared" si="147"/>
        <v>CEREAL EMPACADO_17</v>
      </c>
      <c r="C213" s="333" t="str">
        <f t="shared" si="148"/>
        <v>26_17</v>
      </c>
      <c r="D213" s="333" t="s">
        <v>1607</v>
      </c>
      <c r="E213" s="256">
        <v>26</v>
      </c>
      <c r="F213" s="322" t="s">
        <v>69</v>
      </c>
      <c r="G213" s="256" t="s">
        <v>9</v>
      </c>
      <c r="H213" s="425">
        <f t="shared" si="149"/>
        <v>6</v>
      </c>
      <c r="I213" s="425">
        <f t="array" ref="I213">MAX((IF(MNU_CODIGO_ALIMENTO_ENTREGA=CONCATENATE($E213,"_","P_"),MNU_GRAMAJE_REQUERIDO_TIPOA,"")))</f>
        <v>30</v>
      </c>
      <c r="J213" s="257">
        <f t="shared" si="150"/>
        <v>5655</v>
      </c>
      <c r="K213" s="257">
        <f t="shared" si="151"/>
        <v>33930</v>
      </c>
      <c r="L213" s="446">
        <f t="shared" si="152"/>
        <v>163</v>
      </c>
      <c r="M213" s="446">
        <f t="shared" si="153"/>
        <v>7.9543999999999997</v>
      </c>
      <c r="N213" s="446">
        <f t="shared" si="154"/>
        <v>0.14018260800000001</v>
      </c>
      <c r="O213" s="446">
        <f t="shared" si="155"/>
        <v>171</v>
      </c>
      <c r="P213" s="258">
        <f t="shared" si="156"/>
        <v>5530590</v>
      </c>
      <c r="Q213" s="258">
        <f t="shared" si="157"/>
        <v>5802030</v>
      </c>
      <c r="R213" s="426">
        <f t="shared" si="158"/>
        <v>6</v>
      </c>
      <c r="S213" s="426">
        <f t="array" ref="S213">MAX((IF(MNU_CODIGO_ALIMENTO_ENTREGA=CONCATENATE($E213,"_","P_"),MNU_GRAMAJE_REQUERIDO_TIPOB,"")))</f>
        <v>30</v>
      </c>
      <c r="T213" s="259">
        <f t="shared" si="159"/>
        <v>7756</v>
      </c>
      <c r="U213" s="259">
        <f t="shared" si="160"/>
        <v>46536</v>
      </c>
      <c r="V213" s="446">
        <f t="shared" si="161"/>
        <v>163</v>
      </c>
      <c r="W213" s="446">
        <f t="shared" si="162"/>
        <v>7.9543999999999997</v>
      </c>
      <c r="X213" s="446">
        <f t="shared" si="163"/>
        <v>0.14018260800000001</v>
      </c>
      <c r="Y213" s="446">
        <f t="shared" si="164"/>
        <v>171</v>
      </c>
      <c r="Z213" s="260">
        <f t="shared" si="165"/>
        <v>7585368</v>
      </c>
      <c r="AA213" s="260">
        <f t="shared" si="166"/>
        <v>7957656</v>
      </c>
      <c r="AB213" s="425">
        <f t="shared" si="167"/>
        <v>6</v>
      </c>
      <c r="AC213" s="425">
        <f t="array" ref="AC213">MAX((IF(MNU_CODIGO_ALIMENTO_ENTREGA=CONCATENATE($E213,"_","P_"),MNU_GRAMAJE_REQUERIDO_TIPOC,"")))</f>
        <v>30</v>
      </c>
      <c r="AD213" s="257">
        <f t="shared" si="168"/>
        <v>7978</v>
      </c>
      <c r="AE213" s="257">
        <f t="shared" si="169"/>
        <v>47868</v>
      </c>
      <c r="AF213" s="446">
        <f t="shared" si="170"/>
        <v>163</v>
      </c>
      <c r="AG213" s="446">
        <f t="shared" si="171"/>
        <v>7.9543999999999997</v>
      </c>
      <c r="AH213" s="446">
        <f t="shared" si="172"/>
        <v>0.14018260800000001</v>
      </c>
      <c r="AI213" s="446">
        <f t="shared" si="173"/>
        <v>171</v>
      </c>
      <c r="AJ213" s="258">
        <f t="shared" si="174"/>
        <v>7802484</v>
      </c>
      <c r="AK213" s="258">
        <f t="shared" si="175"/>
        <v>8185428</v>
      </c>
      <c r="AL213" s="426">
        <f t="shared" si="176"/>
        <v>6</v>
      </c>
      <c r="AM213" s="426">
        <f t="array" ref="AM213">MAX((IF(MNU_CODIGO_ALIMENTO_ENTREGA=CONCATENATE($E213,"_","P_"),MNU_GRAMAJE_REQUERIDO_TIPOM,"")))</f>
        <v>30</v>
      </c>
      <c r="AN213" s="259">
        <f t="shared" si="177"/>
        <v>285</v>
      </c>
      <c r="AO213" s="259">
        <f t="shared" si="178"/>
        <v>1710</v>
      </c>
      <c r="AP213" s="446">
        <f t="shared" si="179"/>
        <v>163</v>
      </c>
      <c r="AQ213" s="446">
        <f t="shared" si="180"/>
        <v>7.9543999999999997</v>
      </c>
      <c r="AR213" s="446">
        <f t="shared" si="181"/>
        <v>0.14018260800000001</v>
      </c>
      <c r="AS213" s="446">
        <f t="shared" si="182"/>
        <v>171</v>
      </c>
      <c r="AT213" s="260">
        <f t="shared" si="183"/>
        <v>278730</v>
      </c>
      <c r="AU213" s="260">
        <f t="shared" si="184"/>
        <v>292410</v>
      </c>
      <c r="AV213" s="425">
        <f t="shared" si="185"/>
        <v>6</v>
      </c>
      <c r="AW213" s="425">
        <f t="array" ref="AW213">MAX((IF(MNU_CODIGO_ALIMENTO_ENTREGA=CONCATENATE($E213,"_","P_"),MNU_GRAMAJE_REQUERIDO_TIPOH,"")))</f>
        <v>30</v>
      </c>
      <c r="AX213" s="257">
        <f t="shared" si="186"/>
        <v>294</v>
      </c>
      <c r="AY213" s="257">
        <f t="shared" si="187"/>
        <v>1764</v>
      </c>
      <c r="AZ213" s="446">
        <f t="shared" si="188"/>
        <v>163</v>
      </c>
      <c r="BA213" s="446">
        <f t="shared" si="189"/>
        <v>7.9543999999999997</v>
      </c>
      <c r="BB213" s="446">
        <f t="shared" si="190"/>
        <v>0.14018260800000001</v>
      </c>
      <c r="BC213" s="446">
        <f t="shared" si="191"/>
        <v>171</v>
      </c>
      <c r="BD213" s="258">
        <f t="shared" si="192"/>
        <v>287532</v>
      </c>
      <c r="BE213" s="258">
        <f t="shared" si="193"/>
        <v>301644</v>
      </c>
      <c r="BF213" s="391">
        <f t="shared" si="194"/>
        <v>21484704</v>
      </c>
      <c r="BG213" s="391">
        <f t="shared" si="195"/>
        <v>22539168</v>
      </c>
    </row>
    <row r="214" spans="1:59" ht="27">
      <c r="A214" s="333">
        <v>17</v>
      </c>
      <c r="B214" s="333" t="str">
        <f t="shared" si="147"/>
        <v>CEREAL EMPACADO_17</v>
      </c>
      <c r="C214" s="333" t="str">
        <f t="shared" si="148"/>
        <v>28_17</v>
      </c>
      <c r="D214" s="333" t="s">
        <v>1607</v>
      </c>
      <c r="E214" s="256">
        <v>28</v>
      </c>
      <c r="F214" s="322" t="s">
        <v>67</v>
      </c>
      <c r="G214" s="256" t="s">
        <v>9</v>
      </c>
      <c r="H214" s="425">
        <f t="shared" si="149"/>
        <v>6</v>
      </c>
      <c r="I214" s="425">
        <f t="array" ref="I214">MAX((IF(MNU_CODIGO_ALIMENTO_ENTREGA=CONCATENATE($E214,"_","P_"),MNU_GRAMAJE_REQUERIDO_TIPOA,"")))</f>
        <v>30</v>
      </c>
      <c r="J214" s="257">
        <f t="shared" si="150"/>
        <v>5655</v>
      </c>
      <c r="K214" s="257">
        <f t="shared" si="151"/>
        <v>33930</v>
      </c>
      <c r="L214" s="446">
        <f t="shared" si="152"/>
        <v>215</v>
      </c>
      <c r="M214" s="446">
        <f t="shared" si="153"/>
        <v>10.492000000000001</v>
      </c>
      <c r="N214" s="446">
        <f t="shared" si="154"/>
        <v>0.18490343999999997</v>
      </c>
      <c r="O214" s="446">
        <f t="shared" si="155"/>
        <v>226</v>
      </c>
      <c r="P214" s="258">
        <f t="shared" si="156"/>
        <v>7294950</v>
      </c>
      <c r="Q214" s="258">
        <f t="shared" si="157"/>
        <v>7668180</v>
      </c>
      <c r="R214" s="426">
        <f t="shared" si="158"/>
        <v>6</v>
      </c>
      <c r="S214" s="426">
        <f t="array" ref="S214">MAX((IF(MNU_CODIGO_ALIMENTO_ENTREGA=CONCATENATE($E214,"_","P_"),MNU_GRAMAJE_REQUERIDO_TIPOB,"")))</f>
        <v>40</v>
      </c>
      <c r="T214" s="259">
        <f t="shared" si="159"/>
        <v>7756</v>
      </c>
      <c r="U214" s="259">
        <f t="shared" si="160"/>
        <v>46536</v>
      </c>
      <c r="V214" s="446">
        <f t="shared" si="161"/>
        <v>287</v>
      </c>
      <c r="W214" s="446">
        <f t="shared" si="162"/>
        <v>14.005600000000001</v>
      </c>
      <c r="X214" s="446">
        <f t="shared" si="163"/>
        <v>0.24682459200000004</v>
      </c>
      <c r="Y214" s="446">
        <f t="shared" si="164"/>
        <v>301</v>
      </c>
      <c r="Z214" s="260">
        <f t="shared" si="165"/>
        <v>13355832</v>
      </c>
      <c r="AA214" s="260">
        <f t="shared" si="166"/>
        <v>14007336</v>
      </c>
      <c r="AB214" s="425">
        <f t="shared" si="167"/>
        <v>6</v>
      </c>
      <c r="AC214" s="425">
        <f t="array" ref="AC214">MAX((IF(MNU_CODIGO_ALIMENTO_ENTREGA=CONCATENATE($E214,"_","P_"),MNU_GRAMAJE_REQUERIDO_TIPOC,"")))</f>
        <v>60</v>
      </c>
      <c r="AD214" s="257">
        <f t="shared" si="168"/>
        <v>7978</v>
      </c>
      <c r="AE214" s="257">
        <f t="shared" si="169"/>
        <v>47868</v>
      </c>
      <c r="AF214" s="446">
        <f t="shared" si="170"/>
        <v>430</v>
      </c>
      <c r="AG214" s="446">
        <f t="shared" si="171"/>
        <v>20.984000000000002</v>
      </c>
      <c r="AH214" s="446">
        <f t="shared" si="172"/>
        <v>0.36980687999999995</v>
      </c>
      <c r="AI214" s="446">
        <f t="shared" si="173"/>
        <v>451</v>
      </c>
      <c r="AJ214" s="258">
        <f t="shared" si="174"/>
        <v>20583240</v>
      </c>
      <c r="AK214" s="258">
        <f t="shared" si="175"/>
        <v>21588468</v>
      </c>
      <c r="AL214" s="426">
        <f t="shared" si="176"/>
        <v>6</v>
      </c>
      <c r="AM214" s="426">
        <f t="array" ref="AM214">MAX((IF(MNU_CODIGO_ALIMENTO_ENTREGA=CONCATENATE($E214,"_","P_"),MNU_GRAMAJE_REQUERIDO_TIPOM,"")))</f>
        <v>40</v>
      </c>
      <c r="AN214" s="259">
        <f t="shared" si="177"/>
        <v>285</v>
      </c>
      <c r="AO214" s="259">
        <f t="shared" si="178"/>
        <v>1710</v>
      </c>
      <c r="AP214" s="446">
        <f t="shared" si="179"/>
        <v>287</v>
      </c>
      <c r="AQ214" s="446">
        <f t="shared" si="180"/>
        <v>14.005600000000001</v>
      </c>
      <c r="AR214" s="446">
        <f t="shared" si="181"/>
        <v>0.24682459200000004</v>
      </c>
      <c r="AS214" s="446">
        <f t="shared" si="182"/>
        <v>301</v>
      </c>
      <c r="AT214" s="260">
        <f t="shared" si="183"/>
        <v>490770</v>
      </c>
      <c r="AU214" s="260">
        <f t="shared" si="184"/>
        <v>514710</v>
      </c>
      <c r="AV214" s="425">
        <f t="shared" si="185"/>
        <v>6</v>
      </c>
      <c r="AW214" s="425">
        <f t="array" ref="AW214">MAX((IF(MNU_CODIGO_ALIMENTO_ENTREGA=CONCATENATE($E214,"_","P_"),MNU_GRAMAJE_REQUERIDO_TIPOH,"")))</f>
        <v>60</v>
      </c>
      <c r="AX214" s="257">
        <f t="shared" si="186"/>
        <v>294</v>
      </c>
      <c r="AY214" s="257">
        <f t="shared" si="187"/>
        <v>1764</v>
      </c>
      <c r="AZ214" s="446">
        <f t="shared" si="188"/>
        <v>430</v>
      </c>
      <c r="BA214" s="446">
        <f t="shared" si="189"/>
        <v>20.984000000000002</v>
      </c>
      <c r="BB214" s="446">
        <f t="shared" si="190"/>
        <v>0.36980687999999995</v>
      </c>
      <c r="BC214" s="446">
        <f t="shared" si="191"/>
        <v>451</v>
      </c>
      <c r="BD214" s="258">
        <f t="shared" si="192"/>
        <v>758520</v>
      </c>
      <c r="BE214" s="258">
        <f t="shared" si="193"/>
        <v>795564</v>
      </c>
      <c r="BF214" s="391">
        <f t="shared" si="194"/>
        <v>42483312</v>
      </c>
      <c r="BG214" s="391">
        <f t="shared" si="195"/>
        <v>44574258</v>
      </c>
    </row>
    <row r="215" spans="1:59" ht="15.75">
      <c r="A215" s="333">
        <v>17</v>
      </c>
      <c r="B215" s="333" t="str">
        <f t="shared" si="147"/>
        <v>CEREAL EMPACADO_17</v>
      </c>
      <c r="C215" s="333" t="str">
        <f t="shared" si="148"/>
        <v>30_17</v>
      </c>
      <c r="D215" s="333" t="s">
        <v>1607</v>
      </c>
      <c r="E215" s="256">
        <v>30</v>
      </c>
      <c r="F215" s="322" t="s">
        <v>63</v>
      </c>
      <c r="G215" s="256" t="s">
        <v>9</v>
      </c>
      <c r="H215" s="425">
        <f t="shared" si="149"/>
        <v>16</v>
      </c>
      <c r="I215" s="425">
        <f t="array" ref="I215">MAX((IF(MNU_CODIGO_ALIMENTO_ENTREGA=CONCATENATE($E215,"_","P_"),MNU_GRAMAJE_REQUERIDO_TIPOA,"")))</f>
        <v>30</v>
      </c>
      <c r="J215" s="257">
        <f t="shared" si="150"/>
        <v>5655</v>
      </c>
      <c r="K215" s="257">
        <f t="shared" si="151"/>
        <v>90480</v>
      </c>
      <c r="L215" s="446">
        <f t="shared" si="152"/>
        <v>316</v>
      </c>
      <c r="M215" s="446">
        <f t="shared" si="153"/>
        <v>15.4208</v>
      </c>
      <c r="N215" s="446">
        <f t="shared" si="154"/>
        <v>0.271765056</v>
      </c>
      <c r="O215" s="446">
        <f t="shared" si="155"/>
        <v>332</v>
      </c>
      <c r="P215" s="258">
        <f t="shared" si="156"/>
        <v>28591680</v>
      </c>
      <c r="Q215" s="258">
        <f t="shared" si="157"/>
        <v>30039360</v>
      </c>
      <c r="R215" s="426">
        <f t="shared" si="158"/>
        <v>16</v>
      </c>
      <c r="S215" s="426">
        <f t="array" ref="S215">MAX((IF(MNU_CODIGO_ALIMENTO_ENTREGA=CONCATENATE($E215,"_","P_"),MNU_GRAMAJE_REQUERIDO_TIPOB,"")))</f>
        <v>30</v>
      </c>
      <c r="T215" s="259">
        <f t="shared" si="159"/>
        <v>7756</v>
      </c>
      <c r="U215" s="259">
        <f t="shared" si="160"/>
        <v>124096</v>
      </c>
      <c r="V215" s="446">
        <f t="shared" si="161"/>
        <v>316</v>
      </c>
      <c r="W215" s="446">
        <f t="shared" si="162"/>
        <v>15.4208</v>
      </c>
      <c r="X215" s="446">
        <f t="shared" si="163"/>
        <v>0.271765056</v>
      </c>
      <c r="Y215" s="446">
        <f t="shared" si="164"/>
        <v>332</v>
      </c>
      <c r="Z215" s="260">
        <f t="shared" si="165"/>
        <v>39214336</v>
      </c>
      <c r="AA215" s="260">
        <f t="shared" si="166"/>
        <v>41199872</v>
      </c>
      <c r="AB215" s="425">
        <f t="shared" si="167"/>
        <v>16</v>
      </c>
      <c r="AC215" s="425">
        <f t="array" ref="AC215">MAX((IF(MNU_CODIGO_ALIMENTO_ENTREGA=CONCATENATE($E215,"_","P_"),MNU_GRAMAJE_REQUERIDO_TIPOC,"")))</f>
        <v>30</v>
      </c>
      <c r="AD215" s="257">
        <f t="shared" si="168"/>
        <v>7978</v>
      </c>
      <c r="AE215" s="257">
        <f t="shared" si="169"/>
        <v>127648</v>
      </c>
      <c r="AF215" s="446">
        <f t="shared" si="170"/>
        <v>316</v>
      </c>
      <c r="AG215" s="446">
        <f t="shared" si="171"/>
        <v>15.4208</v>
      </c>
      <c r="AH215" s="446">
        <f t="shared" si="172"/>
        <v>0.271765056</v>
      </c>
      <c r="AI215" s="446">
        <f t="shared" si="173"/>
        <v>332</v>
      </c>
      <c r="AJ215" s="258">
        <f t="shared" si="174"/>
        <v>40336768</v>
      </c>
      <c r="AK215" s="258">
        <f t="shared" si="175"/>
        <v>42379136</v>
      </c>
      <c r="AL215" s="426">
        <f t="shared" si="176"/>
        <v>16</v>
      </c>
      <c r="AM215" s="426">
        <f t="array" ref="AM215">MAX((IF(MNU_CODIGO_ALIMENTO_ENTREGA=CONCATENATE($E215,"_","P_"),MNU_GRAMAJE_REQUERIDO_TIPOM,"")))</f>
        <v>30</v>
      </c>
      <c r="AN215" s="259">
        <f t="shared" si="177"/>
        <v>285</v>
      </c>
      <c r="AO215" s="259">
        <f t="shared" si="178"/>
        <v>4560</v>
      </c>
      <c r="AP215" s="446">
        <f t="shared" si="179"/>
        <v>316</v>
      </c>
      <c r="AQ215" s="446">
        <f t="shared" si="180"/>
        <v>15.4208</v>
      </c>
      <c r="AR215" s="446">
        <f t="shared" si="181"/>
        <v>0.271765056</v>
      </c>
      <c r="AS215" s="446">
        <f t="shared" si="182"/>
        <v>332</v>
      </c>
      <c r="AT215" s="260">
        <f t="shared" si="183"/>
        <v>1440960</v>
      </c>
      <c r="AU215" s="260">
        <f t="shared" si="184"/>
        <v>1513920</v>
      </c>
      <c r="AV215" s="425">
        <f t="shared" si="185"/>
        <v>16</v>
      </c>
      <c r="AW215" s="425">
        <f t="array" ref="AW215">MAX((IF(MNU_CODIGO_ALIMENTO_ENTREGA=CONCATENATE($E215,"_","P_"),MNU_GRAMAJE_REQUERIDO_TIPOH,"")))</f>
        <v>30</v>
      </c>
      <c r="AX215" s="257">
        <f t="shared" si="186"/>
        <v>294</v>
      </c>
      <c r="AY215" s="257">
        <f t="shared" si="187"/>
        <v>4704</v>
      </c>
      <c r="AZ215" s="446">
        <f t="shared" si="188"/>
        <v>316</v>
      </c>
      <c r="BA215" s="446">
        <f t="shared" si="189"/>
        <v>15.4208</v>
      </c>
      <c r="BB215" s="446">
        <f t="shared" si="190"/>
        <v>0.271765056</v>
      </c>
      <c r="BC215" s="446">
        <f t="shared" si="191"/>
        <v>332</v>
      </c>
      <c r="BD215" s="258">
        <f t="shared" si="192"/>
        <v>1486464</v>
      </c>
      <c r="BE215" s="258">
        <f t="shared" si="193"/>
        <v>1561728</v>
      </c>
      <c r="BF215" s="391">
        <f t="shared" si="194"/>
        <v>111070208</v>
      </c>
      <c r="BG215" s="391">
        <f t="shared" si="195"/>
        <v>116694016</v>
      </c>
    </row>
    <row r="216" spans="1:59" ht="15.75">
      <c r="A216" s="333">
        <v>17</v>
      </c>
      <c r="B216" s="333" t="str">
        <f t="shared" si="147"/>
        <v>CEREAL EMPACADO_17</v>
      </c>
      <c r="C216" s="333" t="str">
        <f t="shared" si="148"/>
        <v>45_17</v>
      </c>
      <c r="D216" s="333" t="s">
        <v>1607</v>
      </c>
      <c r="E216" s="256">
        <v>45</v>
      </c>
      <c r="F216" s="322" t="s">
        <v>10</v>
      </c>
      <c r="G216" s="256" t="s">
        <v>9</v>
      </c>
      <c r="H216" s="425">
        <f t="shared" si="149"/>
        <v>16</v>
      </c>
      <c r="I216" s="425">
        <f t="array" ref="I216">MAX((IF(MNU_CODIGO_ALIMENTO_ENTREGA=CONCATENATE($E216,"_","P_"),MNU_GRAMAJE_REQUERIDO_TIPOA,"")))</f>
        <v>20</v>
      </c>
      <c r="J216" s="257">
        <f t="shared" si="150"/>
        <v>5655</v>
      </c>
      <c r="K216" s="257">
        <f t="shared" si="151"/>
        <v>90480</v>
      </c>
      <c r="L216" s="446">
        <f t="shared" si="152"/>
        <v>190</v>
      </c>
      <c r="M216" s="446">
        <f t="shared" si="153"/>
        <v>9.2720000000000002</v>
      </c>
      <c r="N216" s="446">
        <f t="shared" si="154"/>
        <v>0.16340304</v>
      </c>
      <c r="O216" s="446">
        <f t="shared" si="155"/>
        <v>199</v>
      </c>
      <c r="P216" s="258">
        <f t="shared" si="156"/>
        <v>17191200</v>
      </c>
      <c r="Q216" s="258">
        <f t="shared" si="157"/>
        <v>18005520</v>
      </c>
      <c r="R216" s="426">
        <f t="shared" si="158"/>
        <v>16</v>
      </c>
      <c r="S216" s="426">
        <f t="array" ref="S216">MAX((IF(MNU_CODIGO_ALIMENTO_ENTREGA=CONCATENATE($E216,"_","P_"),MNU_GRAMAJE_REQUERIDO_TIPOB,"")))</f>
        <v>30</v>
      </c>
      <c r="T216" s="259">
        <f t="shared" si="159"/>
        <v>7756</v>
      </c>
      <c r="U216" s="259">
        <f t="shared" si="160"/>
        <v>124096</v>
      </c>
      <c r="V216" s="446">
        <f t="shared" si="161"/>
        <v>284</v>
      </c>
      <c r="W216" s="446">
        <f t="shared" si="162"/>
        <v>13.8592</v>
      </c>
      <c r="X216" s="446">
        <f t="shared" si="163"/>
        <v>0.24424454399999998</v>
      </c>
      <c r="Y216" s="446">
        <f t="shared" si="164"/>
        <v>298</v>
      </c>
      <c r="Z216" s="260">
        <f t="shared" si="165"/>
        <v>35243264</v>
      </c>
      <c r="AA216" s="260">
        <f t="shared" si="166"/>
        <v>36980608</v>
      </c>
      <c r="AB216" s="425">
        <f t="shared" si="167"/>
        <v>16</v>
      </c>
      <c r="AC216" s="425">
        <f t="array" ref="AC216">MAX((IF(MNU_CODIGO_ALIMENTO_ENTREGA=CONCATENATE($E216,"_","P_"),MNU_GRAMAJE_REQUERIDO_TIPOC,"")))</f>
        <v>60</v>
      </c>
      <c r="AD216" s="257">
        <f t="shared" si="168"/>
        <v>7978</v>
      </c>
      <c r="AE216" s="257">
        <f t="shared" si="169"/>
        <v>127648</v>
      </c>
      <c r="AF216" s="446">
        <f t="shared" si="170"/>
        <v>569</v>
      </c>
      <c r="AG216" s="446">
        <f t="shared" si="171"/>
        <v>27.767199999999999</v>
      </c>
      <c r="AH216" s="446">
        <f t="shared" si="172"/>
        <v>0.48934910400000003</v>
      </c>
      <c r="AI216" s="446">
        <f t="shared" si="173"/>
        <v>597</v>
      </c>
      <c r="AJ216" s="258">
        <f t="shared" si="174"/>
        <v>72631712</v>
      </c>
      <c r="AK216" s="258">
        <f t="shared" si="175"/>
        <v>76205856</v>
      </c>
      <c r="AL216" s="426">
        <f t="shared" si="176"/>
        <v>16</v>
      </c>
      <c r="AM216" s="426">
        <f t="array" ref="AM216">MAX((IF(MNU_CODIGO_ALIMENTO_ENTREGA=CONCATENATE($E216,"_","P_"),MNU_GRAMAJE_REQUERIDO_TIPOM,"")))</f>
        <v>30</v>
      </c>
      <c r="AN216" s="259">
        <f t="shared" si="177"/>
        <v>285</v>
      </c>
      <c r="AO216" s="259">
        <f t="shared" si="178"/>
        <v>4560</v>
      </c>
      <c r="AP216" s="446">
        <f t="shared" si="179"/>
        <v>284</v>
      </c>
      <c r="AQ216" s="446">
        <f t="shared" si="180"/>
        <v>13.8592</v>
      </c>
      <c r="AR216" s="446">
        <f t="shared" si="181"/>
        <v>0.24424454399999998</v>
      </c>
      <c r="AS216" s="446">
        <f t="shared" si="182"/>
        <v>298</v>
      </c>
      <c r="AT216" s="260">
        <f t="shared" si="183"/>
        <v>1295040</v>
      </c>
      <c r="AU216" s="260">
        <f t="shared" si="184"/>
        <v>1358880</v>
      </c>
      <c r="AV216" s="425">
        <f t="shared" si="185"/>
        <v>16</v>
      </c>
      <c r="AW216" s="425">
        <f t="array" ref="AW216">MAX((IF(MNU_CODIGO_ALIMENTO_ENTREGA=CONCATENATE($E216,"_","P_"),MNU_GRAMAJE_REQUERIDO_TIPOH,"")))</f>
        <v>60</v>
      </c>
      <c r="AX216" s="257">
        <f t="shared" si="186"/>
        <v>294</v>
      </c>
      <c r="AY216" s="257">
        <f t="shared" si="187"/>
        <v>4704</v>
      </c>
      <c r="AZ216" s="446">
        <f t="shared" si="188"/>
        <v>569</v>
      </c>
      <c r="BA216" s="446">
        <f t="shared" si="189"/>
        <v>27.767199999999999</v>
      </c>
      <c r="BB216" s="446">
        <f t="shared" si="190"/>
        <v>0.48934910400000003</v>
      </c>
      <c r="BC216" s="446">
        <f t="shared" si="191"/>
        <v>597</v>
      </c>
      <c r="BD216" s="258">
        <f t="shared" si="192"/>
        <v>2676576</v>
      </c>
      <c r="BE216" s="258">
        <f t="shared" si="193"/>
        <v>2808288</v>
      </c>
      <c r="BF216" s="391">
        <f t="shared" si="194"/>
        <v>129037792</v>
      </c>
      <c r="BG216" s="391">
        <f t="shared" si="195"/>
        <v>135359152</v>
      </c>
    </row>
    <row r="217" spans="1:59" ht="15.75">
      <c r="A217" s="333">
        <v>17</v>
      </c>
      <c r="B217" s="333" t="str">
        <f t="shared" si="147"/>
        <v>CEREAL EMPACADO_17</v>
      </c>
      <c r="C217" s="333" t="str">
        <f t="shared" si="148"/>
        <v>50_17</v>
      </c>
      <c r="D217" s="333" t="s">
        <v>1607</v>
      </c>
      <c r="E217" s="256">
        <v>50</v>
      </c>
      <c r="F217" s="322" t="s">
        <v>65</v>
      </c>
      <c r="G217" s="256" t="s">
        <v>9</v>
      </c>
      <c r="H217" s="425">
        <f t="shared" si="149"/>
        <v>17</v>
      </c>
      <c r="I217" s="425">
        <f t="array" ref="I217">MAX((IF(MNU_CODIGO_ALIMENTO_ENTREGA=CONCATENATE($E217,"_","P_"),MNU_GRAMAJE_REQUERIDO_TIPOA,"")))</f>
        <v>30</v>
      </c>
      <c r="J217" s="257">
        <f t="shared" si="150"/>
        <v>5655</v>
      </c>
      <c r="K217" s="257">
        <f t="shared" si="151"/>
        <v>96135</v>
      </c>
      <c r="L217" s="446">
        <f t="shared" si="152"/>
        <v>306</v>
      </c>
      <c r="M217" s="446">
        <f t="shared" si="153"/>
        <v>14.9328</v>
      </c>
      <c r="N217" s="446">
        <f t="shared" si="154"/>
        <v>0.26316489599999998</v>
      </c>
      <c r="O217" s="446">
        <f t="shared" si="155"/>
        <v>321</v>
      </c>
      <c r="P217" s="258">
        <f t="shared" si="156"/>
        <v>29417310</v>
      </c>
      <c r="Q217" s="258">
        <f t="shared" si="157"/>
        <v>30859335</v>
      </c>
      <c r="R217" s="426">
        <f t="shared" si="158"/>
        <v>17</v>
      </c>
      <c r="S217" s="426">
        <f t="array" ref="S217">MAX((IF(MNU_CODIGO_ALIMENTO_ENTREGA=CONCATENATE($E217,"_","P_"),MNU_GRAMAJE_REQUERIDO_TIPOB,"")))</f>
        <v>40</v>
      </c>
      <c r="T217" s="259">
        <f t="shared" si="159"/>
        <v>7756</v>
      </c>
      <c r="U217" s="259">
        <f t="shared" si="160"/>
        <v>131852</v>
      </c>
      <c r="V217" s="446">
        <f t="shared" si="161"/>
        <v>408</v>
      </c>
      <c r="W217" s="446">
        <f t="shared" si="162"/>
        <v>19.910400000000003</v>
      </c>
      <c r="X217" s="446">
        <f t="shared" si="163"/>
        <v>0.35088652799999998</v>
      </c>
      <c r="Y217" s="446">
        <f t="shared" si="164"/>
        <v>428</v>
      </c>
      <c r="Z217" s="260">
        <f t="shared" si="165"/>
        <v>53795616</v>
      </c>
      <c r="AA217" s="260">
        <f t="shared" si="166"/>
        <v>56432656</v>
      </c>
      <c r="AB217" s="425">
        <f t="shared" si="167"/>
        <v>17</v>
      </c>
      <c r="AC217" s="425">
        <f t="array" ref="AC217">MAX((IF(MNU_CODIGO_ALIMENTO_ENTREGA=CONCATENATE($E217,"_","P_"),MNU_GRAMAJE_REQUERIDO_TIPOC,"")))</f>
        <v>80</v>
      </c>
      <c r="AD217" s="257">
        <f t="shared" si="168"/>
        <v>7978</v>
      </c>
      <c r="AE217" s="257">
        <f t="shared" si="169"/>
        <v>135626</v>
      </c>
      <c r="AF217" s="446">
        <f t="shared" si="170"/>
        <v>815</v>
      </c>
      <c r="AG217" s="446">
        <f t="shared" si="171"/>
        <v>39.772000000000006</v>
      </c>
      <c r="AH217" s="446">
        <f t="shared" si="172"/>
        <v>0.7009130400000001</v>
      </c>
      <c r="AI217" s="446">
        <f t="shared" si="173"/>
        <v>855</v>
      </c>
      <c r="AJ217" s="258">
        <f t="shared" si="174"/>
        <v>110535190</v>
      </c>
      <c r="AK217" s="258">
        <f t="shared" si="175"/>
        <v>115960230</v>
      </c>
      <c r="AL217" s="426">
        <f t="shared" si="176"/>
        <v>17</v>
      </c>
      <c r="AM217" s="426">
        <f t="array" ref="AM217">MAX((IF(MNU_CODIGO_ALIMENTO_ENTREGA=CONCATENATE($E217,"_","P_"),MNU_GRAMAJE_REQUERIDO_TIPOM,"")))</f>
        <v>40</v>
      </c>
      <c r="AN217" s="259">
        <f t="shared" si="177"/>
        <v>285</v>
      </c>
      <c r="AO217" s="259">
        <f t="shared" si="178"/>
        <v>4845</v>
      </c>
      <c r="AP217" s="446">
        <f t="shared" si="179"/>
        <v>408</v>
      </c>
      <c r="AQ217" s="446">
        <f t="shared" si="180"/>
        <v>19.910400000000003</v>
      </c>
      <c r="AR217" s="446">
        <f t="shared" si="181"/>
        <v>0.35088652799999998</v>
      </c>
      <c r="AS217" s="446">
        <f t="shared" si="182"/>
        <v>428</v>
      </c>
      <c r="AT217" s="260">
        <f t="shared" si="183"/>
        <v>1976760</v>
      </c>
      <c r="AU217" s="260">
        <f t="shared" si="184"/>
        <v>2073660</v>
      </c>
      <c r="AV217" s="425">
        <f t="shared" si="185"/>
        <v>17</v>
      </c>
      <c r="AW217" s="425">
        <f t="array" ref="AW217">MAX((IF(MNU_CODIGO_ALIMENTO_ENTREGA=CONCATENATE($E217,"_","P_"),MNU_GRAMAJE_REQUERIDO_TIPOH,"")))</f>
        <v>80</v>
      </c>
      <c r="AX217" s="257">
        <f t="shared" si="186"/>
        <v>294</v>
      </c>
      <c r="AY217" s="257">
        <f t="shared" si="187"/>
        <v>4998</v>
      </c>
      <c r="AZ217" s="446">
        <f t="shared" si="188"/>
        <v>815</v>
      </c>
      <c r="BA217" s="446">
        <f t="shared" si="189"/>
        <v>39.772000000000006</v>
      </c>
      <c r="BB217" s="446">
        <f t="shared" si="190"/>
        <v>0.7009130400000001</v>
      </c>
      <c r="BC217" s="446">
        <f t="shared" si="191"/>
        <v>855</v>
      </c>
      <c r="BD217" s="258">
        <f t="shared" si="192"/>
        <v>4073370</v>
      </c>
      <c r="BE217" s="258">
        <f t="shared" si="193"/>
        <v>4273290</v>
      </c>
      <c r="BF217" s="391">
        <f t="shared" si="194"/>
        <v>199798246</v>
      </c>
      <c r="BG217" s="391">
        <f t="shared" si="195"/>
        <v>209599171</v>
      </c>
    </row>
    <row r="218" spans="1:59" ht="15.75">
      <c r="A218" s="333">
        <v>17</v>
      </c>
      <c r="B218" s="333" t="str">
        <f t="shared" si="147"/>
        <v>CEREAL EMPACADO_17</v>
      </c>
      <c r="C218" s="333" t="str">
        <f t="shared" si="148"/>
        <v>61_17</v>
      </c>
      <c r="D218" s="333" t="s">
        <v>1607</v>
      </c>
      <c r="E218" s="256">
        <v>61</v>
      </c>
      <c r="F218" s="322" t="s">
        <v>13</v>
      </c>
      <c r="G218" s="256" t="s">
        <v>9</v>
      </c>
      <c r="H218" s="425">
        <f t="shared" si="149"/>
        <v>16</v>
      </c>
      <c r="I218" s="425">
        <f t="array" ref="I218">MAX((IF(MNU_CODIGO_ALIMENTO_ENTREGA=CONCATENATE($E218,"_","P_"),MNU_GRAMAJE_REQUERIDO_TIPOA,"")))</f>
        <v>20</v>
      </c>
      <c r="J218" s="257">
        <f t="shared" si="150"/>
        <v>5655</v>
      </c>
      <c r="K218" s="257">
        <f t="shared" si="151"/>
        <v>90480</v>
      </c>
      <c r="L218" s="446">
        <f t="shared" si="152"/>
        <v>222</v>
      </c>
      <c r="M218" s="446">
        <f t="shared" si="153"/>
        <v>10.833600000000001</v>
      </c>
      <c r="N218" s="446">
        <f t="shared" si="154"/>
        <v>0.190923552</v>
      </c>
      <c r="O218" s="446">
        <f t="shared" si="155"/>
        <v>233</v>
      </c>
      <c r="P218" s="258">
        <f t="shared" si="156"/>
        <v>20086560</v>
      </c>
      <c r="Q218" s="258">
        <f t="shared" si="157"/>
        <v>21081840</v>
      </c>
      <c r="R218" s="426">
        <f t="shared" si="158"/>
        <v>16</v>
      </c>
      <c r="S218" s="426">
        <f t="array" ref="S218">MAX((IF(MNU_CODIGO_ALIMENTO_ENTREGA=CONCATENATE($E218,"_","P_"),MNU_GRAMAJE_REQUERIDO_TIPOB,"")))</f>
        <v>30</v>
      </c>
      <c r="T218" s="259">
        <f t="shared" si="159"/>
        <v>7756</v>
      </c>
      <c r="U218" s="259">
        <f t="shared" si="160"/>
        <v>124096</v>
      </c>
      <c r="V218" s="446">
        <f t="shared" si="161"/>
        <v>334</v>
      </c>
      <c r="W218" s="446">
        <f t="shared" si="162"/>
        <v>16.299199999999999</v>
      </c>
      <c r="X218" s="446">
        <f t="shared" si="163"/>
        <v>0.28724534400000001</v>
      </c>
      <c r="Y218" s="446">
        <f t="shared" si="164"/>
        <v>351</v>
      </c>
      <c r="Z218" s="260">
        <f t="shared" si="165"/>
        <v>41448064</v>
      </c>
      <c r="AA218" s="260">
        <f t="shared" si="166"/>
        <v>43557696</v>
      </c>
      <c r="AB218" s="425">
        <f t="shared" si="167"/>
        <v>16</v>
      </c>
      <c r="AC218" s="425">
        <f t="array" ref="AC218">MAX((IF(MNU_CODIGO_ALIMENTO_ENTREGA=CONCATENATE($E218,"_","P_"),MNU_GRAMAJE_REQUERIDO_TIPOC,"")))</f>
        <v>70</v>
      </c>
      <c r="AD218" s="257">
        <f t="shared" si="168"/>
        <v>7978</v>
      </c>
      <c r="AE218" s="257">
        <f t="shared" si="169"/>
        <v>127648</v>
      </c>
      <c r="AF218" s="446">
        <f t="shared" si="170"/>
        <v>779</v>
      </c>
      <c r="AG218" s="446">
        <f t="shared" si="171"/>
        <v>38.0152</v>
      </c>
      <c r="AH218" s="446">
        <f t="shared" si="172"/>
        <v>0.66995246400000008</v>
      </c>
      <c r="AI218" s="446">
        <f t="shared" si="173"/>
        <v>818</v>
      </c>
      <c r="AJ218" s="258">
        <f t="shared" si="174"/>
        <v>99437792</v>
      </c>
      <c r="AK218" s="258">
        <f t="shared" si="175"/>
        <v>104416064</v>
      </c>
      <c r="AL218" s="426">
        <f t="shared" si="176"/>
        <v>16</v>
      </c>
      <c r="AM218" s="426">
        <f t="array" ref="AM218">MAX((IF(MNU_CODIGO_ALIMENTO_ENTREGA=CONCATENATE($E218,"_","P_"),MNU_GRAMAJE_REQUERIDO_TIPOM,"")))</f>
        <v>30</v>
      </c>
      <c r="AN218" s="259">
        <f t="shared" si="177"/>
        <v>285</v>
      </c>
      <c r="AO218" s="259">
        <f t="shared" si="178"/>
        <v>4560</v>
      </c>
      <c r="AP218" s="446">
        <f t="shared" si="179"/>
        <v>334</v>
      </c>
      <c r="AQ218" s="446">
        <f t="shared" si="180"/>
        <v>16.299199999999999</v>
      </c>
      <c r="AR218" s="446">
        <f t="shared" si="181"/>
        <v>0.28724534400000001</v>
      </c>
      <c r="AS218" s="446">
        <f t="shared" si="182"/>
        <v>351</v>
      </c>
      <c r="AT218" s="260">
        <f t="shared" si="183"/>
        <v>1523040</v>
      </c>
      <c r="AU218" s="260">
        <f t="shared" si="184"/>
        <v>1600560</v>
      </c>
      <c r="AV218" s="425">
        <f t="shared" si="185"/>
        <v>16</v>
      </c>
      <c r="AW218" s="425">
        <f t="array" ref="AW218">MAX((IF(MNU_CODIGO_ALIMENTO_ENTREGA=CONCATENATE($E218,"_","P_"),MNU_GRAMAJE_REQUERIDO_TIPOH,"")))</f>
        <v>70</v>
      </c>
      <c r="AX218" s="257">
        <f t="shared" si="186"/>
        <v>294</v>
      </c>
      <c r="AY218" s="257">
        <f t="shared" si="187"/>
        <v>4704</v>
      </c>
      <c r="AZ218" s="446">
        <f t="shared" si="188"/>
        <v>779</v>
      </c>
      <c r="BA218" s="446">
        <f t="shared" si="189"/>
        <v>38.0152</v>
      </c>
      <c r="BB218" s="446">
        <f t="shared" si="190"/>
        <v>0.66995246400000008</v>
      </c>
      <c r="BC218" s="446">
        <f t="shared" si="191"/>
        <v>818</v>
      </c>
      <c r="BD218" s="258">
        <f t="shared" si="192"/>
        <v>3664416</v>
      </c>
      <c r="BE218" s="258">
        <f t="shared" si="193"/>
        <v>3847872</v>
      </c>
      <c r="BF218" s="391">
        <f t="shared" si="194"/>
        <v>166159872</v>
      </c>
      <c r="BG218" s="391">
        <f t="shared" si="195"/>
        <v>174504032</v>
      </c>
    </row>
    <row r="219" spans="1:59" ht="15.75">
      <c r="A219" s="333">
        <v>17</v>
      </c>
      <c r="B219" s="333" t="str">
        <f t="shared" si="147"/>
        <v>CEREAL EMPACADO_17</v>
      </c>
      <c r="C219" s="333" t="str">
        <f t="shared" si="148"/>
        <v>62_17</v>
      </c>
      <c r="D219" s="333" t="s">
        <v>1607</v>
      </c>
      <c r="E219" s="256">
        <v>62</v>
      </c>
      <c r="F219" s="322" t="s">
        <v>68</v>
      </c>
      <c r="G219" s="256" t="s">
        <v>9</v>
      </c>
      <c r="H219" s="425">
        <f t="shared" si="149"/>
        <v>5</v>
      </c>
      <c r="I219" s="425">
        <f t="array" ref="I219">MAX((IF(MNU_CODIGO_ALIMENTO_ENTREGA=CONCATENATE($E219,"_","P_"),MNU_GRAMAJE_REQUERIDO_TIPOA,"")))</f>
        <v>50</v>
      </c>
      <c r="J219" s="257">
        <f t="shared" si="150"/>
        <v>5655</v>
      </c>
      <c r="K219" s="257">
        <f t="shared" si="151"/>
        <v>28275</v>
      </c>
      <c r="L219" s="446">
        <f t="shared" si="152"/>
        <v>595</v>
      </c>
      <c r="M219" s="446">
        <f t="shared" si="153"/>
        <v>29.036000000000001</v>
      </c>
      <c r="N219" s="446">
        <f t="shared" si="154"/>
        <v>0.51170952000000014</v>
      </c>
      <c r="O219" s="446">
        <f t="shared" si="155"/>
        <v>625</v>
      </c>
      <c r="P219" s="258">
        <f t="shared" si="156"/>
        <v>16823625</v>
      </c>
      <c r="Q219" s="258">
        <f t="shared" si="157"/>
        <v>17671875</v>
      </c>
      <c r="R219" s="426">
        <f t="shared" si="158"/>
        <v>5</v>
      </c>
      <c r="S219" s="426">
        <f t="array" ref="S219">MAX((IF(MNU_CODIGO_ALIMENTO_ENTREGA=CONCATENATE($E219,"_","P_"),MNU_GRAMAJE_REQUERIDO_TIPOB,"")))</f>
        <v>50</v>
      </c>
      <c r="T219" s="259">
        <f t="shared" si="159"/>
        <v>7756</v>
      </c>
      <c r="U219" s="259">
        <f t="shared" si="160"/>
        <v>38780</v>
      </c>
      <c r="V219" s="446">
        <f t="shared" si="161"/>
        <v>595</v>
      </c>
      <c r="W219" s="446">
        <f t="shared" si="162"/>
        <v>29.036000000000001</v>
      </c>
      <c r="X219" s="446">
        <f t="shared" si="163"/>
        <v>0.51170952000000014</v>
      </c>
      <c r="Y219" s="446">
        <f t="shared" si="164"/>
        <v>625</v>
      </c>
      <c r="Z219" s="260">
        <f t="shared" si="165"/>
        <v>23074100</v>
      </c>
      <c r="AA219" s="260">
        <f t="shared" si="166"/>
        <v>24237500</v>
      </c>
      <c r="AB219" s="425">
        <f t="shared" si="167"/>
        <v>5</v>
      </c>
      <c r="AC219" s="425">
        <f t="array" ref="AC219">MAX((IF(MNU_CODIGO_ALIMENTO_ENTREGA=CONCATENATE($E219,"_","P_"),MNU_GRAMAJE_REQUERIDO_TIPOC,"")))</f>
        <v>50</v>
      </c>
      <c r="AD219" s="257">
        <f t="shared" si="168"/>
        <v>7978</v>
      </c>
      <c r="AE219" s="257">
        <f t="shared" si="169"/>
        <v>39890</v>
      </c>
      <c r="AF219" s="446">
        <f t="shared" si="170"/>
        <v>595</v>
      </c>
      <c r="AG219" s="446">
        <f t="shared" si="171"/>
        <v>29.036000000000001</v>
      </c>
      <c r="AH219" s="446">
        <f t="shared" si="172"/>
        <v>0.51170952000000014</v>
      </c>
      <c r="AI219" s="446">
        <f t="shared" si="173"/>
        <v>625</v>
      </c>
      <c r="AJ219" s="258">
        <f t="shared" si="174"/>
        <v>23734550</v>
      </c>
      <c r="AK219" s="258">
        <f t="shared" si="175"/>
        <v>24931250</v>
      </c>
      <c r="AL219" s="426">
        <f t="shared" si="176"/>
        <v>5</v>
      </c>
      <c r="AM219" s="426">
        <f t="array" ref="AM219">MAX((IF(MNU_CODIGO_ALIMENTO_ENTREGA=CONCATENATE($E219,"_","P_"),MNU_GRAMAJE_REQUERIDO_TIPOM,"")))</f>
        <v>50</v>
      </c>
      <c r="AN219" s="259">
        <f t="shared" si="177"/>
        <v>285</v>
      </c>
      <c r="AO219" s="259">
        <f t="shared" si="178"/>
        <v>1425</v>
      </c>
      <c r="AP219" s="446">
        <f t="shared" si="179"/>
        <v>595</v>
      </c>
      <c r="AQ219" s="446">
        <f t="shared" si="180"/>
        <v>29.036000000000001</v>
      </c>
      <c r="AR219" s="446">
        <f t="shared" si="181"/>
        <v>0.51170952000000014</v>
      </c>
      <c r="AS219" s="446">
        <f t="shared" si="182"/>
        <v>625</v>
      </c>
      <c r="AT219" s="260">
        <f t="shared" si="183"/>
        <v>847875</v>
      </c>
      <c r="AU219" s="260">
        <f t="shared" si="184"/>
        <v>890625</v>
      </c>
      <c r="AV219" s="425">
        <f t="shared" si="185"/>
        <v>5</v>
      </c>
      <c r="AW219" s="425">
        <f t="array" ref="AW219">MAX((IF(MNU_CODIGO_ALIMENTO_ENTREGA=CONCATENATE($E219,"_","P_"),MNU_GRAMAJE_REQUERIDO_TIPOH,"")))</f>
        <v>50</v>
      </c>
      <c r="AX219" s="257">
        <f t="shared" si="186"/>
        <v>294</v>
      </c>
      <c r="AY219" s="257">
        <f t="shared" si="187"/>
        <v>1470</v>
      </c>
      <c r="AZ219" s="446">
        <f t="shared" si="188"/>
        <v>595</v>
      </c>
      <c r="BA219" s="446">
        <f t="shared" si="189"/>
        <v>29.036000000000001</v>
      </c>
      <c r="BB219" s="446">
        <f t="shared" si="190"/>
        <v>0.51170952000000014</v>
      </c>
      <c r="BC219" s="446">
        <f t="shared" si="191"/>
        <v>625</v>
      </c>
      <c r="BD219" s="258">
        <f t="shared" si="192"/>
        <v>874650</v>
      </c>
      <c r="BE219" s="258">
        <f t="shared" si="193"/>
        <v>918750</v>
      </c>
      <c r="BF219" s="391">
        <f t="shared" si="194"/>
        <v>65354800</v>
      </c>
      <c r="BG219" s="391">
        <f t="shared" si="195"/>
        <v>68650000</v>
      </c>
    </row>
    <row r="220" spans="1:59" ht="15.75">
      <c r="A220" s="333">
        <v>18</v>
      </c>
      <c r="B220" s="333" t="str">
        <f t="shared" si="147"/>
        <v>CEREAL EMPACADO_18</v>
      </c>
      <c r="C220" s="333" t="str">
        <f t="shared" si="148"/>
        <v>1_18</v>
      </c>
      <c r="D220" s="333" t="s">
        <v>1607</v>
      </c>
      <c r="E220" s="256">
        <v>1</v>
      </c>
      <c r="F220" s="322" t="s">
        <v>16</v>
      </c>
      <c r="G220" s="256" t="s">
        <v>9</v>
      </c>
      <c r="H220" s="425">
        <f t="shared" si="149"/>
        <v>15</v>
      </c>
      <c r="I220" s="425">
        <f t="array" ref="I220">MAX((IF(MNU_CODIGO_ALIMENTO_ENTREGA=CONCATENATE($E220,"_","P_"),MNU_GRAMAJE_REQUERIDO_TIPOA,"")))</f>
        <v>30</v>
      </c>
      <c r="J220" s="257">
        <f t="shared" si="150"/>
        <v>6647</v>
      </c>
      <c r="K220" s="257">
        <f t="shared" si="151"/>
        <v>99705</v>
      </c>
      <c r="L220" s="446">
        <f t="shared" si="152"/>
        <v>770</v>
      </c>
      <c r="M220" s="446">
        <f t="shared" si="153"/>
        <v>37.576000000000008</v>
      </c>
      <c r="N220" s="446">
        <f t="shared" si="154"/>
        <v>0.66221231999999997</v>
      </c>
      <c r="O220" s="446">
        <f t="shared" si="155"/>
        <v>808</v>
      </c>
      <c r="P220" s="258">
        <f t="shared" si="156"/>
        <v>76772850</v>
      </c>
      <c r="Q220" s="258">
        <f t="shared" si="157"/>
        <v>80561640</v>
      </c>
      <c r="R220" s="426">
        <f t="shared" si="158"/>
        <v>15</v>
      </c>
      <c r="S220" s="426">
        <f t="array" ref="S220">MAX((IF(MNU_CODIGO_ALIMENTO_ENTREGA=CONCATENATE($E220,"_","P_"),MNU_GRAMAJE_REQUERIDO_TIPOB,"")))</f>
        <v>40</v>
      </c>
      <c r="T220" s="259">
        <f t="shared" si="159"/>
        <v>7022</v>
      </c>
      <c r="U220" s="259">
        <f t="shared" si="160"/>
        <v>105330</v>
      </c>
      <c r="V220" s="446">
        <f t="shared" si="161"/>
        <v>1027</v>
      </c>
      <c r="W220" s="446">
        <f t="shared" si="162"/>
        <v>50.117600000000003</v>
      </c>
      <c r="X220" s="446">
        <f t="shared" si="163"/>
        <v>0.88323643200000013</v>
      </c>
      <c r="Y220" s="446">
        <f t="shared" si="164"/>
        <v>1078</v>
      </c>
      <c r="Z220" s="260">
        <f t="shared" si="165"/>
        <v>108173910</v>
      </c>
      <c r="AA220" s="260">
        <f t="shared" si="166"/>
        <v>113545740</v>
      </c>
      <c r="AB220" s="425">
        <f t="shared" si="167"/>
        <v>15</v>
      </c>
      <c r="AC220" s="425">
        <f t="array" ref="AC220">MAX((IF(MNU_CODIGO_ALIMENTO_ENTREGA=CONCATENATE($E220,"_","P_"),MNU_GRAMAJE_REQUERIDO_TIPOC,"")))</f>
        <v>60</v>
      </c>
      <c r="AD220" s="257">
        <f t="shared" si="168"/>
        <v>5592</v>
      </c>
      <c r="AE220" s="257">
        <f t="shared" si="169"/>
        <v>83880</v>
      </c>
      <c r="AF220" s="446">
        <f t="shared" si="170"/>
        <v>1540</v>
      </c>
      <c r="AG220" s="446">
        <f t="shared" si="171"/>
        <v>75.152000000000015</v>
      </c>
      <c r="AH220" s="446">
        <f t="shared" si="172"/>
        <v>1.3244246399999999</v>
      </c>
      <c r="AI220" s="446">
        <f t="shared" si="173"/>
        <v>1616</v>
      </c>
      <c r="AJ220" s="258">
        <f t="shared" si="174"/>
        <v>129175200</v>
      </c>
      <c r="AK220" s="258">
        <f t="shared" si="175"/>
        <v>135550080</v>
      </c>
      <c r="AL220" s="426">
        <f t="shared" si="176"/>
        <v>15</v>
      </c>
      <c r="AM220" s="426">
        <f t="array" ref="AM220">MAX((IF(MNU_CODIGO_ALIMENTO_ENTREGA=CONCATENATE($E220,"_","P_"),MNU_GRAMAJE_REQUERIDO_TIPOM,"")))</f>
        <v>40</v>
      </c>
      <c r="AN220" s="259">
        <f t="shared" si="177"/>
        <v>338</v>
      </c>
      <c r="AO220" s="259">
        <f t="shared" si="178"/>
        <v>5070</v>
      </c>
      <c r="AP220" s="446">
        <f t="shared" si="179"/>
        <v>1027</v>
      </c>
      <c r="AQ220" s="446">
        <f t="shared" si="180"/>
        <v>50.117600000000003</v>
      </c>
      <c r="AR220" s="446">
        <f t="shared" si="181"/>
        <v>0.88323643200000013</v>
      </c>
      <c r="AS220" s="446">
        <f t="shared" si="182"/>
        <v>1078</v>
      </c>
      <c r="AT220" s="260">
        <f t="shared" si="183"/>
        <v>5206890</v>
      </c>
      <c r="AU220" s="260">
        <f t="shared" si="184"/>
        <v>5465460</v>
      </c>
      <c r="AV220" s="425">
        <f t="shared" si="185"/>
        <v>15</v>
      </c>
      <c r="AW220" s="425">
        <f t="array" ref="AW220">MAX((IF(MNU_CODIGO_ALIMENTO_ENTREGA=CONCATENATE($E220,"_","P_"),MNU_GRAMAJE_REQUERIDO_TIPOH,"")))</f>
        <v>60</v>
      </c>
      <c r="AX220" s="257">
        <f t="shared" si="186"/>
        <v>354</v>
      </c>
      <c r="AY220" s="257">
        <f t="shared" si="187"/>
        <v>5310</v>
      </c>
      <c r="AZ220" s="446">
        <f t="shared" si="188"/>
        <v>1540</v>
      </c>
      <c r="BA220" s="446">
        <f t="shared" si="189"/>
        <v>75.152000000000015</v>
      </c>
      <c r="BB220" s="446">
        <f t="shared" si="190"/>
        <v>1.3244246399999999</v>
      </c>
      <c r="BC220" s="446">
        <f t="shared" si="191"/>
        <v>1616</v>
      </c>
      <c r="BD220" s="258">
        <f t="shared" si="192"/>
        <v>8177400</v>
      </c>
      <c r="BE220" s="258">
        <f t="shared" si="193"/>
        <v>8580960</v>
      </c>
      <c r="BF220" s="391">
        <f t="shared" si="194"/>
        <v>327506250</v>
      </c>
      <c r="BG220" s="391">
        <f t="shared" si="195"/>
        <v>343703880</v>
      </c>
    </row>
    <row r="221" spans="1:59" ht="15.75">
      <c r="A221" s="333">
        <v>18</v>
      </c>
      <c r="B221" s="333" t="str">
        <f t="shared" si="147"/>
        <v>CEREAL EMPACADO_18</v>
      </c>
      <c r="C221" s="333" t="str">
        <f t="shared" si="148"/>
        <v>3_18</v>
      </c>
      <c r="D221" s="333" t="s">
        <v>1607</v>
      </c>
      <c r="E221" s="256">
        <v>3</v>
      </c>
      <c r="F221" s="322" t="s">
        <v>12</v>
      </c>
      <c r="G221" s="256" t="s">
        <v>9</v>
      </c>
      <c r="H221" s="425">
        <f t="shared" si="149"/>
        <v>17</v>
      </c>
      <c r="I221" s="425">
        <f t="array" ref="I221">MAX((IF(MNU_CODIGO_ALIMENTO_ENTREGA=CONCATENATE($E221,"_","P_"),MNU_GRAMAJE_REQUERIDO_TIPOA,"")))</f>
        <v>50</v>
      </c>
      <c r="J221" s="257">
        <f t="shared" si="150"/>
        <v>6647</v>
      </c>
      <c r="K221" s="257">
        <f t="shared" si="151"/>
        <v>112999</v>
      </c>
      <c r="L221" s="446">
        <f t="shared" si="152"/>
        <v>481</v>
      </c>
      <c r="M221" s="446">
        <f t="shared" si="153"/>
        <v>23.472799999999999</v>
      </c>
      <c r="N221" s="446">
        <f t="shared" si="154"/>
        <v>0.41366769599999997</v>
      </c>
      <c r="O221" s="446">
        <f t="shared" si="155"/>
        <v>505</v>
      </c>
      <c r="P221" s="258">
        <f t="shared" si="156"/>
        <v>54352519</v>
      </c>
      <c r="Q221" s="258">
        <f t="shared" si="157"/>
        <v>57064495</v>
      </c>
      <c r="R221" s="426">
        <f t="shared" si="158"/>
        <v>17</v>
      </c>
      <c r="S221" s="426">
        <f t="array" ref="S221">MAX((IF(MNU_CODIGO_ALIMENTO_ENTREGA=CONCATENATE($E221,"_","P_"),MNU_GRAMAJE_REQUERIDO_TIPOB,"")))</f>
        <v>50</v>
      </c>
      <c r="T221" s="259">
        <f t="shared" si="159"/>
        <v>7022</v>
      </c>
      <c r="U221" s="259">
        <f t="shared" si="160"/>
        <v>119374</v>
      </c>
      <c r="V221" s="446">
        <f t="shared" si="161"/>
        <v>481</v>
      </c>
      <c r="W221" s="446">
        <f t="shared" si="162"/>
        <v>23.472799999999999</v>
      </c>
      <c r="X221" s="446">
        <f t="shared" si="163"/>
        <v>0.41366769599999997</v>
      </c>
      <c r="Y221" s="446">
        <f t="shared" si="164"/>
        <v>505</v>
      </c>
      <c r="Z221" s="260">
        <f t="shared" si="165"/>
        <v>57418894</v>
      </c>
      <c r="AA221" s="260">
        <f t="shared" si="166"/>
        <v>60283870</v>
      </c>
      <c r="AB221" s="425">
        <f t="shared" si="167"/>
        <v>17</v>
      </c>
      <c r="AC221" s="425">
        <f t="array" ref="AC221">MAX((IF(MNU_CODIGO_ALIMENTO_ENTREGA=CONCATENATE($E221,"_","P_"),MNU_GRAMAJE_REQUERIDO_TIPOC,"")))</f>
        <v>80</v>
      </c>
      <c r="AD221" s="257">
        <f t="shared" si="168"/>
        <v>5592</v>
      </c>
      <c r="AE221" s="257">
        <f t="shared" si="169"/>
        <v>95064</v>
      </c>
      <c r="AF221" s="446">
        <f t="shared" si="170"/>
        <v>727</v>
      </c>
      <c r="AG221" s="446">
        <f t="shared" si="171"/>
        <v>35.477600000000002</v>
      </c>
      <c r="AH221" s="446">
        <f t="shared" si="172"/>
        <v>0.62523163200000009</v>
      </c>
      <c r="AI221" s="446">
        <f t="shared" si="173"/>
        <v>763</v>
      </c>
      <c r="AJ221" s="258">
        <f t="shared" si="174"/>
        <v>69111528</v>
      </c>
      <c r="AK221" s="258">
        <f t="shared" si="175"/>
        <v>72533832</v>
      </c>
      <c r="AL221" s="426">
        <f t="shared" si="176"/>
        <v>17</v>
      </c>
      <c r="AM221" s="426">
        <f t="array" ref="AM221">MAX((IF(MNU_CODIGO_ALIMENTO_ENTREGA=CONCATENATE($E221,"_","P_"),MNU_GRAMAJE_REQUERIDO_TIPOM,"")))</f>
        <v>50</v>
      </c>
      <c r="AN221" s="259">
        <f t="shared" si="177"/>
        <v>338</v>
      </c>
      <c r="AO221" s="259">
        <f t="shared" si="178"/>
        <v>5746</v>
      </c>
      <c r="AP221" s="446">
        <f t="shared" si="179"/>
        <v>481</v>
      </c>
      <c r="AQ221" s="446">
        <f t="shared" si="180"/>
        <v>23.472799999999999</v>
      </c>
      <c r="AR221" s="446">
        <f t="shared" si="181"/>
        <v>0.41366769599999997</v>
      </c>
      <c r="AS221" s="446">
        <f t="shared" si="182"/>
        <v>505</v>
      </c>
      <c r="AT221" s="260">
        <f t="shared" si="183"/>
        <v>2763826</v>
      </c>
      <c r="AU221" s="260">
        <f t="shared" si="184"/>
        <v>2901730</v>
      </c>
      <c r="AV221" s="425">
        <f t="shared" si="185"/>
        <v>17</v>
      </c>
      <c r="AW221" s="425">
        <f t="array" ref="AW221">MAX((IF(MNU_CODIGO_ALIMENTO_ENTREGA=CONCATENATE($E221,"_","P_"),MNU_GRAMAJE_REQUERIDO_TIPOH,"")))</f>
        <v>80</v>
      </c>
      <c r="AX221" s="257">
        <f t="shared" si="186"/>
        <v>354</v>
      </c>
      <c r="AY221" s="257">
        <f t="shared" si="187"/>
        <v>6018</v>
      </c>
      <c r="AZ221" s="446">
        <f t="shared" si="188"/>
        <v>727</v>
      </c>
      <c r="BA221" s="446">
        <f t="shared" si="189"/>
        <v>35.477600000000002</v>
      </c>
      <c r="BB221" s="446">
        <f t="shared" si="190"/>
        <v>0.62523163200000009</v>
      </c>
      <c r="BC221" s="446">
        <f t="shared" si="191"/>
        <v>763</v>
      </c>
      <c r="BD221" s="258">
        <f t="shared" si="192"/>
        <v>4375086</v>
      </c>
      <c r="BE221" s="258">
        <f t="shared" si="193"/>
        <v>4591734</v>
      </c>
      <c r="BF221" s="391">
        <f t="shared" si="194"/>
        <v>188021853</v>
      </c>
      <c r="BG221" s="391">
        <f t="shared" si="195"/>
        <v>197375661</v>
      </c>
    </row>
    <row r="222" spans="1:59" ht="15.75">
      <c r="A222" s="333">
        <v>18</v>
      </c>
      <c r="B222" s="333" t="str">
        <f t="shared" si="147"/>
        <v>CEREAL EMPACADO_18</v>
      </c>
      <c r="C222" s="333" t="str">
        <f t="shared" si="148"/>
        <v>15_18</v>
      </c>
      <c r="D222" s="333" t="s">
        <v>1607</v>
      </c>
      <c r="E222" s="256">
        <v>15</v>
      </c>
      <c r="F222" s="322" t="s">
        <v>66</v>
      </c>
      <c r="G222" s="256" t="s">
        <v>9</v>
      </c>
      <c r="H222" s="425">
        <f t="shared" si="149"/>
        <v>17</v>
      </c>
      <c r="I222" s="425">
        <f t="array" ref="I222">MAX((IF(MNU_CODIGO_ALIMENTO_ENTREGA=CONCATENATE($E222,"_","P_"),MNU_GRAMAJE_REQUERIDO_TIPOA,"")))</f>
        <v>50</v>
      </c>
      <c r="J222" s="257">
        <f t="shared" si="150"/>
        <v>6647</v>
      </c>
      <c r="K222" s="257">
        <f t="shared" si="151"/>
        <v>112999</v>
      </c>
      <c r="L222" s="446">
        <f t="shared" si="152"/>
        <v>641</v>
      </c>
      <c r="M222" s="446">
        <f t="shared" si="153"/>
        <v>31.280800000000003</v>
      </c>
      <c r="N222" s="446">
        <f t="shared" si="154"/>
        <v>0.55127025600000001</v>
      </c>
      <c r="O222" s="446">
        <f t="shared" si="155"/>
        <v>673</v>
      </c>
      <c r="P222" s="258">
        <f t="shared" si="156"/>
        <v>72432359</v>
      </c>
      <c r="Q222" s="258">
        <f t="shared" si="157"/>
        <v>76048327</v>
      </c>
      <c r="R222" s="426">
        <f t="shared" si="158"/>
        <v>17</v>
      </c>
      <c r="S222" s="426">
        <f t="array" ref="S222">MAX((IF(MNU_CODIGO_ALIMENTO_ENTREGA=CONCATENATE($E222,"_","P_"),MNU_GRAMAJE_REQUERIDO_TIPOB,"")))</f>
        <v>50</v>
      </c>
      <c r="T222" s="259">
        <f t="shared" si="159"/>
        <v>7022</v>
      </c>
      <c r="U222" s="259">
        <f t="shared" si="160"/>
        <v>119374</v>
      </c>
      <c r="V222" s="446">
        <f t="shared" si="161"/>
        <v>641</v>
      </c>
      <c r="W222" s="446">
        <f t="shared" si="162"/>
        <v>31.280800000000003</v>
      </c>
      <c r="X222" s="446">
        <f t="shared" si="163"/>
        <v>0.55127025600000001</v>
      </c>
      <c r="Y222" s="446">
        <f t="shared" si="164"/>
        <v>673</v>
      </c>
      <c r="Z222" s="260">
        <f t="shared" si="165"/>
        <v>76518734</v>
      </c>
      <c r="AA222" s="260">
        <f t="shared" si="166"/>
        <v>80338702</v>
      </c>
      <c r="AB222" s="425">
        <f t="shared" si="167"/>
        <v>17</v>
      </c>
      <c r="AC222" s="425">
        <f t="array" ref="AC222">MAX((IF(MNU_CODIGO_ALIMENTO_ENTREGA=CONCATENATE($E222,"_","P_"),MNU_GRAMAJE_REQUERIDO_TIPOC,"")))</f>
        <v>80</v>
      </c>
      <c r="AD222" s="257">
        <f t="shared" si="168"/>
        <v>5592</v>
      </c>
      <c r="AE222" s="257">
        <f t="shared" si="169"/>
        <v>95064</v>
      </c>
      <c r="AF222" s="446">
        <f t="shared" si="170"/>
        <v>1025</v>
      </c>
      <c r="AG222" s="446">
        <f t="shared" si="171"/>
        <v>50.02</v>
      </c>
      <c r="AH222" s="446">
        <f t="shared" si="172"/>
        <v>0.88151640000000009</v>
      </c>
      <c r="AI222" s="446">
        <f t="shared" si="173"/>
        <v>1076</v>
      </c>
      <c r="AJ222" s="258">
        <f t="shared" si="174"/>
        <v>97440600</v>
      </c>
      <c r="AK222" s="258">
        <f t="shared" si="175"/>
        <v>102288864</v>
      </c>
      <c r="AL222" s="426">
        <f t="shared" si="176"/>
        <v>17</v>
      </c>
      <c r="AM222" s="426">
        <f t="array" ref="AM222">MAX((IF(MNU_CODIGO_ALIMENTO_ENTREGA=CONCATENATE($E222,"_","P_"),MNU_GRAMAJE_REQUERIDO_TIPOM,"")))</f>
        <v>50</v>
      </c>
      <c r="AN222" s="259">
        <f t="shared" si="177"/>
        <v>338</v>
      </c>
      <c r="AO222" s="259">
        <f t="shared" si="178"/>
        <v>5746</v>
      </c>
      <c r="AP222" s="446">
        <f t="shared" si="179"/>
        <v>641</v>
      </c>
      <c r="AQ222" s="446">
        <f t="shared" si="180"/>
        <v>31.280800000000003</v>
      </c>
      <c r="AR222" s="446">
        <f t="shared" si="181"/>
        <v>0.55127025600000001</v>
      </c>
      <c r="AS222" s="446">
        <f t="shared" si="182"/>
        <v>673</v>
      </c>
      <c r="AT222" s="260">
        <f t="shared" si="183"/>
        <v>3683186</v>
      </c>
      <c r="AU222" s="260">
        <f t="shared" si="184"/>
        <v>3867058</v>
      </c>
      <c r="AV222" s="425">
        <f t="shared" si="185"/>
        <v>17</v>
      </c>
      <c r="AW222" s="425">
        <f t="array" ref="AW222">MAX((IF(MNU_CODIGO_ALIMENTO_ENTREGA=CONCATENATE($E222,"_","P_"),MNU_GRAMAJE_REQUERIDO_TIPOH,"")))</f>
        <v>80</v>
      </c>
      <c r="AX222" s="257">
        <f t="shared" si="186"/>
        <v>354</v>
      </c>
      <c r="AY222" s="257">
        <f t="shared" si="187"/>
        <v>6018</v>
      </c>
      <c r="AZ222" s="446">
        <f t="shared" si="188"/>
        <v>1025</v>
      </c>
      <c r="BA222" s="446">
        <f t="shared" si="189"/>
        <v>50.02</v>
      </c>
      <c r="BB222" s="446">
        <f t="shared" si="190"/>
        <v>0.88151640000000009</v>
      </c>
      <c r="BC222" s="446">
        <f t="shared" si="191"/>
        <v>1076</v>
      </c>
      <c r="BD222" s="258">
        <f t="shared" si="192"/>
        <v>6168450</v>
      </c>
      <c r="BE222" s="258">
        <f t="shared" si="193"/>
        <v>6475368</v>
      </c>
      <c r="BF222" s="391">
        <f t="shared" si="194"/>
        <v>256243329</v>
      </c>
      <c r="BG222" s="391">
        <f t="shared" si="195"/>
        <v>269018319</v>
      </c>
    </row>
    <row r="223" spans="1:59" ht="15.75">
      <c r="A223" s="333">
        <v>18</v>
      </c>
      <c r="B223" s="333" t="str">
        <f t="shared" si="147"/>
        <v>CEREAL EMPACADO_18</v>
      </c>
      <c r="C223" s="333" t="str">
        <f t="shared" si="148"/>
        <v>24_18</v>
      </c>
      <c r="D223" s="333" t="s">
        <v>1607</v>
      </c>
      <c r="E223" s="256">
        <v>24</v>
      </c>
      <c r="F223" s="322" t="s">
        <v>61</v>
      </c>
      <c r="G223" s="256" t="s">
        <v>9</v>
      </c>
      <c r="H223" s="425">
        <f t="shared" si="149"/>
        <v>17</v>
      </c>
      <c r="I223" s="425">
        <f t="array" ref="I223">MAX((IF(MNU_CODIGO_ALIMENTO_ENTREGA=CONCATENATE($E223,"_","P_"),MNU_GRAMAJE_REQUERIDO_TIPOA,"")))</f>
        <v>20</v>
      </c>
      <c r="J223" s="257">
        <f t="shared" si="150"/>
        <v>6647</v>
      </c>
      <c r="K223" s="257">
        <f t="shared" si="151"/>
        <v>112999</v>
      </c>
      <c r="L223" s="446">
        <f t="shared" si="152"/>
        <v>122</v>
      </c>
      <c r="M223" s="446">
        <f t="shared" si="153"/>
        <v>5.9535999999999998</v>
      </c>
      <c r="N223" s="446">
        <f t="shared" si="154"/>
        <v>0.104921952</v>
      </c>
      <c r="O223" s="446">
        <f t="shared" si="155"/>
        <v>128</v>
      </c>
      <c r="P223" s="258">
        <f t="shared" si="156"/>
        <v>13785878</v>
      </c>
      <c r="Q223" s="258">
        <f t="shared" si="157"/>
        <v>14463872</v>
      </c>
      <c r="R223" s="426">
        <f t="shared" si="158"/>
        <v>17</v>
      </c>
      <c r="S223" s="426">
        <f t="array" ref="S223">MAX((IF(MNU_CODIGO_ALIMENTO_ENTREGA=CONCATENATE($E223,"_","P_"),MNU_GRAMAJE_REQUERIDO_TIPOB,"")))</f>
        <v>30</v>
      </c>
      <c r="T223" s="259">
        <f t="shared" si="159"/>
        <v>7022</v>
      </c>
      <c r="U223" s="259">
        <f t="shared" si="160"/>
        <v>119374</v>
      </c>
      <c r="V223" s="446">
        <f t="shared" si="161"/>
        <v>191</v>
      </c>
      <c r="W223" s="446">
        <f t="shared" si="162"/>
        <v>9.3208000000000002</v>
      </c>
      <c r="X223" s="446">
        <f t="shared" si="163"/>
        <v>0.16426305600000002</v>
      </c>
      <c r="Y223" s="446">
        <f t="shared" si="164"/>
        <v>200</v>
      </c>
      <c r="Z223" s="260">
        <f t="shared" si="165"/>
        <v>22800434</v>
      </c>
      <c r="AA223" s="260">
        <f t="shared" si="166"/>
        <v>23874800</v>
      </c>
      <c r="AB223" s="425">
        <f t="shared" si="167"/>
        <v>17</v>
      </c>
      <c r="AC223" s="425">
        <f t="array" ref="AC223">MAX((IF(MNU_CODIGO_ALIMENTO_ENTREGA=CONCATENATE($E223,"_","P_"),MNU_GRAMAJE_REQUERIDO_TIPOC,"")))</f>
        <v>60</v>
      </c>
      <c r="AD223" s="257">
        <f t="shared" si="168"/>
        <v>5592</v>
      </c>
      <c r="AE223" s="257">
        <f t="shared" si="169"/>
        <v>95064</v>
      </c>
      <c r="AF223" s="446">
        <f t="shared" si="170"/>
        <v>367</v>
      </c>
      <c r="AG223" s="446">
        <f t="shared" si="171"/>
        <v>17.909599999999998</v>
      </c>
      <c r="AH223" s="446">
        <f t="shared" si="172"/>
        <v>0.31562587200000003</v>
      </c>
      <c r="AI223" s="446">
        <f t="shared" si="173"/>
        <v>385</v>
      </c>
      <c r="AJ223" s="258">
        <f t="shared" si="174"/>
        <v>34888488</v>
      </c>
      <c r="AK223" s="258">
        <f t="shared" si="175"/>
        <v>36599640</v>
      </c>
      <c r="AL223" s="426">
        <f t="shared" si="176"/>
        <v>17</v>
      </c>
      <c r="AM223" s="426">
        <f t="array" ref="AM223">MAX((IF(MNU_CODIGO_ALIMENTO_ENTREGA=CONCATENATE($E223,"_","P_"),MNU_GRAMAJE_REQUERIDO_TIPOM,"")))</f>
        <v>30</v>
      </c>
      <c r="AN223" s="259">
        <f t="shared" si="177"/>
        <v>338</v>
      </c>
      <c r="AO223" s="259">
        <f t="shared" si="178"/>
        <v>5746</v>
      </c>
      <c r="AP223" s="446">
        <f t="shared" si="179"/>
        <v>191</v>
      </c>
      <c r="AQ223" s="446">
        <f t="shared" si="180"/>
        <v>9.3208000000000002</v>
      </c>
      <c r="AR223" s="446">
        <f t="shared" si="181"/>
        <v>0.16426305600000002</v>
      </c>
      <c r="AS223" s="446">
        <f t="shared" si="182"/>
        <v>200</v>
      </c>
      <c r="AT223" s="260">
        <f t="shared" si="183"/>
        <v>1097486</v>
      </c>
      <c r="AU223" s="260">
        <f t="shared" si="184"/>
        <v>1149200</v>
      </c>
      <c r="AV223" s="425">
        <f t="shared" si="185"/>
        <v>17</v>
      </c>
      <c r="AW223" s="425">
        <f t="array" ref="AW223">MAX((IF(MNU_CODIGO_ALIMENTO_ENTREGA=CONCATENATE($E223,"_","P_"),MNU_GRAMAJE_REQUERIDO_TIPOH,"")))</f>
        <v>60</v>
      </c>
      <c r="AX223" s="257">
        <f t="shared" si="186"/>
        <v>354</v>
      </c>
      <c r="AY223" s="257">
        <f t="shared" si="187"/>
        <v>6018</v>
      </c>
      <c r="AZ223" s="446">
        <f t="shared" si="188"/>
        <v>367</v>
      </c>
      <c r="BA223" s="446">
        <f t="shared" si="189"/>
        <v>17.909599999999998</v>
      </c>
      <c r="BB223" s="446">
        <f t="shared" si="190"/>
        <v>0.31562587200000003</v>
      </c>
      <c r="BC223" s="446">
        <f t="shared" si="191"/>
        <v>385</v>
      </c>
      <c r="BD223" s="258">
        <f t="shared" si="192"/>
        <v>2208606</v>
      </c>
      <c r="BE223" s="258">
        <f t="shared" si="193"/>
        <v>2316930</v>
      </c>
      <c r="BF223" s="391">
        <f t="shared" si="194"/>
        <v>74780892</v>
      </c>
      <c r="BG223" s="391">
        <f t="shared" si="195"/>
        <v>78404442</v>
      </c>
    </row>
    <row r="224" spans="1:59" ht="15.75">
      <c r="A224" s="333">
        <v>18</v>
      </c>
      <c r="B224" s="333" t="str">
        <f t="shared" si="147"/>
        <v>CEREAL EMPACADO_18</v>
      </c>
      <c r="C224" s="333" t="str">
        <f t="shared" si="148"/>
        <v>25_18</v>
      </c>
      <c r="D224" s="333" t="s">
        <v>1607</v>
      </c>
      <c r="E224" s="256">
        <v>25</v>
      </c>
      <c r="F224" s="322" t="s">
        <v>64</v>
      </c>
      <c r="G224" s="256" t="s">
        <v>9</v>
      </c>
      <c r="H224" s="425">
        <f t="shared" si="149"/>
        <v>17</v>
      </c>
      <c r="I224" s="425">
        <f t="array" ref="I224">MAX((IF(MNU_CODIGO_ALIMENTO_ENTREGA=CONCATENATE($E224,"_","P_"),MNU_GRAMAJE_REQUERIDO_TIPOA,"")))</f>
        <v>40</v>
      </c>
      <c r="J224" s="257">
        <f t="shared" si="150"/>
        <v>6647</v>
      </c>
      <c r="K224" s="257">
        <f t="shared" si="151"/>
        <v>112999</v>
      </c>
      <c r="L224" s="446">
        <f t="shared" si="152"/>
        <v>244</v>
      </c>
      <c r="M224" s="446">
        <f t="shared" si="153"/>
        <v>11.9072</v>
      </c>
      <c r="N224" s="446">
        <f t="shared" si="154"/>
        <v>0.209843904</v>
      </c>
      <c r="O224" s="446">
        <f t="shared" si="155"/>
        <v>256</v>
      </c>
      <c r="P224" s="258">
        <f t="shared" si="156"/>
        <v>27571756</v>
      </c>
      <c r="Q224" s="258">
        <f t="shared" si="157"/>
        <v>28927744</v>
      </c>
      <c r="R224" s="426">
        <f t="shared" si="158"/>
        <v>17</v>
      </c>
      <c r="S224" s="426">
        <f t="array" ref="S224">MAX((IF(MNU_CODIGO_ALIMENTO_ENTREGA=CONCATENATE($E224,"_","P_"),MNU_GRAMAJE_REQUERIDO_TIPOB,"")))</f>
        <v>40</v>
      </c>
      <c r="T224" s="259">
        <f t="shared" si="159"/>
        <v>7022</v>
      </c>
      <c r="U224" s="259">
        <f t="shared" si="160"/>
        <v>119374</v>
      </c>
      <c r="V224" s="446">
        <f t="shared" si="161"/>
        <v>244</v>
      </c>
      <c r="W224" s="446">
        <f t="shared" si="162"/>
        <v>11.9072</v>
      </c>
      <c r="X224" s="446">
        <f t="shared" si="163"/>
        <v>0.209843904</v>
      </c>
      <c r="Y224" s="446">
        <f t="shared" si="164"/>
        <v>256</v>
      </c>
      <c r="Z224" s="260">
        <f t="shared" si="165"/>
        <v>29127256</v>
      </c>
      <c r="AA224" s="260">
        <f t="shared" si="166"/>
        <v>30559744</v>
      </c>
      <c r="AB224" s="425">
        <f t="shared" si="167"/>
        <v>17</v>
      </c>
      <c r="AC224" s="425">
        <f t="array" ref="AC224">MAX((IF(MNU_CODIGO_ALIMENTO_ENTREGA=CONCATENATE($E224,"_","P_"),MNU_GRAMAJE_REQUERIDO_TIPOC,"")))</f>
        <v>60</v>
      </c>
      <c r="AD224" s="257">
        <f t="shared" si="168"/>
        <v>5592</v>
      </c>
      <c r="AE224" s="257">
        <f t="shared" si="169"/>
        <v>95064</v>
      </c>
      <c r="AF224" s="446">
        <f t="shared" si="170"/>
        <v>366</v>
      </c>
      <c r="AG224" s="446">
        <f t="shared" si="171"/>
        <v>17.860800000000001</v>
      </c>
      <c r="AH224" s="446">
        <f t="shared" si="172"/>
        <v>0.31476585600000001</v>
      </c>
      <c r="AI224" s="446">
        <f t="shared" si="173"/>
        <v>384</v>
      </c>
      <c r="AJ224" s="258">
        <f t="shared" si="174"/>
        <v>34793424</v>
      </c>
      <c r="AK224" s="258">
        <f t="shared" si="175"/>
        <v>36504576</v>
      </c>
      <c r="AL224" s="426">
        <f t="shared" si="176"/>
        <v>17</v>
      </c>
      <c r="AM224" s="426">
        <f t="array" ref="AM224">MAX((IF(MNU_CODIGO_ALIMENTO_ENTREGA=CONCATENATE($E224,"_","P_"),MNU_GRAMAJE_REQUERIDO_TIPOM,"")))</f>
        <v>40</v>
      </c>
      <c r="AN224" s="259">
        <f t="shared" si="177"/>
        <v>338</v>
      </c>
      <c r="AO224" s="259">
        <f t="shared" si="178"/>
        <v>5746</v>
      </c>
      <c r="AP224" s="446">
        <f t="shared" si="179"/>
        <v>244</v>
      </c>
      <c r="AQ224" s="446">
        <f t="shared" si="180"/>
        <v>11.9072</v>
      </c>
      <c r="AR224" s="446">
        <f t="shared" si="181"/>
        <v>0.209843904</v>
      </c>
      <c r="AS224" s="446">
        <f t="shared" si="182"/>
        <v>256</v>
      </c>
      <c r="AT224" s="260">
        <f t="shared" si="183"/>
        <v>1402024</v>
      </c>
      <c r="AU224" s="260">
        <f t="shared" si="184"/>
        <v>1470976</v>
      </c>
      <c r="AV224" s="425">
        <f t="shared" si="185"/>
        <v>17</v>
      </c>
      <c r="AW224" s="425">
        <f t="array" ref="AW224">MAX((IF(MNU_CODIGO_ALIMENTO_ENTREGA=CONCATENATE($E224,"_","P_"),MNU_GRAMAJE_REQUERIDO_TIPOH,"")))</f>
        <v>60</v>
      </c>
      <c r="AX224" s="257">
        <f t="shared" si="186"/>
        <v>354</v>
      </c>
      <c r="AY224" s="257">
        <f t="shared" si="187"/>
        <v>6018</v>
      </c>
      <c r="AZ224" s="446">
        <f t="shared" si="188"/>
        <v>366</v>
      </c>
      <c r="BA224" s="446">
        <f t="shared" si="189"/>
        <v>17.860800000000001</v>
      </c>
      <c r="BB224" s="446">
        <f t="shared" si="190"/>
        <v>0.31476585600000001</v>
      </c>
      <c r="BC224" s="446">
        <f t="shared" si="191"/>
        <v>384</v>
      </c>
      <c r="BD224" s="258">
        <f t="shared" si="192"/>
        <v>2202588</v>
      </c>
      <c r="BE224" s="258">
        <f t="shared" si="193"/>
        <v>2310912</v>
      </c>
      <c r="BF224" s="391">
        <f t="shared" si="194"/>
        <v>95097048</v>
      </c>
      <c r="BG224" s="391">
        <f t="shared" si="195"/>
        <v>99773952</v>
      </c>
    </row>
    <row r="225" spans="1:59" ht="15.75">
      <c r="A225" s="333">
        <v>18</v>
      </c>
      <c r="B225" s="333" t="str">
        <f t="shared" si="147"/>
        <v>CEREAL EMPACADO_18</v>
      </c>
      <c r="C225" s="333" t="str">
        <f t="shared" si="148"/>
        <v>26_18</v>
      </c>
      <c r="D225" s="333" t="s">
        <v>1607</v>
      </c>
      <c r="E225" s="256">
        <v>26</v>
      </c>
      <c r="F225" s="459" t="s">
        <v>69</v>
      </c>
      <c r="G225" s="256" t="s">
        <v>9</v>
      </c>
      <c r="H225" s="425">
        <f t="shared" si="149"/>
        <v>6</v>
      </c>
      <c r="I225" s="425">
        <f t="array" ref="I225">MAX((IF(MNU_CODIGO_ALIMENTO_ENTREGA=CONCATENATE($E225,"_","P_"),MNU_GRAMAJE_REQUERIDO_TIPOA,"")))</f>
        <v>30</v>
      </c>
      <c r="J225" s="257">
        <f t="shared" si="150"/>
        <v>6647</v>
      </c>
      <c r="K225" s="257">
        <f t="shared" si="151"/>
        <v>39882</v>
      </c>
      <c r="L225" s="446">
        <f t="shared" si="152"/>
        <v>163</v>
      </c>
      <c r="M225" s="446">
        <f t="shared" si="153"/>
        <v>7.9543999999999997</v>
      </c>
      <c r="N225" s="446">
        <f t="shared" si="154"/>
        <v>0.14018260800000001</v>
      </c>
      <c r="O225" s="446">
        <f t="shared" si="155"/>
        <v>171</v>
      </c>
      <c r="P225" s="258">
        <f t="shared" si="156"/>
        <v>6500766</v>
      </c>
      <c r="Q225" s="258">
        <f t="shared" si="157"/>
        <v>6819822</v>
      </c>
      <c r="R225" s="426">
        <f t="shared" si="158"/>
        <v>6</v>
      </c>
      <c r="S225" s="426">
        <f t="array" ref="S225">MAX((IF(MNU_CODIGO_ALIMENTO_ENTREGA=CONCATENATE($E225,"_","P_"),MNU_GRAMAJE_REQUERIDO_TIPOB,"")))</f>
        <v>30</v>
      </c>
      <c r="T225" s="259">
        <f t="shared" si="159"/>
        <v>7022</v>
      </c>
      <c r="U225" s="259">
        <f t="shared" si="160"/>
        <v>42132</v>
      </c>
      <c r="V225" s="446">
        <f t="shared" si="161"/>
        <v>163</v>
      </c>
      <c r="W225" s="446">
        <f t="shared" si="162"/>
        <v>7.9543999999999997</v>
      </c>
      <c r="X225" s="446">
        <f t="shared" si="163"/>
        <v>0.14018260800000001</v>
      </c>
      <c r="Y225" s="446">
        <f t="shared" si="164"/>
        <v>171</v>
      </c>
      <c r="Z225" s="260">
        <f t="shared" si="165"/>
        <v>6867516</v>
      </c>
      <c r="AA225" s="260">
        <f t="shared" si="166"/>
        <v>7204572</v>
      </c>
      <c r="AB225" s="425">
        <f t="shared" si="167"/>
        <v>6</v>
      </c>
      <c r="AC225" s="425">
        <f t="array" ref="AC225">MAX((IF(MNU_CODIGO_ALIMENTO_ENTREGA=CONCATENATE($E225,"_","P_"),MNU_GRAMAJE_REQUERIDO_TIPOC,"")))</f>
        <v>30</v>
      </c>
      <c r="AD225" s="257">
        <f t="shared" si="168"/>
        <v>5592</v>
      </c>
      <c r="AE225" s="257">
        <f t="shared" si="169"/>
        <v>33552</v>
      </c>
      <c r="AF225" s="446">
        <f t="shared" si="170"/>
        <v>163</v>
      </c>
      <c r="AG225" s="446">
        <f t="shared" si="171"/>
        <v>7.9543999999999997</v>
      </c>
      <c r="AH225" s="446">
        <f t="shared" si="172"/>
        <v>0.14018260800000001</v>
      </c>
      <c r="AI225" s="446">
        <f t="shared" si="173"/>
        <v>171</v>
      </c>
      <c r="AJ225" s="258">
        <f t="shared" si="174"/>
        <v>5468976</v>
      </c>
      <c r="AK225" s="258">
        <f t="shared" si="175"/>
        <v>5737392</v>
      </c>
      <c r="AL225" s="426">
        <f t="shared" si="176"/>
        <v>6</v>
      </c>
      <c r="AM225" s="426">
        <f t="array" ref="AM225">MAX((IF(MNU_CODIGO_ALIMENTO_ENTREGA=CONCATENATE($E225,"_","P_"),MNU_GRAMAJE_REQUERIDO_TIPOM,"")))</f>
        <v>30</v>
      </c>
      <c r="AN225" s="259">
        <f t="shared" si="177"/>
        <v>338</v>
      </c>
      <c r="AO225" s="259">
        <f t="shared" si="178"/>
        <v>2028</v>
      </c>
      <c r="AP225" s="446">
        <f t="shared" si="179"/>
        <v>163</v>
      </c>
      <c r="AQ225" s="446">
        <f t="shared" si="180"/>
        <v>7.9543999999999997</v>
      </c>
      <c r="AR225" s="446">
        <f t="shared" si="181"/>
        <v>0.14018260800000001</v>
      </c>
      <c r="AS225" s="446">
        <f t="shared" si="182"/>
        <v>171</v>
      </c>
      <c r="AT225" s="260">
        <f t="shared" si="183"/>
        <v>330564</v>
      </c>
      <c r="AU225" s="260">
        <f t="shared" si="184"/>
        <v>346788</v>
      </c>
      <c r="AV225" s="425">
        <f t="shared" si="185"/>
        <v>6</v>
      </c>
      <c r="AW225" s="425">
        <f t="array" ref="AW225">MAX((IF(MNU_CODIGO_ALIMENTO_ENTREGA=CONCATENATE($E225,"_","P_"),MNU_GRAMAJE_REQUERIDO_TIPOH,"")))</f>
        <v>30</v>
      </c>
      <c r="AX225" s="257">
        <f t="shared" si="186"/>
        <v>354</v>
      </c>
      <c r="AY225" s="257">
        <f t="shared" si="187"/>
        <v>2124</v>
      </c>
      <c r="AZ225" s="446">
        <f t="shared" si="188"/>
        <v>163</v>
      </c>
      <c r="BA225" s="446">
        <f t="shared" si="189"/>
        <v>7.9543999999999997</v>
      </c>
      <c r="BB225" s="446">
        <f t="shared" si="190"/>
        <v>0.14018260800000001</v>
      </c>
      <c r="BC225" s="446">
        <f t="shared" si="191"/>
        <v>171</v>
      </c>
      <c r="BD225" s="258">
        <f t="shared" si="192"/>
        <v>346212</v>
      </c>
      <c r="BE225" s="258">
        <f t="shared" si="193"/>
        <v>363204</v>
      </c>
      <c r="BF225" s="391">
        <f t="shared" si="194"/>
        <v>19514034</v>
      </c>
      <c r="BG225" s="391">
        <f t="shared" si="195"/>
        <v>20471778</v>
      </c>
    </row>
    <row r="226" spans="1:59" ht="27">
      <c r="A226" s="333">
        <v>18</v>
      </c>
      <c r="B226" s="333" t="str">
        <f t="shared" si="147"/>
        <v>CEREAL EMPACADO_18</v>
      </c>
      <c r="C226" s="333" t="str">
        <f t="shared" si="148"/>
        <v>28_18</v>
      </c>
      <c r="D226" s="333" t="s">
        <v>1607</v>
      </c>
      <c r="E226" s="256">
        <v>28</v>
      </c>
      <c r="F226" s="322" t="s">
        <v>67</v>
      </c>
      <c r="G226" s="256" t="s">
        <v>9</v>
      </c>
      <c r="H226" s="425">
        <f t="shared" si="149"/>
        <v>6</v>
      </c>
      <c r="I226" s="425">
        <f t="array" ref="I226">MAX((IF(MNU_CODIGO_ALIMENTO_ENTREGA=CONCATENATE($E226,"_","P_"),MNU_GRAMAJE_REQUERIDO_TIPOA,"")))</f>
        <v>30</v>
      </c>
      <c r="J226" s="257">
        <f t="shared" si="150"/>
        <v>6647</v>
      </c>
      <c r="K226" s="257">
        <f t="shared" si="151"/>
        <v>39882</v>
      </c>
      <c r="L226" s="446">
        <f t="shared" si="152"/>
        <v>215</v>
      </c>
      <c r="M226" s="446">
        <f t="shared" si="153"/>
        <v>10.492000000000001</v>
      </c>
      <c r="N226" s="446">
        <f t="shared" si="154"/>
        <v>0.18490343999999997</v>
      </c>
      <c r="O226" s="446">
        <f t="shared" si="155"/>
        <v>226</v>
      </c>
      <c r="P226" s="258">
        <f t="shared" si="156"/>
        <v>8574630</v>
      </c>
      <c r="Q226" s="258">
        <f t="shared" si="157"/>
        <v>9013332</v>
      </c>
      <c r="R226" s="426">
        <f t="shared" si="158"/>
        <v>6</v>
      </c>
      <c r="S226" s="426">
        <f t="array" ref="S226">MAX((IF(MNU_CODIGO_ALIMENTO_ENTREGA=CONCATENATE($E226,"_","P_"),MNU_GRAMAJE_REQUERIDO_TIPOB,"")))</f>
        <v>40</v>
      </c>
      <c r="T226" s="259">
        <f t="shared" si="159"/>
        <v>7022</v>
      </c>
      <c r="U226" s="259">
        <f t="shared" si="160"/>
        <v>42132</v>
      </c>
      <c r="V226" s="446">
        <f t="shared" si="161"/>
        <v>287</v>
      </c>
      <c r="W226" s="446">
        <f t="shared" si="162"/>
        <v>14.005600000000001</v>
      </c>
      <c r="X226" s="446">
        <f t="shared" si="163"/>
        <v>0.24682459200000004</v>
      </c>
      <c r="Y226" s="446">
        <f t="shared" si="164"/>
        <v>301</v>
      </c>
      <c r="Z226" s="260">
        <f t="shared" si="165"/>
        <v>12091884</v>
      </c>
      <c r="AA226" s="260">
        <f t="shared" si="166"/>
        <v>12681732</v>
      </c>
      <c r="AB226" s="425">
        <f t="shared" si="167"/>
        <v>6</v>
      </c>
      <c r="AC226" s="425">
        <f t="array" ref="AC226">MAX((IF(MNU_CODIGO_ALIMENTO_ENTREGA=CONCATENATE($E226,"_","P_"),MNU_GRAMAJE_REQUERIDO_TIPOC,"")))</f>
        <v>60</v>
      </c>
      <c r="AD226" s="257">
        <f t="shared" si="168"/>
        <v>5592</v>
      </c>
      <c r="AE226" s="257">
        <f t="shared" si="169"/>
        <v>33552</v>
      </c>
      <c r="AF226" s="446">
        <f t="shared" si="170"/>
        <v>430</v>
      </c>
      <c r="AG226" s="446">
        <f t="shared" si="171"/>
        <v>20.984000000000002</v>
      </c>
      <c r="AH226" s="446">
        <f t="shared" si="172"/>
        <v>0.36980687999999995</v>
      </c>
      <c r="AI226" s="446">
        <f t="shared" si="173"/>
        <v>451</v>
      </c>
      <c r="AJ226" s="258">
        <f t="shared" si="174"/>
        <v>14427360</v>
      </c>
      <c r="AK226" s="258">
        <f t="shared" si="175"/>
        <v>15131952</v>
      </c>
      <c r="AL226" s="426">
        <f t="shared" si="176"/>
        <v>6</v>
      </c>
      <c r="AM226" s="426">
        <f t="array" ref="AM226">MAX((IF(MNU_CODIGO_ALIMENTO_ENTREGA=CONCATENATE($E226,"_","P_"),MNU_GRAMAJE_REQUERIDO_TIPOM,"")))</f>
        <v>40</v>
      </c>
      <c r="AN226" s="259">
        <f t="shared" si="177"/>
        <v>338</v>
      </c>
      <c r="AO226" s="259">
        <f t="shared" si="178"/>
        <v>2028</v>
      </c>
      <c r="AP226" s="446">
        <f t="shared" si="179"/>
        <v>287</v>
      </c>
      <c r="AQ226" s="446">
        <f t="shared" si="180"/>
        <v>14.005600000000001</v>
      </c>
      <c r="AR226" s="446">
        <f t="shared" si="181"/>
        <v>0.24682459200000004</v>
      </c>
      <c r="AS226" s="446">
        <f t="shared" si="182"/>
        <v>301</v>
      </c>
      <c r="AT226" s="260">
        <f t="shared" si="183"/>
        <v>582036</v>
      </c>
      <c r="AU226" s="260">
        <f t="shared" si="184"/>
        <v>610428</v>
      </c>
      <c r="AV226" s="425">
        <f t="shared" si="185"/>
        <v>6</v>
      </c>
      <c r="AW226" s="425">
        <f t="array" ref="AW226">MAX((IF(MNU_CODIGO_ALIMENTO_ENTREGA=CONCATENATE($E226,"_","P_"),MNU_GRAMAJE_REQUERIDO_TIPOH,"")))</f>
        <v>60</v>
      </c>
      <c r="AX226" s="257">
        <f t="shared" si="186"/>
        <v>354</v>
      </c>
      <c r="AY226" s="257">
        <f t="shared" si="187"/>
        <v>2124</v>
      </c>
      <c r="AZ226" s="446">
        <f t="shared" si="188"/>
        <v>430</v>
      </c>
      <c r="BA226" s="446">
        <f t="shared" si="189"/>
        <v>20.984000000000002</v>
      </c>
      <c r="BB226" s="446">
        <f t="shared" si="190"/>
        <v>0.36980687999999995</v>
      </c>
      <c r="BC226" s="446">
        <f t="shared" si="191"/>
        <v>451</v>
      </c>
      <c r="BD226" s="258">
        <f t="shared" si="192"/>
        <v>913320</v>
      </c>
      <c r="BE226" s="258">
        <f t="shared" si="193"/>
        <v>957924</v>
      </c>
      <c r="BF226" s="391">
        <f t="shared" si="194"/>
        <v>36589230</v>
      </c>
      <c r="BG226" s="391">
        <f t="shared" si="195"/>
        <v>38395368</v>
      </c>
    </row>
    <row r="227" spans="1:59" ht="15.75">
      <c r="A227" s="333">
        <v>18</v>
      </c>
      <c r="B227" s="333" t="str">
        <f t="shared" si="147"/>
        <v>CEREAL EMPACADO_18</v>
      </c>
      <c r="C227" s="333" t="str">
        <f t="shared" si="148"/>
        <v>30_18</v>
      </c>
      <c r="D227" s="333" t="s">
        <v>1607</v>
      </c>
      <c r="E227" s="256">
        <v>30</v>
      </c>
      <c r="F227" s="322" t="s">
        <v>63</v>
      </c>
      <c r="G227" s="256" t="s">
        <v>9</v>
      </c>
      <c r="H227" s="425">
        <f t="shared" si="149"/>
        <v>16</v>
      </c>
      <c r="I227" s="425">
        <f t="array" ref="I227">MAX((IF(MNU_CODIGO_ALIMENTO_ENTREGA=CONCATENATE($E227,"_","P_"),MNU_GRAMAJE_REQUERIDO_TIPOA,"")))</f>
        <v>30</v>
      </c>
      <c r="J227" s="257">
        <f t="shared" si="150"/>
        <v>6647</v>
      </c>
      <c r="K227" s="257">
        <f t="shared" si="151"/>
        <v>106352</v>
      </c>
      <c r="L227" s="446">
        <f t="shared" si="152"/>
        <v>316</v>
      </c>
      <c r="M227" s="446">
        <f t="shared" si="153"/>
        <v>15.4208</v>
      </c>
      <c r="N227" s="446">
        <f t="shared" si="154"/>
        <v>0.271765056</v>
      </c>
      <c r="O227" s="446">
        <f t="shared" si="155"/>
        <v>332</v>
      </c>
      <c r="P227" s="258">
        <f t="shared" si="156"/>
        <v>33607232</v>
      </c>
      <c r="Q227" s="258">
        <f t="shared" si="157"/>
        <v>35308864</v>
      </c>
      <c r="R227" s="426">
        <f t="shared" si="158"/>
        <v>16</v>
      </c>
      <c r="S227" s="426">
        <f t="array" ref="S227">MAX((IF(MNU_CODIGO_ALIMENTO_ENTREGA=CONCATENATE($E227,"_","P_"),MNU_GRAMAJE_REQUERIDO_TIPOB,"")))</f>
        <v>30</v>
      </c>
      <c r="T227" s="259">
        <f t="shared" si="159"/>
        <v>7022</v>
      </c>
      <c r="U227" s="259">
        <f t="shared" si="160"/>
        <v>112352</v>
      </c>
      <c r="V227" s="446">
        <f t="shared" si="161"/>
        <v>316</v>
      </c>
      <c r="W227" s="446">
        <f t="shared" si="162"/>
        <v>15.4208</v>
      </c>
      <c r="X227" s="446">
        <f t="shared" si="163"/>
        <v>0.271765056</v>
      </c>
      <c r="Y227" s="446">
        <f t="shared" si="164"/>
        <v>332</v>
      </c>
      <c r="Z227" s="260">
        <f t="shared" si="165"/>
        <v>35503232</v>
      </c>
      <c r="AA227" s="260">
        <f t="shared" si="166"/>
        <v>37300864</v>
      </c>
      <c r="AB227" s="425">
        <f t="shared" si="167"/>
        <v>16</v>
      </c>
      <c r="AC227" s="425">
        <f t="array" ref="AC227">MAX((IF(MNU_CODIGO_ALIMENTO_ENTREGA=CONCATENATE($E227,"_","P_"),MNU_GRAMAJE_REQUERIDO_TIPOC,"")))</f>
        <v>30</v>
      </c>
      <c r="AD227" s="257">
        <f t="shared" si="168"/>
        <v>5592</v>
      </c>
      <c r="AE227" s="257">
        <f t="shared" si="169"/>
        <v>89472</v>
      </c>
      <c r="AF227" s="446">
        <f t="shared" si="170"/>
        <v>316</v>
      </c>
      <c r="AG227" s="446">
        <f t="shared" si="171"/>
        <v>15.4208</v>
      </c>
      <c r="AH227" s="446">
        <f t="shared" si="172"/>
        <v>0.271765056</v>
      </c>
      <c r="AI227" s="446">
        <f t="shared" si="173"/>
        <v>332</v>
      </c>
      <c r="AJ227" s="258">
        <f t="shared" si="174"/>
        <v>28273152</v>
      </c>
      <c r="AK227" s="258">
        <f t="shared" si="175"/>
        <v>29704704</v>
      </c>
      <c r="AL227" s="426">
        <f t="shared" si="176"/>
        <v>16</v>
      </c>
      <c r="AM227" s="426">
        <f t="array" ref="AM227">MAX((IF(MNU_CODIGO_ALIMENTO_ENTREGA=CONCATENATE($E227,"_","P_"),MNU_GRAMAJE_REQUERIDO_TIPOM,"")))</f>
        <v>30</v>
      </c>
      <c r="AN227" s="259">
        <f t="shared" si="177"/>
        <v>338</v>
      </c>
      <c r="AO227" s="259">
        <f t="shared" si="178"/>
        <v>5408</v>
      </c>
      <c r="AP227" s="446">
        <f t="shared" si="179"/>
        <v>316</v>
      </c>
      <c r="AQ227" s="446">
        <f t="shared" si="180"/>
        <v>15.4208</v>
      </c>
      <c r="AR227" s="446">
        <f t="shared" si="181"/>
        <v>0.271765056</v>
      </c>
      <c r="AS227" s="446">
        <f t="shared" si="182"/>
        <v>332</v>
      </c>
      <c r="AT227" s="260">
        <f t="shared" si="183"/>
        <v>1708928</v>
      </c>
      <c r="AU227" s="260">
        <f t="shared" si="184"/>
        <v>1795456</v>
      </c>
      <c r="AV227" s="425">
        <f t="shared" si="185"/>
        <v>16</v>
      </c>
      <c r="AW227" s="425">
        <f t="array" ref="AW227">MAX((IF(MNU_CODIGO_ALIMENTO_ENTREGA=CONCATENATE($E227,"_","P_"),MNU_GRAMAJE_REQUERIDO_TIPOH,"")))</f>
        <v>30</v>
      </c>
      <c r="AX227" s="257">
        <f t="shared" si="186"/>
        <v>354</v>
      </c>
      <c r="AY227" s="257">
        <f t="shared" si="187"/>
        <v>5664</v>
      </c>
      <c r="AZ227" s="446">
        <f t="shared" si="188"/>
        <v>316</v>
      </c>
      <c r="BA227" s="446">
        <f t="shared" si="189"/>
        <v>15.4208</v>
      </c>
      <c r="BB227" s="446">
        <f t="shared" si="190"/>
        <v>0.271765056</v>
      </c>
      <c r="BC227" s="446">
        <f t="shared" si="191"/>
        <v>332</v>
      </c>
      <c r="BD227" s="258">
        <f t="shared" si="192"/>
        <v>1789824</v>
      </c>
      <c r="BE227" s="258">
        <f t="shared" si="193"/>
        <v>1880448</v>
      </c>
      <c r="BF227" s="391">
        <f t="shared" si="194"/>
        <v>100882368</v>
      </c>
      <c r="BG227" s="391">
        <f t="shared" si="195"/>
        <v>105990336</v>
      </c>
    </row>
    <row r="228" spans="1:59" ht="15.75">
      <c r="A228" s="333">
        <v>18</v>
      </c>
      <c r="B228" s="333" t="str">
        <f t="shared" ref="B228:B291" si="196">CONCATENATE(D228,"_",A228)</f>
        <v>CEREAL EMPACADO_18</v>
      </c>
      <c r="C228" s="333" t="str">
        <f t="shared" ref="C228:C291" si="197">CONCATENATE(E228,"_",A228)</f>
        <v>45_18</v>
      </c>
      <c r="D228" s="333" t="s">
        <v>1607</v>
      </c>
      <c r="E228" s="256">
        <v>45</v>
      </c>
      <c r="F228" s="322" t="s">
        <v>10</v>
      </c>
      <c r="G228" s="256" t="s">
        <v>9</v>
      </c>
      <c r="H228" s="425">
        <f t="shared" ref="H228:H291" si="198">SUMIF(MNU_CODIGO_ALIMENTO_ENTREGA,CONCATENATE($E228,"_","P_"),MNU_FRECUENCIAS_LAV_TIPOA)</f>
        <v>16</v>
      </c>
      <c r="I228" s="425">
        <f t="array" ref="I228">MAX((IF(MNU_CODIGO_ALIMENTO_ENTREGA=CONCATENATE($E228,"_","P_"),MNU_GRAMAJE_REQUERIDO_TIPOA,"")))</f>
        <v>20</v>
      </c>
      <c r="J228" s="257">
        <f t="shared" ref="J228:J291" si="199">SUMIF(VOL_GRUPO,CONCATENATE($A228,"1052-1NO"),VOL_TIPOA)</f>
        <v>6647</v>
      </c>
      <c r="K228" s="257">
        <f t="shared" ref="K228:K291" si="200">H228*J228</f>
        <v>106352</v>
      </c>
      <c r="L228" s="446">
        <f t="shared" ref="L228:L291" si="201">IF(ISERROR(AVERAGEIFS(MNU_COSTO_UNITARIO_TIPOA_SELECCIONADO,MNU_CODIGO_ALIMENTO_ENTREGA,CONCATENATE($E228,"_","P_"))),0,AVERAGEIFS(MNU_COSTO_UNITARIO_TIPOA_SELECCIONADO,MNU_CODIGO_ALIMENTO_ENTREGA,CONCATENATE($E228,"_","P_")))</f>
        <v>190</v>
      </c>
      <c r="M228" s="446">
        <f t="shared" ref="M228:M291" si="202">(L228*0.01)+(L228*0.005)+(L228*0.02)+(L228*(13.8/1000))</f>
        <v>9.2720000000000002</v>
      </c>
      <c r="N228" s="446">
        <f t="shared" ref="N228:N291" si="203">((L228+M228)*0.00071)+((L228+M228)*0.00011)</f>
        <v>0.16340304</v>
      </c>
      <c r="O228" s="446">
        <f t="shared" ref="O228:O291" si="204">ROUND(L228+M228+N228,0)</f>
        <v>199</v>
      </c>
      <c r="P228" s="258">
        <f t="shared" ref="P228:P291" si="205">H228*J228*L228</f>
        <v>20206880</v>
      </c>
      <c r="Q228" s="258">
        <f t="shared" ref="Q228:Q291" si="206">H228*J228*O228</f>
        <v>21164048</v>
      </c>
      <c r="R228" s="426">
        <f t="shared" ref="R228:R291" si="207">SUMIF(MNU_CODIGO_ALIMENTO_ENTREGA,CONCATENATE($E228,"_","P_"),MNU_FRECUENCIAS_LAV_TIPOB)</f>
        <v>16</v>
      </c>
      <c r="S228" s="426">
        <f t="array" ref="S228">MAX((IF(MNU_CODIGO_ALIMENTO_ENTREGA=CONCATENATE($E228,"_","P_"),MNU_GRAMAJE_REQUERIDO_TIPOB,"")))</f>
        <v>30</v>
      </c>
      <c r="T228" s="259">
        <f t="shared" ref="T228:T291" si="208">SUMIF(VOL_GRUPO,CONCATENATE($A228,"1052-1NO"),VOL_TIPOB)</f>
        <v>7022</v>
      </c>
      <c r="U228" s="259">
        <f t="shared" ref="U228:U291" si="209">R228*T228</f>
        <v>112352</v>
      </c>
      <c r="V228" s="446">
        <f t="shared" ref="V228:V291" si="210">IF(ISERROR(AVERAGEIFS(MNU_COSTO_UNITARIO_TIPOB_SELECCIONADO,MNU_CODIGO_ALIMENTO_ENTREGA,CONCATENATE($E228,"_","P_"))),0,AVERAGEIFS(MNU_COSTO_UNITARIO_TIPOB_SELECCIONADO,MNU_CODIGO_ALIMENTO_ENTREGA,CONCATENATE($E228,"_","P_")))</f>
        <v>284</v>
      </c>
      <c r="W228" s="446">
        <f t="shared" ref="W228:W291" si="211">(V228*0.01)+(V228*0.005)+(V228*0.02)+(V228*(13.8/1000))</f>
        <v>13.8592</v>
      </c>
      <c r="X228" s="446">
        <f t="shared" ref="X228:X291" si="212">((V228+W228)*0.00071)+((V228+W228)*0.00011)</f>
        <v>0.24424454399999998</v>
      </c>
      <c r="Y228" s="446">
        <f t="shared" ref="Y228:Y291" si="213">ROUND(V228+W228+X228,0)</f>
        <v>298</v>
      </c>
      <c r="Z228" s="260">
        <f t="shared" ref="Z228:Z291" si="214">R228*T228*V228</f>
        <v>31907968</v>
      </c>
      <c r="AA228" s="260">
        <f t="shared" ref="AA228:AA291" si="215">R228*T228*Y228</f>
        <v>33480896</v>
      </c>
      <c r="AB228" s="425">
        <f t="shared" ref="AB228:AB291" si="216">SUMIF(MNU_CODIGO_ALIMENTO_ENTREGA,CONCATENATE($E228,"_","P_"),MNU_FRECUENCIAS_LAV_TIPOC)</f>
        <v>16</v>
      </c>
      <c r="AC228" s="425">
        <f t="array" ref="AC228">MAX((IF(MNU_CODIGO_ALIMENTO_ENTREGA=CONCATENATE($E228,"_","P_"),MNU_GRAMAJE_REQUERIDO_TIPOC,"")))</f>
        <v>60</v>
      </c>
      <c r="AD228" s="257">
        <f t="shared" ref="AD228:AD291" si="217">SUMIF(VOL_GRUPO,CONCATENATE($A228,"1052-1NO"),VOL_TIPOC)</f>
        <v>5592</v>
      </c>
      <c r="AE228" s="257">
        <f t="shared" ref="AE228:AE291" si="218">AB228*AD228</f>
        <v>89472</v>
      </c>
      <c r="AF228" s="446">
        <f t="shared" ref="AF228:AF291" si="219">IF(ISERROR(AVERAGEIFS(MNU_COSTO_UNITARIO_TIPOC_SELECCIONADO,MNU_CODIGO_ALIMENTO_ENTREGA,CONCATENATE($E228,"_","P_"))),0,AVERAGEIFS(MNU_COSTO_UNITARIO_TIPOC_SELECCIONADO,MNU_CODIGO_ALIMENTO_ENTREGA,CONCATENATE($E228,"_","P_")))</f>
        <v>569</v>
      </c>
      <c r="AG228" s="446">
        <f t="shared" ref="AG228:AG291" si="220">(AF228*0.01)+(AF228*0.005)+(AF228*0.02)+(AF228*(13.8/1000))</f>
        <v>27.767199999999999</v>
      </c>
      <c r="AH228" s="446">
        <f t="shared" ref="AH228:AH291" si="221">((AF228+AG228)*0.00071)+((AF228+AG228)*0.00011)</f>
        <v>0.48934910400000003</v>
      </c>
      <c r="AI228" s="446">
        <f t="shared" ref="AI228:AI291" si="222">ROUND(AF228+AG228+AH228,0)</f>
        <v>597</v>
      </c>
      <c r="AJ228" s="258">
        <f t="shared" ref="AJ228:AJ291" si="223">AB228*AD228*AF228</f>
        <v>50909568</v>
      </c>
      <c r="AK228" s="258">
        <f t="shared" ref="AK228:AK291" si="224">AB228*AD228*AI228</f>
        <v>53414784</v>
      </c>
      <c r="AL228" s="426">
        <f t="shared" ref="AL228:AL291" si="225">SUMIF(MNU_CODIGO_ALIMENTO_ENTREGA,CONCATENATE($E228,"_","P_"),MNU_FRECUENCIAS_LAV_TIPOM)</f>
        <v>16</v>
      </c>
      <c r="AM228" s="426">
        <f t="array" ref="AM228">MAX((IF(MNU_CODIGO_ALIMENTO_ENTREGA=CONCATENATE($E228,"_","P_"),MNU_GRAMAJE_REQUERIDO_TIPOM,"")))</f>
        <v>30</v>
      </c>
      <c r="AN228" s="259">
        <f t="shared" ref="AN228:AN291" si="226">SUMIF(VOL_GRUPO,CONCATENATE($A228,"1052-1NO"),VOL_TIPOM)</f>
        <v>338</v>
      </c>
      <c r="AO228" s="259">
        <f t="shared" ref="AO228:AO291" si="227">AL228*AN228</f>
        <v>5408</v>
      </c>
      <c r="AP228" s="446">
        <f t="shared" ref="AP228:AP291" si="228">IF(ISERROR(AVERAGEIFS(MNU_COSTO_UNITARIO_TIPOM_SELECCIONADO,MNU_CODIGO_ALIMENTO_ENTREGA,CONCATENATE($E228,"_","P_"))),0,AVERAGEIFS(MNU_COSTO_UNITARIO_TIPOM_SELECCIONADO,MNU_CODIGO_ALIMENTO_ENTREGA,CONCATENATE($E228,"_","P_")))</f>
        <v>284</v>
      </c>
      <c r="AQ228" s="446">
        <f t="shared" ref="AQ228:AQ291" si="229">(AP228*0.01)+(AP228*0.005)+(AP228*0.02)+(AP228*(13.8/1000))</f>
        <v>13.8592</v>
      </c>
      <c r="AR228" s="446">
        <f t="shared" ref="AR228:AR291" si="230">((AP228+AQ228)*0.00071)+((AP228+AQ228)*0.00011)</f>
        <v>0.24424454399999998</v>
      </c>
      <c r="AS228" s="446">
        <f t="shared" ref="AS228:AS291" si="231">ROUND(AP228+AQ228+AR228,0)</f>
        <v>298</v>
      </c>
      <c r="AT228" s="260">
        <f t="shared" ref="AT228:AT291" si="232">AL228*AN228*AP228</f>
        <v>1535872</v>
      </c>
      <c r="AU228" s="260">
        <f t="shared" ref="AU228:AU291" si="233">AL228*AN228*AS228</f>
        <v>1611584</v>
      </c>
      <c r="AV228" s="425">
        <f t="shared" ref="AV228:AV291" si="234">SUMIF(MNU_CODIGO_ALIMENTO_ENTREGA,CONCATENATE($E228,"_","P_"),MNU_FRECUENCIAS_LAV_TIPOH)</f>
        <v>16</v>
      </c>
      <c r="AW228" s="425">
        <f t="array" ref="AW228">MAX((IF(MNU_CODIGO_ALIMENTO_ENTREGA=CONCATENATE($E228,"_","P_"),MNU_GRAMAJE_REQUERIDO_TIPOH,"")))</f>
        <v>60</v>
      </c>
      <c r="AX228" s="257">
        <f t="shared" ref="AX228:AX291" si="235">SUMIF(VOL_GRUPO,CONCATENATE($A228,"1052-1NO"),VOL_TIPOH)</f>
        <v>354</v>
      </c>
      <c r="AY228" s="257">
        <f t="shared" ref="AY228:AY291" si="236">AV228*AX228</f>
        <v>5664</v>
      </c>
      <c r="AZ228" s="446">
        <f t="shared" ref="AZ228:AZ291" si="237">IF(ISERROR(AVERAGEIFS(MNU_COSTO_UNITARIO_TIPOH_SELECCIONADO,MNU_CODIGO_ALIMENTO_ENTREGA,CONCATENATE($E228,"_","P_"))),0,AVERAGEIFS(MNU_COSTO_UNITARIO_TIPOH_SELECCIONADO,MNU_CODIGO_ALIMENTO_ENTREGA,CONCATENATE($E228,"_","P_")))</f>
        <v>569</v>
      </c>
      <c r="BA228" s="446">
        <f t="shared" ref="BA228:BA291" si="238">(AZ228*0.01)+(AZ228*0.005)+(AZ228*0.02)+(AZ228*(13.8/1000))</f>
        <v>27.767199999999999</v>
      </c>
      <c r="BB228" s="446">
        <f t="shared" ref="BB228:BB291" si="239">((AZ228+BA228)*0.00071)+((AZ228+BA228)*0.00011)</f>
        <v>0.48934910400000003</v>
      </c>
      <c r="BC228" s="446">
        <f t="shared" ref="BC228:BC291" si="240">ROUND(AZ228+BA228+BB228,0)</f>
        <v>597</v>
      </c>
      <c r="BD228" s="258">
        <f t="shared" ref="BD228:BD291" si="241">AV228*AX228*AZ228</f>
        <v>3222816</v>
      </c>
      <c r="BE228" s="258">
        <f t="shared" ref="BE228:BE291" si="242">AV228*AX228*BC228</f>
        <v>3381408</v>
      </c>
      <c r="BF228" s="391">
        <f t="shared" ref="BF228:BF291" si="243">BD228+AT228+AJ228+Z228+P228</f>
        <v>107783104</v>
      </c>
      <c r="BG228" s="391">
        <f t="shared" ref="BG228:BG291" si="244">BE228+AU228+AK228+AA228+Q228</f>
        <v>113052720</v>
      </c>
    </row>
    <row r="229" spans="1:59" ht="15.75">
      <c r="A229" s="333">
        <v>18</v>
      </c>
      <c r="B229" s="333" t="str">
        <f t="shared" si="196"/>
        <v>CEREAL EMPACADO_18</v>
      </c>
      <c r="C229" s="333" t="str">
        <f t="shared" si="197"/>
        <v>50_18</v>
      </c>
      <c r="D229" s="333" t="s">
        <v>1607</v>
      </c>
      <c r="E229" s="256">
        <v>50</v>
      </c>
      <c r="F229" s="322" t="s">
        <v>65</v>
      </c>
      <c r="G229" s="256" t="s">
        <v>9</v>
      </c>
      <c r="H229" s="425">
        <f t="shared" si="198"/>
        <v>17</v>
      </c>
      <c r="I229" s="425">
        <f t="array" ref="I229">MAX((IF(MNU_CODIGO_ALIMENTO_ENTREGA=CONCATENATE($E229,"_","P_"),MNU_GRAMAJE_REQUERIDO_TIPOA,"")))</f>
        <v>30</v>
      </c>
      <c r="J229" s="257">
        <f t="shared" si="199"/>
        <v>6647</v>
      </c>
      <c r="K229" s="257">
        <f t="shared" si="200"/>
        <v>112999</v>
      </c>
      <c r="L229" s="446">
        <f t="shared" si="201"/>
        <v>306</v>
      </c>
      <c r="M229" s="446">
        <f t="shared" si="202"/>
        <v>14.9328</v>
      </c>
      <c r="N229" s="446">
        <f t="shared" si="203"/>
        <v>0.26316489599999998</v>
      </c>
      <c r="O229" s="446">
        <f t="shared" si="204"/>
        <v>321</v>
      </c>
      <c r="P229" s="258">
        <f t="shared" si="205"/>
        <v>34577694</v>
      </c>
      <c r="Q229" s="258">
        <f t="shared" si="206"/>
        <v>36272679</v>
      </c>
      <c r="R229" s="426">
        <f t="shared" si="207"/>
        <v>17</v>
      </c>
      <c r="S229" s="426">
        <f t="array" ref="S229">MAX((IF(MNU_CODIGO_ALIMENTO_ENTREGA=CONCATENATE($E229,"_","P_"),MNU_GRAMAJE_REQUERIDO_TIPOB,"")))</f>
        <v>40</v>
      </c>
      <c r="T229" s="259">
        <f t="shared" si="208"/>
        <v>7022</v>
      </c>
      <c r="U229" s="259">
        <f t="shared" si="209"/>
        <v>119374</v>
      </c>
      <c r="V229" s="446">
        <f t="shared" si="210"/>
        <v>408</v>
      </c>
      <c r="W229" s="446">
        <f t="shared" si="211"/>
        <v>19.910400000000003</v>
      </c>
      <c r="X229" s="446">
        <f t="shared" si="212"/>
        <v>0.35088652799999998</v>
      </c>
      <c r="Y229" s="446">
        <f t="shared" si="213"/>
        <v>428</v>
      </c>
      <c r="Z229" s="260">
        <f t="shared" si="214"/>
        <v>48704592</v>
      </c>
      <c r="AA229" s="260">
        <f t="shared" si="215"/>
        <v>51092072</v>
      </c>
      <c r="AB229" s="425">
        <f t="shared" si="216"/>
        <v>17</v>
      </c>
      <c r="AC229" s="425">
        <f t="array" ref="AC229">MAX((IF(MNU_CODIGO_ALIMENTO_ENTREGA=CONCATENATE($E229,"_","P_"),MNU_GRAMAJE_REQUERIDO_TIPOC,"")))</f>
        <v>80</v>
      </c>
      <c r="AD229" s="257">
        <f t="shared" si="217"/>
        <v>5592</v>
      </c>
      <c r="AE229" s="257">
        <f t="shared" si="218"/>
        <v>95064</v>
      </c>
      <c r="AF229" s="446">
        <f t="shared" si="219"/>
        <v>815</v>
      </c>
      <c r="AG229" s="446">
        <f t="shared" si="220"/>
        <v>39.772000000000006</v>
      </c>
      <c r="AH229" s="446">
        <f t="shared" si="221"/>
        <v>0.7009130400000001</v>
      </c>
      <c r="AI229" s="446">
        <f t="shared" si="222"/>
        <v>855</v>
      </c>
      <c r="AJ229" s="258">
        <f t="shared" si="223"/>
        <v>77477160</v>
      </c>
      <c r="AK229" s="258">
        <f t="shared" si="224"/>
        <v>81279720</v>
      </c>
      <c r="AL229" s="426">
        <f t="shared" si="225"/>
        <v>17</v>
      </c>
      <c r="AM229" s="426">
        <f t="array" ref="AM229">MAX((IF(MNU_CODIGO_ALIMENTO_ENTREGA=CONCATENATE($E229,"_","P_"),MNU_GRAMAJE_REQUERIDO_TIPOM,"")))</f>
        <v>40</v>
      </c>
      <c r="AN229" s="259">
        <f t="shared" si="226"/>
        <v>338</v>
      </c>
      <c r="AO229" s="259">
        <f t="shared" si="227"/>
        <v>5746</v>
      </c>
      <c r="AP229" s="446">
        <f t="shared" si="228"/>
        <v>408</v>
      </c>
      <c r="AQ229" s="446">
        <f t="shared" si="229"/>
        <v>19.910400000000003</v>
      </c>
      <c r="AR229" s="446">
        <f t="shared" si="230"/>
        <v>0.35088652799999998</v>
      </c>
      <c r="AS229" s="446">
        <f t="shared" si="231"/>
        <v>428</v>
      </c>
      <c r="AT229" s="260">
        <f t="shared" si="232"/>
        <v>2344368</v>
      </c>
      <c r="AU229" s="260">
        <f t="shared" si="233"/>
        <v>2459288</v>
      </c>
      <c r="AV229" s="425">
        <f t="shared" si="234"/>
        <v>17</v>
      </c>
      <c r="AW229" s="425">
        <f t="array" ref="AW229">MAX((IF(MNU_CODIGO_ALIMENTO_ENTREGA=CONCATENATE($E229,"_","P_"),MNU_GRAMAJE_REQUERIDO_TIPOH,"")))</f>
        <v>80</v>
      </c>
      <c r="AX229" s="257">
        <f t="shared" si="235"/>
        <v>354</v>
      </c>
      <c r="AY229" s="257">
        <f t="shared" si="236"/>
        <v>6018</v>
      </c>
      <c r="AZ229" s="446">
        <f t="shared" si="237"/>
        <v>815</v>
      </c>
      <c r="BA229" s="446">
        <f t="shared" si="238"/>
        <v>39.772000000000006</v>
      </c>
      <c r="BB229" s="446">
        <f t="shared" si="239"/>
        <v>0.7009130400000001</v>
      </c>
      <c r="BC229" s="446">
        <f t="shared" si="240"/>
        <v>855</v>
      </c>
      <c r="BD229" s="258">
        <f t="shared" si="241"/>
        <v>4904670</v>
      </c>
      <c r="BE229" s="258">
        <f t="shared" si="242"/>
        <v>5145390</v>
      </c>
      <c r="BF229" s="391">
        <f t="shared" si="243"/>
        <v>168008484</v>
      </c>
      <c r="BG229" s="391">
        <f t="shared" si="244"/>
        <v>176249149</v>
      </c>
    </row>
    <row r="230" spans="1:59" ht="15.75">
      <c r="A230" s="333">
        <v>18</v>
      </c>
      <c r="B230" s="333" t="str">
        <f t="shared" si="196"/>
        <v>CEREAL EMPACADO_18</v>
      </c>
      <c r="C230" s="333" t="str">
        <f t="shared" si="197"/>
        <v>61_18</v>
      </c>
      <c r="D230" s="333" t="s">
        <v>1607</v>
      </c>
      <c r="E230" s="256">
        <v>61</v>
      </c>
      <c r="F230" s="322" t="s">
        <v>13</v>
      </c>
      <c r="G230" s="256" t="s">
        <v>9</v>
      </c>
      <c r="H230" s="425">
        <f t="shared" si="198"/>
        <v>16</v>
      </c>
      <c r="I230" s="425">
        <f t="array" ref="I230">MAX((IF(MNU_CODIGO_ALIMENTO_ENTREGA=CONCATENATE($E230,"_","P_"),MNU_GRAMAJE_REQUERIDO_TIPOA,"")))</f>
        <v>20</v>
      </c>
      <c r="J230" s="257">
        <f t="shared" si="199"/>
        <v>6647</v>
      </c>
      <c r="K230" s="257">
        <f t="shared" si="200"/>
        <v>106352</v>
      </c>
      <c r="L230" s="446">
        <f t="shared" si="201"/>
        <v>222</v>
      </c>
      <c r="M230" s="446">
        <f t="shared" si="202"/>
        <v>10.833600000000001</v>
      </c>
      <c r="N230" s="446">
        <f t="shared" si="203"/>
        <v>0.190923552</v>
      </c>
      <c r="O230" s="446">
        <f t="shared" si="204"/>
        <v>233</v>
      </c>
      <c r="P230" s="258">
        <f t="shared" si="205"/>
        <v>23610144</v>
      </c>
      <c r="Q230" s="258">
        <f t="shared" si="206"/>
        <v>24780016</v>
      </c>
      <c r="R230" s="426">
        <f t="shared" si="207"/>
        <v>16</v>
      </c>
      <c r="S230" s="426">
        <f t="array" ref="S230">MAX((IF(MNU_CODIGO_ALIMENTO_ENTREGA=CONCATENATE($E230,"_","P_"),MNU_GRAMAJE_REQUERIDO_TIPOB,"")))</f>
        <v>30</v>
      </c>
      <c r="T230" s="259">
        <f t="shared" si="208"/>
        <v>7022</v>
      </c>
      <c r="U230" s="259">
        <f t="shared" si="209"/>
        <v>112352</v>
      </c>
      <c r="V230" s="446">
        <f t="shared" si="210"/>
        <v>334</v>
      </c>
      <c r="W230" s="446">
        <f t="shared" si="211"/>
        <v>16.299199999999999</v>
      </c>
      <c r="X230" s="446">
        <f t="shared" si="212"/>
        <v>0.28724534400000001</v>
      </c>
      <c r="Y230" s="446">
        <f t="shared" si="213"/>
        <v>351</v>
      </c>
      <c r="Z230" s="260">
        <f t="shared" si="214"/>
        <v>37525568</v>
      </c>
      <c r="AA230" s="260">
        <f t="shared" si="215"/>
        <v>39435552</v>
      </c>
      <c r="AB230" s="425">
        <f t="shared" si="216"/>
        <v>16</v>
      </c>
      <c r="AC230" s="425">
        <f t="array" ref="AC230">MAX((IF(MNU_CODIGO_ALIMENTO_ENTREGA=CONCATENATE($E230,"_","P_"),MNU_GRAMAJE_REQUERIDO_TIPOC,"")))</f>
        <v>70</v>
      </c>
      <c r="AD230" s="257">
        <f t="shared" si="217"/>
        <v>5592</v>
      </c>
      <c r="AE230" s="257">
        <f t="shared" si="218"/>
        <v>89472</v>
      </c>
      <c r="AF230" s="446">
        <f t="shared" si="219"/>
        <v>779</v>
      </c>
      <c r="AG230" s="446">
        <f t="shared" si="220"/>
        <v>38.0152</v>
      </c>
      <c r="AH230" s="446">
        <f t="shared" si="221"/>
        <v>0.66995246400000008</v>
      </c>
      <c r="AI230" s="446">
        <f t="shared" si="222"/>
        <v>818</v>
      </c>
      <c r="AJ230" s="258">
        <f t="shared" si="223"/>
        <v>69698688</v>
      </c>
      <c r="AK230" s="258">
        <f t="shared" si="224"/>
        <v>73188096</v>
      </c>
      <c r="AL230" s="426">
        <f t="shared" si="225"/>
        <v>16</v>
      </c>
      <c r="AM230" s="426">
        <f t="array" ref="AM230">MAX((IF(MNU_CODIGO_ALIMENTO_ENTREGA=CONCATENATE($E230,"_","P_"),MNU_GRAMAJE_REQUERIDO_TIPOM,"")))</f>
        <v>30</v>
      </c>
      <c r="AN230" s="259">
        <f t="shared" si="226"/>
        <v>338</v>
      </c>
      <c r="AO230" s="259">
        <f t="shared" si="227"/>
        <v>5408</v>
      </c>
      <c r="AP230" s="446">
        <f t="shared" si="228"/>
        <v>334</v>
      </c>
      <c r="AQ230" s="446">
        <f t="shared" si="229"/>
        <v>16.299199999999999</v>
      </c>
      <c r="AR230" s="446">
        <f t="shared" si="230"/>
        <v>0.28724534400000001</v>
      </c>
      <c r="AS230" s="446">
        <f t="shared" si="231"/>
        <v>351</v>
      </c>
      <c r="AT230" s="260">
        <f t="shared" si="232"/>
        <v>1806272</v>
      </c>
      <c r="AU230" s="260">
        <f t="shared" si="233"/>
        <v>1898208</v>
      </c>
      <c r="AV230" s="425">
        <f t="shared" si="234"/>
        <v>16</v>
      </c>
      <c r="AW230" s="425">
        <f t="array" ref="AW230">MAX((IF(MNU_CODIGO_ALIMENTO_ENTREGA=CONCATENATE($E230,"_","P_"),MNU_GRAMAJE_REQUERIDO_TIPOH,"")))</f>
        <v>70</v>
      </c>
      <c r="AX230" s="257">
        <f t="shared" si="235"/>
        <v>354</v>
      </c>
      <c r="AY230" s="257">
        <f t="shared" si="236"/>
        <v>5664</v>
      </c>
      <c r="AZ230" s="446">
        <f t="shared" si="237"/>
        <v>779</v>
      </c>
      <c r="BA230" s="446">
        <f t="shared" si="238"/>
        <v>38.0152</v>
      </c>
      <c r="BB230" s="446">
        <f t="shared" si="239"/>
        <v>0.66995246400000008</v>
      </c>
      <c r="BC230" s="446">
        <f t="shared" si="240"/>
        <v>818</v>
      </c>
      <c r="BD230" s="258">
        <f t="shared" si="241"/>
        <v>4412256</v>
      </c>
      <c r="BE230" s="258">
        <f t="shared" si="242"/>
        <v>4633152</v>
      </c>
      <c r="BF230" s="391">
        <f t="shared" si="243"/>
        <v>137052928</v>
      </c>
      <c r="BG230" s="391">
        <f t="shared" si="244"/>
        <v>143935024</v>
      </c>
    </row>
    <row r="231" spans="1:59" ht="15.75">
      <c r="A231" s="333">
        <v>18</v>
      </c>
      <c r="B231" s="333" t="str">
        <f t="shared" si="196"/>
        <v>CEREAL EMPACADO_18</v>
      </c>
      <c r="C231" s="333" t="str">
        <f t="shared" si="197"/>
        <v>62_18</v>
      </c>
      <c r="D231" s="333" t="s">
        <v>1607</v>
      </c>
      <c r="E231" s="256">
        <v>62</v>
      </c>
      <c r="F231" s="322" t="s">
        <v>68</v>
      </c>
      <c r="G231" s="256" t="s">
        <v>9</v>
      </c>
      <c r="H231" s="425">
        <f t="shared" si="198"/>
        <v>5</v>
      </c>
      <c r="I231" s="425">
        <f t="array" ref="I231">MAX((IF(MNU_CODIGO_ALIMENTO_ENTREGA=CONCATENATE($E231,"_","P_"),MNU_GRAMAJE_REQUERIDO_TIPOA,"")))</f>
        <v>50</v>
      </c>
      <c r="J231" s="257">
        <f t="shared" si="199"/>
        <v>6647</v>
      </c>
      <c r="K231" s="257">
        <f t="shared" si="200"/>
        <v>33235</v>
      </c>
      <c r="L231" s="446">
        <f t="shared" si="201"/>
        <v>595</v>
      </c>
      <c r="M231" s="446">
        <f t="shared" si="202"/>
        <v>29.036000000000001</v>
      </c>
      <c r="N231" s="446">
        <f t="shared" si="203"/>
        <v>0.51170952000000014</v>
      </c>
      <c r="O231" s="446">
        <f t="shared" si="204"/>
        <v>625</v>
      </c>
      <c r="P231" s="258">
        <f t="shared" si="205"/>
        <v>19774825</v>
      </c>
      <c r="Q231" s="258">
        <f t="shared" si="206"/>
        <v>20771875</v>
      </c>
      <c r="R231" s="426">
        <f t="shared" si="207"/>
        <v>5</v>
      </c>
      <c r="S231" s="426">
        <f t="array" ref="S231">MAX((IF(MNU_CODIGO_ALIMENTO_ENTREGA=CONCATENATE($E231,"_","P_"),MNU_GRAMAJE_REQUERIDO_TIPOB,"")))</f>
        <v>50</v>
      </c>
      <c r="T231" s="259">
        <f t="shared" si="208"/>
        <v>7022</v>
      </c>
      <c r="U231" s="259">
        <f t="shared" si="209"/>
        <v>35110</v>
      </c>
      <c r="V231" s="446">
        <f t="shared" si="210"/>
        <v>595</v>
      </c>
      <c r="W231" s="446">
        <f t="shared" si="211"/>
        <v>29.036000000000001</v>
      </c>
      <c r="X231" s="446">
        <f t="shared" si="212"/>
        <v>0.51170952000000014</v>
      </c>
      <c r="Y231" s="446">
        <f t="shared" si="213"/>
        <v>625</v>
      </c>
      <c r="Z231" s="260">
        <f t="shared" si="214"/>
        <v>20890450</v>
      </c>
      <c r="AA231" s="260">
        <f t="shared" si="215"/>
        <v>21943750</v>
      </c>
      <c r="AB231" s="425">
        <f t="shared" si="216"/>
        <v>5</v>
      </c>
      <c r="AC231" s="425">
        <f t="array" ref="AC231">MAX((IF(MNU_CODIGO_ALIMENTO_ENTREGA=CONCATENATE($E231,"_","P_"),MNU_GRAMAJE_REQUERIDO_TIPOC,"")))</f>
        <v>50</v>
      </c>
      <c r="AD231" s="257">
        <f t="shared" si="217"/>
        <v>5592</v>
      </c>
      <c r="AE231" s="257">
        <f t="shared" si="218"/>
        <v>27960</v>
      </c>
      <c r="AF231" s="446">
        <f t="shared" si="219"/>
        <v>595</v>
      </c>
      <c r="AG231" s="446">
        <f t="shared" si="220"/>
        <v>29.036000000000001</v>
      </c>
      <c r="AH231" s="446">
        <f t="shared" si="221"/>
        <v>0.51170952000000014</v>
      </c>
      <c r="AI231" s="446">
        <f t="shared" si="222"/>
        <v>625</v>
      </c>
      <c r="AJ231" s="258">
        <f t="shared" si="223"/>
        <v>16636200</v>
      </c>
      <c r="AK231" s="258">
        <f t="shared" si="224"/>
        <v>17475000</v>
      </c>
      <c r="AL231" s="426">
        <f t="shared" si="225"/>
        <v>5</v>
      </c>
      <c r="AM231" s="426">
        <f t="array" ref="AM231">MAX((IF(MNU_CODIGO_ALIMENTO_ENTREGA=CONCATENATE($E231,"_","P_"),MNU_GRAMAJE_REQUERIDO_TIPOM,"")))</f>
        <v>50</v>
      </c>
      <c r="AN231" s="259">
        <f t="shared" si="226"/>
        <v>338</v>
      </c>
      <c r="AO231" s="259">
        <f t="shared" si="227"/>
        <v>1690</v>
      </c>
      <c r="AP231" s="446">
        <f t="shared" si="228"/>
        <v>595</v>
      </c>
      <c r="AQ231" s="446">
        <f t="shared" si="229"/>
        <v>29.036000000000001</v>
      </c>
      <c r="AR231" s="446">
        <f t="shared" si="230"/>
        <v>0.51170952000000014</v>
      </c>
      <c r="AS231" s="446">
        <f t="shared" si="231"/>
        <v>625</v>
      </c>
      <c r="AT231" s="260">
        <f t="shared" si="232"/>
        <v>1005550</v>
      </c>
      <c r="AU231" s="260">
        <f t="shared" si="233"/>
        <v>1056250</v>
      </c>
      <c r="AV231" s="425">
        <f t="shared" si="234"/>
        <v>5</v>
      </c>
      <c r="AW231" s="425">
        <f t="array" ref="AW231">MAX((IF(MNU_CODIGO_ALIMENTO_ENTREGA=CONCATENATE($E231,"_","P_"),MNU_GRAMAJE_REQUERIDO_TIPOH,"")))</f>
        <v>50</v>
      </c>
      <c r="AX231" s="257">
        <f t="shared" si="235"/>
        <v>354</v>
      </c>
      <c r="AY231" s="257">
        <f t="shared" si="236"/>
        <v>1770</v>
      </c>
      <c r="AZ231" s="446">
        <f t="shared" si="237"/>
        <v>595</v>
      </c>
      <c r="BA231" s="446">
        <f t="shared" si="238"/>
        <v>29.036000000000001</v>
      </c>
      <c r="BB231" s="446">
        <f t="shared" si="239"/>
        <v>0.51170952000000014</v>
      </c>
      <c r="BC231" s="446">
        <f t="shared" si="240"/>
        <v>625</v>
      </c>
      <c r="BD231" s="258">
        <f t="shared" si="241"/>
        <v>1053150</v>
      </c>
      <c r="BE231" s="258">
        <f t="shared" si="242"/>
        <v>1106250</v>
      </c>
      <c r="BF231" s="391">
        <f t="shared" si="243"/>
        <v>59360175</v>
      </c>
      <c r="BG231" s="391">
        <f t="shared" si="244"/>
        <v>62353125</v>
      </c>
    </row>
    <row r="232" spans="1:59" ht="15.75">
      <c r="A232" s="333">
        <v>19</v>
      </c>
      <c r="B232" s="333" t="str">
        <f t="shared" si="196"/>
        <v>CEREAL EMPACADO_19</v>
      </c>
      <c r="C232" s="333" t="str">
        <f t="shared" si="197"/>
        <v>1_19</v>
      </c>
      <c r="D232" s="333" t="s">
        <v>1607</v>
      </c>
      <c r="E232" s="256">
        <v>1</v>
      </c>
      <c r="F232" s="322" t="s">
        <v>16</v>
      </c>
      <c r="G232" s="256" t="s">
        <v>9</v>
      </c>
      <c r="H232" s="425">
        <f t="shared" si="198"/>
        <v>15</v>
      </c>
      <c r="I232" s="425">
        <f t="array" ref="I232">MAX((IF(MNU_CODIGO_ALIMENTO_ENTREGA=CONCATENATE($E232,"_","P_"),MNU_GRAMAJE_REQUERIDO_TIPOA,"")))</f>
        <v>30</v>
      </c>
      <c r="J232" s="257">
        <f t="shared" si="199"/>
        <v>6034</v>
      </c>
      <c r="K232" s="257">
        <f t="shared" si="200"/>
        <v>90510</v>
      </c>
      <c r="L232" s="446">
        <f t="shared" si="201"/>
        <v>770</v>
      </c>
      <c r="M232" s="446">
        <f t="shared" si="202"/>
        <v>37.576000000000008</v>
      </c>
      <c r="N232" s="446">
        <f t="shared" si="203"/>
        <v>0.66221231999999997</v>
      </c>
      <c r="O232" s="446">
        <f t="shared" si="204"/>
        <v>808</v>
      </c>
      <c r="P232" s="258">
        <f t="shared" si="205"/>
        <v>69692700</v>
      </c>
      <c r="Q232" s="258">
        <f t="shared" si="206"/>
        <v>73132080</v>
      </c>
      <c r="R232" s="426">
        <f t="shared" si="207"/>
        <v>15</v>
      </c>
      <c r="S232" s="426">
        <f t="array" ref="S232">MAX((IF(MNU_CODIGO_ALIMENTO_ENTREGA=CONCATENATE($E232,"_","P_"),MNU_GRAMAJE_REQUERIDO_TIPOB,"")))</f>
        <v>40</v>
      </c>
      <c r="T232" s="259">
        <f t="shared" si="208"/>
        <v>8795</v>
      </c>
      <c r="U232" s="259">
        <f t="shared" si="209"/>
        <v>131925</v>
      </c>
      <c r="V232" s="446">
        <f t="shared" si="210"/>
        <v>1027</v>
      </c>
      <c r="W232" s="446">
        <f t="shared" si="211"/>
        <v>50.117600000000003</v>
      </c>
      <c r="X232" s="446">
        <f t="shared" si="212"/>
        <v>0.88323643200000013</v>
      </c>
      <c r="Y232" s="446">
        <f t="shared" si="213"/>
        <v>1078</v>
      </c>
      <c r="Z232" s="260">
        <f t="shared" si="214"/>
        <v>135486975</v>
      </c>
      <c r="AA232" s="260">
        <f t="shared" si="215"/>
        <v>142215150</v>
      </c>
      <c r="AB232" s="425">
        <f t="shared" si="216"/>
        <v>15</v>
      </c>
      <c r="AC232" s="425">
        <f t="array" ref="AC232">MAX((IF(MNU_CODIGO_ALIMENTO_ENTREGA=CONCATENATE($E232,"_","P_"),MNU_GRAMAJE_REQUERIDO_TIPOC,"")))</f>
        <v>60</v>
      </c>
      <c r="AD232" s="257">
        <f t="shared" si="217"/>
        <v>11061</v>
      </c>
      <c r="AE232" s="257">
        <f t="shared" si="218"/>
        <v>165915</v>
      </c>
      <c r="AF232" s="446">
        <f t="shared" si="219"/>
        <v>1540</v>
      </c>
      <c r="AG232" s="446">
        <f t="shared" si="220"/>
        <v>75.152000000000015</v>
      </c>
      <c r="AH232" s="446">
        <f t="shared" si="221"/>
        <v>1.3244246399999999</v>
      </c>
      <c r="AI232" s="446">
        <f t="shared" si="222"/>
        <v>1616</v>
      </c>
      <c r="AJ232" s="258">
        <f t="shared" si="223"/>
        <v>255509100</v>
      </c>
      <c r="AK232" s="258">
        <f t="shared" si="224"/>
        <v>268118640</v>
      </c>
      <c r="AL232" s="426">
        <f t="shared" si="225"/>
        <v>15</v>
      </c>
      <c r="AM232" s="426">
        <f t="array" ref="AM232">MAX((IF(MNU_CODIGO_ALIMENTO_ENTREGA=CONCATENATE($E232,"_","P_"),MNU_GRAMAJE_REQUERIDO_TIPOM,"")))</f>
        <v>40</v>
      </c>
      <c r="AN232" s="259">
        <f t="shared" si="226"/>
        <v>188</v>
      </c>
      <c r="AO232" s="259">
        <f t="shared" si="227"/>
        <v>2820</v>
      </c>
      <c r="AP232" s="446">
        <f t="shared" si="228"/>
        <v>1027</v>
      </c>
      <c r="AQ232" s="446">
        <f t="shared" si="229"/>
        <v>50.117600000000003</v>
      </c>
      <c r="AR232" s="446">
        <f t="shared" si="230"/>
        <v>0.88323643200000013</v>
      </c>
      <c r="AS232" s="446">
        <f t="shared" si="231"/>
        <v>1078</v>
      </c>
      <c r="AT232" s="260">
        <f t="shared" si="232"/>
        <v>2896140</v>
      </c>
      <c r="AU232" s="260">
        <f t="shared" si="233"/>
        <v>3039960</v>
      </c>
      <c r="AV232" s="425">
        <f t="shared" si="234"/>
        <v>15</v>
      </c>
      <c r="AW232" s="425">
        <f t="array" ref="AW232">MAX((IF(MNU_CODIGO_ALIMENTO_ENTREGA=CONCATENATE($E232,"_","P_"),MNU_GRAMAJE_REQUERIDO_TIPOH,"")))</f>
        <v>60</v>
      </c>
      <c r="AX232" s="257">
        <f t="shared" si="235"/>
        <v>183</v>
      </c>
      <c r="AY232" s="257">
        <f t="shared" si="236"/>
        <v>2745</v>
      </c>
      <c r="AZ232" s="446">
        <f t="shared" si="237"/>
        <v>1540</v>
      </c>
      <c r="BA232" s="446">
        <f t="shared" si="238"/>
        <v>75.152000000000015</v>
      </c>
      <c r="BB232" s="446">
        <f t="shared" si="239"/>
        <v>1.3244246399999999</v>
      </c>
      <c r="BC232" s="446">
        <f t="shared" si="240"/>
        <v>1616</v>
      </c>
      <c r="BD232" s="258">
        <f t="shared" si="241"/>
        <v>4227300</v>
      </c>
      <c r="BE232" s="258">
        <f t="shared" si="242"/>
        <v>4435920</v>
      </c>
      <c r="BF232" s="391">
        <f t="shared" si="243"/>
        <v>467812215</v>
      </c>
      <c r="BG232" s="391">
        <f t="shared" si="244"/>
        <v>490941750</v>
      </c>
    </row>
    <row r="233" spans="1:59" ht="15.75">
      <c r="A233" s="333">
        <v>19</v>
      </c>
      <c r="B233" s="333" t="str">
        <f t="shared" si="196"/>
        <v>CEREAL EMPACADO_19</v>
      </c>
      <c r="C233" s="333" t="str">
        <f t="shared" si="197"/>
        <v>3_19</v>
      </c>
      <c r="D233" s="333" t="s">
        <v>1607</v>
      </c>
      <c r="E233" s="256">
        <v>3</v>
      </c>
      <c r="F233" s="322" t="s">
        <v>12</v>
      </c>
      <c r="G233" s="256" t="s">
        <v>9</v>
      </c>
      <c r="H233" s="425">
        <f t="shared" si="198"/>
        <v>17</v>
      </c>
      <c r="I233" s="425">
        <f t="array" ref="I233">MAX((IF(MNU_CODIGO_ALIMENTO_ENTREGA=CONCATENATE($E233,"_","P_"),MNU_GRAMAJE_REQUERIDO_TIPOA,"")))</f>
        <v>50</v>
      </c>
      <c r="J233" s="257">
        <f t="shared" si="199"/>
        <v>6034</v>
      </c>
      <c r="K233" s="257">
        <f t="shared" si="200"/>
        <v>102578</v>
      </c>
      <c r="L233" s="446">
        <f t="shared" si="201"/>
        <v>481</v>
      </c>
      <c r="M233" s="446">
        <f t="shared" si="202"/>
        <v>23.472799999999999</v>
      </c>
      <c r="N233" s="446">
        <f t="shared" si="203"/>
        <v>0.41366769599999997</v>
      </c>
      <c r="O233" s="446">
        <f t="shared" si="204"/>
        <v>505</v>
      </c>
      <c r="P233" s="258">
        <f t="shared" si="205"/>
        <v>49340018</v>
      </c>
      <c r="Q233" s="258">
        <f t="shared" si="206"/>
        <v>51801890</v>
      </c>
      <c r="R233" s="426">
        <f t="shared" si="207"/>
        <v>17</v>
      </c>
      <c r="S233" s="426">
        <f t="array" ref="S233">MAX((IF(MNU_CODIGO_ALIMENTO_ENTREGA=CONCATENATE($E233,"_","P_"),MNU_GRAMAJE_REQUERIDO_TIPOB,"")))</f>
        <v>50</v>
      </c>
      <c r="T233" s="259">
        <f t="shared" si="208"/>
        <v>8795</v>
      </c>
      <c r="U233" s="259">
        <f t="shared" si="209"/>
        <v>149515</v>
      </c>
      <c r="V233" s="446">
        <f t="shared" si="210"/>
        <v>481</v>
      </c>
      <c r="W233" s="446">
        <f t="shared" si="211"/>
        <v>23.472799999999999</v>
      </c>
      <c r="X233" s="446">
        <f t="shared" si="212"/>
        <v>0.41366769599999997</v>
      </c>
      <c r="Y233" s="446">
        <f t="shared" si="213"/>
        <v>505</v>
      </c>
      <c r="Z233" s="260">
        <f t="shared" si="214"/>
        <v>71916715</v>
      </c>
      <c r="AA233" s="260">
        <f t="shared" si="215"/>
        <v>75505075</v>
      </c>
      <c r="AB233" s="425">
        <f t="shared" si="216"/>
        <v>17</v>
      </c>
      <c r="AC233" s="425">
        <f t="array" ref="AC233">MAX((IF(MNU_CODIGO_ALIMENTO_ENTREGA=CONCATENATE($E233,"_","P_"),MNU_GRAMAJE_REQUERIDO_TIPOC,"")))</f>
        <v>80</v>
      </c>
      <c r="AD233" s="257">
        <f t="shared" si="217"/>
        <v>11061</v>
      </c>
      <c r="AE233" s="257">
        <f t="shared" si="218"/>
        <v>188037</v>
      </c>
      <c r="AF233" s="446">
        <f t="shared" si="219"/>
        <v>727</v>
      </c>
      <c r="AG233" s="446">
        <f t="shared" si="220"/>
        <v>35.477600000000002</v>
      </c>
      <c r="AH233" s="446">
        <f t="shared" si="221"/>
        <v>0.62523163200000009</v>
      </c>
      <c r="AI233" s="446">
        <f t="shared" si="222"/>
        <v>763</v>
      </c>
      <c r="AJ233" s="258">
        <f t="shared" si="223"/>
        <v>136702899</v>
      </c>
      <c r="AK233" s="258">
        <f t="shared" si="224"/>
        <v>143472231</v>
      </c>
      <c r="AL233" s="426">
        <f t="shared" si="225"/>
        <v>17</v>
      </c>
      <c r="AM233" s="426">
        <f t="array" ref="AM233">MAX((IF(MNU_CODIGO_ALIMENTO_ENTREGA=CONCATENATE($E233,"_","P_"),MNU_GRAMAJE_REQUERIDO_TIPOM,"")))</f>
        <v>50</v>
      </c>
      <c r="AN233" s="259">
        <f t="shared" si="226"/>
        <v>188</v>
      </c>
      <c r="AO233" s="259">
        <f t="shared" si="227"/>
        <v>3196</v>
      </c>
      <c r="AP233" s="446">
        <f t="shared" si="228"/>
        <v>481</v>
      </c>
      <c r="AQ233" s="446">
        <f t="shared" si="229"/>
        <v>23.472799999999999</v>
      </c>
      <c r="AR233" s="446">
        <f t="shared" si="230"/>
        <v>0.41366769599999997</v>
      </c>
      <c r="AS233" s="446">
        <f t="shared" si="231"/>
        <v>505</v>
      </c>
      <c r="AT233" s="260">
        <f t="shared" si="232"/>
        <v>1537276</v>
      </c>
      <c r="AU233" s="260">
        <f t="shared" si="233"/>
        <v>1613980</v>
      </c>
      <c r="AV233" s="425">
        <f t="shared" si="234"/>
        <v>17</v>
      </c>
      <c r="AW233" s="425">
        <f t="array" ref="AW233">MAX((IF(MNU_CODIGO_ALIMENTO_ENTREGA=CONCATENATE($E233,"_","P_"),MNU_GRAMAJE_REQUERIDO_TIPOH,"")))</f>
        <v>80</v>
      </c>
      <c r="AX233" s="257">
        <f t="shared" si="235"/>
        <v>183</v>
      </c>
      <c r="AY233" s="257">
        <f t="shared" si="236"/>
        <v>3111</v>
      </c>
      <c r="AZ233" s="446">
        <f t="shared" si="237"/>
        <v>727</v>
      </c>
      <c r="BA233" s="446">
        <f t="shared" si="238"/>
        <v>35.477600000000002</v>
      </c>
      <c r="BB233" s="446">
        <f t="shared" si="239"/>
        <v>0.62523163200000009</v>
      </c>
      <c r="BC233" s="446">
        <f t="shared" si="240"/>
        <v>763</v>
      </c>
      <c r="BD233" s="258">
        <f t="shared" si="241"/>
        <v>2261697</v>
      </c>
      <c r="BE233" s="258">
        <f t="shared" si="242"/>
        <v>2373693</v>
      </c>
      <c r="BF233" s="391">
        <f t="shared" si="243"/>
        <v>261758605</v>
      </c>
      <c r="BG233" s="391">
        <f t="shared" si="244"/>
        <v>274766869</v>
      </c>
    </row>
    <row r="234" spans="1:59" ht="15.75">
      <c r="A234" s="333">
        <v>19</v>
      </c>
      <c r="B234" s="333" t="str">
        <f t="shared" si="196"/>
        <v>CEREAL EMPACADO_19</v>
      </c>
      <c r="C234" s="333" t="str">
        <f t="shared" si="197"/>
        <v>15_19</v>
      </c>
      <c r="D234" s="333" t="s">
        <v>1607</v>
      </c>
      <c r="E234" s="256">
        <v>15</v>
      </c>
      <c r="F234" s="322" t="s">
        <v>66</v>
      </c>
      <c r="G234" s="256" t="s">
        <v>9</v>
      </c>
      <c r="H234" s="425">
        <f t="shared" si="198"/>
        <v>17</v>
      </c>
      <c r="I234" s="425">
        <f t="array" ref="I234">MAX((IF(MNU_CODIGO_ALIMENTO_ENTREGA=CONCATENATE($E234,"_","P_"),MNU_GRAMAJE_REQUERIDO_TIPOA,"")))</f>
        <v>50</v>
      </c>
      <c r="J234" s="257">
        <f t="shared" si="199"/>
        <v>6034</v>
      </c>
      <c r="K234" s="257">
        <f t="shared" si="200"/>
        <v>102578</v>
      </c>
      <c r="L234" s="446">
        <f t="shared" si="201"/>
        <v>641</v>
      </c>
      <c r="M234" s="446">
        <f t="shared" si="202"/>
        <v>31.280800000000003</v>
      </c>
      <c r="N234" s="446">
        <f t="shared" si="203"/>
        <v>0.55127025600000001</v>
      </c>
      <c r="O234" s="446">
        <f t="shared" si="204"/>
        <v>673</v>
      </c>
      <c r="P234" s="258">
        <f t="shared" si="205"/>
        <v>65752498</v>
      </c>
      <c r="Q234" s="258">
        <f t="shared" si="206"/>
        <v>69034994</v>
      </c>
      <c r="R234" s="426">
        <f t="shared" si="207"/>
        <v>17</v>
      </c>
      <c r="S234" s="426">
        <f t="array" ref="S234">MAX((IF(MNU_CODIGO_ALIMENTO_ENTREGA=CONCATENATE($E234,"_","P_"),MNU_GRAMAJE_REQUERIDO_TIPOB,"")))</f>
        <v>50</v>
      </c>
      <c r="T234" s="259">
        <f t="shared" si="208"/>
        <v>8795</v>
      </c>
      <c r="U234" s="259">
        <f t="shared" si="209"/>
        <v>149515</v>
      </c>
      <c r="V234" s="446">
        <f t="shared" si="210"/>
        <v>641</v>
      </c>
      <c r="W234" s="446">
        <f t="shared" si="211"/>
        <v>31.280800000000003</v>
      </c>
      <c r="X234" s="446">
        <f t="shared" si="212"/>
        <v>0.55127025600000001</v>
      </c>
      <c r="Y234" s="446">
        <f t="shared" si="213"/>
        <v>673</v>
      </c>
      <c r="Z234" s="260">
        <f t="shared" si="214"/>
        <v>95839115</v>
      </c>
      <c r="AA234" s="260">
        <f t="shared" si="215"/>
        <v>100623595</v>
      </c>
      <c r="AB234" s="425">
        <f t="shared" si="216"/>
        <v>17</v>
      </c>
      <c r="AC234" s="425">
        <f t="array" ref="AC234">MAX((IF(MNU_CODIGO_ALIMENTO_ENTREGA=CONCATENATE($E234,"_","P_"),MNU_GRAMAJE_REQUERIDO_TIPOC,"")))</f>
        <v>80</v>
      </c>
      <c r="AD234" s="257">
        <f t="shared" si="217"/>
        <v>11061</v>
      </c>
      <c r="AE234" s="257">
        <f t="shared" si="218"/>
        <v>188037</v>
      </c>
      <c r="AF234" s="446">
        <f t="shared" si="219"/>
        <v>1025</v>
      </c>
      <c r="AG234" s="446">
        <f t="shared" si="220"/>
        <v>50.02</v>
      </c>
      <c r="AH234" s="446">
        <f t="shared" si="221"/>
        <v>0.88151640000000009</v>
      </c>
      <c r="AI234" s="446">
        <f t="shared" si="222"/>
        <v>1076</v>
      </c>
      <c r="AJ234" s="258">
        <f t="shared" si="223"/>
        <v>192737925</v>
      </c>
      <c r="AK234" s="258">
        <f t="shared" si="224"/>
        <v>202327812</v>
      </c>
      <c r="AL234" s="426">
        <f t="shared" si="225"/>
        <v>17</v>
      </c>
      <c r="AM234" s="426">
        <f t="array" ref="AM234">MAX((IF(MNU_CODIGO_ALIMENTO_ENTREGA=CONCATENATE($E234,"_","P_"),MNU_GRAMAJE_REQUERIDO_TIPOM,"")))</f>
        <v>50</v>
      </c>
      <c r="AN234" s="259">
        <f t="shared" si="226"/>
        <v>188</v>
      </c>
      <c r="AO234" s="259">
        <f t="shared" si="227"/>
        <v>3196</v>
      </c>
      <c r="AP234" s="446">
        <f t="shared" si="228"/>
        <v>641</v>
      </c>
      <c r="AQ234" s="446">
        <f t="shared" si="229"/>
        <v>31.280800000000003</v>
      </c>
      <c r="AR234" s="446">
        <f t="shared" si="230"/>
        <v>0.55127025600000001</v>
      </c>
      <c r="AS234" s="446">
        <f t="shared" si="231"/>
        <v>673</v>
      </c>
      <c r="AT234" s="260">
        <f t="shared" si="232"/>
        <v>2048636</v>
      </c>
      <c r="AU234" s="260">
        <f t="shared" si="233"/>
        <v>2150908</v>
      </c>
      <c r="AV234" s="425">
        <f t="shared" si="234"/>
        <v>17</v>
      </c>
      <c r="AW234" s="425">
        <f t="array" ref="AW234">MAX((IF(MNU_CODIGO_ALIMENTO_ENTREGA=CONCATENATE($E234,"_","P_"),MNU_GRAMAJE_REQUERIDO_TIPOH,"")))</f>
        <v>80</v>
      </c>
      <c r="AX234" s="257">
        <f t="shared" si="235"/>
        <v>183</v>
      </c>
      <c r="AY234" s="257">
        <f t="shared" si="236"/>
        <v>3111</v>
      </c>
      <c r="AZ234" s="446">
        <f t="shared" si="237"/>
        <v>1025</v>
      </c>
      <c r="BA234" s="446">
        <f t="shared" si="238"/>
        <v>50.02</v>
      </c>
      <c r="BB234" s="446">
        <f t="shared" si="239"/>
        <v>0.88151640000000009</v>
      </c>
      <c r="BC234" s="446">
        <f t="shared" si="240"/>
        <v>1076</v>
      </c>
      <c r="BD234" s="258">
        <f t="shared" si="241"/>
        <v>3188775</v>
      </c>
      <c r="BE234" s="258">
        <f t="shared" si="242"/>
        <v>3347436</v>
      </c>
      <c r="BF234" s="391">
        <f t="shared" si="243"/>
        <v>359566949</v>
      </c>
      <c r="BG234" s="391">
        <f t="shared" si="244"/>
        <v>377484745</v>
      </c>
    </row>
    <row r="235" spans="1:59" ht="15.75">
      <c r="A235" s="333">
        <v>19</v>
      </c>
      <c r="B235" s="333" t="str">
        <f t="shared" si="196"/>
        <v>CEREAL EMPACADO_19</v>
      </c>
      <c r="C235" s="333" t="str">
        <f t="shared" si="197"/>
        <v>24_19</v>
      </c>
      <c r="D235" s="333" t="s">
        <v>1607</v>
      </c>
      <c r="E235" s="256">
        <v>24</v>
      </c>
      <c r="F235" s="322" t="s">
        <v>61</v>
      </c>
      <c r="G235" s="256" t="s">
        <v>9</v>
      </c>
      <c r="H235" s="425">
        <f t="shared" si="198"/>
        <v>17</v>
      </c>
      <c r="I235" s="425">
        <f t="array" ref="I235">MAX((IF(MNU_CODIGO_ALIMENTO_ENTREGA=CONCATENATE($E235,"_","P_"),MNU_GRAMAJE_REQUERIDO_TIPOA,"")))</f>
        <v>20</v>
      </c>
      <c r="J235" s="257">
        <f t="shared" si="199"/>
        <v>6034</v>
      </c>
      <c r="K235" s="257">
        <f t="shared" si="200"/>
        <v>102578</v>
      </c>
      <c r="L235" s="446">
        <f t="shared" si="201"/>
        <v>122</v>
      </c>
      <c r="M235" s="446">
        <f t="shared" si="202"/>
        <v>5.9535999999999998</v>
      </c>
      <c r="N235" s="446">
        <f t="shared" si="203"/>
        <v>0.104921952</v>
      </c>
      <c r="O235" s="446">
        <f t="shared" si="204"/>
        <v>128</v>
      </c>
      <c r="P235" s="258">
        <f t="shared" si="205"/>
        <v>12514516</v>
      </c>
      <c r="Q235" s="258">
        <f t="shared" si="206"/>
        <v>13129984</v>
      </c>
      <c r="R235" s="426">
        <f t="shared" si="207"/>
        <v>17</v>
      </c>
      <c r="S235" s="426">
        <f t="array" ref="S235">MAX((IF(MNU_CODIGO_ALIMENTO_ENTREGA=CONCATENATE($E235,"_","P_"),MNU_GRAMAJE_REQUERIDO_TIPOB,"")))</f>
        <v>30</v>
      </c>
      <c r="T235" s="259">
        <f t="shared" si="208"/>
        <v>8795</v>
      </c>
      <c r="U235" s="259">
        <f t="shared" si="209"/>
        <v>149515</v>
      </c>
      <c r="V235" s="446">
        <f t="shared" si="210"/>
        <v>191</v>
      </c>
      <c r="W235" s="446">
        <f t="shared" si="211"/>
        <v>9.3208000000000002</v>
      </c>
      <c r="X235" s="446">
        <f t="shared" si="212"/>
        <v>0.16426305600000002</v>
      </c>
      <c r="Y235" s="446">
        <f t="shared" si="213"/>
        <v>200</v>
      </c>
      <c r="Z235" s="260">
        <f t="shared" si="214"/>
        <v>28557365</v>
      </c>
      <c r="AA235" s="260">
        <f t="shared" si="215"/>
        <v>29903000</v>
      </c>
      <c r="AB235" s="425">
        <f t="shared" si="216"/>
        <v>17</v>
      </c>
      <c r="AC235" s="425">
        <f t="array" ref="AC235">MAX((IF(MNU_CODIGO_ALIMENTO_ENTREGA=CONCATENATE($E235,"_","P_"),MNU_GRAMAJE_REQUERIDO_TIPOC,"")))</f>
        <v>60</v>
      </c>
      <c r="AD235" s="257">
        <f t="shared" si="217"/>
        <v>11061</v>
      </c>
      <c r="AE235" s="257">
        <f t="shared" si="218"/>
        <v>188037</v>
      </c>
      <c r="AF235" s="446">
        <f t="shared" si="219"/>
        <v>367</v>
      </c>
      <c r="AG235" s="446">
        <f t="shared" si="220"/>
        <v>17.909599999999998</v>
      </c>
      <c r="AH235" s="446">
        <f t="shared" si="221"/>
        <v>0.31562587200000003</v>
      </c>
      <c r="AI235" s="446">
        <f t="shared" si="222"/>
        <v>385</v>
      </c>
      <c r="AJ235" s="258">
        <f t="shared" si="223"/>
        <v>69009579</v>
      </c>
      <c r="AK235" s="258">
        <f t="shared" si="224"/>
        <v>72394245</v>
      </c>
      <c r="AL235" s="426">
        <f t="shared" si="225"/>
        <v>17</v>
      </c>
      <c r="AM235" s="426">
        <f t="array" ref="AM235">MAX((IF(MNU_CODIGO_ALIMENTO_ENTREGA=CONCATENATE($E235,"_","P_"),MNU_GRAMAJE_REQUERIDO_TIPOM,"")))</f>
        <v>30</v>
      </c>
      <c r="AN235" s="259">
        <f t="shared" si="226"/>
        <v>188</v>
      </c>
      <c r="AO235" s="259">
        <f t="shared" si="227"/>
        <v>3196</v>
      </c>
      <c r="AP235" s="446">
        <f t="shared" si="228"/>
        <v>191</v>
      </c>
      <c r="AQ235" s="446">
        <f t="shared" si="229"/>
        <v>9.3208000000000002</v>
      </c>
      <c r="AR235" s="446">
        <f t="shared" si="230"/>
        <v>0.16426305600000002</v>
      </c>
      <c r="AS235" s="446">
        <f t="shared" si="231"/>
        <v>200</v>
      </c>
      <c r="AT235" s="260">
        <f t="shared" si="232"/>
        <v>610436</v>
      </c>
      <c r="AU235" s="260">
        <f t="shared" si="233"/>
        <v>639200</v>
      </c>
      <c r="AV235" s="425">
        <f t="shared" si="234"/>
        <v>17</v>
      </c>
      <c r="AW235" s="425">
        <f t="array" ref="AW235">MAX((IF(MNU_CODIGO_ALIMENTO_ENTREGA=CONCATENATE($E235,"_","P_"),MNU_GRAMAJE_REQUERIDO_TIPOH,"")))</f>
        <v>60</v>
      </c>
      <c r="AX235" s="257">
        <f t="shared" si="235"/>
        <v>183</v>
      </c>
      <c r="AY235" s="257">
        <f t="shared" si="236"/>
        <v>3111</v>
      </c>
      <c r="AZ235" s="446">
        <f t="shared" si="237"/>
        <v>367</v>
      </c>
      <c r="BA235" s="446">
        <f t="shared" si="238"/>
        <v>17.909599999999998</v>
      </c>
      <c r="BB235" s="446">
        <f t="shared" si="239"/>
        <v>0.31562587200000003</v>
      </c>
      <c r="BC235" s="446">
        <f t="shared" si="240"/>
        <v>385</v>
      </c>
      <c r="BD235" s="258">
        <f t="shared" si="241"/>
        <v>1141737</v>
      </c>
      <c r="BE235" s="258">
        <f t="shared" si="242"/>
        <v>1197735</v>
      </c>
      <c r="BF235" s="391">
        <f t="shared" si="243"/>
        <v>111833633</v>
      </c>
      <c r="BG235" s="391">
        <f t="shared" si="244"/>
        <v>117264164</v>
      </c>
    </row>
    <row r="236" spans="1:59" ht="15.75">
      <c r="A236" s="333">
        <v>19</v>
      </c>
      <c r="B236" s="333" t="str">
        <f t="shared" si="196"/>
        <v>CEREAL EMPACADO_19</v>
      </c>
      <c r="C236" s="333" t="str">
        <f t="shared" si="197"/>
        <v>25_19</v>
      </c>
      <c r="D236" s="333" t="s">
        <v>1607</v>
      </c>
      <c r="E236" s="256">
        <v>25</v>
      </c>
      <c r="F236" s="322" t="s">
        <v>64</v>
      </c>
      <c r="G236" s="256" t="s">
        <v>9</v>
      </c>
      <c r="H236" s="425">
        <f t="shared" si="198"/>
        <v>17</v>
      </c>
      <c r="I236" s="425">
        <f t="array" ref="I236">MAX((IF(MNU_CODIGO_ALIMENTO_ENTREGA=CONCATENATE($E236,"_","P_"),MNU_GRAMAJE_REQUERIDO_TIPOA,"")))</f>
        <v>40</v>
      </c>
      <c r="J236" s="257">
        <f t="shared" si="199"/>
        <v>6034</v>
      </c>
      <c r="K236" s="257">
        <f t="shared" si="200"/>
        <v>102578</v>
      </c>
      <c r="L236" s="446">
        <f t="shared" si="201"/>
        <v>244</v>
      </c>
      <c r="M236" s="446">
        <f t="shared" si="202"/>
        <v>11.9072</v>
      </c>
      <c r="N236" s="446">
        <f t="shared" si="203"/>
        <v>0.209843904</v>
      </c>
      <c r="O236" s="446">
        <f t="shared" si="204"/>
        <v>256</v>
      </c>
      <c r="P236" s="258">
        <f t="shared" si="205"/>
        <v>25029032</v>
      </c>
      <c r="Q236" s="258">
        <f t="shared" si="206"/>
        <v>26259968</v>
      </c>
      <c r="R236" s="426">
        <f t="shared" si="207"/>
        <v>17</v>
      </c>
      <c r="S236" s="426">
        <f t="array" ref="S236">MAX((IF(MNU_CODIGO_ALIMENTO_ENTREGA=CONCATENATE($E236,"_","P_"),MNU_GRAMAJE_REQUERIDO_TIPOB,"")))</f>
        <v>40</v>
      </c>
      <c r="T236" s="259">
        <f t="shared" si="208"/>
        <v>8795</v>
      </c>
      <c r="U236" s="259">
        <f t="shared" si="209"/>
        <v>149515</v>
      </c>
      <c r="V236" s="446">
        <f t="shared" si="210"/>
        <v>244</v>
      </c>
      <c r="W236" s="446">
        <f t="shared" si="211"/>
        <v>11.9072</v>
      </c>
      <c r="X236" s="446">
        <f t="shared" si="212"/>
        <v>0.209843904</v>
      </c>
      <c r="Y236" s="446">
        <f t="shared" si="213"/>
        <v>256</v>
      </c>
      <c r="Z236" s="260">
        <f t="shared" si="214"/>
        <v>36481660</v>
      </c>
      <c r="AA236" s="260">
        <f t="shared" si="215"/>
        <v>38275840</v>
      </c>
      <c r="AB236" s="425">
        <f t="shared" si="216"/>
        <v>17</v>
      </c>
      <c r="AC236" s="425">
        <f t="array" ref="AC236">MAX((IF(MNU_CODIGO_ALIMENTO_ENTREGA=CONCATENATE($E236,"_","P_"),MNU_GRAMAJE_REQUERIDO_TIPOC,"")))</f>
        <v>60</v>
      </c>
      <c r="AD236" s="257">
        <f t="shared" si="217"/>
        <v>11061</v>
      </c>
      <c r="AE236" s="257">
        <f t="shared" si="218"/>
        <v>188037</v>
      </c>
      <c r="AF236" s="446">
        <f t="shared" si="219"/>
        <v>366</v>
      </c>
      <c r="AG236" s="446">
        <f t="shared" si="220"/>
        <v>17.860800000000001</v>
      </c>
      <c r="AH236" s="446">
        <f t="shared" si="221"/>
        <v>0.31476585600000001</v>
      </c>
      <c r="AI236" s="446">
        <f t="shared" si="222"/>
        <v>384</v>
      </c>
      <c r="AJ236" s="258">
        <f t="shared" si="223"/>
        <v>68821542</v>
      </c>
      <c r="AK236" s="258">
        <f t="shared" si="224"/>
        <v>72206208</v>
      </c>
      <c r="AL236" s="426">
        <f t="shared" si="225"/>
        <v>17</v>
      </c>
      <c r="AM236" s="426">
        <f t="array" ref="AM236">MAX((IF(MNU_CODIGO_ALIMENTO_ENTREGA=CONCATENATE($E236,"_","P_"),MNU_GRAMAJE_REQUERIDO_TIPOM,"")))</f>
        <v>40</v>
      </c>
      <c r="AN236" s="259">
        <f t="shared" si="226"/>
        <v>188</v>
      </c>
      <c r="AO236" s="259">
        <f t="shared" si="227"/>
        <v>3196</v>
      </c>
      <c r="AP236" s="446">
        <f t="shared" si="228"/>
        <v>244</v>
      </c>
      <c r="AQ236" s="446">
        <f t="shared" si="229"/>
        <v>11.9072</v>
      </c>
      <c r="AR236" s="446">
        <f t="shared" si="230"/>
        <v>0.209843904</v>
      </c>
      <c r="AS236" s="446">
        <f t="shared" si="231"/>
        <v>256</v>
      </c>
      <c r="AT236" s="260">
        <f t="shared" si="232"/>
        <v>779824</v>
      </c>
      <c r="AU236" s="260">
        <f t="shared" si="233"/>
        <v>818176</v>
      </c>
      <c r="AV236" s="425">
        <f t="shared" si="234"/>
        <v>17</v>
      </c>
      <c r="AW236" s="425">
        <f t="array" ref="AW236">MAX((IF(MNU_CODIGO_ALIMENTO_ENTREGA=CONCATENATE($E236,"_","P_"),MNU_GRAMAJE_REQUERIDO_TIPOH,"")))</f>
        <v>60</v>
      </c>
      <c r="AX236" s="257">
        <f t="shared" si="235"/>
        <v>183</v>
      </c>
      <c r="AY236" s="257">
        <f t="shared" si="236"/>
        <v>3111</v>
      </c>
      <c r="AZ236" s="446">
        <f t="shared" si="237"/>
        <v>366</v>
      </c>
      <c r="BA236" s="446">
        <f t="shared" si="238"/>
        <v>17.860800000000001</v>
      </c>
      <c r="BB236" s="446">
        <f t="shared" si="239"/>
        <v>0.31476585600000001</v>
      </c>
      <c r="BC236" s="446">
        <f t="shared" si="240"/>
        <v>384</v>
      </c>
      <c r="BD236" s="258">
        <f t="shared" si="241"/>
        <v>1138626</v>
      </c>
      <c r="BE236" s="258">
        <f t="shared" si="242"/>
        <v>1194624</v>
      </c>
      <c r="BF236" s="391">
        <f t="shared" si="243"/>
        <v>132250684</v>
      </c>
      <c r="BG236" s="391">
        <f t="shared" si="244"/>
        <v>138754816</v>
      </c>
    </row>
    <row r="237" spans="1:59" ht="15.75">
      <c r="A237" s="333">
        <v>19</v>
      </c>
      <c r="B237" s="333" t="str">
        <f t="shared" si="196"/>
        <v>CEREAL EMPACADO_19</v>
      </c>
      <c r="C237" s="333" t="str">
        <f t="shared" si="197"/>
        <v>26_19</v>
      </c>
      <c r="D237" s="333" t="s">
        <v>1607</v>
      </c>
      <c r="E237" s="256">
        <v>26</v>
      </c>
      <c r="F237" s="322" t="s">
        <v>69</v>
      </c>
      <c r="G237" s="256" t="s">
        <v>9</v>
      </c>
      <c r="H237" s="425">
        <f t="shared" si="198"/>
        <v>6</v>
      </c>
      <c r="I237" s="425">
        <f t="array" ref="I237">MAX((IF(MNU_CODIGO_ALIMENTO_ENTREGA=CONCATENATE($E237,"_","P_"),MNU_GRAMAJE_REQUERIDO_TIPOA,"")))</f>
        <v>30</v>
      </c>
      <c r="J237" s="257">
        <f t="shared" si="199"/>
        <v>6034</v>
      </c>
      <c r="K237" s="257">
        <f t="shared" si="200"/>
        <v>36204</v>
      </c>
      <c r="L237" s="446">
        <f t="shared" si="201"/>
        <v>163</v>
      </c>
      <c r="M237" s="446">
        <f t="shared" si="202"/>
        <v>7.9543999999999997</v>
      </c>
      <c r="N237" s="446">
        <f t="shared" si="203"/>
        <v>0.14018260800000001</v>
      </c>
      <c r="O237" s="446">
        <f t="shared" si="204"/>
        <v>171</v>
      </c>
      <c r="P237" s="258">
        <f t="shared" si="205"/>
        <v>5901252</v>
      </c>
      <c r="Q237" s="258">
        <f t="shared" si="206"/>
        <v>6190884</v>
      </c>
      <c r="R237" s="426">
        <f t="shared" si="207"/>
        <v>6</v>
      </c>
      <c r="S237" s="426">
        <f t="array" ref="S237">MAX((IF(MNU_CODIGO_ALIMENTO_ENTREGA=CONCATENATE($E237,"_","P_"),MNU_GRAMAJE_REQUERIDO_TIPOB,"")))</f>
        <v>30</v>
      </c>
      <c r="T237" s="259">
        <f t="shared" si="208"/>
        <v>8795</v>
      </c>
      <c r="U237" s="259">
        <f t="shared" si="209"/>
        <v>52770</v>
      </c>
      <c r="V237" s="446">
        <f t="shared" si="210"/>
        <v>163</v>
      </c>
      <c r="W237" s="446">
        <f t="shared" si="211"/>
        <v>7.9543999999999997</v>
      </c>
      <c r="X237" s="446">
        <f t="shared" si="212"/>
        <v>0.14018260800000001</v>
      </c>
      <c r="Y237" s="446">
        <f t="shared" si="213"/>
        <v>171</v>
      </c>
      <c r="Z237" s="260">
        <f t="shared" si="214"/>
        <v>8601510</v>
      </c>
      <c r="AA237" s="260">
        <f t="shared" si="215"/>
        <v>9023670</v>
      </c>
      <c r="AB237" s="425">
        <f t="shared" si="216"/>
        <v>6</v>
      </c>
      <c r="AC237" s="425">
        <f t="array" ref="AC237">MAX((IF(MNU_CODIGO_ALIMENTO_ENTREGA=CONCATENATE($E237,"_","P_"),MNU_GRAMAJE_REQUERIDO_TIPOC,"")))</f>
        <v>30</v>
      </c>
      <c r="AD237" s="257">
        <f t="shared" si="217"/>
        <v>11061</v>
      </c>
      <c r="AE237" s="257">
        <f t="shared" si="218"/>
        <v>66366</v>
      </c>
      <c r="AF237" s="446">
        <f t="shared" si="219"/>
        <v>163</v>
      </c>
      <c r="AG237" s="446">
        <f t="shared" si="220"/>
        <v>7.9543999999999997</v>
      </c>
      <c r="AH237" s="446">
        <f t="shared" si="221"/>
        <v>0.14018260800000001</v>
      </c>
      <c r="AI237" s="446">
        <f t="shared" si="222"/>
        <v>171</v>
      </c>
      <c r="AJ237" s="258">
        <f t="shared" si="223"/>
        <v>10817658</v>
      </c>
      <c r="AK237" s="258">
        <f t="shared" si="224"/>
        <v>11348586</v>
      </c>
      <c r="AL237" s="426">
        <f t="shared" si="225"/>
        <v>6</v>
      </c>
      <c r="AM237" s="426">
        <f t="array" ref="AM237">MAX((IF(MNU_CODIGO_ALIMENTO_ENTREGA=CONCATENATE($E237,"_","P_"),MNU_GRAMAJE_REQUERIDO_TIPOM,"")))</f>
        <v>30</v>
      </c>
      <c r="AN237" s="259">
        <f t="shared" si="226"/>
        <v>188</v>
      </c>
      <c r="AO237" s="259">
        <f t="shared" si="227"/>
        <v>1128</v>
      </c>
      <c r="AP237" s="446">
        <f t="shared" si="228"/>
        <v>163</v>
      </c>
      <c r="AQ237" s="446">
        <f t="shared" si="229"/>
        <v>7.9543999999999997</v>
      </c>
      <c r="AR237" s="446">
        <f t="shared" si="230"/>
        <v>0.14018260800000001</v>
      </c>
      <c r="AS237" s="446">
        <f t="shared" si="231"/>
        <v>171</v>
      </c>
      <c r="AT237" s="260">
        <f t="shared" si="232"/>
        <v>183864</v>
      </c>
      <c r="AU237" s="260">
        <f t="shared" si="233"/>
        <v>192888</v>
      </c>
      <c r="AV237" s="425">
        <f t="shared" si="234"/>
        <v>6</v>
      </c>
      <c r="AW237" s="425">
        <f t="array" ref="AW237">MAX((IF(MNU_CODIGO_ALIMENTO_ENTREGA=CONCATENATE($E237,"_","P_"),MNU_GRAMAJE_REQUERIDO_TIPOH,"")))</f>
        <v>30</v>
      </c>
      <c r="AX237" s="257">
        <f t="shared" si="235"/>
        <v>183</v>
      </c>
      <c r="AY237" s="257">
        <f t="shared" si="236"/>
        <v>1098</v>
      </c>
      <c r="AZ237" s="446">
        <f t="shared" si="237"/>
        <v>163</v>
      </c>
      <c r="BA237" s="446">
        <f t="shared" si="238"/>
        <v>7.9543999999999997</v>
      </c>
      <c r="BB237" s="446">
        <f t="shared" si="239"/>
        <v>0.14018260800000001</v>
      </c>
      <c r="BC237" s="446">
        <f t="shared" si="240"/>
        <v>171</v>
      </c>
      <c r="BD237" s="258">
        <f t="shared" si="241"/>
        <v>178974</v>
      </c>
      <c r="BE237" s="258">
        <f t="shared" si="242"/>
        <v>187758</v>
      </c>
      <c r="BF237" s="391">
        <f t="shared" si="243"/>
        <v>25683258</v>
      </c>
      <c r="BG237" s="391">
        <f t="shared" si="244"/>
        <v>26943786</v>
      </c>
    </row>
    <row r="238" spans="1:59" ht="27">
      <c r="A238" s="333">
        <v>19</v>
      </c>
      <c r="B238" s="333" t="str">
        <f t="shared" si="196"/>
        <v>CEREAL EMPACADO_19</v>
      </c>
      <c r="C238" s="333" t="str">
        <f t="shared" si="197"/>
        <v>28_19</v>
      </c>
      <c r="D238" s="333" t="s">
        <v>1607</v>
      </c>
      <c r="E238" s="256">
        <v>28</v>
      </c>
      <c r="F238" s="322" t="s">
        <v>67</v>
      </c>
      <c r="G238" s="256" t="s">
        <v>9</v>
      </c>
      <c r="H238" s="425">
        <f t="shared" si="198"/>
        <v>6</v>
      </c>
      <c r="I238" s="425">
        <f t="array" ref="I238">MAX((IF(MNU_CODIGO_ALIMENTO_ENTREGA=CONCATENATE($E238,"_","P_"),MNU_GRAMAJE_REQUERIDO_TIPOA,"")))</f>
        <v>30</v>
      </c>
      <c r="J238" s="257">
        <f t="shared" si="199"/>
        <v>6034</v>
      </c>
      <c r="K238" s="257">
        <f t="shared" si="200"/>
        <v>36204</v>
      </c>
      <c r="L238" s="446">
        <f t="shared" si="201"/>
        <v>215</v>
      </c>
      <c r="M238" s="446">
        <f t="shared" si="202"/>
        <v>10.492000000000001</v>
      </c>
      <c r="N238" s="446">
        <f t="shared" si="203"/>
        <v>0.18490343999999997</v>
      </c>
      <c r="O238" s="446">
        <f t="shared" si="204"/>
        <v>226</v>
      </c>
      <c r="P238" s="258">
        <f t="shared" si="205"/>
        <v>7783860</v>
      </c>
      <c r="Q238" s="258">
        <f t="shared" si="206"/>
        <v>8182104</v>
      </c>
      <c r="R238" s="426">
        <f t="shared" si="207"/>
        <v>6</v>
      </c>
      <c r="S238" s="426">
        <f t="array" ref="S238">MAX((IF(MNU_CODIGO_ALIMENTO_ENTREGA=CONCATENATE($E238,"_","P_"),MNU_GRAMAJE_REQUERIDO_TIPOB,"")))</f>
        <v>40</v>
      </c>
      <c r="T238" s="259">
        <f t="shared" si="208"/>
        <v>8795</v>
      </c>
      <c r="U238" s="259">
        <f t="shared" si="209"/>
        <v>52770</v>
      </c>
      <c r="V238" s="446">
        <f t="shared" si="210"/>
        <v>287</v>
      </c>
      <c r="W238" s="446">
        <f t="shared" si="211"/>
        <v>14.005600000000001</v>
      </c>
      <c r="X238" s="446">
        <f t="shared" si="212"/>
        <v>0.24682459200000004</v>
      </c>
      <c r="Y238" s="446">
        <f t="shared" si="213"/>
        <v>301</v>
      </c>
      <c r="Z238" s="260">
        <f t="shared" si="214"/>
        <v>15144990</v>
      </c>
      <c r="AA238" s="260">
        <f t="shared" si="215"/>
        <v>15883770</v>
      </c>
      <c r="AB238" s="425">
        <f t="shared" si="216"/>
        <v>6</v>
      </c>
      <c r="AC238" s="425">
        <f t="array" ref="AC238">MAX((IF(MNU_CODIGO_ALIMENTO_ENTREGA=CONCATENATE($E238,"_","P_"),MNU_GRAMAJE_REQUERIDO_TIPOC,"")))</f>
        <v>60</v>
      </c>
      <c r="AD238" s="257">
        <f t="shared" si="217"/>
        <v>11061</v>
      </c>
      <c r="AE238" s="257">
        <f t="shared" si="218"/>
        <v>66366</v>
      </c>
      <c r="AF238" s="446">
        <f t="shared" si="219"/>
        <v>430</v>
      </c>
      <c r="AG238" s="446">
        <f t="shared" si="220"/>
        <v>20.984000000000002</v>
      </c>
      <c r="AH238" s="446">
        <f t="shared" si="221"/>
        <v>0.36980687999999995</v>
      </c>
      <c r="AI238" s="446">
        <f t="shared" si="222"/>
        <v>451</v>
      </c>
      <c r="AJ238" s="258">
        <f t="shared" si="223"/>
        <v>28537380</v>
      </c>
      <c r="AK238" s="258">
        <f t="shared" si="224"/>
        <v>29931066</v>
      </c>
      <c r="AL238" s="426">
        <f t="shared" si="225"/>
        <v>6</v>
      </c>
      <c r="AM238" s="426">
        <f t="array" ref="AM238">MAX((IF(MNU_CODIGO_ALIMENTO_ENTREGA=CONCATENATE($E238,"_","P_"),MNU_GRAMAJE_REQUERIDO_TIPOM,"")))</f>
        <v>40</v>
      </c>
      <c r="AN238" s="259">
        <f t="shared" si="226"/>
        <v>188</v>
      </c>
      <c r="AO238" s="259">
        <f t="shared" si="227"/>
        <v>1128</v>
      </c>
      <c r="AP238" s="446">
        <f t="shared" si="228"/>
        <v>287</v>
      </c>
      <c r="AQ238" s="446">
        <f t="shared" si="229"/>
        <v>14.005600000000001</v>
      </c>
      <c r="AR238" s="446">
        <f t="shared" si="230"/>
        <v>0.24682459200000004</v>
      </c>
      <c r="AS238" s="446">
        <f t="shared" si="231"/>
        <v>301</v>
      </c>
      <c r="AT238" s="260">
        <f t="shared" si="232"/>
        <v>323736</v>
      </c>
      <c r="AU238" s="260">
        <f t="shared" si="233"/>
        <v>339528</v>
      </c>
      <c r="AV238" s="425">
        <f t="shared" si="234"/>
        <v>6</v>
      </c>
      <c r="AW238" s="425">
        <f t="array" ref="AW238">MAX((IF(MNU_CODIGO_ALIMENTO_ENTREGA=CONCATENATE($E238,"_","P_"),MNU_GRAMAJE_REQUERIDO_TIPOH,"")))</f>
        <v>60</v>
      </c>
      <c r="AX238" s="257">
        <f t="shared" si="235"/>
        <v>183</v>
      </c>
      <c r="AY238" s="257">
        <f t="shared" si="236"/>
        <v>1098</v>
      </c>
      <c r="AZ238" s="446">
        <f t="shared" si="237"/>
        <v>430</v>
      </c>
      <c r="BA238" s="446">
        <f t="shared" si="238"/>
        <v>20.984000000000002</v>
      </c>
      <c r="BB238" s="446">
        <f t="shared" si="239"/>
        <v>0.36980687999999995</v>
      </c>
      <c r="BC238" s="446">
        <f t="shared" si="240"/>
        <v>451</v>
      </c>
      <c r="BD238" s="258">
        <f t="shared" si="241"/>
        <v>472140</v>
      </c>
      <c r="BE238" s="258">
        <f t="shared" si="242"/>
        <v>495198</v>
      </c>
      <c r="BF238" s="391">
        <f t="shared" si="243"/>
        <v>52262106</v>
      </c>
      <c r="BG238" s="391">
        <f t="shared" si="244"/>
        <v>54831666</v>
      </c>
    </row>
    <row r="239" spans="1:59" ht="15.75">
      <c r="A239" s="333">
        <v>19</v>
      </c>
      <c r="B239" s="333" t="str">
        <f t="shared" si="196"/>
        <v>CEREAL EMPACADO_19</v>
      </c>
      <c r="C239" s="333" t="str">
        <f t="shared" si="197"/>
        <v>30_19</v>
      </c>
      <c r="D239" s="333" t="s">
        <v>1607</v>
      </c>
      <c r="E239" s="256">
        <v>30</v>
      </c>
      <c r="F239" s="322" t="s">
        <v>63</v>
      </c>
      <c r="G239" s="256" t="s">
        <v>9</v>
      </c>
      <c r="H239" s="425">
        <f t="shared" si="198"/>
        <v>16</v>
      </c>
      <c r="I239" s="425">
        <f t="array" ref="I239">MAX((IF(MNU_CODIGO_ALIMENTO_ENTREGA=CONCATENATE($E239,"_","P_"),MNU_GRAMAJE_REQUERIDO_TIPOA,"")))</f>
        <v>30</v>
      </c>
      <c r="J239" s="257">
        <f t="shared" si="199"/>
        <v>6034</v>
      </c>
      <c r="K239" s="257">
        <f t="shared" si="200"/>
        <v>96544</v>
      </c>
      <c r="L239" s="446">
        <f t="shared" si="201"/>
        <v>316</v>
      </c>
      <c r="M239" s="446">
        <f t="shared" si="202"/>
        <v>15.4208</v>
      </c>
      <c r="N239" s="446">
        <f t="shared" si="203"/>
        <v>0.271765056</v>
      </c>
      <c r="O239" s="446">
        <f t="shared" si="204"/>
        <v>332</v>
      </c>
      <c r="P239" s="258">
        <f t="shared" si="205"/>
        <v>30507904</v>
      </c>
      <c r="Q239" s="258">
        <f t="shared" si="206"/>
        <v>32052608</v>
      </c>
      <c r="R239" s="426">
        <f t="shared" si="207"/>
        <v>16</v>
      </c>
      <c r="S239" s="426">
        <f t="array" ref="S239">MAX((IF(MNU_CODIGO_ALIMENTO_ENTREGA=CONCATENATE($E239,"_","P_"),MNU_GRAMAJE_REQUERIDO_TIPOB,"")))</f>
        <v>30</v>
      </c>
      <c r="T239" s="259">
        <f t="shared" si="208"/>
        <v>8795</v>
      </c>
      <c r="U239" s="259">
        <f t="shared" si="209"/>
        <v>140720</v>
      </c>
      <c r="V239" s="446">
        <f t="shared" si="210"/>
        <v>316</v>
      </c>
      <c r="W239" s="446">
        <f t="shared" si="211"/>
        <v>15.4208</v>
      </c>
      <c r="X239" s="446">
        <f t="shared" si="212"/>
        <v>0.271765056</v>
      </c>
      <c r="Y239" s="446">
        <f t="shared" si="213"/>
        <v>332</v>
      </c>
      <c r="Z239" s="260">
        <f t="shared" si="214"/>
        <v>44467520</v>
      </c>
      <c r="AA239" s="260">
        <f t="shared" si="215"/>
        <v>46719040</v>
      </c>
      <c r="AB239" s="425">
        <f t="shared" si="216"/>
        <v>16</v>
      </c>
      <c r="AC239" s="425">
        <f t="array" ref="AC239">MAX((IF(MNU_CODIGO_ALIMENTO_ENTREGA=CONCATENATE($E239,"_","P_"),MNU_GRAMAJE_REQUERIDO_TIPOC,"")))</f>
        <v>30</v>
      </c>
      <c r="AD239" s="257">
        <f t="shared" si="217"/>
        <v>11061</v>
      </c>
      <c r="AE239" s="257">
        <f t="shared" si="218"/>
        <v>176976</v>
      </c>
      <c r="AF239" s="446">
        <f t="shared" si="219"/>
        <v>316</v>
      </c>
      <c r="AG239" s="446">
        <f t="shared" si="220"/>
        <v>15.4208</v>
      </c>
      <c r="AH239" s="446">
        <f t="shared" si="221"/>
        <v>0.271765056</v>
      </c>
      <c r="AI239" s="446">
        <f t="shared" si="222"/>
        <v>332</v>
      </c>
      <c r="AJ239" s="258">
        <f t="shared" si="223"/>
        <v>55924416</v>
      </c>
      <c r="AK239" s="258">
        <f t="shared" si="224"/>
        <v>58756032</v>
      </c>
      <c r="AL239" s="426">
        <f t="shared" si="225"/>
        <v>16</v>
      </c>
      <c r="AM239" s="426">
        <f t="array" ref="AM239">MAX((IF(MNU_CODIGO_ALIMENTO_ENTREGA=CONCATENATE($E239,"_","P_"),MNU_GRAMAJE_REQUERIDO_TIPOM,"")))</f>
        <v>30</v>
      </c>
      <c r="AN239" s="259">
        <f t="shared" si="226"/>
        <v>188</v>
      </c>
      <c r="AO239" s="259">
        <f t="shared" si="227"/>
        <v>3008</v>
      </c>
      <c r="AP239" s="446">
        <f t="shared" si="228"/>
        <v>316</v>
      </c>
      <c r="AQ239" s="446">
        <f t="shared" si="229"/>
        <v>15.4208</v>
      </c>
      <c r="AR239" s="446">
        <f t="shared" si="230"/>
        <v>0.271765056</v>
      </c>
      <c r="AS239" s="446">
        <f t="shared" si="231"/>
        <v>332</v>
      </c>
      <c r="AT239" s="260">
        <f t="shared" si="232"/>
        <v>950528</v>
      </c>
      <c r="AU239" s="260">
        <f t="shared" si="233"/>
        <v>998656</v>
      </c>
      <c r="AV239" s="425">
        <f t="shared" si="234"/>
        <v>16</v>
      </c>
      <c r="AW239" s="425">
        <f t="array" ref="AW239">MAX((IF(MNU_CODIGO_ALIMENTO_ENTREGA=CONCATENATE($E239,"_","P_"),MNU_GRAMAJE_REQUERIDO_TIPOH,"")))</f>
        <v>30</v>
      </c>
      <c r="AX239" s="257">
        <f t="shared" si="235"/>
        <v>183</v>
      </c>
      <c r="AY239" s="257">
        <f t="shared" si="236"/>
        <v>2928</v>
      </c>
      <c r="AZ239" s="446">
        <f t="shared" si="237"/>
        <v>316</v>
      </c>
      <c r="BA239" s="446">
        <f t="shared" si="238"/>
        <v>15.4208</v>
      </c>
      <c r="BB239" s="446">
        <f t="shared" si="239"/>
        <v>0.271765056</v>
      </c>
      <c r="BC239" s="446">
        <f t="shared" si="240"/>
        <v>332</v>
      </c>
      <c r="BD239" s="258">
        <f t="shared" si="241"/>
        <v>925248</v>
      </c>
      <c r="BE239" s="258">
        <f t="shared" si="242"/>
        <v>972096</v>
      </c>
      <c r="BF239" s="391">
        <f t="shared" si="243"/>
        <v>132775616</v>
      </c>
      <c r="BG239" s="391">
        <f t="shared" si="244"/>
        <v>139498432</v>
      </c>
    </row>
    <row r="240" spans="1:59" ht="15.75">
      <c r="A240" s="333">
        <v>19</v>
      </c>
      <c r="B240" s="333" t="str">
        <f t="shared" si="196"/>
        <v>CEREAL EMPACADO_19</v>
      </c>
      <c r="C240" s="333" t="str">
        <f t="shared" si="197"/>
        <v>45_19</v>
      </c>
      <c r="D240" s="333" t="s">
        <v>1607</v>
      </c>
      <c r="E240" s="256">
        <v>45</v>
      </c>
      <c r="F240" s="322" t="s">
        <v>10</v>
      </c>
      <c r="G240" s="256" t="s">
        <v>9</v>
      </c>
      <c r="H240" s="425">
        <f t="shared" si="198"/>
        <v>16</v>
      </c>
      <c r="I240" s="425">
        <f t="array" ref="I240">MAX((IF(MNU_CODIGO_ALIMENTO_ENTREGA=CONCATENATE($E240,"_","P_"),MNU_GRAMAJE_REQUERIDO_TIPOA,"")))</f>
        <v>20</v>
      </c>
      <c r="J240" s="257">
        <f t="shared" si="199"/>
        <v>6034</v>
      </c>
      <c r="K240" s="257">
        <f t="shared" si="200"/>
        <v>96544</v>
      </c>
      <c r="L240" s="446">
        <f t="shared" si="201"/>
        <v>190</v>
      </c>
      <c r="M240" s="446">
        <f t="shared" si="202"/>
        <v>9.2720000000000002</v>
      </c>
      <c r="N240" s="446">
        <f t="shared" si="203"/>
        <v>0.16340304</v>
      </c>
      <c r="O240" s="446">
        <f t="shared" si="204"/>
        <v>199</v>
      </c>
      <c r="P240" s="258">
        <f t="shared" si="205"/>
        <v>18343360</v>
      </c>
      <c r="Q240" s="258">
        <f t="shared" si="206"/>
        <v>19212256</v>
      </c>
      <c r="R240" s="426">
        <f t="shared" si="207"/>
        <v>16</v>
      </c>
      <c r="S240" s="426">
        <f t="array" ref="S240">MAX((IF(MNU_CODIGO_ALIMENTO_ENTREGA=CONCATENATE($E240,"_","P_"),MNU_GRAMAJE_REQUERIDO_TIPOB,"")))</f>
        <v>30</v>
      </c>
      <c r="T240" s="259">
        <f t="shared" si="208"/>
        <v>8795</v>
      </c>
      <c r="U240" s="259">
        <f t="shared" si="209"/>
        <v>140720</v>
      </c>
      <c r="V240" s="446">
        <f t="shared" si="210"/>
        <v>284</v>
      </c>
      <c r="W240" s="446">
        <f t="shared" si="211"/>
        <v>13.8592</v>
      </c>
      <c r="X240" s="446">
        <f t="shared" si="212"/>
        <v>0.24424454399999998</v>
      </c>
      <c r="Y240" s="446">
        <f t="shared" si="213"/>
        <v>298</v>
      </c>
      <c r="Z240" s="260">
        <f t="shared" si="214"/>
        <v>39964480</v>
      </c>
      <c r="AA240" s="260">
        <f t="shared" si="215"/>
        <v>41934560</v>
      </c>
      <c r="AB240" s="425">
        <f t="shared" si="216"/>
        <v>16</v>
      </c>
      <c r="AC240" s="425">
        <f t="array" ref="AC240">MAX((IF(MNU_CODIGO_ALIMENTO_ENTREGA=CONCATENATE($E240,"_","P_"),MNU_GRAMAJE_REQUERIDO_TIPOC,"")))</f>
        <v>60</v>
      </c>
      <c r="AD240" s="257">
        <f t="shared" si="217"/>
        <v>11061</v>
      </c>
      <c r="AE240" s="257">
        <f t="shared" si="218"/>
        <v>176976</v>
      </c>
      <c r="AF240" s="446">
        <f t="shared" si="219"/>
        <v>569</v>
      </c>
      <c r="AG240" s="446">
        <f t="shared" si="220"/>
        <v>27.767199999999999</v>
      </c>
      <c r="AH240" s="446">
        <f t="shared" si="221"/>
        <v>0.48934910400000003</v>
      </c>
      <c r="AI240" s="446">
        <f t="shared" si="222"/>
        <v>597</v>
      </c>
      <c r="AJ240" s="258">
        <f t="shared" si="223"/>
        <v>100699344</v>
      </c>
      <c r="AK240" s="258">
        <f t="shared" si="224"/>
        <v>105654672</v>
      </c>
      <c r="AL240" s="426">
        <f t="shared" si="225"/>
        <v>16</v>
      </c>
      <c r="AM240" s="426">
        <f t="array" ref="AM240">MAX((IF(MNU_CODIGO_ALIMENTO_ENTREGA=CONCATENATE($E240,"_","P_"),MNU_GRAMAJE_REQUERIDO_TIPOM,"")))</f>
        <v>30</v>
      </c>
      <c r="AN240" s="259">
        <f t="shared" si="226"/>
        <v>188</v>
      </c>
      <c r="AO240" s="259">
        <f t="shared" si="227"/>
        <v>3008</v>
      </c>
      <c r="AP240" s="446">
        <f t="shared" si="228"/>
        <v>284</v>
      </c>
      <c r="AQ240" s="446">
        <f t="shared" si="229"/>
        <v>13.8592</v>
      </c>
      <c r="AR240" s="446">
        <f t="shared" si="230"/>
        <v>0.24424454399999998</v>
      </c>
      <c r="AS240" s="446">
        <f t="shared" si="231"/>
        <v>298</v>
      </c>
      <c r="AT240" s="260">
        <f t="shared" si="232"/>
        <v>854272</v>
      </c>
      <c r="AU240" s="260">
        <f t="shared" si="233"/>
        <v>896384</v>
      </c>
      <c r="AV240" s="425">
        <f t="shared" si="234"/>
        <v>16</v>
      </c>
      <c r="AW240" s="425">
        <f t="array" ref="AW240">MAX((IF(MNU_CODIGO_ALIMENTO_ENTREGA=CONCATENATE($E240,"_","P_"),MNU_GRAMAJE_REQUERIDO_TIPOH,"")))</f>
        <v>60</v>
      </c>
      <c r="AX240" s="257">
        <f t="shared" si="235"/>
        <v>183</v>
      </c>
      <c r="AY240" s="257">
        <f t="shared" si="236"/>
        <v>2928</v>
      </c>
      <c r="AZ240" s="446">
        <f t="shared" si="237"/>
        <v>569</v>
      </c>
      <c r="BA240" s="446">
        <f t="shared" si="238"/>
        <v>27.767199999999999</v>
      </c>
      <c r="BB240" s="446">
        <f t="shared" si="239"/>
        <v>0.48934910400000003</v>
      </c>
      <c r="BC240" s="446">
        <f t="shared" si="240"/>
        <v>597</v>
      </c>
      <c r="BD240" s="258">
        <f t="shared" si="241"/>
        <v>1666032</v>
      </c>
      <c r="BE240" s="258">
        <f t="shared" si="242"/>
        <v>1748016</v>
      </c>
      <c r="BF240" s="391">
        <f t="shared" si="243"/>
        <v>161527488</v>
      </c>
      <c r="BG240" s="391">
        <f t="shared" si="244"/>
        <v>169445888</v>
      </c>
    </row>
    <row r="241" spans="1:59" ht="15.75">
      <c r="A241" s="333">
        <v>19</v>
      </c>
      <c r="B241" s="333" t="str">
        <f t="shared" si="196"/>
        <v>CEREAL EMPACADO_19</v>
      </c>
      <c r="C241" s="333" t="str">
        <f t="shared" si="197"/>
        <v>50_19</v>
      </c>
      <c r="D241" s="333" t="s">
        <v>1607</v>
      </c>
      <c r="E241" s="256">
        <v>50</v>
      </c>
      <c r="F241" s="322" t="s">
        <v>65</v>
      </c>
      <c r="G241" s="256" t="s">
        <v>9</v>
      </c>
      <c r="H241" s="425">
        <f t="shared" si="198"/>
        <v>17</v>
      </c>
      <c r="I241" s="425">
        <f t="array" ref="I241">MAX((IF(MNU_CODIGO_ALIMENTO_ENTREGA=CONCATENATE($E241,"_","P_"),MNU_GRAMAJE_REQUERIDO_TIPOA,"")))</f>
        <v>30</v>
      </c>
      <c r="J241" s="257">
        <f t="shared" si="199"/>
        <v>6034</v>
      </c>
      <c r="K241" s="257">
        <f t="shared" si="200"/>
        <v>102578</v>
      </c>
      <c r="L241" s="446">
        <f t="shared" si="201"/>
        <v>306</v>
      </c>
      <c r="M241" s="446">
        <f t="shared" si="202"/>
        <v>14.9328</v>
      </c>
      <c r="N241" s="446">
        <f t="shared" si="203"/>
        <v>0.26316489599999998</v>
      </c>
      <c r="O241" s="446">
        <f t="shared" si="204"/>
        <v>321</v>
      </c>
      <c r="P241" s="258">
        <f t="shared" si="205"/>
        <v>31388868</v>
      </c>
      <c r="Q241" s="258">
        <f t="shared" si="206"/>
        <v>32927538</v>
      </c>
      <c r="R241" s="426">
        <f t="shared" si="207"/>
        <v>17</v>
      </c>
      <c r="S241" s="426">
        <f t="array" ref="S241">MAX((IF(MNU_CODIGO_ALIMENTO_ENTREGA=CONCATENATE($E241,"_","P_"),MNU_GRAMAJE_REQUERIDO_TIPOB,"")))</f>
        <v>40</v>
      </c>
      <c r="T241" s="259">
        <f t="shared" si="208"/>
        <v>8795</v>
      </c>
      <c r="U241" s="259">
        <f t="shared" si="209"/>
        <v>149515</v>
      </c>
      <c r="V241" s="446">
        <f t="shared" si="210"/>
        <v>408</v>
      </c>
      <c r="W241" s="446">
        <f t="shared" si="211"/>
        <v>19.910400000000003</v>
      </c>
      <c r="X241" s="446">
        <f t="shared" si="212"/>
        <v>0.35088652799999998</v>
      </c>
      <c r="Y241" s="446">
        <f t="shared" si="213"/>
        <v>428</v>
      </c>
      <c r="Z241" s="260">
        <f t="shared" si="214"/>
        <v>61002120</v>
      </c>
      <c r="AA241" s="260">
        <f t="shared" si="215"/>
        <v>63992420</v>
      </c>
      <c r="AB241" s="425">
        <f t="shared" si="216"/>
        <v>17</v>
      </c>
      <c r="AC241" s="425">
        <f t="array" ref="AC241">MAX((IF(MNU_CODIGO_ALIMENTO_ENTREGA=CONCATENATE($E241,"_","P_"),MNU_GRAMAJE_REQUERIDO_TIPOC,"")))</f>
        <v>80</v>
      </c>
      <c r="AD241" s="257">
        <f t="shared" si="217"/>
        <v>11061</v>
      </c>
      <c r="AE241" s="257">
        <f t="shared" si="218"/>
        <v>188037</v>
      </c>
      <c r="AF241" s="446">
        <f t="shared" si="219"/>
        <v>815</v>
      </c>
      <c r="AG241" s="446">
        <f t="shared" si="220"/>
        <v>39.772000000000006</v>
      </c>
      <c r="AH241" s="446">
        <f t="shared" si="221"/>
        <v>0.7009130400000001</v>
      </c>
      <c r="AI241" s="446">
        <f t="shared" si="222"/>
        <v>855</v>
      </c>
      <c r="AJ241" s="258">
        <f t="shared" si="223"/>
        <v>153250155</v>
      </c>
      <c r="AK241" s="258">
        <f t="shared" si="224"/>
        <v>160771635</v>
      </c>
      <c r="AL241" s="426">
        <f t="shared" si="225"/>
        <v>17</v>
      </c>
      <c r="AM241" s="426">
        <f t="array" ref="AM241">MAX((IF(MNU_CODIGO_ALIMENTO_ENTREGA=CONCATENATE($E241,"_","P_"),MNU_GRAMAJE_REQUERIDO_TIPOM,"")))</f>
        <v>40</v>
      </c>
      <c r="AN241" s="259">
        <f t="shared" si="226"/>
        <v>188</v>
      </c>
      <c r="AO241" s="259">
        <f t="shared" si="227"/>
        <v>3196</v>
      </c>
      <c r="AP241" s="446">
        <f t="shared" si="228"/>
        <v>408</v>
      </c>
      <c r="AQ241" s="446">
        <f t="shared" si="229"/>
        <v>19.910400000000003</v>
      </c>
      <c r="AR241" s="446">
        <f t="shared" si="230"/>
        <v>0.35088652799999998</v>
      </c>
      <c r="AS241" s="446">
        <f t="shared" si="231"/>
        <v>428</v>
      </c>
      <c r="AT241" s="260">
        <f t="shared" si="232"/>
        <v>1303968</v>
      </c>
      <c r="AU241" s="260">
        <f t="shared" si="233"/>
        <v>1367888</v>
      </c>
      <c r="AV241" s="425">
        <f t="shared" si="234"/>
        <v>17</v>
      </c>
      <c r="AW241" s="425">
        <f t="array" ref="AW241">MAX((IF(MNU_CODIGO_ALIMENTO_ENTREGA=CONCATENATE($E241,"_","P_"),MNU_GRAMAJE_REQUERIDO_TIPOH,"")))</f>
        <v>80</v>
      </c>
      <c r="AX241" s="257">
        <f t="shared" si="235"/>
        <v>183</v>
      </c>
      <c r="AY241" s="257">
        <f t="shared" si="236"/>
        <v>3111</v>
      </c>
      <c r="AZ241" s="446">
        <f t="shared" si="237"/>
        <v>815</v>
      </c>
      <c r="BA241" s="446">
        <f t="shared" si="238"/>
        <v>39.772000000000006</v>
      </c>
      <c r="BB241" s="446">
        <f t="shared" si="239"/>
        <v>0.7009130400000001</v>
      </c>
      <c r="BC241" s="446">
        <f t="shared" si="240"/>
        <v>855</v>
      </c>
      <c r="BD241" s="258">
        <f t="shared" si="241"/>
        <v>2535465</v>
      </c>
      <c r="BE241" s="258">
        <f t="shared" si="242"/>
        <v>2659905</v>
      </c>
      <c r="BF241" s="391">
        <f t="shared" si="243"/>
        <v>249480576</v>
      </c>
      <c r="BG241" s="391">
        <f t="shared" si="244"/>
        <v>261719386</v>
      </c>
    </row>
    <row r="242" spans="1:59" ht="15.75">
      <c r="A242" s="333">
        <v>19</v>
      </c>
      <c r="B242" s="333" t="str">
        <f t="shared" si="196"/>
        <v>CEREAL EMPACADO_19</v>
      </c>
      <c r="C242" s="333" t="str">
        <f t="shared" si="197"/>
        <v>61_19</v>
      </c>
      <c r="D242" s="333" t="s">
        <v>1607</v>
      </c>
      <c r="E242" s="256">
        <v>61</v>
      </c>
      <c r="F242" s="322" t="s">
        <v>13</v>
      </c>
      <c r="G242" s="256" t="s">
        <v>9</v>
      </c>
      <c r="H242" s="425">
        <f t="shared" si="198"/>
        <v>16</v>
      </c>
      <c r="I242" s="425">
        <f t="array" ref="I242">MAX((IF(MNU_CODIGO_ALIMENTO_ENTREGA=CONCATENATE($E242,"_","P_"),MNU_GRAMAJE_REQUERIDO_TIPOA,"")))</f>
        <v>20</v>
      </c>
      <c r="J242" s="257">
        <f t="shared" si="199"/>
        <v>6034</v>
      </c>
      <c r="K242" s="257">
        <f t="shared" si="200"/>
        <v>96544</v>
      </c>
      <c r="L242" s="446">
        <f t="shared" si="201"/>
        <v>222</v>
      </c>
      <c r="M242" s="446">
        <f t="shared" si="202"/>
        <v>10.833600000000001</v>
      </c>
      <c r="N242" s="446">
        <f t="shared" si="203"/>
        <v>0.190923552</v>
      </c>
      <c r="O242" s="446">
        <f t="shared" si="204"/>
        <v>233</v>
      </c>
      <c r="P242" s="258">
        <f t="shared" si="205"/>
        <v>21432768</v>
      </c>
      <c r="Q242" s="258">
        <f t="shared" si="206"/>
        <v>22494752</v>
      </c>
      <c r="R242" s="426">
        <f t="shared" si="207"/>
        <v>16</v>
      </c>
      <c r="S242" s="426">
        <f t="array" ref="S242">MAX((IF(MNU_CODIGO_ALIMENTO_ENTREGA=CONCATENATE($E242,"_","P_"),MNU_GRAMAJE_REQUERIDO_TIPOB,"")))</f>
        <v>30</v>
      </c>
      <c r="T242" s="259">
        <f t="shared" si="208"/>
        <v>8795</v>
      </c>
      <c r="U242" s="259">
        <f t="shared" si="209"/>
        <v>140720</v>
      </c>
      <c r="V242" s="446">
        <f t="shared" si="210"/>
        <v>334</v>
      </c>
      <c r="W242" s="446">
        <f t="shared" si="211"/>
        <v>16.299199999999999</v>
      </c>
      <c r="X242" s="446">
        <f t="shared" si="212"/>
        <v>0.28724534400000001</v>
      </c>
      <c r="Y242" s="446">
        <f t="shared" si="213"/>
        <v>351</v>
      </c>
      <c r="Z242" s="260">
        <f t="shared" si="214"/>
        <v>47000480</v>
      </c>
      <c r="AA242" s="260">
        <f t="shared" si="215"/>
        <v>49392720</v>
      </c>
      <c r="AB242" s="425">
        <f t="shared" si="216"/>
        <v>16</v>
      </c>
      <c r="AC242" s="425">
        <f t="array" ref="AC242">MAX((IF(MNU_CODIGO_ALIMENTO_ENTREGA=CONCATENATE($E242,"_","P_"),MNU_GRAMAJE_REQUERIDO_TIPOC,"")))</f>
        <v>70</v>
      </c>
      <c r="AD242" s="257">
        <f t="shared" si="217"/>
        <v>11061</v>
      </c>
      <c r="AE242" s="257">
        <f t="shared" si="218"/>
        <v>176976</v>
      </c>
      <c r="AF242" s="446">
        <f t="shared" si="219"/>
        <v>779</v>
      </c>
      <c r="AG242" s="446">
        <f t="shared" si="220"/>
        <v>38.0152</v>
      </c>
      <c r="AH242" s="446">
        <f t="shared" si="221"/>
        <v>0.66995246400000008</v>
      </c>
      <c r="AI242" s="446">
        <f t="shared" si="222"/>
        <v>818</v>
      </c>
      <c r="AJ242" s="258">
        <f t="shared" si="223"/>
        <v>137864304</v>
      </c>
      <c r="AK242" s="258">
        <f t="shared" si="224"/>
        <v>144766368</v>
      </c>
      <c r="AL242" s="426">
        <f t="shared" si="225"/>
        <v>16</v>
      </c>
      <c r="AM242" s="426">
        <f t="array" ref="AM242">MAX((IF(MNU_CODIGO_ALIMENTO_ENTREGA=CONCATENATE($E242,"_","P_"),MNU_GRAMAJE_REQUERIDO_TIPOM,"")))</f>
        <v>30</v>
      </c>
      <c r="AN242" s="259">
        <f t="shared" si="226"/>
        <v>188</v>
      </c>
      <c r="AO242" s="259">
        <f t="shared" si="227"/>
        <v>3008</v>
      </c>
      <c r="AP242" s="446">
        <f t="shared" si="228"/>
        <v>334</v>
      </c>
      <c r="AQ242" s="446">
        <f t="shared" si="229"/>
        <v>16.299199999999999</v>
      </c>
      <c r="AR242" s="446">
        <f t="shared" si="230"/>
        <v>0.28724534400000001</v>
      </c>
      <c r="AS242" s="446">
        <f t="shared" si="231"/>
        <v>351</v>
      </c>
      <c r="AT242" s="260">
        <f t="shared" si="232"/>
        <v>1004672</v>
      </c>
      <c r="AU242" s="260">
        <f t="shared" si="233"/>
        <v>1055808</v>
      </c>
      <c r="AV242" s="425">
        <f t="shared" si="234"/>
        <v>16</v>
      </c>
      <c r="AW242" s="425">
        <f t="array" ref="AW242">MAX((IF(MNU_CODIGO_ALIMENTO_ENTREGA=CONCATENATE($E242,"_","P_"),MNU_GRAMAJE_REQUERIDO_TIPOH,"")))</f>
        <v>70</v>
      </c>
      <c r="AX242" s="257">
        <f t="shared" si="235"/>
        <v>183</v>
      </c>
      <c r="AY242" s="257">
        <f t="shared" si="236"/>
        <v>2928</v>
      </c>
      <c r="AZ242" s="446">
        <f t="shared" si="237"/>
        <v>779</v>
      </c>
      <c r="BA242" s="446">
        <f t="shared" si="238"/>
        <v>38.0152</v>
      </c>
      <c r="BB242" s="446">
        <f t="shared" si="239"/>
        <v>0.66995246400000008</v>
      </c>
      <c r="BC242" s="446">
        <f t="shared" si="240"/>
        <v>818</v>
      </c>
      <c r="BD242" s="258">
        <f t="shared" si="241"/>
        <v>2280912</v>
      </c>
      <c r="BE242" s="258">
        <f t="shared" si="242"/>
        <v>2395104</v>
      </c>
      <c r="BF242" s="391">
        <f t="shared" si="243"/>
        <v>209583136</v>
      </c>
      <c r="BG242" s="391">
        <f t="shared" si="244"/>
        <v>220104752</v>
      </c>
    </row>
    <row r="243" spans="1:59" ht="15.75">
      <c r="A243" s="333">
        <v>19</v>
      </c>
      <c r="B243" s="333" t="str">
        <f t="shared" si="196"/>
        <v>CEREAL EMPACADO_19</v>
      </c>
      <c r="C243" s="333" t="str">
        <f t="shared" si="197"/>
        <v>62_19</v>
      </c>
      <c r="D243" s="333" t="s">
        <v>1607</v>
      </c>
      <c r="E243" s="256">
        <v>62</v>
      </c>
      <c r="F243" s="322" t="s">
        <v>68</v>
      </c>
      <c r="G243" s="256" t="s">
        <v>9</v>
      </c>
      <c r="H243" s="425">
        <f t="shared" si="198"/>
        <v>5</v>
      </c>
      <c r="I243" s="425">
        <f t="array" ref="I243">MAX((IF(MNU_CODIGO_ALIMENTO_ENTREGA=CONCATENATE($E243,"_","P_"),MNU_GRAMAJE_REQUERIDO_TIPOA,"")))</f>
        <v>50</v>
      </c>
      <c r="J243" s="257">
        <f t="shared" si="199"/>
        <v>6034</v>
      </c>
      <c r="K243" s="257">
        <f t="shared" si="200"/>
        <v>30170</v>
      </c>
      <c r="L243" s="446">
        <f t="shared" si="201"/>
        <v>595</v>
      </c>
      <c r="M243" s="446">
        <f t="shared" si="202"/>
        <v>29.036000000000001</v>
      </c>
      <c r="N243" s="446">
        <f t="shared" si="203"/>
        <v>0.51170952000000014</v>
      </c>
      <c r="O243" s="446">
        <f t="shared" si="204"/>
        <v>625</v>
      </c>
      <c r="P243" s="258">
        <f t="shared" si="205"/>
        <v>17951150</v>
      </c>
      <c r="Q243" s="258">
        <f t="shared" si="206"/>
        <v>18856250</v>
      </c>
      <c r="R243" s="426">
        <f t="shared" si="207"/>
        <v>5</v>
      </c>
      <c r="S243" s="426">
        <f t="array" ref="S243">MAX((IF(MNU_CODIGO_ALIMENTO_ENTREGA=CONCATENATE($E243,"_","P_"),MNU_GRAMAJE_REQUERIDO_TIPOB,"")))</f>
        <v>50</v>
      </c>
      <c r="T243" s="259">
        <f t="shared" si="208"/>
        <v>8795</v>
      </c>
      <c r="U243" s="259">
        <f t="shared" si="209"/>
        <v>43975</v>
      </c>
      <c r="V243" s="446">
        <f t="shared" si="210"/>
        <v>595</v>
      </c>
      <c r="W243" s="446">
        <f t="shared" si="211"/>
        <v>29.036000000000001</v>
      </c>
      <c r="X243" s="446">
        <f t="shared" si="212"/>
        <v>0.51170952000000014</v>
      </c>
      <c r="Y243" s="446">
        <f t="shared" si="213"/>
        <v>625</v>
      </c>
      <c r="Z243" s="260">
        <f t="shared" si="214"/>
        <v>26165125</v>
      </c>
      <c r="AA243" s="260">
        <f t="shared" si="215"/>
        <v>27484375</v>
      </c>
      <c r="AB243" s="425">
        <f t="shared" si="216"/>
        <v>5</v>
      </c>
      <c r="AC243" s="425">
        <f t="array" ref="AC243">MAX((IF(MNU_CODIGO_ALIMENTO_ENTREGA=CONCATENATE($E243,"_","P_"),MNU_GRAMAJE_REQUERIDO_TIPOC,"")))</f>
        <v>50</v>
      </c>
      <c r="AD243" s="257">
        <f t="shared" si="217"/>
        <v>11061</v>
      </c>
      <c r="AE243" s="257">
        <f t="shared" si="218"/>
        <v>55305</v>
      </c>
      <c r="AF243" s="446">
        <f t="shared" si="219"/>
        <v>595</v>
      </c>
      <c r="AG243" s="446">
        <f t="shared" si="220"/>
        <v>29.036000000000001</v>
      </c>
      <c r="AH243" s="446">
        <f t="shared" si="221"/>
        <v>0.51170952000000014</v>
      </c>
      <c r="AI243" s="446">
        <f t="shared" si="222"/>
        <v>625</v>
      </c>
      <c r="AJ243" s="258">
        <f t="shared" si="223"/>
        <v>32906475</v>
      </c>
      <c r="AK243" s="258">
        <f t="shared" si="224"/>
        <v>34565625</v>
      </c>
      <c r="AL243" s="426">
        <f t="shared" si="225"/>
        <v>5</v>
      </c>
      <c r="AM243" s="426">
        <f t="array" ref="AM243">MAX((IF(MNU_CODIGO_ALIMENTO_ENTREGA=CONCATENATE($E243,"_","P_"),MNU_GRAMAJE_REQUERIDO_TIPOM,"")))</f>
        <v>50</v>
      </c>
      <c r="AN243" s="259">
        <f t="shared" si="226"/>
        <v>188</v>
      </c>
      <c r="AO243" s="259">
        <f t="shared" si="227"/>
        <v>940</v>
      </c>
      <c r="AP243" s="446">
        <f t="shared" si="228"/>
        <v>595</v>
      </c>
      <c r="AQ243" s="446">
        <f t="shared" si="229"/>
        <v>29.036000000000001</v>
      </c>
      <c r="AR243" s="446">
        <f t="shared" si="230"/>
        <v>0.51170952000000014</v>
      </c>
      <c r="AS243" s="446">
        <f t="shared" si="231"/>
        <v>625</v>
      </c>
      <c r="AT243" s="260">
        <f t="shared" si="232"/>
        <v>559300</v>
      </c>
      <c r="AU243" s="260">
        <f t="shared" si="233"/>
        <v>587500</v>
      </c>
      <c r="AV243" s="425">
        <f t="shared" si="234"/>
        <v>5</v>
      </c>
      <c r="AW243" s="425">
        <f t="array" ref="AW243">MAX((IF(MNU_CODIGO_ALIMENTO_ENTREGA=CONCATENATE($E243,"_","P_"),MNU_GRAMAJE_REQUERIDO_TIPOH,"")))</f>
        <v>50</v>
      </c>
      <c r="AX243" s="257">
        <f t="shared" si="235"/>
        <v>183</v>
      </c>
      <c r="AY243" s="257">
        <f t="shared" si="236"/>
        <v>915</v>
      </c>
      <c r="AZ243" s="446">
        <f t="shared" si="237"/>
        <v>595</v>
      </c>
      <c r="BA243" s="446">
        <f t="shared" si="238"/>
        <v>29.036000000000001</v>
      </c>
      <c r="BB243" s="446">
        <f t="shared" si="239"/>
        <v>0.51170952000000014</v>
      </c>
      <c r="BC243" s="446">
        <f t="shared" si="240"/>
        <v>625</v>
      </c>
      <c r="BD243" s="258">
        <f t="shared" si="241"/>
        <v>544425</v>
      </c>
      <c r="BE243" s="258">
        <f t="shared" si="242"/>
        <v>571875</v>
      </c>
      <c r="BF243" s="391">
        <f t="shared" si="243"/>
        <v>78126475</v>
      </c>
      <c r="BG243" s="391">
        <f t="shared" si="244"/>
        <v>82065625</v>
      </c>
    </row>
    <row r="244" spans="1:59" ht="15.75">
      <c r="A244" s="333">
        <v>20</v>
      </c>
      <c r="B244" s="333" t="str">
        <f t="shared" si="196"/>
        <v>CEREAL EMPACADO_20</v>
      </c>
      <c r="C244" s="333" t="str">
        <f t="shared" si="197"/>
        <v>1_20</v>
      </c>
      <c r="D244" s="333" t="s">
        <v>1607</v>
      </c>
      <c r="E244" s="256">
        <v>1</v>
      </c>
      <c r="F244" s="322" t="s">
        <v>16</v>
      </c>
      <c r="G244" s="256" t="s">
        <v>9</v>
      </c>
      <c r="H244" s="425">
        <f t="shared" si="198"/>
        <v>15</v>
      </c>
      <c r="I244" s="425">
        <f t="array" ref="I244">MAX((IF(MNU_CODIGO_ALIMENTO_ENTREGA=CONCATENATE($E244,"_","P_"),MNU_GRAMAJE_REQUERIDO_TIPOA,"")))</f>
        <v>30</v>
      </c>
      <c r="J244" s="257">
        <f t="shared" si="199"/>
        <v>5679</v>
      </c>
      <c r="K244" s="257">
        <f t="shared" si="200"/>
        <v>85185</v>
      </c>
      <c r="L244" s="446">
        <f t="shared" si="201"/>
        <v>770</v>
      </c>
      <c r="M244" s="446">
        <f t="shared" si="202"/>
        <v>37.576000000000008</v>
      </c>
      <c r="N244" s="446">
        <f t="shared" si="203"/>
        <v>0.66221231999999997</v>
      </c>
      <c r="O244" s="446">
        <f t="shared" si="204"/>
        <v>808</v>
      </c>
      <c r="P244" s="258">
        <f t="shared" si="205"/>
        <v>65592450</v>
      </c>
      <c r="Q244" s="258">
        <f t="shared" si="206"/>
        <v>68829480</v>
      </c>
      <c r="R244" s="426">
        <f t="shared" si="207"/>
        <v>15</v>
      </c>
      <c r="S244" s="426">
        <f t="array" ref="S244">MAX((IF(MNU_CODIGO_ALIMENTO_ENTREGA=CONCATENATE($E244,"_","P_"),MNU_GRAMAJE_REQUERIDO_TIPOB,"")))</f>
        <v>40</v>
      </c>
      <c r="T244" s="259">
        <f t="shared" si="208"/>
        <v>8921</v>
      </c>
      <c r="U244" s="259">
        <f t="shared" si="209"/>
        <v>133815</v>
      </c>
      <c r="V244" s="446">
        <f t="shared" si="210"/>
        <v>1027</v>
      </c>
      <c r="W244" s="446">
        <f t="shared" si="211"/>
        <v>50.117600000000003</v>
      </c>
      <c r="X244" s="446">
        <f t="shared" si="212"/>
        <v>0.88323643200000013</v>
      </c>
      <c r="Y244" s="446">
        <f t="shared" si="213"/>
        <v>1078</v>
      </c>
      <c r="Z244" s="260">
        <f t="shared" si="214"/>
        <v>137428005</v>
      </c>
      <c r="AA244" s="260">
        <f t="shared" si="215"/>
        <v>144252570</v>
      </c>
      <c r="AB244" s="425">
        <f t="shared" si="216"/>
        <v>15</v>
      </c>
      <c r="AC244" s="425">
        <f t="array" ref="AC244">MAX((IF(MNU_CODIGO_ALIMENTO_ENTREGA=CONCATENATE($E244,"_","P_"),MNU_GRAMAJE_REQUERIDO_TIPOC,"")))</f>
        <v>60</v>
      </c>
      <c r="AD244" s="257">
        <f t="shared" si="217"/>
        <v>10882</v>
      </c>
      <c r="AE244" s="257">
        <f t="shared" si="218"/>
        <v>163230</v>
      </c>
      <c r="AF244" s="446">
        <f t="shared" si="219"/>
        <v>1540</v>
      </c>
      <c r="AG244" s="446">
        <f t="shared" si="220"/>
        <v>75.152000000000015</v>
      </c>
      <c r="AH244" s="446">
        <f t="shared" si="221"/>
        <v>1.3244246399999999</v>
      </c>
      <c r="AI244" s="446">
        <f t="shared" si="222"/>
        <v>1616</v>
      </c>
      <c r="AJ244" s="258">
        <f t="shared" si="223"/>
        <v>251374200</v>
      </c>
      <c r="AK244" s="258">
        <f t="shared" si="224"/>
        <v>263779680</v>
      </c>
      <c r="AL244" s="426">
        <f t="shared" si="225"/>
        <v>15</v>
      </c>
      <c r="AM244" s="426">
        <f t="array" ref="AM244">MAX((IF(MNU_CODIGO_ALIMENTO_ENTREGA=CONCATENATE($E244,"_","P_"),MNU_GRAMAJE_REQUERIDO_TIPOM,"")))</f>
        <v>40</v>
      </c>
      <c r="AN244" s="259">
        <f t="shared" si="226"/>
        <v>146</v>
      </c>
      <c r="AO244" s="259">
        <f t="shared" si="227"/>
        <v>2190</v>
      </c>
      <c r="AP244" s="446">
        <f t="shared" si="228"/>
        <v>1027</v>
      </c>
      <c r="AQ244" s="446">
        <f t="shared" si="229"/>
        <v>50.117600000000003</v>
      </c>
      <c r="AR244" s="446">
        <f t="shared" si="230"/>
        <v>0.88323643200000013</v>
      </c>
      <c r="AS244" s="446">
        <f t="shared" si="231"/>
        <v>1078</v>
      </c>
      <c r="AT244" s="260">
        <f t="shared" si="232"/>
        <v>2249130</v>
      </c>
      <c r="AU244" s="260">
        <f t="shared" si="233"/>
        <v>2360820</v>
      </c>
      <c r="AV244" s="425">
        <f t="shared" si="234"/>
        <v>15</v>
      </c>
      <c r="AW244" s="425">
        <f t="array" ref="AW244">MAX((IF(MNU_CODIGO_ALIMENTO_ENTREGA=CONCATENATE($E244,"_","P_"),MNU_GRAMAJE_REQUERIDO_TIPOH,"")))</f>
        <v>60</v>
      </c>
      <c r="AX244" s="257">
        <f t="shared" si="235"/>
        <v>151</v>
      </c>
      <c r="AY244" s="257">
        <f t="shared" si="236"/>
        <v>2265</v>
      </c>
      <c r="AZ244" s="446">
        <f t="shared" si="237"/>
        <v>1540</v>
      </c>
      <c r="BA244" s="446">
        <f t="shared" si="238"/>
        <v>75.152000000000015</v>
      </c>
      <c r="BB244" s="446">
        <f t="shared" si="239"/>
        <v>1.3244246399999999</v>
      </c>
      <c r="BC244" s="446">
        <f t="shared" si="240"/>
        <v>1616</v>
      </c>
      <c r="BD244" s="258">
        <f t="shared" si="241"/>
        <v>3488100</v>
      </c>
      <c r="BE244" s="258">
        <f t="shared" si="242"/>
        <v>3660240</v>
      </c>
      <c r="BF244" s="391">
        <f t="shared" si="243"/>
        <v>460131885</v>
      </c>
      <c r="BG244" s="391">
        <f t="shared" si="244"/>
        <v>482882790</v>
      </c>
    </row>
    <row r="245" spans="1:59" ht="15.75">
      <c r="A245" s="333">
        <v>20</v>
      </c>
      <c r="B245" s="333" t="str">
        <f t="shared" si="196"/>
        <v>CEREAL EMPACADO_20</v>
      </c>
      <c r="C245" s="333" t="str">
        <f t="shared" si="197"/>
        <v>3_20</v>
      </c>
      <c r="D245" s="333" t="s">
        <v>1607</v>
      </c>
      <c r="E245" s="256">
        <v>3</v>
      </c>
      <c r="F245" s="322" t="s">
        <v>12</v>
      </c>
      <c r="G245" s="256" t="s">
        <v>9</v>
      </c>
      <c r="H245" s="425">
        <f t="shared" si="198"/>
        <v>17</v>
      </c>
      <c r="I245" s="425">
        <f t="array" ref="I245">MAX((IF(MNU_CODIGO_ALIMENTO_ENTREGA=CONCATENATE($E245,"_","P_"),MNU_GRAMAJE_REQUERIDO_TIPOA,"")))</f>
        <v>50</v>
      </c>
      <c r="J245" s="257">
        <f t="shared" si="199"/>
        <v>5679</v>
      </c>
      <c r="K245" s="257">
        <f t="shared" si="200"/>
        <v>96543</v>
      </c>
      <c r="L245" s="446">
        <f t="shared" si="201"/>
        <v>481</v>
      </c>
      <c r="M245" s="446">
        <f t="shared" si="202"/>
        <v>23.472799999999999</v>
      </c>
      <c r="N245" s="446">
        <f t="shared" si="203"/>
        <v>0.41366769599999997</v>
      </c>
      <c r="O245" s="446">
        <f t="shared" si="204"/>
        <v>505</v>
      </c>
      <c r="P245" s="258">
        <f t="shared" si="205"/>
        <v>46437183</v>
      </c>
      <c r="Q245" s="258">
        <f t="shared" si="206"/>
        <v>48754215</v>
      </c>
      <c r="R245" s="426">
        <f t="shared" si="207"/>
        <v>17</v>
      </c>
      <c r="S245" s="426">
        <f t="array" ref="S245">MAX((IF(MNU_CODIGO_ALIMENTO_ENTREGA=CONCATENATE($E245,"_","P_"),MNU_GRAMAJE_REQUERIDO_TIPOB,"")))</f>
        <v>50</v>
      </c>
      <c r="T245" s="259">
        <f t="shared" si="208"/>
        <v>8921</v>
      </c>
      <c r="U245" s="259">
        <f t="shared" si="209"/>
        <v>151657</v>
      </c>
      <c r="V245" s="446">
        <f t="shared" si="210"/>
        <v>481</v>
      </c>
      <c r="W245" s="446">
        <f t="shared" si="211"/>
        <v>23.472799999999999</v>
      </c>
      <c r="X245" s="446">
        <f t="shared" si="212"/>
        <v>0.41366769599999997</v>
      </c>
      <c r="Y245" s="446">
        <f t="shared" si="213"/>
        <v>505</v>
      </c>
      <c r="Z245" s="260">
        <f t="shared" si="214"/>
        <v>72947017</v>
      </c>
      <c r="AA245" s="260">
        <f t="shared" si="215"/>
        <v>76586785</v>
      </c>
      <c r="AB245" s="425">
        <f t="shared" si="216"/>
        <v>17</v>
      </c>
      <c r="AC245" s="425">
        <f t="array" ref="AC245">MAX((IF(MNU_CODIGO_ALIMENTO_ENTREGA=CONCATENATE($E245,"_","P_"),MNU_GRAMAJE_REQUERIDO_TIPOC,"")))</f>
        <v>80</v>
      </c>
      <c r="AD245" s="257">
        <f t="shared" si="217"/>
        <v>10882</v>
      </c>
      <c r="AE245" s="257">
        <f t="shared" si="218"/>
        <v>184994</v>
      </c>
      <c r="AF245" s="446">
        <f t="shared" si="219"/>
        <v>727</v>
      </c>
      <c r="AG245" s="446">
        <f t="shared" si="220"/>
        <v>35.477600000000002</v>
      </c>
      <c r="AH245" s="446">
        <f t="shared" si="221"/>
        <v>0.62523163200000009</v>
      </c>
      <c r="AI245" s="446">
        <f t="shared" si="222"/>
        <v>763</v>
      </c>
      <c r="AJ245" s="258">
        <f t="shared" si="223"/>
        <v>134490638</v>
      </c>
      <c r="AK245" s="258">
        <f t="shared" si="224"/>
        <v>141150422</v>
      </c>
      <c r="AL245" s="426">
        <f t="shared" si="225"/>
        <v>17</v>
      </c>
      <c r="AM245" s="426">
        <f t="array" ref="AM245">MAX((IF(MNU_CODIGO_ALIMENTO_ENTREGA=CONCATENATE($E245,"_","P_"),MNU_GRAMAJE_REQUERIDO_TIPOM,"")))</f>
        <v>50</v>
      </c>
      <c r="AN245" s="259">
        <f t="shared" si="226"/>
        <v>146</v>
      </c>
      <c r="AO245" s="259">
        <f t="shared" si="227"/>
        <v>2482</v>
      </c>
      <c r="AP245" s="446">
        <f t="shared" si="228"/>
        <v>481</v>
      </c>
      <c r="AQ245" s="446">
        <f t="shared" si="229"/>
        <v>23.472799999999999</v>
      </c>
      <c r="AR245" s="446">
        <f t="shared" si="230"/>
        <v>0.41366769599999997</v>
      </c>
      <c r="AS245" s="446">
        <f t="shared" si="231"/>
        <v>505</v>
      </c>
      <c r="AT245" s="260">
        <f t="shared" si="232"/>
        <v>1193842</v>
      </c>
      <c r="AU245" s="260">
        <f t="shared" si="233"/>
        <v>1253410</v>
      </c>
      <c r="AV245" s="425">
        <f t="shared" si="234"/>
        <v>17</v>
      </c>
      <c r="AW245" s="425">
        <f t="array" ref="AW245">MAX((IF(MNU_CODIGO_ALIMENTO_ENTREGA=CONCATENATE($E245,"_","P_"),MNU_GRAMAJE_REQUERIDO_TIPOH,"")))</f>
        <v>80</v>
      </c>
      <c r="AX245" s="257">
        <f t="shared" si="235"/>
        <v>151</v>
      </c>
      <c r="AY245" s="257">
        <f t="shared" si="236"/>
        <v>2567</v>
      </c>
      <c r="AZ245" s="446">
        <f t="shared" si="237"/>
        <v>727</v>
      </c>
      <c r="BA245" s="446">
        <f t="shared" si="238"/>
        <v>35.477600000000002</v>
      </c>
      <c r="BB245" s="446">
        <f t="shared" si="239"/>
        <v>0.62523163200000009</v>
      </c>
      <c r="BC245" s="446">
        <f t="shared" si="240"/>
        <v>763</v>
      </c>
      <c r="BD245" s="258">
        <f t="shared" si="241"/>
        <v>1866209</v>
      </c>
      <c r="BE245" s="258">
        <f t="shared" si="242"/>
        <v>1958621</v>
      </c>
      <c r="BF245" s="391">
        <f t="shared" si="243"/>
        <v>256934889</v>
      </c>
      <c r="BG245" s="391">
        <f t="shared" si="244"/>
        <v>269703453</v>
      </c>
    </row>
    <row r="246" spans="1:59" ht="15.75">
      <c r="A246" s="333">
        <v>20</v>
      </c>
      <c r="B246" s="333" t="str">
        <f t="shared" si="196"/>
        <v>CEREAL EMPACADO_20</v>
      </c>
      <c r="C246" s="333" t="str">
        <f t="shared" si="197"/>
        <v>15_20</v>
      </c>
      <c r="D246" s="333" t="s">
        <v>1607</v>
      </c>
      <c r="E246" s="256">
        <v>15</v>
      </c>
      <c r="F246" s="322" t="s">
        <v>66</v>
      </c>
      <c r="G246" s="256" t="s">
        <v>9</v>
      </c>
      <c r="H246" s="425">
        <f t="shared" si="198"/>
        <v>17</v>
      </c>
      <c r="I246" s="425">
        <f t="array" ref="I246">MAX((IF(MNU_CODIGO_ALIMENTO_ENTREGA=CONCATENATE($E246,"_","P_"),MNU_GRAMAJE_REQUERIDO_TIPOA,"")))</f>
        <v>50</v>
      </c>
      <c r="J246" s="257">
        <f t="shared" si="199"/>
        <v>5679</v>
      </c>
      <c r="K246" s="257">
        <f t="shared" si="200"/>
        <v>96543</v>
      </c>
      <c r="L246" s="446">
        <f t="shared" si="201"/>
        <v>641</v>
      </c>
      <c r="M246" s="446">
        <f t="shared" si="202"/>
        <v>31.280800000000003</v>
      </c>
      <c r="N246" s="446">
        <f t="shared" si="203"/>
        <v>0.55127025600000001</v>
      </c>
      <c r="O246" s="446">
        <f t="shared" si="204"/>
        <v>673</v>
      </c>
      <c r="P246" s="258">
        <f t="shared" si="205"/>
        <v>61884063</v>
      </c>
      <c r="Q246" s="258">
        <f t="shared" si="206"/>
        <v>64973439</v>
      </c>
      <c r="R246" s="426">
        <f t="shared" si="207"/>
        <v>17</v>
      </c>
      <c r="S246" s="426">
        <f t="array" ref="S246">MAX((IF(MNU_CODIGO_ALIMENTO_ENTREGA=CONCATENATE($E246,"_","P_"),MNU_GRAMAJE_REQUERIDO_TIPOB,"")))</f>
        <v>50</v>
      </c>
      <c r="T246" s="259">
        <f t="shared" si="208"/>
        <v>8921</v>
      </c>
      <c r="U246" s="259">
        <f t="shared" si="209"/>
        <v>151657</v>
      </c>
      <c r="V246" s="446">
        <f t="shared" si="210"/>
        <v>641</v>
      </c>
      <c r="W246" s="446">
        <f t="shared" si="211"/>
        <v>31.280800000000003</v>
      </c>
      <c r="X246" s="446">
        <f t="shared" si="212"/>
        <v>0.55127025600000001</v>
      </c>
      <c r="Y246" s="446">
        <f t="shared" si="213"/>
        <v>673</v>
      </c>
      <c r="Z246" s="260">
        <f t="shared" si="214"/>
        <v>97212137</v>
      </c>
      <c r="AA246" s="260">
        <f t="shared" si="215"/>
        <v>102065161</v>
      </c>
      <c r="AB246" s="425">
        <f t="shared" si="216"/>
        <v>17</v>
      </c>
      <c r="AC246" s="425">
        <f t="array" ref="AC246">MAX((IF(MNU_CODIGO_ALIMENTO_ENTREGA=CONCATENATE($E246,"_","P_"),MNU_GRAMAJE_REQUERIDO_TIPOC,"")))</f>
        <v>80</v>
      </c>
      <c r="AD246" s="257">
        <f t="shared" si="217"/>
        <v>10882</v>
      </c>
      <c r="AE246" s="257">
        <f t="shared" si="218"/>
        <v>184994</v>
      </c>
      <c r="AF246" s="446">
        <f t="shared" si="219"/>
        <v>1025</v>
      </c>
      <c r="AG246" s="446">
        <f t="shared" si="220"/>
        <v>50.02</v>
      </c>
      <c r="AH246" s="446">
        <f t="shared" si="221"/>
        <v>0.88151640000000009</v>
      </c>
      <c r="AI246" s="446">
        <f t="shared" si="222"/>
        <v>1076</v>
      </c>
      <c r="AJ246" s="258">
        <f t="shared" si="223"/>
        <v>189618850</v>
      </c>
      <c r="AK246" s="258">
        <f t="shared" si="224"/>
        <v>199053544</v>
      </c>
      <c r="AL246" s="426">
        <f t="shared" si="225"/>
        <v>17</v>
      </c>
      <c r="AM246" s="426">
        <f t="array" ref="AM246">MAX((IF(MNU_CODIGO_ALIMENTO_ENTREGA=CONCATENATE($E246,"_","P_"),MNU_GRAMAJE_REQUERIDO_TIPOM,"")))</f>
        <v>50</v>
      </c>
      <c r="AN246" s="259">
        <f t="shared" si="226"/>
        <v>146</v>
      </c>
      <c r="AO246" s="259">
        <f t="shared" si="227"/>
        <v>2482</v>
      </c>
      <c r="AP246" s="446">
        <f t="shared" si="228"/>
        <v>641</v>
      </c>
      <c r="AQ246" s="446">
        <f t="shared" si="229"/>
        <v>31.280800000000003</v>
      </c>
      <c r="AR246" s="446">
        <f t="shared" si="230"/>
        <v>0.55127025600000001</v>
      </c>
      <c r="AS246" s="446">
        <f t="shared" si="231"/>
        <v>673</v>
      </c>
      <c r="AT246" s="260">
        <f t="shared" si="232"/>
        <v>1590962</v>
      </c>
      <c r="AU246" s="260">
        <f t="shared" si="233"/>
        <v>1670386</v>
      </c>
      <c r="AV246" s="425">
        <f t="shared" si="234"/>
        <v>17</v>
      </c>
      <c r="AW246" s="425">
        <f t="array" ref="AW246">MAX((IF(MNU_CODIGO_ALIMENTO_ENTREGA=CONCATENATE($E246,"_","P_"),MNU_GRAMAJE_REQUERIDO_TIPOH,"")))</f>
        <v>80</v>
      </c>
      <c r="AX246" s="257">
        <f t="shared" si="235"/>
        <v>151</v>
      </c>
      <c r="AY246" s="257">
        <f t="shared" si="236"/>
        <v>2567</v>
      </c>
      <c r="AZ246" s="446">
        <f t="shared" si="237"/>
        <v>1025</v>
      </c>
      <c r="BA246" s="446">
        <f t="shared" si="238"/>
        <v>50.02</v>
      </c>
      <c r="BB246" s="446">
        <f t="shared" si="239"/>
        <v>0.88151640000000009</v>
      </c>
      <c r="BC246" s="446">
        <f t="shared" si="240"/>
        <v>1076</v>
      </c>
      <c r="BD246" s="258">
        <f t="shared" si="241"/>
        <v>2631175</v>
      </c>
      <c r="BE246" s="258">
        <f t="shared" si="242"/>
        <v>2762092</v>
      </c>
      <c r="BF246" s="391">
        <f t="shared" si="243"/>
        <v>352937187</v>
      </c>
      <c r="BG246" s="391">
        <f t="shared" si="244"/>
        <v>370524622</v>
      </c>
    </row>
    <row r="247" spans="1:59" ht="15.75">
      <c r="A247" s="333">
        <v>20</v>
      </c>
      <c r="B247" s="333" t="str">
        <f t="shared" si="196"/>
        <v>CEREAL EMPACADO_20</v>
      </c>
      <c r="C247" s="333" t="str">
        <f t="shared" si="197"/>
        <v>24_20</v>
      </c>
      <c r="D247" s="333" t="s">
        <v>1607</v>
      </c>
      <c r="E247" s="256">
        <v>24</v>
      </c>
      <c r="F247" s="322" t="s">
        <v>61</v>
      </c>
      <c r="G247" s="256" t="s">
        <v>9</v>
      </c>
      <c r="H247" s="425">
        <f t="shared" si="198"/>
        <v>17</v>
      </c>
      <c r="I247" s="425">
        <f t="array" ref="I247">MAX((IF(MNU_CODIGO_ALIMENTO_ENTREGA=CONCATENATE($E247,"_","P_"),MNU_GRAMAJE_REQUERIDO_TIPOA,"")))</f>
        <v>20</v>
      </c>
      <c r="J247" s="257">
        <f t="shared" si="199"/>
        <v>5679</v>
      </c>
      <c r="K247" s="257">
        <f t="shared" si="200"/>
        <v>96543</v>
      </c>
      <c r="L247" s="446">
        <f t="shared" si="201"/>
        <v>122</v>
      </c>
      <c r="M247" s="446">
        <f t="shared" si="202"/>
        <v>5.9535999999999998</v>
      </c>
      <c r="N247" s="446">
        <f t="shared" si="203"/>
        <v>0.104921952</v>
      </c>
      <c r="O247" s="446">
        <f t="shared" si="204"/>
        <v>128</v>
      </c>
      <c r="P247" s="258">
        <f t="shared" si="205"/>
        <v>11778246</v>
      </c>
      <c r="Q247" s="258">
        <f t="shared" si="206"/>
        <v>12357504</v>
      </c>
      <c r="R247" s="426">
        <f t="shared" si="207"/>
        <v>17</v>
      </c>
      <c r="S247" s="426">
        <f t="array" ref="S247">MAX((IF(MNU_CODIGO_ALIMENTO_ENTREGA=CONCATENATE($E247,"_","P_"),MNU_GRAMAJE_REQUERIDO_TIPOB,"")))</f>
        <v>30</v>
      </c>
      <c r="T247" s="259">
        <f t="shared" si="208"/>
        <v>8921</v>
      </c>
      <c r="U247" s="259">
        <f t="shared" si="209"/>
        <v>151657</v>
      </c>
      <c r="V247" s="446">
        <f t="shared" si="210"/>
        <v>191</v>
      </c>
      <c r="W247" s="446">
        <f t="shared" si="211"/>
        <v>9.3208000000000002</v>
      </c>
      <c r="X247" s="446">
        <f t="shared" si="212"/>
        <v>0.16426305600000002</v>
      </c>
      <c r="Y247" s="446">
        <f t="shared" si="213"/>
        <v>200</v>
      </c>
      <c r="Z247" s="260">
        <f t="shared" si="214"/>
        <v>28966487</v>
      </c>
      <c r="AA247" s="260">
        <f t="shared" si="215"/>
        <v>30331400</v>
      </c>
      <c r="AB247" s="425">
        <f t="shared" si="216"/>
        <v>17</v>
      </c>
      <c r="AC247" s="425">
        <f t="array" ref="AC247">MAX((IF(MNU_CODIGO_ALIMENTO_ENTREGA=CONCATENATE($E247,"_","P_"),MNU_GRAMAJE_REQUERIDO_TIPOC,"")))</f>
        <v>60</v>
      </c>
      <c r="AD247" s="257">
        <f t="shared" si="217"/>
        <v>10882</v>
      </c>
      <c r="AE247" s="257">
        <f t="shared" si="218"/>
        <v>184994</v>
      </c>
      <c r="AF247" s="446">
        <f t="shared" si="219"/>
        <v>367</v>
      </c>
      <c r="AG247" s="446">
        <f t="shared" si="220"/>
        <v>17.909599999999998</v>
      </c>
      <c r="AH247" s="446">
        <f t="shared" si="221"/>
        <v>0.31562587200000003</v>
      </c>
      <c r="AI247" s="446">
        <f t="shared" si="222"/>
        <v>385</v>
      </c>
      <c r="AJ247" s="258">
        <f t="shared" si="223"/>
        <v>67892798</v>
      </c>
      <c r="AK247" s="258">
        <f t="shared" si="224"/>
        <v>71222690</v>
      </c>
      <c r="AL247" s="426">
        <f t="shared" si="225"/>
        <v>17</v>
      </c>
      <c r="AM247" s="426">
        <f t="array" ref="AM247">MAX((IF(MNU_CODIGO_ALIMENTO_ENTREGA=CONCATENATE($E247,"_","P_"),MNU_GRAMAJE_REQUERIDO_TIPOM,"")))</f>
        <v>30</v>
      </c>
      <c r="AN247" s="259">
        <f t="shared" si="226"/>
        <v>146</v>
      </c>
      <c r="AO247" s="259">
        <f t="shared" si="227"/>
        <v>2482</v>
      </c>
      <c r="AP247" s="446">
        <f t="shared" si="228"/>
        <v>191</v>
      </c>
      <c r="AQ247" s="446">
        <f t="shared" si="229"/>
        <v>9.3208000000000002</v>
      </c>
      <c r="AR247" s="446">
        <f t="shared" si="230"/>
        <v>0.16426305600000002</v>
      </c>
      <c r="AS247" s="446">
        <f t="shared" si="231"/>
        <v>200</v>
      </c>
      <c r="AT247" s="260">
        <f t="shared" si="232"/>
        <v>474062</v>
      </c>
      <c r="AU247" s="260">
        <f t="shared" si="233"/>
        <v>496400</v>
      </c>
      <c r="AV247" s="425">
        <f t="shared" si="234"/>
        <v>17</v>
      </c>
      <c r="AW247" s="425">
        <f t="array" ref="AW247">MAX((IF(MNU_CODIGO_ALIMENTO_ENTREGA=CONCATENATE($E247,"_","P_"),MNU_GRAMAJE_REQUERIDO_TIPOH,"")))</f>
        <v>60</v>
      </c>
      <c r="AX247" s="257">
        <f t="shared" si="235"/>
        <v>151</v>
      </c>
      <c r="AY247" s="257">
        <f t="shared" si="236"/>
        <v>2567</v>
      </c>
      <c r="AZ247" s="446">
        <f t="shared" si="237"/>
        <v>367</v>
      </c>
      <c r="BA247" s="446">
        <f t="shared" si="238"/>
        <v>17.909599999999998</v>
      </c>
      <c r="BB247" s="446">
        <f t="shared" si="239"/>
        <v>0.31562587200000003</v>
      </c>
      <c r="BC247" s="446">
        <f t="shared" si="240"/>
        <v>385</v>
      </c>
      <c r="BD247" s="258">
        <f t="shared" si="241"/>
        <v>942089</v>
      </c>
      <c r="BE247" s="258">
        <f t="shared" si="242"/>
        <v>988295</v>
      </c>
      <c r="BF247" s="391">
        <f t="shared" si="243"/>
        <v>110053682</v>
      </c>
      <c r="BG247" s="391">
        <f t="shared" si="244"/>
        <v>115396289</v>
      </c>
    </row>
    <row r="248" spans="1:59" ht="15.75">
      <c r="A248" s="333">
        <v>20</v>
      </c>
      <c r="B248" s="333" t="str">
        <f t="shared" si="196"/>
        <v>CEREAL EMPACADO_20</v>
      </c>
      <c r="C248" s="333" t="str">
        <f t="shared" si="197"/>
        <v>25_20</v>
      </c>
      <c r="D248" s="333" t="s">
        <v>1607</v>
      </c>
      <c r="E248" s="256">
        <v>25</v>
      </c>
      <c r="F248" s="322" t="s">
        <v>64</v>
      </c>
      <c r="G248" s="256" t="s">
        <v>9</v>
      </c>
      <c r="H248" s="425">
        <f t="shared" si="198"/>
        <v>17</v>
      </c>
      <c r="I248" s="425">
        <f t="array" ref="I248">MAX((IF(MNU_CODIGO_ALIMENTO_ENTREGA=CONCATENATE($E248,"_","P_"),MNU_GRAMAJE_REQUERIDO_TIPOA,"")))</f>
        <v>40</v>
      </c>
      <c r="J248" s="257">
        <f t="shared" si="199"/>
        <v>5679</v>
      </c>
      <c r="K248" s="257">
        <f t="shared" si="200"/>
        <v>96543</v>
      </c>
      <c r="L248" s="446">
        <f t="shared" si="201"/>
        <v>244</v>
      </c>
      <c r="M248" s="446">
        <f t="shared" si="202"/>
        <v>11.9072</v>
      </c>
      <c r="N248" s="446">
        <f t="shared" si="203"/>
        <v>0.209843904</v>
      </c>
      <c r="O248" s="446">
        <f t="shared" si="204"/>
        <v>256</v>
      </c>
      <c r="P248" s="258">
        <f t="shared" si="205"/>
        <v>23556492</v>
      </c>
      <c r="Q248" s="258">
        <f t="shared" si="206"/>
        <v>24715008</v>
      </c>
      <c r="R248" s="426">
        <f t="shared" si="207"/>
        <v>17</v>
      </c>
      <c r="S248" s="426">
        <f t="array" ref="S248">MAX((IF(MNU_CODIGO_ALIMENTO_ENTREGA=CONCATENATE($E248,"_","P_"),MNU_GRAMAJE_REQUERIDO_TIPOB,"")))</f>
        <v>40</v>
      </c>
      <c r="T248" s="259">
        <f t="shared" si="208"/>
        <v>8921</v>
      </c>
      <c r="U248" s="259">
        <f t="shared" si="209"/>
        <v>151657</v>
      </c>
      <c r="V248" s="446">
        <f t="shared" si="210"/>
        <v>244</v>
      </c>
      <c r="W248" s="446">
        <f t="shared" si="211"/>
        <v>11.9072</v>
      </c>
      <c r="X248" s="446">
        <f t="shared" si="212"/>
        <v>0.209843904</v>
      </c>
      <c r="Y248" s="446">
        <f t="shared" si="213"/>
        <v>256</v>
      </c>
      <c r="Z248" s="260">
        <f t="shared" si="214"/>
        <v>37004308</v>
      </c>
      <c r="AA248" s="260">
        <f t="shared" si="215"/>
        <v>38824192</v>
      </c>
      <c r="AB248" s="425">
        <f t="shared" si="216"/>
        <v>17</v>
      </c>
      <c r="AC248" s="425">
        <f t="array" ref="AC248">MAX((IF(MNU_CODIGO_ALIMENTO_ENTREGA=CONCATENATE($E248,"_","P_"),MNU_GRAMAJE_REQUERIDO_TIPOC,"")))</f>
        <v>60</v>
      </c>
      <c r="AD248" s="257">
        <f t="shared" si="217"/>
        <v>10882</v>
      </c>
      <c r="AE248" s="257">
        <f t="shared" si="218"/>
        <v>184994</v>
      </c>
      <c r="AF248" s="446">
        <f t="shared" si="219"/>
        <v>366</v>
      </c>
      <c r="AG248" s="446">
        <f t="shared" si="220"/>
        <v>17.860800000000001</v>
      </c>
      <c r="AH248" s="446">
        <f t="shared" si="221"/>
        <v>0.31476585600000001</v>
      </c>
      <c r="AI248" s="446">
        <f t="shared" si="222"/>
        <v>384</v>
      </c>
      <c r="AJ248" s="258">
        <f t="shared" si="223"/>
        <v>67707804</v>
      </c>
      <c r="AK248" s="258">
        <f t="shared" si="224"/>
        <v>71037696</v>
      </c>
      <c r="AL248" s="426">
        <f t="shared" si="225"/>
        <v>17</v>
      </c>
      <c r="AM248" s="426">
        <f t="array" ref="AM248">MAX((IF(MNU_CODIGO_ALIMENTO_ENTREGA=CONCATENATE($E248,"_","P_"),MNU_GRAMAJE_REQUERIDO_TIPOM,"")))</f>
        <v>40</v>
      </c>
      <c r="AN248" s="259">
        <f t="shared" si="226"/>
        <v>146</v>
      </c>
      <c r="AO248" s="259">
        <f t="shared" si="227"/>
        <v>2482</v>
      </c>
      <c r="AP248" s="446">
        <f t="shared" si="228"/>
        <v>244</v>
      </c>
      <c r="AQ248" s="446">
        <f t="shared" si="229"/>
        <v>11.9072</v>
      </c>
      <c r="AR248" s="446">
        <f t="shared" si="230"/>
        <v>0.209843904</v>
      </c>
      <c r="AS248" s="446">
        <f t="shared" si="231"/>
        <v>256</v>
      </c>
      <c r="AT248" s="260">
        <f t="shared" si="232"/>
        <v>605608</v>
      </c>
      <c r="AU248" s="260">
        <f t="shared" si="233"/>
        <v>635392</v>
      </c>
      <c r="AV248" s="425">
        <f t="shared" si="234"/>
        <v>17</v>
      </c>
      <c r="AW248" s="425">
        <f t="array" ref="AW248">MAX((IF(MNU_CODIGO_ALIMENTO_ENTREGA=CONCATENATE($E248,"_","P_"),MNU_GRAMAJE_REQUERIDO_TIPOH,"")))</f>
        <v>60</v>
      </c>
      <c r="AX248" s="257">
        <f t="shared" si="235"/>
        <v>151</v>
      </c>
      <c r="AY248" s="257">
        <f t="shared" si="236"/>
        <v>2567</v>
      </c>
      <c r="AZ248" s="446">
        <f t="shared" si="237"/>
        <v>366</v>
      </c>
      <c r="BA248" s="446">
        <f t="shared" si="238"/>
        <v>17.860800000000001</v>
      </c>
      <c r="BB248" s="446">
        <f t="shared" si="239"/>
        <v>0.31476585600000001</v>
      </c>
      <c r="BC248" s="446">
        <f t="shared" si="240"/>
        <v>384</v>
      </c>
      <c r="BD248" s="258">
        <f t="shared" si="241"/>
        <v>939522</v>
      </c>
      <c r="BE248" s="258">
        <f t="shared" si="242"/>
        <v>985728</v>
      </c>
      <c r="BF248" s="391">
        <f t="shared" si="243"/>
        <v>129813734</v>
      </c>
      <c r="BG248" s="391">
        <f t="shared" si="244"/>
        <v>136198016</v>
      </c>
    </row>
    <row r="249" spans="1:59" ht="15.75">
      <c r="A249" s="333">
        <v>20</v>
      </c>
      <c r="B249" s="333" t="str">
        <f t="shared" si="196"/>
        <v>CEREAL EMPACADO_20</v>
      </c>
      <c r="C249" s="333" t="str">
        <f t="shared" si="197"/>
        <v>26_20</v>
      </c>
      <c r="D249" s="333" t="s">
        <v>1607</v>
      </c>
      <c r="E249" s="256">
        <v>26</v>
      </c>
      <c r="F249" s="322" t="s">
        <v>69</v>
      </c>
      <c r="G249" s="256" t="s">
        <v>9</v>
      </c>
      <c r="H249" s="425">
        <f t="shared" si="198"/>
        <v>6</v>
      </c>
      <c r="I249" s="425">
        <f t="array" ref="I249">MAX((IF(MNU_CODIGO_ALIMENTO_ENTREGA=CONCATENATE($E249,"_","P_"),MNU_GRAMAJE_REQUERIDO_TIPOA,"")))</f>
        <v>30</v>
      </c>
      <c r="J249" s="257">
        <f t="shared" si="199"/>
        <v>5679</v>
      </c>
      <c r="K249" s="257">
        <f t="shared" si="200"/>
        <v>34074</v>
      </c>
      <c r="L249" s="446">
        <f t="shared" si="201"/>
        <v>163</v>
      </c>
      <c r="M249" s="446">
        <f t="shared" si="202"/>
        <v>7.9543999999999997</v>
      </c>
      <c r="N249" s="446">
        <f t="shared" si="203"/>
        <v>0.14018260800000001</v>
      </c>
      <c r="O249" s="446">
        <f t="shared" si="204"/>
        <v>171</v>
      </c>
      <c r="P249" s="258">
        <f t="shared" si="205"/>
        <v>5554062</v>
      </c>
      <c r="Q249" s="258">
        <f t="shared" si="206"/>
        <v>5826654</v>
      </c>
      <c r="R249" s="426">
        <f t="shared" si="207"/>
        <v>6</v>
      </c>
      <c r="S249" s="426">
        <f t="array" ref="S249">MAX((IF(MNU_CODIGO_ALIMENTO_ENTREGA=CONCATENATE($E249,"_","P_"),MNU_GRAMAJE_REQUERIDO_TIPOB,"")))</f>
        <v>30</v>
      </c>
      <c r="T249" s="259">
        <f t="shared" si="208"/>
        <v>8921</v>
      </c>
      <c r="U249" s="259">
        <f t="shared" si="209"/>
        <v>53526</v>
      </c>
      <c r="V249" s="446">
        <f t="shared" si="210"/>
        <v>163</v>
      </c>
      <c r="W249" s="446">
        <f t="shared" si="211"/>
        <v>7.9543999999999997</v>
      </c>
      <c r="X249" s="446">
        <f t="shared" si="212"/>
        <v>0.14018260800000001</v>
      </c>
      <c r="Y249" s="446">
        <f t="shared" si="213"/>
        <v>171</v>
      </c>
      <c r="Z249" s="260">
        <f t="shared" si="214"/>
        <v>8724738</v>
      </c>
      <c r="AA249" s="260">
        <f t="shared" si="215"/>
        <v>9152946</v>
      </c>
      <c r="AB249" s="425">
        <f t="shared" si="216"/>
        <v>6</v>
      </c>
      <c r="AC249" s="425">
        <f t="array" ref="AC249">MAX((IF(MNU_CODIGO_ALIMENTO_ENTREGA=CONCATENATE($E249,"_","P_"),MNU_GRAMAJE_REQUERIDO_TIPOC,"")))</f>
        <v>30</v>
      </c>
      <c r="AD249" s="257">
        <f t="shared" si="217"/>
        <v>10882</v>
      </c>
      <c r="AE249" s="257">
        <f t="shared" si="218"/>
        <v>65292</v>
      </c>
      <c r="AF249" s="446">
        <f t="shared" si="219"/>
        <v>163</v>
      </c>
      <c r="AG249" s="446">
        <f t="shared" si="220"/>
        <v>7.9543999999999997</v>
      </c>
      <c r="AH249" s="446">
        <f t="shared" si="221"/>
        <v>0.14018260800000001</v>
      </c>
      <c r="AI249" s="446">
        <f t="shared" si="222"/>
        <v>171</v>
      </c>
      <c r="AJ249" s="258">
        <f t="shared" si="223"/>
        <v>10642596</v>
      </c>
      <c r="AK249" s="258">
        <f t="shared" si="224"/>
        <v>11164932</v>
      </c>
      <c r="AL249" s="426">
        <f t="shared" si="225"/>
        <v>6</v>
      </c>
      <c r="AM249" s="426">
        <f t="array" ref="AM249">MAX((IF(MNU_CODIGO_ALIMENTO_ENTREGA=CONCATENATE($E249,"_","P_"),MNU_GRAMAJE_REQUERIDO_TIPOM,"")))</f>
        <v>30</v>
      </c>
      <c r="AN249" s="259">
        <f t="shared" si="226"/>
        <v>146</v>
      </c>
      <c r="AO249" s="259">
        <f t="shared" si="227"/>
        <v>876</v>
      </c>
      <c r="AP249" s="446">
        <f t="shared" si="228"/>
        <v>163</v>
      </c>
      <c r="AQ249" s="446">
        <f t="shared" si="229"/>
        <v>7.9543999999999997</v>
      </c>
      <c r="AR249" s="446">
        <f t="shared" si="230"/>
        <v>0.14018260800000001</v>
      </c>
      <c r="AS249" s="446">
        <f t="shared" si="231"/>
        <v>171</v>
      </c>
      <c r="AT249" s="260">
        <f t="shared" si="232"/>
        <v>142788</v>
      </c>
      <c r="AU249" s="260">
        <f t="shared" si="233"/>
        <v>149796</v>
      </c>
      <c r="AV249" s="425">
        <f t="shared" si="234"/>
        <v>6</v>
      </c>
      <c r="AW249" s="425">
        <f t="array" ref="AW249">MAX((IF(MNU_CODIGO_ALIMENTO_ENTREGA=CONCATENATE($E249,"_","P_"),MNU_GRAMAJE_REQUERIDO_TIPOH,"")))</f>
        <v>30</v>
      </c>
      <c r="AX249" s="257">
        <f t="shared" si="235"/>
        <v>151</v>
      </c>
      <c r="AY249" s="257">
        <f t="shared" si="236"/>
        <v>906</v>
      </c>
      <c r="AZ249" s="446">
        <f t="shared" si="237"/>
        <v>163</v>
      </c>
      <c r="BA249" s="446">
        <f t="shared" si="238"/>
        <v>7.9543999999999997</v>
      </c>
      <c r="BB249" s="446">
        <f t="shared" si="239"/>
        <v>0.14018260800000001</v>
      </c>
      <c r="BC249" s="446">
        <f t="shared" si="240"/>
        <v>171</v>
      </c>
      <c r="BD249" s="258">
        <f t="shared" si="241"/>
        <v>147678</v>
      </c>
      <c r="BE249" s="258">
        <f t="shared" si="242"/>
        <v>154926</v>
      </c>
      <c r="BF249" s="391">
        <f t="shared" si="243"/>
        <v>25211862</v>
      </c>
      <c r="BG249" s="391">
        <f t="shared" si="244"/>
        <v>26449254</v>
      </c>
    </row>
    <row r="250" spans="1:59" ht="27">
      <c r="A250" s="333">
        <v>20</v>
      </c>
      <c r="B250" s="333" t="str">
        <f t="shared" si="196"/>
        <v>CEREAL EMPACADO_20</v>
      </c>
      <c r="C250" s="333" t="str">
        <f t="shared" si="197"/>
        <v>28_20</v>
      </c>
      <c r="D250" s="333" t="s">
        <v>1607</v>
      </c>
      <c r="E250" s="256">
        <v>28</v>
      </c>
      <c r="F250" s="322" t="s">
        <v>67</v>
      </c>
      <c r="G250" s="256" t="s">
        <v>9</v>
      </c>
      <c r="H250" s="425">
        <f t="shared" si="198"/>
        <v>6</v>
      </c>
      <c r="I250" s="425">
        <f t="array" ref="I250">MAX((IF(MNU_CODIGO_ALIMENTO_ENTREGA=CONCATENATE($E250,"_","P_"),MNU_GRAMAJE_REQUERIDO_TIPOA,"")))</f>
        <v>30</v>
      </c>
      <c r="J250" s="257">
        <f t="shared" si="199"/>
        <v>5679</v>
      </c>
      <c r="K250" s="257">
        <f t="shared" si="200"/>
        <v>34074</v>
      </c>
      <c r="L250" s="446">
        <f t="shared" si="201"/>
        <v>215</v>
      </c>
      <c r="M250" s="446">
        <f t="shared" si="202"/>
        <v>10.492000000000001</v>
      </c>
      <c r="N250" s="446">
        <f t="shared" si="203"/>
        <v>0.18490343999999997</v>
      </c>
      <c r="O250" s="446">
        <f t="shared" si="204"/>
        <v>226</v>
      </c>
      <c r="P250" s="258">
        <f t="shared" si="205"/>
        <v>7325910</v>
      </c>
      <c r="Q250" s="258">
        <f t="shared" si="206"/>
        <v>7700724</v>
      </c>
      <c r="R250" s="426">
        <f t="shared" si="207"/>
        <v>6</v>
      </c>
      <c r="S250" s="426">
        <f t="array" ref="S250">MAX((IF(MNU_CODIGO_ALIMENTO_ENTREGA=CONCATENATE($E250,"_","P_"),MNU_GRAMAJE_REQUERIDO_TIPOB,"")))</f>
        <v>40</v>
      </c>
      <c r="T250" s="259">
        <f t="shared" si="208"/>
        <v>8921</v>
      </c>
      <c r="U250" s="259">
        <f t="shared" si="209"/>
        <v>53526</v>
      </c>
      <c r="V250" s="446">
        <f t="shared" si="210"/>
        <v>287</v>
      </c>
      <c r="W250" s="446">
        <f t="shared" si="211"/>
        <v>14.005600000000001</v>
      </c>
      <c r="X250" s="446">
        <f t="shared" si="212"/>
        <v>0.24682459200000004</v>
      </c>
      <c r="Y250" s="446">
        <f t="shared" si="213"/>
        <v>301</v>
      </c>
      <c r="Z250" s="260">
        <f t="shared" si="214"/>
        <v>15361962</v>
      </c>
      <c r="AA250" s="260">
        <f t="shared" si="215"/>
        <v>16111326</v>
      </c>
      <c r="AB250" s="425">
        <f t="shared" si="216"/>
        <v>6</v>
      </c>
      <c r="AC250" s="425">
        <f t="array" ref="AC250">MAX((IF(MNU_CODIGO_ALIMENTO_ENTREGA=CONCATENATE($E250,"_","P_"),MNU_GRAMAJE_REQUERIDO_TIPOC,"")))</f>
        <v>60</v>
      </c>
      <c r="AD250" s="257">
        <f t="shared" si="217"/>
        <v>10882</v>
      </c>
      <c r="AE250" s="257">
        <f t="shared" si="218"/>
        <v>65292</v>
      </c>
      <c r="AF250" s="446">
        <f t="shared" si="219"/>
        <v>430</v>
      </c>
      <c r="AG250" s="446">
        <f t="shared" si="220"/>
        <v>20.984000000000002</v>
      </c>
      <c r="AH250" s="446">
        <f t="shared" si="221"/>
        <v>0.36980687999999995</v>
      </c>
      <c r="AI250" s="446">
        <f t="shared" si="222"/>
        <v>451</v>
      </c>
      <c r="AJ250" s="258">
        <f t="shared" si="223"/>
        <v>28075560</v>
      </c>
      <c r="AK250" s="258">
        <f t="shared" si="224"/>
        <v>29446692</v>
      </c>
      <c r="AL250" s="426">
        <f t="shared" si="225"/>
        <v>6</v>
      </c>
      <c r="AM250" s="426">
        <f t="array" ref="AM250">MAX((IF(MNU_CODIGO_ALIMENTO_ENTREGA=CONCATENATE($E250,"_","P_"),MNU_GRAMAJE_REQUERIDO_TIPOM,"")))</f>
        <v>40</v>
      </c>
      <c r="AN250" s="259">
        <f t="shared" si="226"/>
        <v>146</v>
      </c>
      <c r="AO250" s="259">
        <f t="shared" si="227"/>
        <v>876</v>
      </c>
      <c r="AP250" s="446">
        <f t="shared" si="228"/>
        <v>287</v>
      </c>
      <c r="AQ250" s="446">
        <f t="shared" si="229"/>
        <v>14.005600000000001</v>
      </c>
      <c r="AR250" s="446">
        <f t="shared" si="230"/>
        <v>0.24682459200000004</v>
      </c>
      <c r="AS250" s="446">
        <f t="shared" si="231"/>
        <v>301</v>
      </c>
      <c r="AT250" s="260">
        <f t="shared" si="232"/>
        <v>251412</v>
      </c>
      <c r="AU250" s="260">
        <f t="shared" si="233"/>
        <v>263676</v>
      </c>
      <c r="AV250" s="425">
        <f t="shared" si="234"/>
        <v>6</v>
      </c>
      <c r="AW250" s="425">
        <f t="array" ref="AW250">MAX((IF(MNU_CODIGO_ALIMENTO_ENTREGA=CONCATENATE($E250,"_","P_"),MNU_GRAMAJE_REQUERIDO_TIPOH,"")))</f>
        <v>60</v>
      </c>
      <c r="AX250" s="257">
        <f t="shared" si="235"/>
        <v>151</v>
      </c>
      <c r="AY250" s="257">
        <f t="shared" si="236"/>
        <v>906</v>
      </c>
      <c r="AZ250" s="446">
        <f t="shared" si="237"/>
        <v>430</v>
      </c>
      <c r="BA250" s="446">
        <f t="shared" si="238"/>
        <v>20.984000000000002</v>
      </c>
      <c r="BB250" s="446">
        <f t="shared" si="239"/>
        <v>0.36980687999999995</v>
      </c>
      <c r="BC250" s="446">
        <f t="shared" si="240"/>
        <v>451</v>
      </c>
      <c r="BD250" s="258">
        <f t="shared" si="241"/>
        <v>389580</v>
      </c>
      <c r="BE250" s="258">
        <f t="shared" si="242"/>
        <v>408606</v>
      </c>
      <c r="BF250" s="391">
        <f t="shared" si="243"/>
        <v>51404424</v>
      </c>
      <c r="BG250" s="391">
        <f t="shared" si="244"/>
        <v>53931024</v>
      </c>
    </row>
    <row r="251" spans="1:59" ht="15.75">
      <c r="A251" s="333">
        <v>20</v>
      </c>
      <c r="B251" s="333" t="str">
        <f t="shared" si="196"/>
        <v>CEREAL EMPACADO_20</v>
      </c>
      <c r="C251" s="333" t="str">
        <f t="shared" si="197"/>
        <v>30_20</v>
      </c>
      <c r="D251" s="333" t="s">
        <v>1607</v>
      </c>
      <c r="E251" s="256">
        <v>30</v>
      </c>
      <c r="F251" s="322" t="s">
        <v>63</v>
      </c>
      <c r="G251" s="256" t="s">
        <v>9</v>
      </c>
      <c r="H251" s="425">
        <f t="shared" si="198"/>
        <v>16</v>
      </c>
      <c r="I251" s="425">
        <f t="array" ref="I251">MAX((IF(MNU_CODIGO_ALIMENTO_ENTREGA=CONCATENATE($E251,"_","P_"),MNU_GRAMAJE_REQUERIDO_TIPOA,"")))</f>
        <v>30</v>
      </c>
      <c r="J251" s="257">
        <f t="shared" si="199"/>
        <v>5679</v>
      </c>
      <c r="K251" s="257">
        <f t="shared" si="200"/>
        <v>90864</v>
      </c>
      <c r="L251" s="446">
        <f t="shared" si="201"/>
        <v>316</v>
      </c>
      <c r="M251" s="446">
        <f t="shared" si="202"/>
        <v>15.4208</v>
      </c>
      <c r="N251" s="446">
        <f t="shared" si="203"/>
        <v>0.271765056</v>
      </c>
      <c r="O251" s="446">
        <f t="shared" si="204"/>
        <v>332</v>
      </c>
      <c r="P251" s="258">
        <f t="shared" si="205"/>
        <v>28713024</v>
      </c>
      <c r="Q251" s="258">
        <f t="shared" si="206"/>
        <v>30166848</v>
      </c>
      <c r="R251" s="426">
        <f t="shared" si="207"/>
        <v>16</v>
      </c>
      <c r="S251" s="426">
        <f t="array" ref="S251">MAX((IF(MNU_CODIGO_ALIMENTO_ENTREGA=CONCATENATE($E251,"_","P_"),MNU_GRAMAJE_REQUERIDO_TIPOB,"")))</f>
        <v>30</v>
      </c>
      <c r="T251" s="259">
        <f t="shared" si="208"/>
        <v>8921</v>
      </c>
      <c r="U251" s="259">
        <f t="shared" si="209"/>
        <v>142736</v>
      </c>
      <c r="V251" s="446">
        <f t="shared" si="210"/>
        <v>316</v>
      </c>
      <c r="W251" s="446">
        <f t="shared" si="211"/>
        <v>15.4208</v>
      </c>
      <c r="X251" s="446">
        <f t="shared" si="212"/>
        <v>0.271765056</v>
      </c>
      <c r="Y251" s="446">
        <f t="shared" si="213"/>
        <v>332</v>
      </c>
      <c r="Z251" s="260">
        <f t="shared" si="214"/>
        <v>45104576</v>
      </c>
      <c r="AA251" s="260">
        <f t="shared" si="215"/>
        <v>47388352</v>
      </c>
      <c r="AB251" s="425">
        <f t="shared" si="216"/>
        <v>16</v>
      </c>
      <c r="AC251" s="425">
        <f t="array" ref="AC251">MAX((IF(MNU_CODIGO_ALIMENTO_ENTREGA=CONCATENATE($E251,"_","P_"),MNU_GRAMAJE_REQUERIDO_TIPOC,"")))</f>
        <v>30</v>
      </c>
      <c r="AD251" s="257">
        <f t="shared" si="217"/>
        <v>10882</v>
      </c>
      <c r="AE251" s="257">
        <f t="shared" si="218"/>
        <v>174112</v>
      </c>
      <c r="AF251" s="446">
        <f t="shared" si="219"/>
        <v>316</v>
      </c>
      <c r="AG251" s="446">
        <f t="shared" si="220"/>
        <v>15.4208</v>
      </c>
      <c r="AH251" s="446">
        <f t="shared" si="221"/>
        <v>0.271765056</v>
      </c>
      <c r="AI251" s="446">
        <f t="shared" si="222"/>
        <v>332</v>
      </c>
      <c r="AJ251" s="258">
        <f t="shared" si="223"/>
        <v>55019392</v>
      </c>
      <c r="AK251" s="258">
        <f t="shared" si="224"/>
        <v>57805184</v>
      </c>
      <c r="AL251" s="426">
        <f t="shared" si="225"/>
        <v>16</v>
      </c>
      <c r="AM251" s="426">
        <f t="array" ref="AM251">MAX((IF(MNU_CODIGO_ALIMENTO_ENTREGA=CONCATENATE($E251,"_","P_"),MNU_GRAMAJE_REQUERIDO_TIPOM,"")))</f>
        <v>30</v>
      </c>
      <c r="AN251" s="259">
        <f t="shared" si="226"/>
        <v>146</v>
      </c>
      <c r="AO251" s="259">
        <f t="shared" si="227"/>
        <v>2336</v>
      </c>
      <c r="AP251" s="446">
        <f t="shared" si="228"/>
        <v>316</v>
      </c>
      <c r="AQ251" s="446">
        <f t="shared" si="229"/>
        <v>15.4208</v>
      </c>
      <c r="AR251" s="446">
        <f t="shared" si="230"/>
        <v>0.271765056</v>
      </c>
      <c r="AS251" s="446">
        <f t="shared" si="231"/>
        <v>332</v>
      </c>
      <c r="AT251" s="260">
        <f t="shared" si="232"/>
        <v>738176</v>
      </c>
      <c r="AU251" s="260">
        <f t="shared" si="233"/>
        <v>775552</v>
      </c>
      <c r="AV251" s="425">
        <f t="shared" si="234"/>
        <v>16</v>
      </c>
      <c r="AW251" s="425">
        <f t="array" ref="AW251">MAX((IF(MNU_CODIGO_ALIMENTO_ENTREGA=CONCATENATE($E251,"_","P_"),MNU_GRAMAJE_REQUERIDO_TIPOH,"")))</f>
        <v>30</v>
      </c>
      <c r="AX251" s="257">
        <f t="shared" si="235"/>
        <v>151</v>
      </c>
      <c r="AY251" s="257">
        <f t="shared" si="236"/>
        <v>2416</v>
      </c>
      <c r="AZ251" s="446">
        <f t="shared" si="237"/>
        <v>316</v>
      </c>
      <c r="BA251" s="446">
        <f t="shared" si="238"/>
        <v>15.4208</v>
      </c>
      <c r="BB251" s="446">
        <f t="shared" si="239"/>
        <v>0.271765056</v>
      </c>
      <c r="BC251" s="446">
        <f t="shared" si="240"/>
        <v>332</v>
      </c>
      <c r="BD251" s="258">
        <f t="shared" si="241"/>
        <v>763456</v>
      </c>
      <c r="BE251" s="258">
        <f t="shared" si="242"/>
        <v>802112</v>
      </c>
      <c r="BF251" s="391">
        <f t="shared" si="243"/>
        <v>130338624</v>
      </c>
      <c r="BG251" s="391">
        <f t="shared" si="244"/>
        <v>136938048</v>
      </c>
    </row>
    <row r="252" spans="1:59" ht="15.75">
      <c r="A252" s="333">
        <v>20</v>
      </c>
      <c r="B252" s="333" t="str">
        <f t="shared" si="196"/>
        <v>CEREAL EMPACADO_20</v>
      </c>
      <c r="C252" s="333" t="str">
        <f t="shared" si="197"/>
        <v>45_20</v>
      </c>
      <c r="D252" s="333" t="s">
        <v>1607</v>
      </c>
      <c r="E252" s="256">
        <v>45</v>
      </c>
      <c r="F252" s="322" t="s">
        <v>10</v>
      </c>
      <c r="G252" s="256" t="s">
        <v>9</v>
      </c>
      <c r="H252" s="425">
        <f t="shared" si="198"/>
        <v>16</v>
      </c>
      <c r="I252" s="425">
        <f t="array" ref="I252">MAX((IF(MNU_CODIGO_ALIMENTO_ENTREGA=CONCATENATE($E252,"_","P_"),MNU_GRAMAJE_REQUERIDO_TIPOA,"")))</f>
        <v>20</v>
      </c>
      <c r="J252" s="257">
        <f t="shared" si="199"/>
        <v>5679</v>
      </c>
      <c r="K252" s="257">
        <f t="shared" si="200"/>
        <v>90864</v>
      </c>
      <c r="L252" s="446">
        <f t="shared" si="201"/>
        <v>190</v>
      </c>
      <c r="M252" s="446">
        <f t="shared" si="202"/>
        <v>9.2720000000000002</v>
      </c>
      <c r="N252" s="446">
        <f t="shared" si="203"/>
        <v>0.16340304</v>
      </c>
      <c r="O252" s="446">
        <f t="shared" si="204"/>
        <v>199</v>
      </c>
      <c r="P252" s="258">
        <f t="shared" si="205"/>
        <v>17264160</v>
      </c>
      <c r="Q252" s="258">
        <f t="shared" si="206"/>
        <v>18081936</v>
      </c>
      <c r="R252" s="426">
        <f t="shared" si="207"/>
        <v>16</v>
      </c>
      <c r="S252" s="426">
        <f t="array" ref="S252">MAX((IF(MNU_CODIGO_ALIMENTO_ENTREGA=CONCATENATE($E252,"_","P_"),MNU_GRAMAJE_REQUERIDO_TIPOB,"")))</f>
        <v>30</v>
      </c>
      <c r="T252" s="259">
        <f t="shared" si="208"/>
        <v>8921</v>
      </c>
      <c r="U252" s="259">
        <f t="shared" si="209"/>
        <v>142736</v>
      </c>
      <c r="V252" s="446">
        <f t="shared" si="210"/>
        <v>284</v>
      </c>
      <c r="W252" s="446">
        <f t="shared" si="211"/>
        <v>13.8592</v>
      </c>
      <c r="X252" s="446">
        <f t="shared" si="212"/>
        <v>0.24424454399999998</v>
      </c>
      <c r="Y252" s="446">
        <f t="shared" si="213"/>
        <v>298</v>
      </c>
      <c r="Z252" s="260">
        <f t="shared" si="214"/>
        <v>40537024</v>
      </c>
      <c r="AA252" s="260">
        <f t="shared" si="215"/>
        <v>42535328</v>
      </c>
      <c r="AB252" s="425">
        <f t="shared" si="216"/>
        <v>16</v>
      </c>
      <c r="AC252" s="425">
        <f t="array" ref="AC252">MAX((IF(MNU_CODIGO_ALIMENTO_ENTREGA=CONCATENATE($E252,"_","P_"),MNU_GRAMAJE_REQUERIDO_TIPOC,"")))</f>
        <v>60</v>
      </c>
      <c r="AD252" s="257">
        <f t="shared" si="217"/>
        <v>10882</v>
      </c>
      <c r="AE252" s="257">
        <f t="shared" si="218"/>
        <v>174112</v>
      </c>
      <c r="AF252" s="446">
        <f t="shared" si="219"/>
        <v>569</v>
      </c>
      <c r="AG252" s="446">
        <f t="shared" si="220"/>
        <v>27.767199999999999</v>
      </c>
      <c r="AH252" s="446">
        <f t="shared" si="221"/>
        <v>0.48934910400000003</v>
      </c>
      <c r="AI252" s="446">
        <f t="shared" si="222"/>
        <v>597</v>
      </c>
      <c r="AJ252" s="258">
        <f t="shared" si="223"/>
        <v>99069728</v>
      </c>
      <c r="AK252" s="258">
        <f t="shared" si="224"/>
        <v>103944864</v>
      </c>
      <c r="AL252" s="426">
        <f t="shared" si="225"/>
        <v>16</v>
      </c>
      <c r="AM252" s="426">
        <f t="array" ref="AM252">MAX((IF(MNU_CODIGO_ALIMENTO_ENTREGA=CONCATENATE($E252,"_","P_"),MNU_GRAMAJE_REQUERIDO_TIPOM,"")))</f>
        <v>30</v>
      </c>
      <c r="AN252" s="259">
        <f t="shared" si="226"/>
        <v>146</v>
      </c>
      <c r="AO252" s="259">
        <f t="shared" si="227"/>
        <v>2336</v>
      </c>
      <c r="AP252" s="446">
        <f t="shared" si="228"/>
        <v>284</v>
      </c>
      <c r="AQ252" s="446">
        <f t="shared" si="229"/>
        <v>13.8592</v>
      </c>
      <c r="AR252" s="446">
        <f t="shared" si="230"/>
        <v>0.24424454399999998</v>
      </c>
      <c r="AS252" s="446">
        <f t="shared" si="231"/>
        <v>298</v>
      </c>
      <c r="AT252" s="260">
        <f t="shared" si="232"/>
        <v>663424</v>
      </c>
      <c r="AU252" s="260">
        <f t="shared" si="233"/>
        <v>696128</v>
      </c>
      <c r="AV252" s="425">
        <f t="shared" si="234"/>
        <v>16</v>
      </c>
      <c r="AW252" s="425">
        <f t="array" ref="AW252">MAX((IF(MNU_CODIGO_ALIMENTO_ENTREGA=CONCATENATE($E252,"_","P_"),MNU_GRAMAJE_REQUERIDO_TIPOH,"")))</f>
        <v>60</v>
      </c>
      <c r="AX252" s="257">
        <f t="shared" si="235"/>
        <v>151</v>
      </c>
      <c r="AY252" s="257">
        <f t="shared" si="236"/>
        <v>2416</v>
      </c>
      <c r="AZ252" s="446">
        <f t="shared" si="237"/>
        <v>569</v>
      </c>
      <c r="BA252" s="446">
        <f t="shared" si="238"/>
        <v>27.767199999999999</v>
      </c>
      <c r="BB252" s="446">
        <f t="shared" si="239"/>
        <v>0.48934910400000003</v>
      </c>
      <c r="BC252" s="446">
        <f t="shared" si="240"/>
        <v>597</v>
      </c>
      <c r="BD252" s="258">
        <f t="shared" si="241"/>
        <v>1374704</v>
      </c>
      <c r="BE252" s="258">
        <f t="shared" si="242"/>
        <v>1442352</v>
      </c>
      <c r="BF252" s="391">
        <f t="shared" si="243"/>
        <v>158909040</v>
      </c>
      <c r="BG252" s="391">
        <f t="shared" si="244"/>
        <v>166700608</v>
      </c>
    </row>
    <row r="253" spans="1:59" ht="15.75">
      <c r="A253" s="333">
        <v>20</v>
      </c>
      <c r="B253" s="333" t="str">
        <f t="shared" si="196"/>
        <v>CEREAL EMPACADO_20</v>
      </c>
      <c r="C253" s="333" t="str">
        <f t="shared" si="197"/>
        <v>50_20</v>
      </c>
      <c r="D253" s="333" t="s">
        <v>1607</v>
      </c>
      <c r="E253" s="256">
        <v>50</v>
      </c>
      <c r="F253" s="322" t="s">
        <v>65</v>
      </c>
      <c r="G253" s="256" t="s">
        <v>9</v>
      </c>
      <c r="H253" s="425">
        <f t="shared" si="198"/>
        <v>17</v>
      </c>
      <c r="I253" s="425">
        <f t="array" ref="I253">MAX((IF(MNU_CODIGO_ALIMENTO_ENTREGA=CONCATENATE($E253,"_","P_"),MNU_GRAMAJE_REQUERIDO_TIPOA,"")))</f>
        <v>30</v>
      </c>
      <c r="J253" s="257">
        <f t="shared" si="199"/>
        <v>5679</v>
      </c>
      <c r="K253" s="257">
        <f t="shared" si="200"/>
        <v>96543</v>
      </c>
      <c r="L253" s="446">
        <f t="shared" si="201"/>
        <v>306</v>
      </c>
      <c r="M253" s="446">
        <f t="shared" si="202"/>
        <v>14.9328</v>
      </c>
      <c r="N253" s="446">
        <f t="shared" si="203"/>
        <v>0.26316489599999998</v>
      </c>
      <c r="O253" s="446">
        <f t="shared" si="204"/>
        <v>321</v>
      </c>
      <c r="P253" s="258">
        <f t="shared" si="205"/>
        <v>29542158</v>
      </c>
      <c r="Q253" s="258">
        <f t="shared" si="206"/>
        <v>30990303</v>
      </c>
      <c r="R253" s="426">
        <f t="shared" si="207"/>
        <v>17</v>
      </c>
      <c r="S253" s="426">
        <f t="array" ref="S253">MAX((IF(MNU_CODIGO_ALIMENTO_ENTREGA=CONCATENATE($E253,"_","P_"),MNU_GRAMAJE_REQUERIDO_TIPOB,"")))</f>
        <v>40</v>
      </c>
      <c r="T253" s="259">
        <f t="shared" si="208"/>
        <v>8921</v>
      </c>
      <c r="U253" s="259">
        <f t="shared" si="209"/>
        <v>151657</v>
      </c>
      <c r="V253" s="446">
        <f t="shared" si="210"/>
        <v>408</v>
      </c>
      <c r="W253" s="446">
        <f t="shared" si="211"/>
        <v>19.910400000000003</v>
      </c>
      <c r="X253" s="446">
        <f t="shared" si="212"/>
        <v>0.35088652799999998</v>
      </c>
      <c r="Y253" s="446">
        <f t="shared" si="213"/>
        <v>428</v>
      </c>
      <c r="Z253" s="260">
        <f t="shared" si="214"/>
        <v>61876056</v>
      </c>
      <c r="AA253" s="260">
        <f t="shared" si="215"/>
        <v>64909196</v>
      </c>
      <c r="AB253" s="425">
        <f t="shared" si="216"/>
        <v>17</v>
      </c>
      <c r="AC253" s="425">
        <f t="array" ref="AC253">MAX((IF(MNU_CODIGO_ALIMENTO_ENTREGA=CONCATENATE($E253,"_","P_"),MNU_GRAMAJE_REQUERIDO_TIPOC,"")))</f>
        <v>80</v>
      </c>
      <c r="AD253" s="257">
        <f t="shared" si="217"/>
        <v>10882</v>
      </c>
      <c r="AE253" s="257">
        <f t="shared" si="218"/>
        <v>184994</v>
      </c>
      <c r="AF253" s="446">
        <f t="shared" si="219"/>
        <v>815</v>
      </c>
      <c r="AG253" s="446">
        <f t="shared" si="220"/>
        <v>39.772000000000006</v>
      </c>
      <c r="AH253" s="446">
        <f t="shared" si="221"/>
        <v>0.7009130400000001</v>
      </c>
      <c r="AI253" s="446">
        <f t="shared" si="222"/>
        <v>855</v>
      </c>
      <c r="AJ253" s="258">
        <f t="shared" si="223"/>
        <v>150770110</v>
      </c>
      <c r="AK253" s="258">
        <f t="shared" si="224"/>
        <v>158169870</v>
      </c>
      <c r="AL253" s="426">
        <f t="shared" si="225"/>
        <v>17</v>
      </c>
      <c r="AM253" s="426">
        <f t="array" ref="AM253">MAX((IF(MNU_CODIGO_ALIMENTO_ENTREGA=CONCATENATE($E253,"_","P_"),MNU_GRAMAJE_REQUERIDO_TIPOM,"")))</f>
        <v>40</v>
      </c>
      <c r="AN253" s="259">
        <f t="shared" si="226"/>
        <v>146</v>
      </c>
      <c r="AO253" s="259">
        <f t="shared" si="227"/>
        <v>2482</v>
      </c>
      <c r="AP253" s="446">
        <f t="shared" si="228"/>
        <v>408</v>
      </c>
      <c r="AQ253" s="446">
        <f t="shared" si="229"/>
        <v>19.910400000000003</v>
      </c>
      <c r="AR253" s="446">
        <f t="shared" si="230"/>
        <v>0.35088652799999998</v>
      </c>
      <c r="AS253" s="446">
        <f t="shared" si="231"/>
        <v>428</v>
      </c>
      <c r="AT253" s="260">
        <f t="shared" si="232"/>
        <v>1012656</v>
      </c>
      <c r="AU253" s="260">
        <f t="shared" si="233"/>
        <v>1062296</v>
      </c>
      <c r="AV253" s="425">
        <f t="shared" si="234"/>
        <v>17</v>
      </c>
      <c r="AW253" s="425">
        <f t="array" ref="AW253">MAX((IF(MNU_CODIGO_ALIMENTO_ENTREGA=CONCATENATE($E253,"_","P_"),MNU_GRAMAJE_REQUERIDO_TIPOH,"")))</f>
        <v>80</v>
      </c>
      <c r="AX253" s="257">
        <f t="shared" si="235"/>
        <v>151</v>
      </c>
      <c r="AY253" s="257">
        <f t="shared" si="236"/>
        <v>2567</v>
      </c>
      <c r="AZ253" s="446">
        <f t="shared" si="237"/>
        <v>815</v>
      </c>
      <c r="BA253" s="446">
        <f t="shared" si="238"/>
        <v>39.772000000000006</v>
      </c>
      <c r="BB253" s="446">
        <f t="shared" si="239"/>
        <v>0.7009130400000001</v>
      </c>
      <c r="BC253" s="446">
        <f t="shared" si="240"/>
        <v>855</v>
      </c>
      <c r="BD253" s="258">
        <f t="shared" si="241"/>
        <v>2092105</v>
      </c>
      <c r="BE253" s="258">
        <f t="shared" si="242"/>
        <v>2194785</v>
      </c>
      <c r="BF253" s="391">
        <f t="shared" si="243"/>
        <v>245293085</v>
      </c>
      <c r="BG253" s="391">
        <f t="shared" si="244"/>
        <v>257326450</v>
      </c>
    </row>
    <row r="254" spans="1:59" ht="15.75">
      <c r="A254" s="333">
        <v>20</v>
      </c>
      <c r="B254" s="333" t="str">
        <f t="shared" si="196"/>
        <v>CEREAL EMPACADO_20</v>
      </c>
      <c r="C254" s="333" t="str">
        <f t="shared" si="197"/>
        <v>61_20</v>
      </c>
      <c r="D254" s="333" t="s">
        <v>1607</v>
      </c>
      <c r="E254" s="256">
        <v>61</v>
      </c>
      <c r="F254" s="322" t="s">
        <v>13</v>
      </c>
      <c r="G254" s="256" t="s">
        <v>9</v>
      </c>
      <c r="H254" s="425">
        <f t="shared" si="198"/>
        <v>16</v>
      </c>
      <c r="I254" s="425">
        <f t="array" ref="I254">MAX((IF(MNU_CODIGO_ALIMENTO_ENTREGA=CONCATENATE($E254,"_","P_"),MNU_GRAMAJE_REQUERIDO_TIPOA,"")))</f>
        <v>20</v>
      </c>
      <c r="J254" s="257">
        <f t="shared" si="199"/>
        <v>5679</v>
      </c>
      <c r="K254" s="257">
        <f t="shared" si="200"/>
        <v>90864</v>
      </c>
      <c r="L254" s="446">
        <f t="shared" si="201"/>
        <v>222</v>
      </c>
      <c r="M254" s="446">
        <f t="shared" si="202"/>
        <v>10.833600000000001</v>
      </c>
      <c r="N254" s="446">
        <f t="shared" si="203"/>
        <v>0.190923552</v>
      </c>
      <c r="O254" s="446">
        <f t="shared" si="204"/>
        <v>233</v>
      </c>
      <c r="P254" s="258">
        <f t="shared" si="205"/>
        <v>20171808</v>
      </c>
      <c r="Q254" s="258">
        <f t="shared" si="206"/>
        <v>21171312</v>
      </c>
      <c r="R254" s="426">
        <f t="shared" si="207"/>
        <v>16</v>
      </c>
      <c r="S254" s="426">
        <f t="array" ref="S254">MAX((IF(MNU_CODIGO_ALIMENTO_ENTREGA=CONCATENATE($E254,"_","P_"),MNU_GRAMAJE_REQUERIDO_TIPOB,"")))</f>
        <v>30</v>
      </c>
      <c r="T254" s="259">
        <f t="shared" si="208"/>
        <v>8921</v>
      </c>
      <c r="U254" s="259">
        <f t="shared" si="209"/>
        <v>142736</v>
      </c>
      <c r="V254" s="446">
        <f t="shared" si="210"/>
        <v>334</v>
      </c>
      <c r="W254" s="446">
        <f t="shared" si="211"/>
        <v>16.299199999999999</v>
      </c>
      <c r="X254" s="446">
        <f t="shared" si="212"/>
        <v>0.28724534400000001</v>
      </c>
      <c r="Y254" s="446">
        <f t="shared" si="213"/>
        <v>351</v>
      </c>
      <c r="Z254" s="260">
        <f t="shared" si="214"/>
        <v>47673824</v>
      </c>
      <c r="AA254" s="260">
        <f t="shared" si="215"/>
        <v>50100336</v>
      </c>
      <c r="AB254" s="425">
        <f t="shared" si="216"/>
        <v>16</v>
      </c>
      <c r="AC254" s="425">
        <f t="array" ref="AC254">MAX((IF(MNU_CODIGO_ALIMENTO_ENTREGA=CONCATENATE($E254,"_","P_"),MNU_GRAMAJE_REQUERIDO_TIPOC,"")))</f>
        <v>70</v>
      </c>
      <c r="AD254" s="257">
        <f t="shared" si="217"/>
        <v>10882</v>
      </c>
      <c r="AE254" s="257">
        <f t="shared" si="218"/>
        <v>174112</v>
      </c>
      <c r="AF254" s="446">
        <f t="shared" si="219"/>
        <v>779</v>
      </c>
      <c r="AG254" s="446">
        <f t="shared" si="220"/>
        <v>38.0152</v>
      </c>
      <c r="AH254" s="446">
        <f t="shared" si="221"/>
        <v>0.66995246400000008</v>
      </c>
      <c r="AI254" s="446">
        <f t="shared" si="222"/>
        <v>818</v>
      </c>
      <c r="AJ254" s="258">
        <f t="shared" si="223"/>
        <v>135633248</v>
      </c>
      <c r="AK254" s="258">
        <f t="shared" si="224"/>
        <v>142423616</v>
      </c>
      <c r="AL254" s="426">
        <f t="shared" si="225"/>
        <v>16</v>
      </c>
      <c r="AM254" s="426">
        <f t="array" ref="AM254">MAX((IF(MNU_CODIGO_ALIMENTO_ENTREGA=CONCATENATE($E254,"_","P_"),MNU_GRAMAJE_REQUERIDO_TIPOM,"")))</f>
        <v>30</v>
      </c>
      <c r="AN254" s="259">
        <f t="shared" si="226"/>
        <v>146</v>
      </c>
      <c r="AO254" s="259">
        <f t="shared" si="227"/>
        <v>2336</v>
      </c>
      <c r="AP254" s="446">
        <f t="shared" si="228"/>
        <v>334</v>
      </c>
      <c r="AQ254" s="446">
        <f t="shared" si="229"/>
        <v>16.299199999999999</v>
      </c>
      <c r="AR254" s="446">
        <f t="shared" si="230"/>
        <v>0.28724534400000001</v>
      </c>
      <c r="AS254" s="446">
        <f t="shared" si="231"/>
        <v>351</v>
      </c>
      <c r="AT254" s="260">
        <f t="shared" si="232"/>
        <v>780224</v>
      </c>
      <c r="AU254" s="260">
        <f t="shared" si="233"/>
        <v>819936</v>
      </c>
      <c r="AV254" s="425">
        <f t="shared" si="234"/>
        <v>16</v>
      </c>
      <c r="AW254" s="425">
        <f t="array" ref="AW254">MAX((IF(MNU_CODIGO_ALIMENTO_ENTREGA=CONCATENATE($E254,"_","P_"),MNU_GRAMAJE_REQUERIDO_TIPOH,"")))</f>
        <v>70</v>
      </c>
      <c r="AX254" s="257">
        <f t="shared" si="235"/>
        <v>151</v>
      </c>
      <c r="AY254" s="257">
        <f t="shared" si="236"/>
        <v>2416</v>
      </c>
      <c r="AZ254" s="446">
        <f t="shared" si="237"/>
        <v>779</v>
      </c>
      <c r="BA254" s="446">
        <f t="shared" si="238"/>
        <v>38.0152</v>
      </c>
      <c r="BB254" s="446">
        <f t="shared" si="239"/>
        <v>0.66995246400000008</v>
      </c>
      <c r="BC254" s="446">
        <f t="shared" si="240"/>
        <v>818</v>
      </c>
      <c r="BD254" s="258">
        <f t="shared" si="241"/>
        <v>1882064</v>
      </c>
      <c r="BE254" s="258">
        <f t="shared" si="242"/>
        <v>1976288</v>
      </c>
      <c r="BF254" s="391">
        <f t="shared" si="243"/>
        <v>206141168</v>
      </c>
      <c r="BG254" s="391">
        <f t="shared" si="244"/>
        <v>216491488</v>
      </c>
    </row>
    <row r="255" spans="1:59" ht="15.75">
      <c r="A255" s="333">
        <v>20</v>
      </c>
      <c r="B255" s="333" t="str">
        <f t="shared" si="196"/>
        <v>CEREAL EMPACADO_20</v>
      </c>
      <c r="C255" s="333" t="str">
        <f t="shared" si="197"/>
        <v>62_20</v>
      </c>
      <c r="D255" s="333" t="s">
        <v>1607</v>
      </c>
      <c r="E255" s="256">
        <v>62</v>
      </c>
      <c r="F255" s="322" t="s">
        <v>68</v>
      </c>
      <c r="G255" s="256" t="s">
        <v>9</v>
      </c>
      <c r="H255" s="425">
        <f t="shared" si="198"/>
        <v>5</v>
      </c>
      <c r="I255" s="425">
        <f t="array" ref="I255">MAX((IF(MNU_CODIGO_ALIMENTO_ENTREGA=CONCATENATE($E255,"_","P_"),MNU_GRAMAJE_REQUERIDO_TIPOA,"")))</f>
        <v>50</v>
      </c>
      <c r="J255" s="257">
        <f t="shared" si="199"/>
        <v>5679</v>
      </c>
      <c r="K255" s="257">
        <f t="shared" si="200"/>
        <v>28395</v>
      </c>
      <c r="L255" s="446">
        <f t="shared" si="201"/>
        <v>595</v>
      </c>
      <c r="M255" s="446">
        <f t="shared" si="202"/>
        <v>29.036000000000001</v>
      </c>
      <c r="N255" s="446">
        <f t="shared" si="203"/>
        <v>0.51170952000000014</v>
      </c>
      <c r="O255" s="446">
        <f t="shared" si="204"/>
        <v>625</v>
      </c>
      <c r="P255" s="258">
        <f t="shared" si="205"/>
        <v>16895025</v>
      </c>
      <c r="Q255" s="258">
        <f t="shared" si="206"/>
        <v>17746875</v>
      </c>
      <c r="R255" s="426">
        <f t="shared" si="207"/>
        <v>5</v>
      </c>
      <c r="S255" s="426">
        <f t="array" ref="S255">MAX((IF(MNU_CODIGO_ALIMENTO_ENTREGA=CONCATENATE($E255,"_","P_"),MNU_GRAMAJE_REQUERIDO_TIPOB,"")))</f>
        <v>50</v>
      </c>
      <c r="T255" s="259">
        <f t="shared" si="208"/>
        <v>8921</v>
      </c>
      <c r="U255" s="259">
        <f t="shared" si="209"/>
        <v>44605</v>
      </c>
      <c r="V255" s="446">
        <f t="shared" si="210"/>
        <v>595</v>
      </c>
      <c r="W255" s="446">
        <f t="shared" si="211"/>
        <v>29.036000000000001</v>
      </c>
      <c r="X255" s="446">
        <f t="shared" si="212"/>
        <v>0.51170952000000014</v>
      </c>
      <c r="Y255" s="446">
        <f t="shared" si="213"/>
        <v>625</v>
      </c>
      <c r="Z255" s="260">
        <f t="shared" si="214"/>
        <v>26539975</v>
      </c>
      <c r="AA255" s="260">
        <f t="shared" si="215"/>
        <v>27878125</v>
      </c>
      <c r="AB255" s="425">
        <f t="shared" si="216"/>
        <v>5</v>
      </c>
      <c r="AC255" s="425">
        <f t="array" ref="AC255">MAX((IF(MNU_CODIGO_ALIMENTO_ENTREGA=CONCATENATE($E255,"_","P_"),MNU_GRAMAJE_REQUERIDO_TIPOC,"")))</f>
        <v>50</v>
      </c>
      <c r="AD255" s="257">
        <f t="shared" si="217"/>
        <v>10882</v>
      </c>
      <c r="AE255" s="257">
        <f t="shared" si="218"/>
        <v>54410</v>
      </c>
      <c r="AF255" s="446">
        <f t="shared" si="219"/>
        <v>595</v>
      </c>
      <c r="AG255" s="446">
        <f t="shared" si="220"/>
        <v>29.036000000000001</v>
      </c>
      <c r="AH255" s="446">
        <f t="shared" si="221"/>
        <v>0.51170952000000014</v>
      </c>
      <c r="AI255" s="446">
        <f t="shared" si="222"/>
        <v>625</v>
      </c>
      <c r="AJ255" s="258">
        <f t="shared" si="223"/>
        <v>32373950</v>
      </c>
      <c r="AK255" s="258">
        <f t="shared" si="224"/>
        <v>34006250</v>
      </c>
      <c r="AL255" s="426">
        <f t="shared" si="225"/>
        <v>5</v>
      </c>
      <c r="AM255" s="426">
        <f t="array" ref="AM255">MAX((IF(MNU_CODIGO_ALIMENTO_ENTREGA=CONCATENATE($E255,"_","P_"),MNU_GRAMAJE_REQUERIDO_TIPOM,"")))</f>
        <v>50</v>
      </c>
      <c r="AN255" s="259">
        <f t="shared" si="226"/>
        <v>146</v>
      </c>
      <c r="AO255" s="259">
        <f t="shared" si="227"/>
        <v>730</v>
      </c>
      <c r="AP255" s="446">
        <f t="shared" si="228"/>
        <v>595</v>
      </c>
      <c r="AQ255" s="446">
        <f t="shared" si="229"/>
        <v>29.036000000000001</v>
      </c>
      <c r="AR255" s="446">
        <f t="shared" si="230"/>
        <v>0.51170952000000014</v>
      </c>
      <c r="AS255" s="446">
        <f t="shared" si="231"/>
        <v>625</v>
      </c>
      <c r="AT255" s="260">
        <f t="shared" si="232"/>
        <v>434350</v>
      </c>
      <c r="AU255" s="260">
        <f t="shared" si="233"/>
        <v>456250</v>
      </c>
      <c r="AV255" s="425">
        <f t="shared" si="234"/>
        <v>5</v>
      </c>
      <c r="AW255" s="425">
        <f t="array" ref="AW255">MAX((IF(MNU_CODIGO_ALIMENTO_ENTREGA=CONCATENATE($E255,"_","P_"),MNU_GRAMAJE_REQUERIDO_TIPOH,"")))</f>
        <v>50</v>
      </c>
      <c r="AX255" s="257">
        <f t="shared" si="235"/>
        <v>151</v>
      </c>
      <c r="AY255" s="257">
        <f t="shared" si="236"/>
        <v>755</v>
      </c>
      <c r="AZ255" s="446">
        <f t="shared" si="237"/>
        <v>595</v>
      </c>
      <c r="BA255" s="446">
        <f t="shared" si="238"/>
        <v>29.036000000000001</v>
      </c>
      <c r="BB255" s="446">
        <f t="shared" si="239"/>
        <v>0.51170952000000014</v>
      </c>
      <c r="BC255" s="446">
        <f t="shared" si="240"/>
        <v>625</v>
      </c>
      <c r="BD255" s="258">
        <f t="shared" si="241"/>
        <v>449225</v>
      </c>
      <c r="BE255" s="258">
        <f t="shared" si="242"/>
        <v>471875</v>
      </c>
      <c r="BF255" s="391">
        <f t="shared" si="243"/>
        <v>76692525</v>
      </c>
      <c r="BG255" s="391">
        <f t="shared" si="244"/>
        <v>80559375</v>
      </c>
    </row>
    <row r="256" spans="1:59" ht="15.75">
      <c r="A256" s="333">
        <v>21</v>
      </c>
      <c r="B256" s="333" t="str">
        <f t="shared" si="196"/>
        <v>CEREAL EMPACADO_21</v>
      </c>
      <c r="C256" s="333" t="str">
        <f t="shared" si="197"/>
        <v>1_21</v>
      </c>
      <c r="D256" s="333" t="s">
        <v>1607</v>
      </c>
      <c r="E256" s="256">
        <v>1</v>
      </c>
      <c r="F256" s="322" t="s">
        <v>16</v>
      </c>
      <c r="G256" s="256" t="s">
        <v>9</v>
      </c>
      <c r="H256" s="425">
        <f t="shared" si="198"/>
        <v>15</v>
      </c>
      <c r="I256" s="425">
        <f t="array" ref="I256">MAX((IF(MNU_CODIGO_ALIMENTO_ENTREGA=CONCATENATE($E256,"_","P_"),MNU_GRAMAJE_REQUERIDO_TIPOA,"")))</f>
        <v>30</v>
      </c>
      <c r="J256" s="257">
        <f t="shared" si="199"/>
        <v>4488</v>
      </c>
      <c r="K256" s="257">
        <f t="shared" si="200"/>
        <v>67320</v>
      </c>
      <c r="L256" s="446">
        <f t="shared" si="201"/>
        <v>770</v>
      </c>
      <c r="M256" s="446">
        <f t="shared" si="202"/>
        <v>37.576000000000008</v>
      </c>
      <c r="N256" s="446">
        <f t="shared" si="203"/>
        <v>0.66221231999999997</v>
      </c>
      <c r="O256" s="446">
        <f t="shared" si="204"/>
        <v>808</v>
      </c>
      <c r="P256" s="258">
        <f t="shared" si="205"/>
        <v>51836400</v>
      </c>
      <c r="Q256" s="258">
        <f t="shared" si="206"/>
        <v>54394560</v>
      </c>
      <c r="R256" s="426">
        <f t="shared" si="207"/>
        <v>15</v>
      </c>
      <c r="S256" s="426">
        <f t="array" ref="S256">MAX((IF(MNU_CODIGO_ALIMENTO_ENTREGA=CONCATENATE($E256,"_","P_"),MNU_GRAMAJE_REQUERIDO_TIPOB,"")))</f>
        <v>40</v>
      </c>
      <c r="T256" s="259">
        <f t="shared" si="208"/>
        <v>5854</v>
      </c>
      <c r="U256" s="259">
        <f t="shared" si="209"/>
        <v>87810</v>
      </c>
      <c r="V256" s="446">
        <f t="shared" si="210"/>
        <v>1027</v>
      </c>
      <c r="W256" s="446">
        <f t="shared" si="211"/>
        <v>50.117600000000003</v>
      </c>
      <c r="X256" s="446">
        <f t="shared" si="212"/>
        <v>0.88323643200000013</v>
      </c>
      <c r="Y256" s="446">
        <f t="shared" si="213"/>
        <v>1078</v>
      </c>
      <c r="Z256" s="260">
        <f t="shared" si="214"/>
        <v>90180870</v>
      </c>
      <c r="AA256" s="260">
        <f t="shared" si="215"/>
        <v>94659180</v>
      </c>
      <c r="AB256" s="425">
        <f t="shared" si="216"/>
        <v>15</v>
      </c>
      <c r="AC256" s="425">
        <f t="array" ref="AC256">MAX((IF(MNU_CODIGO_ALIMENTO_ENTREGA=CONCATENATE($E256,"_","P_"),MNU_GRAMAJE_REQUERIDO_TIPOC,"")))</f>
        <v>60</v>
      </c>
      <c r="AD256" s="257">
        <f t="shared" si="217"/>
        <v>5749</v>
      </c>
      <c r="AE256" s="257">
        <f t="shared" si="218"/>
        <v>86235</v>
      </c>
      <c r="AF256" s="446">
        <f t="shared" si="219"/>
        <v>1540</v>
      </c>
      <c r="AG256" s="446">
        <f t="shared" si="220"/>
        <v>75.152000000000015</v>
      </c>
      <c r="AH256" s="446">
        <f t="shared" si="221"/>
        <v>1.3244246399999999</v>
      </c>
      <c r="AI256" s="446">
        <f t="shared" si="222"/>
        <v>1616</v>
      </c>
      <c r="AJ256" s="258">
        <f t="shared" si="223"/>
        <v>132801900</v>
      </c>
      <c r="AK256" s="258">
        <f t="shared" si="224"/>
        <v>139355760</v>
      </c>
      <c r="AL256" s="426">
        <f t="shared" si="225"/>
        <v>15</v>
      </c>
      <c r="AM256" s="426">
        <f t="array" ref="AM256">MAX((IF(MNU_CODIGO_ALIMENTO_ENTREGA=CONCATENATE($E256,"_","P_"),MNU_GRAMAJE_REQUERIDO_TIPOM,"")))</f>
        <v>40</v>
      </c>
      <c r="AN256" s="259">
        <f t="shared" si="226"/>
        <v>113</v>
      </c>
      <c r="AO256" s="259">
        <f t="shared" si="227"/>
        <v>1695</v>
      </c>
      <c r="AP256" s="446">
        <f t="shared" si="228"/>
        <v>1027</v>
      </c>
      <c r="AQ256" s="446">
        <f t="shared" si="229"/>
        <v>50.117600000000003</v>
      </c>
      <c r="AR256" s="446">
        <f t="shared" si="230"/>
        <v>0.88323643200000013</v>
      </c>
      <c r="AS256" s="446">
        <f t="shared" si="231"/>
        <v>1078</v>
      </c>
      <c r="AT256" s="260">
        <f t="shared" si="232"/>
        <v>1740765</v>
      </c>
      <c r="AU256" s="260">
        <f t="shared" si="233"/>
        <v>1827210</v>
      </c>
      <c r="AV256" s="425">
        <f t="shared" si="234"/>
        <v>15</v>
      </c>
      <c r="AW256" s="425">
        <f t="array" ref="AW256">MAX((IF(MNU_CODIGO_ALIMENTO_ENTREGA=CONCATENATE($E256,"_","P_"),MNU_GRAMAJE_REQUERIDO_TIPOH,"")))</f>
        <v>60</v>
      </c>
      <c r="AX256" s="257">
        <f t="shared" si="235"/>
        <v>111</v>
      </c>
      <c r="AY256" s="257">
        <f t="shared" si="236"/>
        <v>1665</v>
      </c>
      <c r="AZ256" s="446">
        <f t="shared" si="237"/>
        <v>1540</v>
      </c>
      <c r="BA256" s="446">
        <f t="shared" si="238"/>
        <v>75.152000000000015</v>
      </c>
      <c r="BB256" s="446">
        <f t="shared" si="239"/>
        <v>1.3244246399999999</v>
      </c>
      <c r="BC256" s="446">
        <f t="shared" si="240"/>
        <v>1616</v>
      </c>
      <c r="BD256" s="258">
        <f t="shared" si="241"/>
        <v>2564100</v>
      </c>
      <c r="BE256" s="258">
        <f t="shared" si="242"/>
        <v>2690640</v>
      </c>
      <c r="BF256" s="391">
        <f t="shared" si="243"/>
        <v>279124035</v>
      </c>
      <c r="BG256" s="391">
        <f t="shared" si="244"/>
        <v>292927350</v>
      </c>
    </row>
    <row r="257" spans="1:59" ht="15.75">
      <c r="A257" s="333">
        <v>21</v>
      </c>
      <c r="B257" s="333" t="str">
        <f t="shared" si="196"/>
        <v>CEREAL EMPACADO_21</v>
      </c>
      <c r="C257" s="333" t="str">
        <f t="shared" si="197"/>
        <v>3_21</v>
      </c>
      <c r="D257" s="333" t="s">
        <v>1607</v>
      </c>
      <c r="E257" s="256">
        <v>3</v>
      </c>
      <c r="F257" s="322" t="s">
        <v>12</v>
      </c>
      <c r="G257" s="256" t="s">
        <v>9</v>
      </c>
      <c r="H257" s="425">
        <f t="shared" si="198"/>
        <v>17</v>
      </c>
      <c r="I257" s="425">
        <f t="array" ref="I257">MAX((IF(MNU_CODIGO_ALIMENTO_ENTREGA=CONCATENATE($E257,"_","P_"),MNU_GRAMAJE_REQUERIDO_TIPOA,"")))</f>
        <v>50</v>
      </c>
      <c r="J257" s="257">
        <f t="shared" si="199"/>
        <v>4488</v>
      </c>
      <c r="K257" s="257">
        <f t="shared" si="200"/>
        <v>76296</v>
      </c>
      <c r="L257" s="446">
        <f t="shared" si="201"/>
        <v>481</v>
      </c>
      <c r="M257" s="446">
        <f t="shared" si="202"/>
        <v>23.472799999999999</v>
      </c>
      <c r="N257" s="446">
        <f t="shared" si="203"/>
        <v>0.41366769599999997</v>
      </c>
      <c r="O257" s="446">
        <f t="shared" si="204"/>
        <v>505</v>
      </c>
      <c r="P257" s="258">
        <f t="shared" si="205"/>
        <v>36698376</v>
      </c>
      <c r="Q257" s="258">
        <f t="shared" si="206"/>
        <v>38529480</v>
      </c>
      <c r="R257" s="426">
        <f t="shared" si="207"/>
        <v>17</v>
      </c>
      <c r="S257" s="426">
        <f t="array" ref="S257">MAX((IF(MNU_CODIGO_ALIMENTO_ENTREGA=CONCATENATE($E257,"_","P_"),MNU_GRAMAJE_REQUERIDO_TIPOB,"")))</f>
        <v>50</v>
      </c>
      <c r="T257" s="259">
        <f t="shared" si="208"/>
        <v>5854</v>
      </c>
      <c r="U257" s="259">
        <f t="shared" si="209"/>
        <v>99518</v>
      </c>
      <c r="V257" s="446">
        <f t="shared" si="210"/>
        <v>481</v>
      </c>
      <c r="W257" s="446">
        <f t="shared" si="211"/>
        <v>23.472799999999999</v>
      </c>
      <c r="X257" s="446">
        <f t="shared" si="212"/>
        <v>0.41366769599999997</v>
      </c>
      <c r="Y257" s="446">
        <f t="shared" si="213"/>
        <v>505</v>
      </c>
      <c r="Z257" s="260">
        <f t="shared" si="214"/>
        <v>47868158</v>
      </c>
      <c r="AA257" s="260">
        <f t="shared" si="215"/>
        <v>50256590</v>
      </c>
      <c r="AB257" s="425">
        <f t="shared" si="216"/>
        <v>17</v>
      </c>
      <c r="AC257" s="425">
        <f t="array" ref="AC257">MAX((IF(MNU_CODIGO_ALIMENTO_ENTREGA=CONCATENATE($E257,"_","P_"),MNU_GRAMAJE_REQUERIDO_TIPOC,"")))</f>
        <v>80</v>
      </c>
      <c r="AD257" s="257">
        <f t="shared" si="217"/>
        <v>5749</v>
      </c>
      <c r="AE257" s="257">
        <f t="shared" si="218"/>
        <v>97733</v>
      </c>
      <c r="AF257" s="446">
        <f t="shared" si="219"/>
        <v>727</v>
      </c>
      <c r="AG257" s="446">
        <f t="shared" si="220"/>
        <v>35.477600000000002</v>
      </c>
      <c r="AH257" s="446">
        <f t="shared" si="221"/>
        <v>0.62523163200000009</v>
      </c>
      <c r="AI257" s="446">
        <f t="shared" si="222"/>
        <v>763</v>
      </c>
      <c r="AJ257" s="258">
        <f t="shared" si="223"/>
        <v>71051891</v>
      </c>
      <c r="AK257" s="258">
        <f t="shared" si="224"/>
        <v>74570279</v>
      </c>
      <c r="AL257" s="426">
        <f t="shared" si="225"/>
        <v>17</v>
      </c>
      <c r="AM257" s="426">
        <f t="array" ref="AM257">MAX((IF(MNU_CODIGO_ALIMENTO_ENTREGA=CONCATENATE($E257,"_","P_"),MNU_GRAMAJE_REQUERIDO_TIPOM,"")))</f>
        <v>50</v>
      </c>
      <c r="AN257" s="259">
        <f t="shared" si="226"/>
        <v>113</v>
      </c>
      <c r="AO257" s="259">
        <f t="shared" si="227"/>
        <v>1921</v>
      </c>
      <c r="AP257" s="446">
        <f t="shared" si="228"/>
        <v>481</v>
      </c>
      <c r="AQ257" s="446">
        <f t="shared" si="229"/>
        <v>23.472799999999999</v>
      </c>
      <c r="AR257" s="446">
        <f t="shared" si="230"/>
        <v>0.41366769599999997</v>
      </c>
      <c r="AS257" s="446">
        <f t="shared" si="231"/>
        <v>505</v>
      </c>
      <c r="AT257" s="260">
        <f t="shared" si="232"/>
        <v>924001</v>
      </c>
      <c r="AU257" s="260">
        <f t="shared" si="233"/>
        <v>970105</v>
      </c>
      <c r="AV257" s="425">
        <f t="shared" si="234"/>
        <v>17</v>
      </c>
      <c r="AW257" s="425">
        <f t="array" ref="AW257">MAX((IF(MNU_CODIGO_ALIMENTO_ENTREGA=CONCATENATE($E257,"_","P_"),MNU_GRAMAJE_REQUERIDO_TIPOH,"")))</f>
        <v>80</v>
      </c>
      <c r="AX257" s="257">
        <f t="shared" si="235"/>
        <v>111</v>
      </c>
      <c r="AY257" s="257">
        <f t="shared" si="236"/>
        <v>1887</v>
      </c>
      <c r="AZ257" s="446">
        <f t="shared" si="237"/>
        <v>727</v>
      </c>
      <c r="BA257" s="446">
        <f t="shared" si="238"/>
        <v>35.477600000000002</v>
      </c>
      <c r="BB257" s="446">
        <f t="shared" si="239"/>
        <v>0.62523163200000009</v>
      </c>
      <c r="BC257" s="446">
        <f t="shared" si="240"/>
        <v>763</v>
      </c>
      <c r="BD257" s="258">
        <f t="shared" si="241"/>
        <v>1371849</v>
      </c>
      <c r="BE257" s="258">
        <f t="shared" si="242"/>
        <v>1439781</v>
      </c>
      <c r="BF257" s="391">
        <f t="shared" si="243"/>
        <v>157914275</v>
      </c>
      <c r="BG257" s="391">
        <f t="shared" si="244"/>
        <v>165766235</v>
      </c>
    </row>
    <row r="258" spans="1:59" ht="15.75">
      <c r="A258" s="333">
        <v>21</v>
      </c>
      <c r="B258" s="333" t="str">
        <f t="shared" si="196"/>
        <v>CEREAL EMPACADO_21</v>
      </c>
      <c r="C258" s="333" t="str">
        <f t="shared" si="197"/>
        <v>15_21</v>
      </c>
      <c r="D258" s="333" t="s">
        <v>1607</v>
      </c>
      <c r="E258" s="256">
        <v>15</v>
      </c>
      <c r="F258" s="322" t="s">
        <v>66</v>
      </c>
      <c r="G258" s="256" t="s">
        <v>9</v>
      </c>
      <c r="H258" s="425">
        <f t="shared" si="198"/>
        <v>17</v>
      </c>
      <c r="I258" s="425">
        <f t="array" ref="I258">MAX((IF(MNU_CODIGO_ALIMENTO_ENTREGA=CONCATENATE($E258,"_","P_"),MNU_GRAMAJE_REQUERIDO_TIPOA,"")))</f>
        <v>50</v>
      </c>
      <c r="J258" s="257">
        <f t="shared" si="199"/>
        <v>4488</v>
      </c>
      <c r="K258" s="257">
        <f t="shared" si="200"/>
        <v>76296</v>
      </c>
      <c r="L258" s="446">
        <f t="shared" si="201"/>
        <v>641</v>
      </c>
      <c r="M258" s="446">
        <f t="shared" si="202"/>
        <v>31.280800000000003</v>
      </c>
      <c r="N258" s="446">
        <f t="shared" si="203"/>
        <v>0.55127025600000001</v>
      </c>
      <c r="O258" s="446">
        <f t="shared" si="204"/>
        <v>673</v>
      </c>
      <c r="P258" s="258">
        <f t="shared" si="205"/>
        <v>48905736</v>
      </c>
      <c r="Q258" s="258">
        <f t="shared" si="206"/>
        <v>51347208</v>
      </c>
      <c r="R258" s="426">
        <f t="shared" si="207"/>
        <v>17</v>
      </c>
      <c r="S258" s="426">
        <f t="array" ref="S258">MAX((IF(MNU_CODIGO_ALIMENTO_ENTREGA=CONCATENATE($E258,"_","P_"),MNU_GRAMAJE_REQUERIDO_TIPOB,"")))</f>
        <v>50</v>
      </c>
      <c r="T258" s="259">
        <f t="shared" si="208"/>
        <v>5854</v>
      </c>
      <c r="U258" s="259">
        <f t="shared" si="209"/>
        <v>99518</v>
      </c>
      <c r="V258" s="446">
        <f t="shared" si="210"/>
        <v>641</v>
      </c>
      <c r="W258" s="446">
        <f t="shared" si="211"/>
        <v>31.280800000000003</v>
      </c>
      <c r="X258" s="446">
        <f t="shared" si="212"/>
        <v>0.55127025600000001</v>
      </c>
      <c r="Y258" s="446">
        <f t="shared" si="213"/>
        <v>673</v>
      </c>
      <c r="Z258" s="260">
        <f t="shared" si="214"/>
        <v>63791038</v>
      </c>
      <c r="AA258" s="260">
        <f t="shared" si="215"/>
        <v>66975614</v>
      </c>
      <c r="AB258" s="425">
        <f t="shared" si="216"/>
        <v>17</v>
      </c>
      <c r="AC258" s="425">
        <f t="array" ref="AC258">MAX((IF(MNU_CODIGO_ALIMENTO_ENTREGA=CONCATENATE($E258,"_","P_"),MNU_GRAMAJE_REQUERIDO_TIPOC,"")))</f>
        <v>80</v>
      </c>
      <c r="AD258" s="257">
        <f t="shared" si="217"/>
        <v>5749</v>
      </c>
      <c r="AE258" s="257">
        <f t="shared" si="218"/>
        <v>97733</v>
      </c>
      <c r="AF258" s="446">
        <f t="shared" si="219"/>
        <v>1025</v>
      </c>
      <c r="AG258" s="446">
        <f t="shared" si="220"/>
        <v>50.02</v>
      </c>
      <c r="AH258" s="446">
        <f t="shared" si="221"/>
        <v>0.88151640000000009</v>
      </c>
      <c r="AI258" s="446">
        <f t="shared" si="222"/>
        <v>1076</v>
      </c>
      <c r="AJ258" s="258">
        <f t="shared" si="223"/>
        <v>100176325</v>
      </c>
      <c r="AK258" s="258">
        <f t="shared" si="224"/>
        <v>105160708</v>
      </c>
      <c r="AL258" s="426">
        <f t="shared" si="225"/>
        <v>17</v>
      </c>
      <c r="AM258" s="426">
        <f t="array" ref="AM258">MAX((IF(MNU_CODIGO_ALIMENTO_ENTREGA=CONCATENATE($E258,"_","P_"),MNU_GRAMAJE_REQUERIDO_TIPOM,"")))</f>
        <v>50</v>
      </c>
      <c r="AN258" s="259">
        <f t="shared" si="226"/>
        <v>113</v>
      </c>
      <c r="AO258" s="259">
        <f t="shared" si="227"/>
        <v>1921</v>
      </c>
      <c r="AP258" s="446">
        <f t="shared" si="228"/>
        <v>641</v>
      </c>
      <c r="AQ258" s="446">
        <f t="shared" si="229"/>
        <v>31.280800000000003</v>
      </c>
      <c r="AR258" s="446">
        <f t="shared" si="230"/>
        <v>0.55127025600000001</v>
      </c>
      <c r="AS258" s="446">
        <f t="shared" si="231"/>
        <v>673</v>
      </c>
      <c r="AT258" s="260">
        <f t="shared" si="232"/>
        <v>1231361</v>
      </c>
      <c r="AU258" s="260">
        <f t="shared" si="233"/>
        <v>1292833</v>
      </c>
      <c r="AV258" s="425">
        <f t="shared" si="234"/>
        <v>17</v>
      </c>
      <c r="AW258" s="425">
        <f t="array" ref="AW258">MAX((IF(MNU_CODIGO_ALIMENTO_ENTREGA=CONCATENATE($E258,"_","P_"),MNU_GRAMAJE_REQUERIDO_TIPOH,"")))</f>
        <v>80</v>
      </c>
      <c r="AX258" s="257">
        <f t="shared" si="235"/>
        <v>111</v>
      </c>
      <c r="AY258" s="257">
        <f t="shared" si="236"/>
        <v>1887</v>
      </c>
      <c r="AZ258" s="446">
        <f t="shared" si="237"/>
        <v>1025</v>
      </c>
      <c r="BA258" s="446">
        <f t="shared" si="238"/>
        <v>50.02</v>
      </c>
      <c r="BB258" s="446">
        <f t="shared" si="239"/>
        <v>0.88151640000000009</v>
      </c>
      <c r="BC258" s="446">
        <f t="shared" si="240"/>
        <v>1076</v>
      </c>
      <c r="BD258" s="258">
        <f t="shared" si="241"/>
        <v>1934175</v>
      </c>
      <c r="BE258" s="258">
        <f t="shared" si="242"/>
        <v>2030412</v>
      </c>
      <c r="BF258" s="391">
        <f t="shared" si="243"/>
        <v>216038635</v>
      </c>
      <c r="BG258" s="391">
        <f t="shared" si="244"/>
        <v>226806775</v>
      </c>
    </row>
    <row r="259" spans="1:59" ht="15.75">
      <c r="A259" s="333">
        <v>21</v>
      </c>
      <c r="B259" s="333" t="str">
        <f t="shared" si="196"/>
        <v>CEREAL EMPACADO_21</v>
      </c>
      <c r="C259" s="333" t="str">
        <f t="shared" si="197"/>
        <v>24_21</v>
      </c>
      <c r="D259" s="333" t="s">
        <v>1607</v>
      </c>
      <c r="E259" s="256">
        <v>24</v>
      </c>
      <c r="F259" s="322" t="s">
        <v>61</v>
      </c>
      <c r="G259" s="256" t="s">
        <v>9</v>
      </c>
      <c r="H259" s="425">
        <f t="shared" si="198"/>
        <v>17</v>
      </c>
      <c r="I259" s="425">
        <f t="array" ref="I259">MAX((IF(MNU_CODIGO_ALIMENTO_ENTREGA=CONCATENATE($E259,"_","P_"),MNU_GRAMAJE_REQUERIDO_TIPOA,"")))</f>
        <v>20</v>
      </c>
      <c r="J259" s="257">
        <f t="shared" si="199"/>
        <v>4488</v>
      </c>
      <c r="K259" s="257">
        <f t="shared" si="200"/>
        <v>76296</v>
      </c>
      <c r="L259" s="446">
        <f t="shared" si="201"/>
        <v>122</v>
      </c>
      <c r="M259" s="446">
        <f t="shared" si="202"/>
        <v>5.9535999999999998</v>
      </c>
      <c r="N259" s="446">
        <f t="shared" si="203"/>
        <v>0.104921952</v>
      </c>
      <c r="O259" s="446">
        <f t="shared" si="204"/>
        <v>128</v>
      </c>
      <c r="P259" s="258">
        <f t="shared" si="205"/>
        <v>9308112</v>
      </c>
      <c r="Q259" s="258">
        <f t="shared" si="206"/>
        <v>9765888</v>
      </c>
      <c r="R259" s="426">
        <f t="shared" si="207"/>
        <v>17</v>
      </c>
      <c r="S259" s="426">
        <f t="array" ref="S259">MAX((IF(MNU_CODIGO_ALIMENTO_ENTREGA=CONCATENATE($E259,"_","P_"),MNU_GRAMAJE_REQUERIDO_TIPOB,"")))</f>
        <v>30</v>
      </c>
      <c r="T259" s="259">
        <f t="shared" si="208"/>
        <v>5854</v>
      </c>
      <c r="U259" s="259">
        <f t="shared" si="209"/>
        <v>99518</v>
      </c>
      <c r="V259" s="446">
        <f t="shared" si="210"/>
        <v>191</v>
      </c>
      <c r="W259" s="446">
        <f t="shared" si="211"/>
        <v>9.3208000000000002</v>
      </c>
      <c r="X259" s="446">
        <f t="shared" si="212"/>
        <v>0.16426305600000002</v>
      </c>
      <c r="Y259" s="446">
        <f t="shared" si="213"/>
        <v>200</v>
      </c>
      <c r="Z259" s="260">
        <f t="shared" si="214"/>
        <v>19007938</v>
      </c>
      <c r="AA259" s="260">
        <f t="shared" si="215"/>
        <v>19903600</v>
      </c>
      <c r="AB259" s="425">
        <f t="shared" si="216"/>
        <v>17</v>
      </c>
      <c r="AC259" s="425">
        <f t="array" ref="AC259">MAX((IF(MNU_CODIGO_ALIMENTO_ENTREGA=CONCATENATE($E259,"_","P_"),MNU_GRAMAJE_REQUERIDO_TIPOC,"")))</f>
        <v>60</v>
      </c>
      <c r="AD259" s="257">
        <f t="shared" si="217"/>
        <v>5749</v>
      </c>
      <c r="AE259" s="257">
        <f t="shared" si="218"/>
        <v>97733</v>
      </c>
      <c r="AF259" s="446">
        <f t="shared" si="219"/>
        <v>367</v>
      </c>
      <c r="AG259" s="446">
        <f t="shared" si="220"/>
        <v>17.909599999999998</v>
      </c>
      <c r="AH259" s="446">
        <f t="shared" si="221"/>
        <v>0.31562587200000003</v>
      </c>
      <c r="AI259" s="446">
        <f t="shared" si="222"/>
        <v>385</v>
      </c>
      <c r="AJ259" s="258">
        <f t="shared" si="223"/>
        <v>35868011</v>
      </c>
      <c r="AK259" s="258">
        <f t="shared" si="224"/>
        <v>37627205</v>
      </c>
      <c r="AL259" s="426">
        <f t="shared" si="225"/>
        <v>17</v>
      </c>
      <c r="AM259" s="426">
        <f t="array" ref="AM259">MAX((IF(MNU_CODIGO_ALIMENTO_ENTREGA=CONCATENATE($E259,"_","P_"),MNU_GRAMAJE_REQUERIDO_TIPOM,"")))</f>
        <v>30</v>
      </c>
      <c r="AN259" s="259">
        <f t="shared" si="226"/>
        <v>113</v>
      </c>
      <c r="AO259" s="259">
        <f t="shared" si="227"/>
        <v>1921</v>
      </c>
      <c r="AP259" s="446">
        <f t="shared" si="228"/>
        <v>191</v>
      </c>
      <c r="AQ259" s="446">
        <f t="shared" si="229"/>
        <v>9.3208000000000002</v>
      </c>
      <c r="AR259" s="446">
        <f t="shared" si="230"/>
        <v>0.16426305600000002</v>
      </c>
      <c r="AS259" s="446">
        <f t="shared" si="231"/>
        <v>200</v>
      </c>
      <c r="AT259" s="260">
        <f t="shared" si="232"/>
        <v>366911</v>
      </c>
      <c r="AU259" s="260">
        <f t="shared" si="233"/>
        <v>384200</v>
      </c>
      <c r="AV259" s="425">
        <f t="shared" si="234"/>
        <v>17</v>
      </c>
      <c r="AW259" s="425">
        <f t="array" ref="AW259">MAX((IF(MNU_CODIGO_ALIMENTO_ENTREGA=CONCATENATE($E259,"_","P_"),MNU_GRAMAJE_REQUERIDO_TIPOH,"")))</f>
        <v>60</v>
      </c>
      <c r="AX259" s="257">
        <f t="shared" si="235"/>
        <v>111</v>
      </c>
      <c r="AY259" s="257">
        <f t="shared" si="236"/>
        <v>1887</v>
      </c>
      <c r="AZ259" s="446">
        <f t="shared" si="237"/>
        <v>367</v>
      </c>
      <c r="BA259" s="446">
        <f t="shared" si="238"/>
        <v>17.909599999999998</v>
      </c>
      <c r="BB259" s="446">
        <f t="shared" si="239"/>
        <v>0.31562587200000003</v>
      </c>
      <c r="BC259" s="446">
        <f t="shared" si="240"/>
        <v>385</v>
      </c>
      <c r="BD259" s="258">
        <f t="shared" si="241"/>
        <v>692529</v>
      </c>
      <c r="BE259" s="258">
        <f t="shared" si="242"/>
        <v>726495</v>
      </c>
      <c r="BF259" s="391">
        <f t="shared" si="243"/>
        <v>65243501</v>
      </c>
      <c r="BG259" s="391">
        <f t="shared" si="244"/>
        <v>68407388</v>
      </c>
    </row>
    <row r="260" spans="1:59" ht="15.75">
      <c r="A260" s="333">
        <v>21</v>
      </c>
      <c r="B260" s="333" t="str">
        <f t="shared" si="196"/>
        <v>CEREAL EMPACADO_21</v>
      </c>
      <c r="C260" s="333" t="str">
        <f t="shared" si="197"/>
        <v>25_21</v>
      </c>
      <c r="D260" s="333" t="s">
        <v>1607</v>
      </c>
      <c r="E260" s="256">
        <v>25</v>
      </c>
      <c r="F260" s="322" t="s">
        <v>64</v>
      </c>
      <c r="G260" s="256" t="s">
        <v>9</v>
      </c>
      <c r="H260" s="425">
        <f t="shared" si="198"/>
        <v>17</v>
      </c>
      <c r="I260" s="425">
        <f t="array" ref="I260">MAX((IF(MNU_CODIGO_ALIMENTO_ENTREGA=CONCATENATE($E260,"_","P_"),MNU_GRAMAJE_REQUERIDO_TIPOA,"")))</f>
        <v>40</v>
      </c>
      <c r="J260" s="257">
        <f t="shared" si="199"/>
        <v>4488</v>
      </c>
      <c r="K260" s="257">
        <f t="shared" si="200"/>
        <v>76296</v>
      </c>
      <c r="L260" s="446">
        <f t="shared" si="201"/>
        <v>244</v>
      </c>
      <c r="M260" s="446">
        <f t="shared" si="202"/>
        <v>11.9072</v>
      </c>
      <c r="N260" s="446">
        <f t="shared" si="203"/>
        <v>0.209843904</v>
      </c>
      <c r="O260" s="446">
        <f t="shared" si="204"/>
        <v>256</v>
      </c>
      <c r="P260" s="258">
        <f t="shared" si="205"/>
        <v>18616224</v>
      </c>
      <c r="Q260" s="258">
        <f t="shared" si="206"/>
        <v>19531776</v>
      </c>
      <c r="R260" s="426">
        <f t="shared" si="207"/>
        <v>17</v>
      </c>
      <c r="S260" s="426">
        <f t="array" ref="S260">MAX((IF(MNU_CODIGO_ALIMENTO_ENTREGA=CONCATENATE($E260,"_","P_"),MNU_GRAMAJE_REQUERIDO_TIPOB,"")))</f>
        <v>40</v>
      </c>
      <c r="T260" s="259">
        <f t="shared" si="208"/>
        <v>5854</v>
      </c>
      <c r="U260" s="259">
        <f t="shared" si="209"/>
        <v>99518</v>
      </c>
      <c r="V260" s="446">
        <f t="shared" si="210"/>
        <v>244</v>
      </c>
      <c r="W260" s="446">
        <f t="shared" si="211"/>
        <v>11.9072</v>
      </c>
      <c r="X260" s="446">
        <f t="shared" si="212"/>
        <v>0.209843904</v>
      </c>
      <c r="Y260" s="446">
        <f t="shared" si="213"/>
        <v>256</v>
      </c>
      <c r="Z260" s="260">
        <f t="shared" si="214"/>
        <v>24282392</v>
      </c>
      <c r="AA260" s="260">
        <f t="shared" si="215"/>
        <v>25476608</v>
      </c>
      <c r="AB260" s="425">
        <f t="shared" si="216"/>
        <v>17</v>
      </c>
      <c r="AC260" s="425">
        <f t="array" ref="AC260">MAX((IF(MNU_CODIGO_ALIMENTO_ENTREGA=CONCATENATE($E260,"_","P_"),MNU_GRAMAJE_REQUERIDO_TIPOC,"")))</f>
        <v>60</v>
      </c>
      <c r="AD260" s="257">
        <f t="shared" si="217"/>
        <v>5749</v>
      </c>
      <c r="AE260" s="257">
        <f t="shared" si="218"/>
        <v>97733</v>
      </c>
      <c r="AF260" s="446">
        <f t="shared" si="219"/>
        <v>366</v>
      </c>
      <c r="AG260" s="446">
        <f t="shared" si="220"/>
        <v>17.860800000000001</v>
      </c>
      <c r="AH260" s="446">
        <f t="shared" si="221"/>
        <v>0.31476585600000001</v>
      </c>
      <c r="AI260" s="446">
        <f t="shared" si="222"/>
        <v>384</v>
      </c>
      <c r="AJ260" s="258">
        <f t="shared" si="223"/>
        <v>35770278</v>
      </c>
      <c r="AK260" s="258">
        <f t="shared" si="224"/>
        <v>37529472</v>
      </c>
      <c r="AL260" s="426">
        <f t="shared" si="225"/>
        <v>17</v>
      </c>
      <c r="AM260" s="426">
        <f t="array" ref="AM260">MAX((IF(MNU_CODIGO_ALIMENTO_ENTREGA=CONCATENATE($E260,"_","P_"),MNU_GRAMAJE_REQUERIDO_TIPOM,"")))</f>
        <v>40</v>
      </c>
      <c r="AN260" s="259">
        <f t="shared" si="226"/>
        <v>113</v>
      </c>
      <c r="AO260" s="259">
        <f t="shared" si="227"/>
        <v>1921</v>
      </c>
      <c r="AP260" s="446">
        <f t="shared" si="228"/>
        <v>244</v>
      </c>
      <c r="AQ260" s="446">
        <f t="shared" si="229"/>
        <v>11.9072</v>
      </c>
      <c r="AR260" s="446">
        <f t="shared" si="230"/>
        <v>0.209843904</v>
      </c>
      <c r="AS260" s="446">
        <f t="shared" si="231"/>
        <v>256</v>
      </c>
      <c r="AT260" s="260">
        <f t="shared" si="232"/>
        <v>468724</v>
      </c>
      <c r="AU260" s="260">
        <f t="shared" si="233"/>
        <v>491776</v>
      </c>
      <c r="AV260" s="425">
        <f t="shared" si="234"/>
        <v>17</v>
      </c>
      <c r="AW260" s="425">
        <f t="array" ref="AW260">MAX((IF(MNU_CODIGO_ALIMENTO_ENTREGA=CONCATENATE($E260,"_","P_"),MNU_GRAMAJE_REQUERIDO_TIPOH,"")))</f>
        <v>60</v>
      </c>
      <c r="AX260" s="257">
        <f t="shared" si="235"/>
        <v>111</v>
      </c>
      <c r="AY260" s="257">
        <f t="shared" si="236"/>
        <v>1887</v>
      </c>
      <c r="AZ260" s="446">
        <f t="shared" si="237"/>
        <v>366</v>
      </c>
      <c r="BA260" s="446">
        <f t="shared" si="238"/>
        <v>17.860800000000001</v>
      </c>
      <c r="BB260" s="446">
        <f t="shared" si="239"/>
        <v>0.31476585600000001</v>
      </c>
      <c r="BC260" s="446">
        <f t="shared" si="240"/>
        <v>384</v>
      </c>
      <c r="BD260" s="258">
        <f t="shared" si="241"/>
        <v>690642</v>
      </c>
      <c r="BE260" s="258">
        <f t="shared" si="242"/>
        <v>724608</v>
      </c>
      <c r="BF260" s="391">
        <f t="shared" si="243"/>
        <v>79828260</v>
      </c>
      <c r="BG260" s="391">
        <f t="shared" si="244"/>
        <v>83754240</v>
      </c>
    </row>
    <row r="261" spans="1:59" ht="15.75">
      <c r="A261" s="333">
        <v>21</v>
      </c>
      <c r="B261" s="333" t="str">
        <f t="shared" si="196"/>
        <v>CEREAL EMPACADO_21</v>
      </c>
      <c r="C261" s="333" t="str">
        <f t="shared" si="197"/>
        <v>26_21</v>
      </c>
      <c r="D261" s="333" t="s">
        <v>1607</v>
      </c>
      <c r="E261" s="256">
        <v>26</v>
      </c>
      <c r="F261" s="322" t="s">
        <v>69</v>
      </c>
      <c r="G261" s="256" t="s">
        <v>9</v>
      </c>
      <c r="H261" s="425">
        <f t="shared" si="198"/>
        <v>6</v>
      </c>
      <c r="I261" s="425">
        <f t="array" ref="I261">MAX((IF(MNU_CODIGO_ALIMENTO_ENTREGA=CONCATENATE($E261,"_","P_"),MNU_GRAMAJE_REQUERIDO_TIPOA,"")))</f>
        <v>30</v>
      </c>
      <c r="J261" s="257">
        <f t="shared" si="199"/>
        <v>4488</v>
      </c>
      <c r="K261" s="257">
        <f t="shared" si="200"/>
        <v>26928</v>
      </c>
      <c r="L261" s="446">
        <f t="shared" si="201"/>
        <v>163</v>
      </c>
      <c r="M261" s="446">
        <f t="shared" si="202"/>
        <v>7.9543999999999997</v>
      </c>
      <c r="N261" s="446">
        <f t="shared" si="203"/>
        <v>0.14018260800000001</v>
      </c>
      <c r="O261" s="446">
        <f t="shared" si="204"/>
        <v>171</v>
      </c>
      <c r="P261" s="258">
        <f t="shared" si="205"/>
        <v>4389264</v>
      </c>
      <c r="Q261" s="258">
        <f t="shared" si="206"/>
        <v>4604688</v>
      </c>
      <c r="R261" s="426">
        <f t="shared" si="207"/>
        <v>6</v>
      </c>
      <c r="S261" s="426">
        <f t="array" ref="S261">MAX((IF(MNU_CODIGO_ALIMENTO_ENTREGA=CONCATENATE($E261,"_","P_"),MNU_GRAMAJE_REQUERIDO_TIPOB,"")))</f>
        <v>30</v>
      </c>
      <c r="T261" s="259">
        <f t="shared" si="208"/>
        <v>5854</v>
      </c>
      <c r="U261" s="259">
        <f t="shared" si="209"/>
        <v>35124</v>
      </c>
      <c r="V261" s="446">
        <f t="shared" si="210"/>
        <v>163</v>
      </c>
      <c r="W261" s="446">
        <f t="shared" si="211"/>
        <v>7.9543999999999997</v>
      </c>
      <c r="X261" s="446">
        <f t="shared" si="212"/>
        <v>0.14018260800000001</v>
      </c>
      <c r="Y261" s="446">
        <f t="shared" si="213"/>
        <v>171</v>
      </c>
      <c r="Z261" s="260">
        <f t="shared" si="214"/>
        <v>5725212</v>
      </c>
      <c r="AA261" s="260">
        <f t="shared" si="215"/>
        <v>6006204</v>
      </c>
      <c r="AB261" s="425">
        <f t="shared" si="216"/>
        <v>6</v>
      </c>
      <c r="AC261" s="425">
        <f t="array" ref="AC261">MAX((IF(MNU_CODIGO_ALIMENTO_ENTREGA=CONCATENATE($E261,"_","P_"),MNU_GRAMAJE_REQUERIDO_TIPOC,"")))</f>
        <v>30</v>
      </c>
      <c r="AD261" s="257">
        <f t="shared" si="217"/>
        <v>5749</v>
      </c>
      <c r="AE261" s="257">
        <f t="shared" si="218"/>
        <v>34494</v>
      </c>
      <c r="AF261" s="446">
        <f t="shared" si="219"/>
        <v>163</v>
      </c>
      <c r="AG261" s="446">
        <f t="shared" si="220"/>
        <v>7.9543999999999997</v>
      </c>
      <c r="AH261" s="446">
        <f t="shared" si="221"/>
        <v>0.14018260800000001</v>
      </c>
      <c r="AI261" s="446">
        <f t="shared" si="222"/>
        <v>171</v>
      </c>
      <c r="AJ261" s="258">
        <f t="shared" si="223"/>
        <v>5622522</v>
      </c>
      <c r="AK261" s="258">
        <f t="shared" si="224"/>
        <v>5898474</v>
      </c>
      <c r="AL261" s="426">
        <f t="shared" si="225"/>
        <v>6</v>
      </c>
      <c r="AM261" s="426">
        <f t="array" ref="AM261">MAX((IF(MNU_CODIGO_ALIMENTO_ENTREGA=CONCATENATE($E261,"_","P_"),MNU_GRAMAJE_REQUERIDO_TIPOM,"")))</f>
        <v>30</v>
      </c>
      <c r="AN261" s="259">
        <f t="shared" si="226"/>
        <v>113</v>
      </c>
      <c r="AO261" s="259">
        <f t="shared" si="227"/>
        <v>678</v>
      </c>
      <c r="AP261" s="446">
        <f t="shared" si="228"/>
        <v>163</v>
      </c>
      <c r="AQ261" s="446">
        <f t="shared" si="229"/>
        <v>7.9543999999999997</v>
      </c>
      <c r="AR261" s="446">
        <f t="shared" si="230"/>
        <v>0.14018260800000001</v>
      </c>
      <c r="AS261" s="446">
        <f t="shared" si="231"/>
        <v>171</v>
      </c>
      <c r="AT261" s="260">
        <f t="shared" si="232"/>
        <v>110514</v>
      </c>
      <c r="AU261" s="260">
        <f t="shared" si="233"/>
        <v>115938</v>
      </c>
      <c r="AV261" s="425">
        <f t="shared" si="234"/>
        <v>6</v>
      </c>
      <c r="AW261" s="425">
        <f t="array" ref="AW261">MAX((IF(MNU_CODIGO_ALIMENTO_ENTREGA=CONCATENATE($E261,"_","P_"),MNU_GRAMAJE_REQUERIDO_TIPOH,"")))</f>
        <v>30</v>
      </c>
      <c r="AX261" s="257">
        <f t="shared" si="235"/>
        <v>111</v>
      </c>
      <c r="AY261" s="257">
        <f t="shared" si="236"/>
        <v>666</v>
      </c>
      <c r="AZ261" s="446">
        <f t="shared" si="237"/>
        <v>163</v>
      </c>
      <c r="BA261" s="446">
        <f t="shared" si="238"/>
        <v>7.9543999999999997</v>
      </c>
      <c r="BB261" s="446">
        <f t="shared" si="239"/>
        <v>0.14018260800000001</v>
      </c>
      <c r="BC261" s="446">
        <f t="shared" si="240"/>
        <v>171</v>
      </c>
      <c r="BD261" s="258">
        <f t="shared" si="241"/>
        <v>108558</v>
      </c>
      <c r="BE261" s="258">
        <f t="shared" si="242"/>
        <v>113886</v>
      </c>
      <c r="BF261" s="391">
        <f t="shared" si="243"/>
        <v>15956070</v>
      </c>
      <c r="BG261" s="391">
        <f t="shared" si="244"/>
        <v>16739190</v>
      </c>
    </row>
    <row r="262" spans="1:59" ht="27">
      <c r="A262" s="333">
        <v>21</v>
      </c>
      <c r="B262" s="333" t="str">
        <f t="shared" si="196"/>
        <v>CEREAL EMPACADO_21</v>
      </c>
      <c r="C262" s="333" t="str">
        <f t="shared" si="197"/>
        <v>28_21</v>
      </c>
      <c r="D262" s="333" t="s">
        <v>1607</v>
      </c>
      <c r="E262" s="256">
        <v>28</v>
      </c>
      <c r="F262" s="322" t="s">
        <v>67</v>
      </c>
      <c r="G262" s="256" t="s">
        <v>9</v>
      </c>
      <c r="H262" s="425">
        <f t="shared" si="198"/>
        <v>6</v>
      </c>
      <c r="I262" s="425">
        <f t="array" ref="I262">MAX((IF(MNU_CODIGO_ALIMENTO_ENTREGA=CONCATENATE($E262,"_","P_"),MNU_GRAMAJE_REQUERIDO_TIPOA,"")))</f>
        <v>30</v>
      </c>
      <c r="J262" s="257">
        <f t="shared" si="199"/>
        <v>4488</v>
      </c>
      <c r="K262" s="257">
        <f t="shared" si="200"/>
        <v>26928</v>
      </c>
      <c r="L262" s="446">
        <f t="shared" si="201"/>
        <v>215</v>
      </c>
      <c r="M262" s="446">
        <f t="shared" si="202"/>
        <v>10.492000000000001</v>
      </c>
      <c r="N262" s="446">
        <f t="shared" si="203"/>
        <v>0.18490343999999997</v>
      </c>
      <c r="O262" s="446">
        <f t="shared" si="204"/>
        <v>226</v>
      </c>
      <c r="P262" s="258">
        <f t="shared" si="205"/>
        <v>5789520</v>
      </c>
      <c r="Q262" s="258">
        <f t="shared" si="206"/>
        <v>6085728</v>
      </c>
      <c r="R262" s="426">
        <f t="shared" si="207"/>
        <v>6</v>
      </c>
      <c r="S262" s="426">
        <f t="array" ref="S262">MAX((IF(MNU_CODIGO_ALIMENTO_ENTREGA=CONCATENATE($E262,"_","P_"),MNU_GRAMAJE_REQUERIDO_TIPOB,"")))</f>
        <v>40</v>
      </c>
      <c r="T262" s="259">
        <f t="shared" si="208"/>
        <v>5854</v>
      </c>
      <c r="U262" s="259">
        <f t="shared" si="209"/>
        <v>35124</v>
      </c>
      <c r="V262" s="446">
        <f t="shared" si="210"/>
        <v>287</v>
      </c>
      <c r="W262" s="446">
        <f t="shared" si="211"/>
        <v>14.005600000000001</v>
      </c>
      <c r="X262" s="446">
        <f t="shared" si="212"/>
        <v>0.24682459200000004</v>
      </c>
      <c r="Y262" s="446">
        <f t="shared" si="213"/>
        <v>301</v>
      </c>
      <c r="Z262" s="260">
        <f t="shared" si="214"/>
        <v>10080588</v>
      </c>
      <c r="AA262" s="260">
        <f t="shared" si="215"/>
        <v>10572324</v>
      </c>
      <c r="AB262" s="425">
        <f t="shared" si="216"/>
        <v>6</v>
      </c>
      <c r="AC262" s="425">
        <f t="array" ref="AC262">MAX((IF(MNU_CODIGO_ALIMENTO_ENTREGA=CONCATENATE($E262,"_","P_"),MNU_GRAMAJE_REQUERIDO_TIPOC,"")))</f>
        <v>60</v>
      </c>
      <c r="AD262" s="257">
        <f t="shared" si="217"/>
        <v>5749</v>
      </c>
      <c r="AE262" s="257">
        <f t="shared" si="218"/>
        <v>34494</v>
      </c>
      <c r="AF262" s="446">
        <f t="shared" si="219"/>
        <v>430</v>
      </c>
      <c r="AG262" s="446">
        <f t="shared" si="220"/>
        <v>20.984000000000002</v>
      </c>
      <c r="AH262" s="446">
        <f t="shared" si="221"/>
        <v>0.36980687999999995</v>
      </c>
      <c r="AI262" s="446">
        <f t="shared" si="222"/>
        <v>451</v>
      </c>
      <c r="AJ262" s="258">
        <f t="shared" si="223"/>
        <v>14832420</v>
      </c>
      <c r="AK262" s="258">
        <f t="shared" si="224"/>
        <v>15556794</v>
      </c>
      <c r="AL262" s="426">
        <f t="shared" si="225"/>
        <v>6</v>
      </c>
      <c r="AM262" s="426">
        <f t="array" ref="AM262">MAX((IF(MNU_CODIGO_ALIMENTO_ENTREGA=CONCATENATE($E262,"_","P_"),MNU_GRAMAJE_REQUERIDO_TIPOM,"")))</f>
        <v>40</v>
      </c>
      <c r="AN262" s="259">
        <f t="shared" si="226"/>
        <v>113</v>
      </c>
      <c r="AO262" s="259">
        <f t="shared" si="227"/>
        <v>678</v>
      </c>
      <c r="AP262" s="446">
        <f t="shared" si="228"/>
        <v>287</v>
      </c>
      <c r="AQ262" s="446">
        <f t="shared" si="229"/>
        <v>14.005600000000001</v>
      </c>
      <c r="AR262" s="446">
        <f t="shared" si="230"/>
        <v>0.24682459200000004</v>
      </c>
      <c r="AS262" s="446">
        <f t="shared" si="231"/>
        <v>301</v>
      </c>
      <c r="AT262" s="260">
        <f t="shared" si="232"/>
        <v>194586</v>
      </c>
      <c r="AU262" s="260">
        <f t="shared" si="233"/>
        <v>204078</v>
      </c>
      <c r="AV262" s="425">
        <f t="shared" si="234"/>
        <v>6</v>
      </c>
      <c r="AW262" s="425">
        <f t="array" ref="AW262">MAX((IF(MNU_CODIGO_ALIMENTO_ENTREGA=CONCATENATE($E262,"_","P_"),MNU_GRAMAJE_REQUERIDO_TIPOH,"")))</f>
        <v>60</v>
      </c>
      <c r="AX262" s="257">
        <f t="shared" si="235"/>
        <v>111</v>
      </c>
      <c r="AY262" s="257">
        <f t="shared" si="236"/>
        <v>666</v>
      </c>
      <c r="AZ262" s="446">
        <f t="shared" si="237"/>
        <v>430</v>
      </c>
      <c r="BA262" s="446">
        <f t="shared" si="238"/>
        <v>20.984000000000002</v>
      </c>
      <c r="BB262" s="446">
        <f t="shared" si="239"/>
        <v>0.36980687999999995</v>
      </c>
      <c r="BC262" s="446">
        <f t="shared" si="240"/>
        <v>451</v>
      </c>
      <c r="BD262" s="258">
        <f t="shared" si="241"/>
        <v>286380</v>
      </c>
      <c r="BE262" s="258">
        <f t="shared" si="242"/>
        <v>300366</v>
      </c>
      <c r="BF262" s="391">
        <f t="shared" si="243"/>
        <v>31183494</v>
      </c>
      <c r="BG262" s="391">
        <f t="shared" si="244"/>
        <v>32719290</v>
      </c>
    </row>
    <row r="263" spans="1:59" ht="15.75">
      <c r="A263" s="333">
        <v>21</v>
      </c>
      <c r="B263" s="333" t="str">
        <f t="shared" si="196"/>
        <v>CEREAL EMPACADO_21</v>
      </c>
      <c r="C263" s="333" t="str">
        <f t="shared" si="197"/>
        <v>30_21</v>
      </c>
      <c r="D263" s="333" t="s">
        <v>1607</v>
      </c>
      <c r="E263" s="256">
        <v>30</v>
      </c>
      <c r="F263" s="322" t="s">
        <v>63</v>
      </c>
      <c r="G263" s="256" t="s">
        <v>9</v>
      </c>
      <c r="H263" s="425">
        <f t="shared" si="198"/>
        <v>16</v>
      </c>
      <c r="I263" s="425">
        <f t="array" ref="I263">MAX((IF(MNU_CODIGO_ALIMENTO_ENTREGA=CONCATENATE($E263,"_","P_"),MNU_GRAMAJE_REQUERIDO_TIPOA,"")))</f>
        <v>30</v>
      </c>
      <c r="J263" s="257">
        <f t="shared" si="199"/>
        <v>4488</v>
      </c>
      <c r="K263" s="257">
        <f t="shared" si="200"/>
        <v>71808</v>
      </c>
      <c r="L263" s="446">
        <f t="shared" si="201"/>
        <v>316</v>
      </c>
      <c r="M263" s="446">
        <f t="shared" si="202"/>
        <v>15.4208</v>
      </c>
      <c r="N263" s="446">
        <f t="shared" si="203"/>
        <v>0.271765056</v>
      </c>
      <c r="O263" s="446">
        <f t="shared" si="204"/>
        <v>332</v>
      </c>
      <c r="P263" s="258">
        <f t="shared" si="205"/>
        <v>22691328</v>
      </c>
      <c r="Q263" s="258">
        <f t="shared" si="206"/>
        <v>23840256</v>
      </c>
      <c r="R263" s="426">
        <f t="shared" si="207"/>
        <v>16</v>
      </c>
      <c r="S263" s="426">
        <f t="array" ref="S263">MAX((IF(MNU_CODIGO_ALIMENTO_ENTREGA=CONCATENATE($E263,"_","P_"),MNU_GRAMAJE_REQUERIDO_TIPOB,"")))</f>
        <v>30</v>
      </c>
      <c r="T263" s="259">
        <f t="shared" si="208"/>
        <v>5854</v>
      </c>
      <c r="U263" s="259">
        <f t="shared" si="209"/>
        <v>93664</v>
      </c>
      <c r="V263" s="446">
        <f t="shared" si="210"/>
        <v>316</v>
      </c>
      <c r="W263" s="446">
        <f t="shared" si="211"/>
        <v>15.4208</v>
      </c>
      <c r="X263" s="446">
        <f t="shared" si="212"/>
        <v>0.271765056</v>
      </c>
      <c r="Y263" s="446">
        <f t="shared" si="213"/>
        <v>332</v>
      </c>
      <c r="Z263" s="260">
        <f t="shared" si="214"/>
        <v>29597824</v>
      </c>
      <c r="AA263" s="260">
        <f t="shared" si="215"/>
        <v>31096448</v>
      </c>
      <c r="AB263" s="425">
        <f t="shared" si="216"/>
        <v>16</v>
      </c>
      <c r="AC263" s="425">
        <f t="array" ref="AC263">MAX((IF(MNU_CODIGO_ALIMENTO_ENTREGA=CONCATENATE($E263,"_","P_"),MNU_GRAMAJE_REQUERIDO_TIPOC,"")))</f>
        <v>30</v>
      </c>
      <c r="AD263" s="257">
        <f t="shared" si="217"/>
        <v>5749</v>
      </c>
      <c r="AE263" s="257">
        <f t="shared" si="218"/>
        <v>91984</v>
      </c>
      <c r="AF263" s="446">
        <f t="shared" si="219"/>
        <v>316</v>
      </c>
      <c r="AG263" s="446">
        <f t="shared" si="220"/>
        <v>15.4208</v>
      </c>
      <c r="AH263" s="446">
        <f t="shared" si="221"/>
        <v>0.271765056</v>
      </c>
      <c r="AI263" s="446">
        <f t="shared" si="222"/>
        <v>332</v>
      </c>
      <c r="AJ263" s="258">
        <f t="shared" si="223"/>
        <v>29066944</v>
      </c>
      <c r="AK263" s="258">
        <f t="shared" si="224"/>
        <v>30538688</v>
      </c>
      <c r="AL263" s="426">
        <f t="shared" si="225"/>
        <v>16</v>
      </c>
      <c r="AM263" s="426">
        <f t="array" ref="AM263">MAX((IF(MNU_CODIGO_ALIMENTO_ENTREGA=CONCATENATE($E263,"_","P_"),MNU_GRAMAJE_REQUERIDO_TIPOM,"")))</f>
        <v>30</v>
      </c>
      <c r="AN263" s="259">
        <f t="shared" si="226"/>
        <v>113</v>
      </c>
      <c r="AO263" s="259">
        <f t="shared" si="227"/>
        <v>1808</v>
      </c>
      <c r="AP263" s="446">
        <f t="shared" si="228"/>
        <v>316</v>
      </c>
      <c r="AQ263" s="446">
        <f t="shared" si="229"/>
        <v>15.4208</v>
      </c>
      <c r="AR263" s="446">
        <f t="shared" si="230"/>
        <v>0.271765056</v>
      </c>
      <c r="AS263" s="446">
        <f t="shared" si="231"/>
        <v>332</v>
      </c>
      <c r="AT263" s="260">
        <f t="shared" si="232"/>
        <v>571328</v>
      </c>
      <c r="AU263" s="260">
        <f t="shared" si="233"/>
        <v>600256</v>
      </c>
      <c r="AV263" s="425">
        <f t="shared" si="234"/>
        <v>16</v>
      </c>
      <c r="AW263" s="425">
        <f t="array" ref="AW263">MAX((IF(MNU_CODIGO_ALIMENTO_ENTREGA=CONCATENATE($E263,"_","P_"),MNU_GRAMAJE_REQUERIDO_TIPOH,"")))</f>
        <v>30</v>
      </c>
      <c r="AX263" s="257">
        <f t="shared" si="235"/>
        <v>111</v>
      </c>
      <c r="AY263" s="257">
        <f t="shared" si="236"/>
        <v>1776</v>
      </c>
      <c r="AZ263" s="446">
        <f t="shared" si="237"/>
        <v>316</v>
      </c>
      <c r="BA263" s="446">
        <f t="shared" si="238"/>
        <v>15.4208</v>
      </c>
      <c r="BB263" s="446">
        <f t="shared" si="239"/>
        <v>0.271765056</v>
      </c>
      <c r="BC263" s="446">
        <f t="shared" si="240"/>
        <v>332</v>
      </c>
      <c r="BD263" s="258">
        <f t="shared" si="241"/>
        <v>561216</v>
      </c>
      <c r="BE263" s="258">
        <f t="shared" si="242"/>
        <v>589632</v>
      </c>
      <c r="BF263" s="391">
        <f t="shared" si="243"/>
        <v>82488640</v>
      </c>
      <c r="BG263" s="391">
        <f t="shared" si="244"/>
        <v>86665280</v>
      </c>
    </row>
    <row r="264" spans="1:59" ht="15.75">
      <c r="A264" s="333">
        <v>21</v>
      </c>
      <c r="B264" s="333" t="str">
        <f t="shared" si="196"/>
        <v>CEREAL EMPACADO_21</v>
      </c>
      <c r="C264" s="333" t="str">
        <f t="shared" si="197"/>
        <v>45_21</v>
      </c>
      <c r="D264" s="333" t="s">
        <v>1607</v>
      </c>
      <c r="E264" s="256">
        <v>45</v>
      </c>
      <c r="F264" s="322" t="s">
        <v>10</v>
      </c>
      <c r="G264" s="256" t="s">
        <v>9</v>
      </c>
      <c r="H264" s="425">
        <f t="shared" si="198"/>
        <v>16</v>
      </c>
      <c r="I264" s="425">
        <f t="array" ref="I264">MAX((IF(MNU_CODIGO_ALIMENTO_ENTREGA=CONCATENATE($E264,"_","P_"),MNU_GRAMAJE_REQUERIDO_TIPOA,"")))</f>
        <v>20</v>
      </c>
      <c r="J264" s="257">
        <f t="shared" si="199"/>
        <v>4488</v>
      </c>
      <c r="K264" s="257">
        <f t="shared" si="200"/>
        <v>71808</v>
      </c>
      <c r="L264" s="446">
        <f t="shared" si="201"/>
        <v>190</v>
      </c>
      <c r="M264" s="446">
        <f t="shared" si="202"/>
        <v>9.2720000000000002</v>
      </c>
      <c r="N264" s="446">
        <f t="shared" si="203"/>
        <v>0.16340304</v>
      </c>
      <c r="O264" s="446">
        <f t="shared" si="204"/>
        <v>199</v>
      </c>
      <c r="P264" s="258">
        <f t="shared" si="205"/>
        <v>13643520</v>
      </c>
      <c r="Q264" s="258">
        <f t="shared" si="206"/>
        <v>14289792</v>
      </c>
      <c r="R264" s="426">
        <f t="shared" si="207"/>
        <v>16</v>
      </c>
      <c r="S264" s="426">
        <f t="array" ref="S264">MAX((IF(MNU_CODIGO_ALIMENTO_ENTREGA=CONCATENATE($E264,"_","P_"),MNU_GRAMAJE_REQUERIDO_TIPOB,"")))</f>
        <v>30</v>
      </c>
      <c r="T264" s="259">
        <f t="shared" si="208"/>
        <v>5854</v>
      </c>
      <c r="U264" s="259">
        <f t="shared" si="209"/>
        <v>93664</v>
      </c>
      <c r="V264" s="446">
        <f t="shared" si="210"/>
        <v>284</v>
      </c>
      <c r="W264" s="446">
        <f t="shared" si="211"/>
        <v>13.8592</v>
      </c>
      <c r="X264" s="446">
        <f t="shared" si="212"/>
        <v>0.24424454399999998</v>
      </c>
      <c r="Y264" s="446">
        <f t="shared" si="213"/>
        <v>298</v>
      </c>
      <c r="Z264" s="260">
        <f t="shared" si="214"/>
        <v>26600576</v>
      </c>
      <c r="AA264" s="260">
        <f t="shared" si="215"/>
        <v>27911872</v>
      </c>
      <c r="AB264" s="425">
        <f t="shared" si="216"/>
        <v>16</v>
      </c>
      <c r="AC264" s="425">
        <f t="array" ref="AC264">MAX((IF(MNU_CODIGO_ALIMENTO_ENTREGA=CONCATENATE($E264,"_","P_"),MNU_GRAMAJE_REQUERIDO_TIPOC,"")))</f>
        <v>60</v>
      </c>
      <c r="AD264" s="257">
        <f t="shared" si="217"/>
        <v>5749</v>
      </c>
      <c r="AE264" s="257">
        <f t="shared" si="218"/>
        <v>91984</v>
      </c>
      <c r="AF264" s="446">
        <f t="shared" si="219"/>
        <v>569</v>
      </c>
      <c r="AG264" s="446">
        <f t="shared" si="220"/>
        <v>27.767199999999999</v>
      </c>
      <c r="AH264" s="446">
        <f t="shared" si="221"/>
        <v>0.48934910400000003</v>
      </c>
      <c r="AI264" s="446">
        <f t="shared" si="222"/>
        <v>597</v>
      </c>
      <c r="AJ264" s="258">
        <f t="shared" si="223"/>
        <v>52338896</v>
      </c>
      <c r="AK264" s="258">
        <f t="shared" si="224"/>
        <v>54914448</v>
      </c>
      <c r="AL264" s="426">
        <f t="shared" si="225"/>
        <v>16</v>
      </c>
      <c r="AM264" s="426">
        <f t="array" ref="AM264">MAX((IF(MNU_CODIGO_ALIMENTO_ENTREGA=CONCATENATE($E264,"_","P_"),MNU_GRAMAJE_REQUERIDO_TIPOM,"")))</f>
        <v>30</v>
      </c>
      <c r="AN264" s="259">
        <f t="shared" si="226"/>
        <v>113</v>
      </c>
      <c r="AO264" s="259">
        <f t="shared" si="227"/>
        <v>1808</v>
      </c>
      <c r="AP264" s="446">
        <f t="shared" si="228"/>
        <v>284</v>
      </c>
      <c r="AQ264" s="446">
        <f t="shared" si="229"/>
        <v>13.8592</v>
      </c>
      <c r="AR264" s="446">
        <f t="shared" si="230"/>
        <v>0.24424454399999998</v>
      </c>
      <c r="AS264" s="446">
        <f t="shared" si="231"/>
        <v>298</v>
      </c>
      <c r="AT264" s="260">
        <f t="shared" si="232"/>
        <v>513472</v>
      </c>
      <c r="AU264" s="260">
        <f t="shared" si="233"/>
        <v>538784</v>
      </c>
      <c r="AV264" s="425">
        <f t="shared" si="234"/>
        <v>16</v>
      </c>
      <c r="AW264" s="425">
        <f t="array" ref="AW264">MAX((IF(MNU_CODIGO_ALIMENTO_ENTREGA=CONCATENATE($E264,"_","P_"),MNU_GRAMAJE_REQUERIDO_TIPOH,"")))</f>
        <v>60</v>
      </c>
      <c r="AX264" s="257">
        <f t="shared" si="235"/>
        <v>111</v>
      </c>
      <c r="AY264" s="257">
        <f t="shared" si="236"/>
        <v>1776</v>
      </c>
      <c r="AZ264" s="446">
        <f t="shared" si="237"/>
        <v>569</v>
      </c>
      <c r="BA264" s="446">
        <f t="shared" si="238"/>
        <v>27.767199999999999</v>
      </c>
      <c r="BB264" s="446">
        <f t="shared" si="239"/>
        <v>0.48934910400000003</v>
      </c>
      <c r="BC264" s="446">
        <f t="shared" si="240"/>
        <v>597</v>
      </c>
      <c r="BD264" s="258">
        <f t="shared" si="241"/>
        <v>1010544</v>
      </c>
      <c r="BE264" s="258">
        <f t="shared" si="242"/>
        <v>1060272</v>
      </c>
      <c r="BF264" s="391">
        <f t="shared" si="243"/>
        <v>94107008</v>
      </c>
      <c r="BG264" s="391">
        <f t="shared" si="244"/>
        <v>98715168</v>
      </c>
    </row>
    <row r="265" spans="1:59" ht="15.75">
      <c r="A265" s="333">
        <v>21</v>
      </c>
      <c r="B265" s="333" t="str">
        <f t="shared" si="196"/>
        <v>CEREAL EMPACADO_21</v>
      </c>
      <c r="C265" s="333" t="str">
        <f t="shared" si="197"/>
        <v>50_21</v>
      </c>
      <c r="D265" s="333" t="s">
        <v>1607</v>
      </c>
      <c r="E265" s="256">
        <v>50</v>
      </c>
      <c r="F265" s="322" t="s">
        <v>65</v>
      </c>
      <c r="G265" s="256" t="s">
        <v>9</v>
      </c>
      <c r="H265" s="425">
        <f t="shared" si="198"/>
        <v>17</v>
      </c>
      <c r="I265" s="425">
        <f t="array" ref="I265">MAX((IF(MNU_CODIGO_ALIMENTO_ENTREGA=CONCATENATE($E265,"_","P_"),MNU_GRAMAJE_REQUERIDO_TIPOA,"")))</f>
        <v>30</v>
      </c>
      <c r="J265" s="257">
        <f t="shared" si="199"/>
        <v>4488</v>
      </c>
      <c r="K265" s="257">
        <f t="shared" si="200"/>
        <v>76296</v>
      </c>
      <c r="L265" s="446">
        <f t="shared" si="201"/>
        <v>306</v>
      </c>
      <c r="M265" s="446">
        <f t="shared" si="202"/>
        <v>14.9328</v>
      </c>
      <c r="N265" s="446">
        <f t="shared" si="203"/>
        <v>0.26316489599999998</v>
      </c>
      <c r="O265" s="446">
        <f t="shared" si="204"/>
        <v>321</v>
      </c>
      <c r="P265" s="258">
        <f t="shared" si="205"/>
        <v>23346576</v>
      </c>
      <c r="Q265" s="258">
        <f t="shared" si="206"/>
        <v>24491016</v>
      </c>
      <c r="R265" s="426">
        <f t="shared" si="207"/>
        <v>17</v>
      </c>
      <c r="S265" s="426">
        <f t="array" ref="S265">MAX((IF(MNU_CODIGO_ALIMENTO_ENTREGA=CONCATENATE($E265,"_","P_"),MNU_GRAMAJE_REQUERIDO_TIPOB,"")))</f>
        <v>40</v>
      </c>
      <c r="T265" s="259">
        <f t="shared" si="208"/>
        <v>5854</v>
      </c>
      <c r="U265" s="259">
        <f t="shared" si="209"/>
        <v>99518</v>
      </c>
      <c r="V265" s="446">
        <f t="shared" si="210"/>
        <v>408</v>
      </c>
      <c r="W265" s="446">
        <f t="shared" si="211"/>
        <v>19.910400000000003</v>
      </c>
      <c r="X265" s="446">
        <f t="shared" si="212"/>
        <v>0.35088652799999998</v>
      </c>
      <c r="Y265" s="446">
        <f t="shared" si="213"/>
        <v>428</v>
      </c>
      <c r="Z265" s="260">
        <f t="shared" si="214"/>
        <v>40603344</v>
      </c>
      <c r="AA265" s="260">
        <f t="shared" si="215"/>
        <v>42593704</v>
      </c>
      <c r="AB265" s="425">
        <f t="shared" si="216"/>
        <v>17</v>
      </c>
      <c r="AC265" s="425">
        <f t="array" ref="AC265">MAX((IF(MNU_CODIGO_ALIMENTO_ENTREGA=CONCATENATE($E265,"_","P_"),MNU_GRAMAJE_REQUERIDO_TIPOC,"")))</f>
        <v>80</v>
      </c>
      <c r="AD265" s="257">
        <f t="shared" si="217"/>
        <v>5749</v>
      </c>
      <c r="AE265" s="257">
        <f t="shared" si="218"/>
        <v>97733</v>
      </c>
      <c r="AF265" s="446">
        <f t="shared" si="219"/>
        <v>815</v>
      </c>
      <c r="AG265" s="446">
        <f t="shared" si="220"/>
        <v>39.772000000000006</v>
      </c>
      <c r="AH265" s="446">
        <f t="shared" si="221"/>
        <v>0.7009130400000001</v>
      </c>
      <c r="AI265" s="446">
        <f t="shared" si="222"/>
        <v>855</v>
      </c>
      <c r="AJ265" s="258">
        <f t="shared" si="223"/>
        <v>79652395</v>
      </c>
      <c r="AK265" s="258">
        <f t="shared" si="224"/>
        <v>83561715</v>
      </c>
      <c r="AL265" s="426">
        <f t="shared" si="225"/>
        <v>17</v>
      </c>
      <c r="AM265" s="426">
        <f t="array" ref="AM265">MAX((IF(MNU_CODIGO_ALIMENTO_ENTREGA=CONCATENATE($E265,"_","P_"),MNU_GRAMAJE_REQUERIDO_TIPOM,"")))</f>
        <v>40</v>
      </c>
      <c r="AN265" s="259">
        <f t="shared" si="226"/>
        <v>113</v>
      </c>
      <c r="AO265" s="259">
        <f t="shared" si="227"/>
        <v>1921</v>
      </c>
      <c r="AP265" s="446">
        <f t="shared" si="228"/>
        <v>408</v>
      </c>
      <c r="AQ265" s="446">
        <f t="shared" si="229"/>
        <v>19.910400000000003</v>
      </c>
      <c r="AR265" s="446">
        <f t="shared" si="230"/>
        <v>0.35088652799999998</v>
      </c>
      <c r="AS265" s="446">
        <f t="shared" si="231"/>
        <v>428</v>
      </c>
      <c r="AT265" s="260">
        <f t="shared" si="232"/>
        <v>783768</v>
      </c>
      <c r="AU265" s="260">
        <f t="shared" si="233"/>
        <v>822188</v>
      </c>
      <c r="AV265" s="425">
        <f t="shared" si="234"/>
        <v>17</v>
      </c>
      <c r="AW265" s="425">
        <f t="array" ref="AW265">MAX((IF(MNU_CODIGO_ALIMENTO_ENTREGA=CONCATENATE($E265,"_","P_"),MNU_GRAMAJE_REQUERIDO_TIPOH,"")))</f>
        <v>80</v>
      </c>
      <c r="AX265" s="257">
        <f t="shared" si="235"/>
        <v>111</v>
      </c>
      <c r="AY265" s="257">
        <f t="shared" si="236"/>
        <v>1887</v>
      </c>
      <c r="AZ265" s="446">
        <f t="shared" si="237"/>
        <v>815</v>
      </c>
      <c r="BA265" s="446">
        <f t="shared" si="238"/>
        <v>39.772000000000006</v>
      </c>
      <c r="BB265" s="446">
        <f t="shared" si="239"/>
        <v>0.7009130400000001</v>
      </c>
      <c r="BC265" s="446">
        <f t="shared" si="240"/>
        <v>855</v>
      </c>
      <c r="BD265" s="258">
        <f t="shared" si="241"/>
        <v>1537905</v>
      </c>
      <c r="BE265" s="258">
        <f t="shared" si="242"/>
        <v>1613385</v>
      </c>
      <c r="BF265" s="391">
        <f t="shared" si="243"/>
        <v>145923988</v>
      </c>
      <c r="BG265" s="391">
        <f t="shared" si="244"/>
        <v>153082008</v>
      </c>
    </row>
    <row r="266" spans="1:59" ht="15.75">
      <c r="A266" s="333">
        <v>21</v>
      </c>
      <c r="B266" s="333" t="str">
        <f t="shared" si="196"/>
        <v>CEREAL EMPACADO_21</v>
      </c>
      <c r="C266" s="333" t="str">
        <f t="shared" si="197"/>
        <v>61_21</v>
      </c>
      <c r="D266" s="333" t="s">
        <v>1607</v>
      </c>
      <c r="E266" s="256">
        <v>61</v>
      </c>
      <c r="F266" s="322" t="s">
        <v>13</v>
      </c>
      <c r="G266" s="256" t="s">
        <v>9</v>
      </c>
      <c r="H266" s="425">
        <f t="shared" si="198"/>
        <v>16</v>
      </c>
      <c r="I266" s="425">
        <f t="array" ref="I266">MAX((IF(MNU_CODIGO_ALIMENTO_ENTREGA=CONCATENATE($E266,"_","P_"),MNU_GRAMAJE_REQUERIDO_TIPOA,"")))</f>
        <v>20</v>
      </c>
      <c r="J266" s="257">
        <f t="shared" si="199"/>
        <v>4488</v>
      </c>
      <c r="K266" s="257">
        <f t="shared" si="200"/>
        <v>71808</v>
      </c>
      <c r="L266" s="446">
        <f t="shared" si="201"/>
        <v>222</v>
      </c>
      <c r="M266" s="446">
        <f t="shared" si="202"/>
        <v>10.833600000000001</v>
      </c>
      <c r="N266" s="446">
        <f t="shared" si="203"/>
        <v>0.190923552</v>
      </c>
      <c r="O266" s="446">
        <f t="shared" si="204"/>
        <v>233</v>
      </c>
      <c r="P266" s="258">
        <f t="shared" si="205"/>
        <v>15941376</v>
      </c>
      <c r="Q266" s="258">
        <f t="shared" si="206"/>
        <v>16731264</v>
      </c>
      <c r="R266" s="426">
        <f t="shared" si="207"/>
        <v>16</v>
      </c>
      <c r="S266" s="426">
        <f t="array" ref="S266">MAX((IF(MNU_CODIGO_ALIMENTO_ENTREGA=CONCATENATE($E266,"_","P_"),MNU_GRAMAJE_REQUERIDO_TIPOB,"")))</f>
        <v>30</v>
      </c>
      <c r="T266" s="259">
        <f t="shared" si="208"/>
        <v>5854</v>
      </c>
      <c r="U266" s="259">
        <f t="shared" si="209"/>
        <v>93664</v>
      </c>
      <c r="V266" s="446">
        <f t="shared" si="210"/>
        <v>334</v>
      </c>
      <c r="W266" s="446">
        <f t="shared" si="211"/>
        <v>16.299199999999999</v>
      </c>
      <c r="X266" s="446">
        <f t="shared" si="212"/>
        <v>0.28724534400000001</v>
      </c>
      <c r="Y266" s="446">
        <f t="shared" si="213"/>
        <v>351</v>
      </c>
      <c r="Z266" s="260">
        <f t="shared" si="214"/>
        <v>31283776</v>
      </c>
      <c r="AA266" s="260">
        <f t="shared" si="215"/>
        <v>32876064</v>
      </c>
      <c r="AB266" s="425">
        <f t="shared" si="216"/>
        <v>16</v>
      </c>
      <c r="AC266" s="425">
        <f t="array" ref="AC266">MAX((IF(MNU_CODIGO_ALIMENTO_ENTREGA=CONCATENATE($E266,"_","P_"),MNU_GRAMAJE_REQUERIDO_TIPOC,"")))</f>
        <v>70</v>
      </c>
      <c r="AD266" s="257">
        <f t="shared" si="217"/>
        <v>5749</v>
      </c>
      <c r="AE266" s="257">
        <f t="shared" si="218"/>
        <v>91984</v>
      </c>
      <c r="AF266" s="446">
        <f t="shared" si="219"/>
        <v>779</v>
      </c>
      <c r="AG266" s="446">
        <f t="shared" si="220"/>
        <v>38.0152</v>
      </c>
      <c r="AH266" s="446">
        <f t="shared" si="221"/>
        <v>0.66995246400000008</v>
      </c>
      <c r="AI266" s="446">
        <f t="shared" si="222"/>
        <v>818</v>
      </c>
      <c r="AJ266" s="258">
        <f t="shared" si="223"/>
        <v>71655536</v>
      </c>
      <c r="AK266" s="258">
        <f t="shared" si="224"/>
        <v>75242912</v>
      </c>
      <c r="AL266" s="426">
        <f t="shared" si="225"/>
        <v>16</v>
      </c>
      <c r="AM266" s="426">
        <f t="array" ref="AM266">MAX((IF(MNU_CODIGO_ALIMENTO_ENTREGA=CONCATENATE($E266,"_","P_"),MNU_GRAMAJE_REQUERIDO_TIPOM,"")))</f>
        <v>30</v>
      </c>
      <c r="AN266" s="259">
        <f t="shared" si="226"/>
        <v>113</v>
      </c>
      <c r="AO266" s="259">
        <f t="shared" si="227"/>
        <v>1808</v>
      </c>
      <c r="AP266" s="446">
        <f t="shared" si="228"/>
        <v>334</v>
      </c>
      <c r="AQ266" s="446">
        <f t="shared" si="229"/>
        <v>16.299199999999999</v>
      </c>
      <c r="AR266" s="446">
        <f t="shared" si="230"/>
        <v>0.28724534400000001</v>
      </c>
      <c r="AS266" s="446">
        <f t="shared" si="231"/>
        <v>351</v>
      </c>
      <c r="AT266" s="260">
        <f t="shared" si="232"/>
        <v>603872</v>
      </c>
      <c r="AU266" s="260">
        <f t="shared" si="233"/>
        <v>634608</v>
      </c>
      <c r="AV266" s="425">
        <f t="shared" si="234"/>
        <v>16</v>
      </c>
      <c r="AW266" s="425">
        <f t="array" ref="AW266">MAX((IF(MNU_CODIGO_ALIMENTO_ENTREGA=CONCATENATE($E266,"_","P_"),MNU_GRAMAJE_REQUERIDO_TIPOH,"")))</f>
        <v>70</v>
      </c>
      <c r="AX266" s="257">
        <f t="shared" si="235"/>
        <v>111</v>
      </c>
      <c r="AY266" s="257">
        <f t="shared" si="236"/>
        <v>1776</v>
      </c>
      <c r="AZ266" s="446">
        <f t="shared" si="237"/>
        <v>779</v>
      </c>
      <c r="BA266" s="446">
        <f t="shared" si="238"/>
        <v>38.0152</v>
      </c>
      <c r="BB266" s="446">
        <f t="shared" si="239"/>
        <v>0.66995246400000008</v>
      </c>
      <c r="BC266" s="446">
        <f t="shared" si="240"/>
        <v>818</v>
      </c>
      <c r="BD266" s="258">
        <f t="shared" si="241"/>
        <v>1383504</v>
      </c>
      <c r="BE266" s="258">
        <f t="shared" si="242"/>
        <v>1452768</v>
      </c>
      <c r="BF266" s="391">
        <f t="shared" si="243"/>
        <v>120868064</v>
      </c>
      <c r="BG266" s="391">
        <f t="shared" si="244"/>
        <v>126937616</v>
      </c>
    </row>
    <row r="267" spans="1:59" ht="15.75">
      <c r="A267" s="333">
        <v>21</v>
      </c>
      <c r="B267" s="333" t="str">
        <f t="shared" si="196"/>
        <v>CEREAL EMPACADO_21</v>
      </c>
      <c r="C267" s="333" t="str">
        <f t="shared" si="197"/>
        <v>62_21</v>
      </c>
      <c r="D267" s="333" t="s">
        <v>1607</v>
      </c>
      <c r="E267" s="256">
        <v>62</v>
      </c>
      <c r="F267" s="322" t="s">
        <v>68</v>
      </c>
      <c r="G267" s="256" t="s">
        <v>9</v>
      </c>
      <c r="H267" s="425">
        <f t="shared" si="198"/>
        <v>5</v>
      </c>
      <c r="I267" s="425">
        <f t="array" ref="I267">MAX((IF(MNU_CODIGO_ALIMENTO_ENTREGA=CONCATENATE($E267,"_","P_"),MNU_GRAMAJE_REQUERIDO_TIPOA,"")))</f>
        <v>50</v>
      </c>
      <c r="J267" s="257">
        <f t="shared" si="199"/>
        <v>4488</v>
      </c>
      <c r="K267" s="257">
        <f t="shared" si="200"/>
        <v>22440</v>
      </c>
      <c r="L267" s="446">
        <f t="shared" si="201"/>
        <v>595</v>
      </c>
      <c r="M267" s="446">
        <f t="shared" si="202"/>
        <v>29.036000000000001</v>
      </c>
      <c r="N267" s="446">
        <f t="shared" si="203"/>
        <v>0.51170952000000014</v>
      </c>
      <c r="O267" s="446">
        <f t="shared" si="204"/>
        <v>625</v>
      </c>
      <c r="P267" s="258">
        <f t="shared" si="205"/>
        <v>13351800</v>
      </c>
      <c r="Q267" s="258">
        <f t="shared" si="206"/>
        <v>14025000</v>
      </c>
      <c r="R267" s="426">
        <f t="shared" si="207"/>
        <v>5</v>
      </c>
      <c r="S267" s="426">
        <f t="array" ref="S267">MAX((IF(MNU_CODIGO_ALIMENTO_ENTREGA=CONCATENATE($E267,"_","P_"),MNU_GRAMAJE_REQUERIDO_TIPOB,"")))</f>
        <v>50</v>
      </c>
      <c r="T267" s="259">
        <f t="shared" si="208"/>
        <v>5854</v>
      </c>
      <c r="U267" s="259">
        <f t="shared" si="209"/>
        <v>29270</v>
      </c>
      <c r="V267" s="446">
        <f t="shared" si="210"/>
        <v>595</v>
      </c>
      <c r="W267" s="446">
        <f t="shared" si="211"/>
        <v>29.036000000000001</v>
      </c>
      <c r="X267" s="446">
        <f t="shared" si="212"/>
        <v>0.51170952000000014</v>
      </c>
      <c r="Y267" s="446">
        <f t="shared" si="213"/>
        <v>625</v>
      </c>
      <c r="Z267" s="260">
        <f t="shared" si="214"/>
        <v>17415650</v>
      </c>
      <c r="AA267" s="260">
        <f t="shared" si="215"/>
        <v>18293750</v>
      </c>
      <c r="AB267" s="425">
        <f t="shared" si="216"/>
        <v>5</v>
      </c>
      <c r="AC267" s="425">
        <f t="array" ref="AC267">MAX((IF(MNU_CODIGO_ALIMENTO_ENTREGA=CONCATENATE($E267,"_","P_"),MNU_GRAMAJE_REQUERIDO_TIPOC,"")))</f>
        <v>50</v>
      </c>
      <c r="AD267" s="257">
        <f t="shared" si="217"/>
        <v>5749</v>
      </c>
      <c r="AE267" s="257">
        <f t="shared" si="218"/>
        <v>28745</v>
      </c>
      <c r="AF267" s="446">
        <f t="shared" si="219"/>
        <v>595</v>
      </c>
      <c r="AG267" s="446">
        <f t="shared" si="220"/>
        <v>29.036000000000001</v>
      </c>
      <c r="AH267" s="446">
        <f t="shared" si="221"/>
        <v>0.51170952000000014</v>
      </c>
      <c r="AI267" s="446">
        <f t="shared" si="222"/>
        <v>625</v>
      </c>
      <c r="AJ267" s="258">
        <f t="shared" si="223"/>
        <v>17103275</v>
      </c>
      <c r="AK267" s="258">
        <f t="shared" si="224"/>
        <v>17965625</v>
      </c>
      <c r="AL267" s="426">
        <f t="shared" si="225"/>
        <v>5</v>
      </c>
      <c r="AM267" s="426">
        <f t="array" ref="AM267">MAX((IF(MNU_CODIGO_ALIMENTO_ENTREGA=CONCATENATE($E267,"_","P_"),MNU_GRAMAJE_REQUERIDO_TIPOM,"")))</f>
        <v>50</v>
      </c>
      <c r="AN267" s="259">
        <f t="shared" si="226"/>
        <v>113</v>
      </c>
      <c r="AO267" s="259">
        <f t="shared" si="227"/>
        <v>565</v>
      </c>
      <c r="AP267" s="446">
        <f t="shared" si="228"/>
        <v>595</v>
      </c>
      <c r="AQ267" s="446">
        <f t="shared" si="229"/>
        <v>29.036000000000001</v>
      </c>
      <c r="AR267" s="446">
        <f t="shared" si="230"/>
        <v>0.51170952000000014</v>
      </c>
      <c r="AS267" s="446">
        <f t="shared" si="231"/>
        <v>625</v>
      </c>
      <c r="AT267" s="260">
        <f t="shared" si="232"/>
        <v>336175</v>
      </c>
      <c r="AU267" s="260">
        <f t="shared" si="233"/>
        <v>353125</v>
      </c>
      <c r="AV267" s="425">
        <f t="shared" si="234"/>
        <v>5</v>
      </c>
      <c r="AW267" s="425">
        <f t="array" ref="AW267">MAX((IF(MNU_CODIGO_ALIMENTO_ENTREGA=CONCATENATE($E267,"_","P_"),MNU_GRAMAJE_REQUERIDO_TIPOH,"")))</f>
        <v>50</v>
      </c>
      <c r="AX267" s="257">
        <f t="shared" si="235"/>
        <v>111</v>
      </c>
      <c r="AY267" s="257">
        <f t="shared" si="236"/>
        <v>555</v>
      </c>
      <c r="AZ267" s="446">
        <f t="shared" si="237"/>
        <v>595</v>
      </c>
      <c r="BA267" s="446">
        <f t="shared" si="238"/>
        <v>29.036000000000001</v>
      </c>
      <c r="BB267" s="446">
        <f t="shared" si="239"/>
        <v>0.51170952000000014</v>
      </c>
      <c r="BC267" s="446">
        <f t="shared" si="240"/>
        <v>625</v>
      </c>
      <c r="BD267" s="258">
        <f t="shared" si="241"/>
        <v>330225</v>
      </c>
      <c r="BE267" s="258">
        <f t="shared" si="242"/>
        <v>346875</v>
      </c>
      <c r="BF267" s="391">
        <f t="shared" si="243"/>
        <v>48537125</v>
      </c>
      <c r="BG267" s="391">
        <f t="shared" si="244"/>
        <v>50984375</v>
      </c>
    </row>
    <row r="268" spans="1:59" ht="15.75">
      <c r="A268" s="333">
        <v>22</v>
      </c>
      <c r="B268" s="333" t="str">
        <f t="shared" si="196"/>
        <v>CEREAL EMPACADO_22</v>
      </c>
      <c r="C268" s="333" t="str">
        <f t="shared" si="197"/>
        <v>1_22</v>
      </c>
      <c r="D268" s="333" t="s">
        <v>1607</v>
      </c>
      <c r="E268" s="256">
        <v>1</v>
      </c>
      <c r="F268" s="322" t="s">
        <v>16</v>
      </c>
      <c r="G268" s="256" t="s">
        <v>9</v>
      </c>
      <c r="H268" s="425">
        <f t="shared" si="198"/>
        <v>15</v>
      </c>
      <c r="I268" s="425">
        <f t="array" ref="I268">MAX((IF(MNU_CODIGO_ALIMENTO_ENTREGA=CONCATENATE($E268,"_","P_"),MNU_GRAMAJE_REQUERIDO_TIPOA,"")))</f>
        <v>30</v>
      </c>
      <c r="J268" s="257">
        <f t="shared" si="199"/>
        <v>5114</v>
      </c>
      <c r="K268" s="257">
        <f t="shared" si="200"/>
        <v>76710</v>
      </c>
      <c r="L268" s="446">
        <f t="shared" si="201"/>
        <v>770</v>
      </c>
      <c r="M268" s="446">
        <f t="shared" si="202"/>
        <v>37.576000000000008</v>
      </c>
      <c r="N268" s="446">
        <f t="shared" si="203"/>
        <v>0.66221231999999997</v>
      </c>
      <c r="O268" s="446">
        <f t="shared" si="204"/>
        <v>808</v>
      </c>
      <c r="P268" s="258">
        <f t="shared" si="205"/>
        <v>59066700</v>
      </c>
      <c r="Q268" s="258">
        <f t="shared" si="206"/>
        <v>61981680</v>
      </c>
      <c r="R268" s="426">
        <f t="shared" si="207"/>
        <v>15</v>
      </c>
      <c r="S268" s="426">
        <f t="array" ref="S268">MAX((IF(MNU_CODIGO_ALIMENTO_ENTREGA=CONCATENATE($E268,"_","P_"),MNU_GRAMAJE_REQUERIDO_TIPOB,"")))</f>
        <v>40</v>
      </c>
      <c r="T268" s="259">
        <f t="shared" si="208"/>
        <v>5775</v>
      </c>
      <c r="U268" s="259">
        <f t="shared" si="209"/>
        <v>86625</v>
      </c>
      <c r="V268" s="446">
        <f t="shared" si="210"/>
        <v>1027</v>
      </c>
      <c r="W268" s="446">
        <f t="shared" si="211"/>
        <v>50.117600000000003</v>
      </c>
      <c r="X268" s="446">
        <f t="shared" si="212"/>
        <v>0.88323643200000013</v>
      </c>
      <c r="Y268" s="446">
        <f t="shared" si="213"/>
        <v>1078</v>
      </c>
      <c r="Z268" s="260">
        <f t="shared" si="214"/>
        <v>88963875</v>
      </c>
      <c r="AA268" s="260">
        <f t="shared" si="215"/>
        <v>93381750</v>
      </c>
      <c r="AB268" s="425">
        <f t="shared" si="216"/>
        <v>15</v>
      </c>
      <c r="AC268" s="425">
        <f t="array" ref="AC268">MAX((IF(MNU_CODIGO_ALIMENTO_ENTREGA=CONCATENATE($E268,"_","P_"),MNU_GRAMAJE_REQUERIDO_TIPOC,"")))</f>
        <v>60</v>
      </c>
      <c r="AD268" s="257">
        <f t="shared" si="217"/>
        <v>5688</v>
      </c>
      <c r="AE268" s="257">
        <f t="shared" si="218"/>
        <v>85320</v>
      </c>
      <c r="AF268" s="446">
        <f t="shared" si="219"/>
        <v>1540</v>
      </c>
      <c r="AG268" s="446">
        <f t="shared" si="220"/>
        <v>75.152000000000015</v>
      </c>
      <c r="AH268" s="446">
        <f t="shared" si="221"/>
        <v>1.3244246399999999</v>
      </c>
      <c r="AI268" s="446">
        <f t="shared" si="222"/>
        <v>1616</v>
      </c>
      <c r="AJ268" s="258">
        <f t="shared" si="223"/>
        <v>131392800</v>
      </c>
      <c r="AK268" s="258">
        <f t="shared" si="224"/>
        <v>137877120</v>
      </c>
      <c r="AL268" s="426">
        <f t="shared" si="225"/>
        <v>15</v>
      </c>
      <c r="AM268" s="426">
        <f t="array" ref="AM268">MAX((IF(MNU_CODIGO_ALIMENTO_ENTREGA=CONCATENATE($E268,"_","P_"),MNU_GRAMAJE_REQUERIDO_TIPOM,"")))</f>
        <v>40</v>
      </c>
      <c r="AN268" s="259">
        <f t="shared" si="226"/>
        <v>745</v>
      </c>
      <c r="AO268" s="259">
        <f t="shared" si="227"/>
        <v>11175</v>
      </c>
      <c r="AP268" s="446">
        <f t="shared" si="228"/>
        <v>1027</v>
      </c>
      <c r="AQ268" s="446">
        <f t="shared" si="229"/>
        <v>50.117600000000003</v>
      </c>
      <c r="AR268" s="446">
        <f t="shared" si="230"/>
        <v>0.88323643200000013</v>
      </c>
      <c r="AS268" s="446">
        <f t="shared" si="231"/>
        <v>1078</v>
      </c>
      <c r="AT268" s="260">
        <f t="shared" si="232"/>
        <v>11476725</v>
      </c>
      <c r="AU268" s="260">
        <f t="shared" si="233"/>
        <v>12046650</v>
      </c>
      <c r="AV268" s="425">
        <f t="shared" si="234"/>
        <v>15</v>
      </c>
      <c r="AW268" s="425">
        <f t="array" ref="AW268">MAX((IF(MNU_CODIGO_ALIMENTO_ENTREGA=CONCATENATE($E268,"_","P_"),MNU_GRAMAJE_REQUERIDO_TIPOH,"")))</f>
        <v>60</v>
      </c>
      <c r="AX268" s="257">
        <f t="shared" si="235"/>
        <v>697</v>
      </c>
      <c r="AY268" s="257">
        <f t="shared" si="236"/>
        <v>10455</v>
      </c>
      <c r="AZ268" s="446">
        <f t="shared" si="237"/>
        <v>1540</v>
      </c>
      <c r="BA268" s="446">
        <f t="shared" si="238"/>
        <v>75.152000000000015</v>
      </c>
      <c r="BB268" s="446">
        <f t="shared" si="239"/>
        <v>1.3244246399999999</v>
      </c>
      <c r="BC268" s="446">
        <f t="shared" si="240"/>
        <v>1616</v>
      </c>
      <c r="BD268" s="258">
        <f t="shared" si="241"/>
        <v>16100700</v>
      </c>
      <c r="BE268" s="258">
        <f t="shared" si="242"/>
        <v>16895280</v>
      </c>
      <c r="BF268" s="391">
        <f t="shared" si="243"/>
        <v>307000800</v>
      </c>
      <c r="BG268" s="391">
        <f t="shared" si="244"/>
        <v>322182480</v>
      </c>
    </row>
    <row r="269" spans="1:59" ht="15.75">
      <c r="A269" s="333">
        <v>22</v>
      </c>
      <c r="B269" s="333" t="str">
        <f t="shared" si="196"/>
        <v>CEREAL EMPACADO_22</v>
      </c>
      <c r="C269" s="333" t="str">
        <f t="shared" si="197"/>
        <v>3_22</v>
      </c>
      <c r="D269" s="333" t="s">
        <v>1607</v>
      </c>
      <c r="E269" s="256">
        <v>3</v>
      </c>
      <c r="F269" s="322" t="s">
        <v>12</v>
      </c>
      <c r="G269" s="256" t="s">
        <v>9</v>
      </c>
      <c r="H269" s="425">
        <f t="shared" si="198"/>
        <v>17</v>
      </c>
      <c r="I269" s="425">
        <f t="array" ref="I269">MAX((IF(MNU_CODIGO_ALIMENTO_ENTREGA=CONCATENATE($E269,"_","P_"),MNU_GRAMAJE_REQUERIDO_TIPOA,"")))</f>
        <v>50</v>
      </c>
      <c r="J269" s="257">
        <f t="shared" si="199"/>
        <v>5114</v>
      </c>
      <c r="K269" s="257">
        <f t="shared" si="200"/>
        <v>86938</v>
      </c>
      <c r="L269" s="446">
        <f t="shared" si="201"/>
        <v>481</v>
      </c>
      <c r="M269" s="446">
        <f t="shared" si="202"/>
        <v>23.472799999999999</v>
      </c>
      <c r="N269" s="446">
        <f t="shared" si="203"/>
        <v>0.41366769599999997</v>
      </c>
      <c r="O269" s="446">
        <f t="shared" si="204"/>
        <v>505</v>
      </c>
      <c r="P269" s="258">
        <f t="shared" si="205"/>
        <v>41817178</v>
      </c>
      <c r="Q269" s="258">
        <f t="shared" si="206"/>
        <v>43903690</v>
      </c>
      <c r="R269" s="426">
        <f t="shared" si="207"/>
        <v>17</v>
      </c>
      <c r="S269" s="426">
        <f t="array" ref="S269">MAX((IF(MNU_CODIGO_ALIMENTO_ENTREGA=CONCATENATE($E269,"_","P_"),MNU_GRAMAJE_REQUERIDO_TIPOB,"")))</f>
        <v>50</v>
      </c>
      <c r="T269" s="259">
        <f t="shared" si="208"/>
        <v>5775</v>
      </c>
      <c r="U269" s="259">
        <f t="shared" si="209"/>
        <v>98175</v>
      </c>
      <c r="V269" s="446">
        <f t="shared" si="210"/>
        <v>481</v>
      </c>
      <c r="W269" s="446">
        <f t="shared" si="211"/>
        <v>23.472799999999999</v>
      </c>
      <c r="X269" s="446">
        <f t="shared" si="212"/>
        <v>0.41366769599999997</v>
      </c>
      <c r="Y269" s="446">
        <f t="shared" si="213"/>
        <v>505</v>
      </c>
      <c r="Z269" s="260">
        <f t="shared" si="214"/>
        <v>47222175</v>
      </c>
      <c r="AA269" s="260">
        <f t="shared" si="215"/>
        <v>49578375</v>
      </c>
      <c r="AB269" s="425">
        <f t="shared" si="216"/>
        <v>17</v>
      </c>
      <c r="AC269" s="425">
        <f t="array" ref="AC269">MAX((IF(MNU_CODIGO_ALIMENTO_ENTREGA=CONCATENATE($E269,"_","P_"),MNU_GRAMAJE_REQUERIDO_TIPOC,"")))</f>
        <v>80</v>
      </c>
      <c r="AD269" s="257">
        <f t="shared" si="217"/>
        <v>5688</v>
      </c>
      <c r="AE269" s="257">
        <f t="shared" si="218"/>
        <v>96696</v>
      </c>
      <c r="AF269" s="446">
        <f t="shared" si="219"/>
        <v>727</v>
      </c>
      <c r="AG269" s="446">
        <f t="shared" si="220"/>
        <v>35.477600000000002</v>
      </c>
      <c r="AH269" s="446">
        <f t="shared" si="221"/>
        <v>0.62523163200000009</v>
      </c>
      <c r="AI269" s="446">
        <f t="shared" si="222"/>
        <v>763</v>
      </c>
      <c r="AJ269" s="258">
        <f t="shared" si="223"/>
        <v>70297992</v>
      </c>
      <c r="AK269" s="258">
        <f t="shared" si="224"/>
        <v>73779048</v>
      </c>
      <c r="AL269" s="426">
        <f t="shared" si="225"/>
        <v>17</v>
      </c>
      <c r="AM269" s="426">
        <f t="array" ref="AM269">MAX((IF(MNU_CODIGO_ALIMENTO_ENTREGA=CONCATENATE($E269,"_","P_"),MNU_GRAMAJE_REQUERIDO_TIPOM,"")))</f>
        <v>50</v>
      </c>
      <c r="AN269" s="259">
        <f t="shared" si="226"/>
        <v>745</v>
      </c>
      <c r="AO269" s="259">
        <f t="shared" si="227"/>
        <v>12665</v>
      </c>
      <c r="AP269" s="446">
        <f t="shared" si="228"/>
        <v>481</v>
      </c>
      <c r="AQ269" s="446">
        <f t="shared" si="229"/>
        <v>23.472799999999999</v>
      </c>
      <c r="AR269" s="446">
        <f t="shared" si="230"/>
        <v>0.41366769599999997</v>
      </c>
      <c r="AS269" s="446">
        <f t="shared" si="231"/>
        <v>505</v>
      </c>
      <c r="AT269" s="260">
        <f t="shared" si="232"/>
        <v>6091865</v>
      </c>
      <c r="AU269" s="260">
        <f t="shared" si="233"/>
        <v>6395825</v>
      </c>
      <c r="AV269" s="425">
        <f t="shared" si="234"/>
        <v>17</v>
      </c>
      <c r="AW269" s="425">
        <f t="array" ref="AW269">MAX((IF(MNU_CODIGO_ALIMENTO_ENTREGA=CONCATENATE($E269,"_","P_"),MNU_GRAMAJE_REQUERIDO_TIPOH,"")))</f>
        <v>80</v>
      </c>
      <c r="AX269" s="257">
        <f t="shared" si="235"/>
        <v>697</v>
      </c>
      <c r="AY269" s="257">
        <f t="shared" si="236"/>
        <v>11849</v>
      </c>
      <c r="AZ269" s="446">
        <f t="shared" si="237"/>
        <v>727</v>
      </c>
      <c r="BA269" s="446">
        <f t="shared" si="238"/>
        <v>35.477600000000002</v>
      </c>
      <c r="BB269" s="446">
        <f t="shared" si="239"/>
        <v>0.62523163200000009</v>
      </c>
      <c r="BC269" s="446">
        <f t="shared" si="240"/>
        <v>763</v>
      </c>
      <c r="BD269" s="258">
        <f t="shared" si="241"/>
        <v>8614223</v>
      </c>
      <c r="BE269" s="258">
        <f t="shared" si="242"/>
        <v>9040787</v>
      </c>
      <c r="BF269" s="391">
        <f t="shared" si="243"/>
        <v>174043433</v>
      </c>
      <c r="BG269" s="391">
        <f t="shared" si="244"/>
        <v>182697725</v>
      </c>
    </row>
    <row r="270" spans="1:59" ht="15.75">
      <c r="A270" s="333">
        <v>22</v>
      </c>
      <c r="B270" s="333" t="str">
        <f t="shared" si="196"/>
        <v>CEREAL EMPACADO_22</v>
      </c>
      <c r="C270" s="333" t="str">
        <f t="shared" si="197"/>
        <v>15_22</v>
      </c>
      <c r="D270" s="333" t="s">
        <v>1607</v>
      </c>
      <c r="E270" s="256">
        <v>15</v>
      </c>
      <c r="F270" s="322" t="s">
        <v>66</v>
      </c>
      <c r="G270" s="256" t="s">
        <v>9</v>
      </c>
      <c r="H270" s="425">
        <f t="shared" si="198"/>
        <v>17</v>
      </c>
      <c r="I270" s="425">
        <f t="array" ref="I270">MAX((IF(MNU_CODIGO_ALIMENTO_ENTREGA=CONCATENATE($E270,"_","P_"),MNU_GRAMAJE_REQUERIDO_TIPOA,"")))</f>
        <v>50</v>
      </c>
      <c r="J270" s="257">
        <f t="shared" si="199"/>
        <v>5114</v>
      </c>
      <c r="K270" s="257">
        <f t="shared" si="200"/>
        <v>86938</v>
      </c>
      <c r="L270" s="446">
        <f t="shared" si="201"/>
        <v>641</v>
      </c>
      <c r="M270" s="446">
        <f t="shared" si="202"/>
        <v>31.280800000000003</v>
      </c>
      <c r="N270" s="446">
        <f t="shared" si="203"/>
        <v>0.55127025600000001</v>
      </c>
      <c r="O270" s="446">
        <f t="shared" si="204"/>
        <v>673</v>
      </c>
      <c r="P270" s="258">
        <f t="shared" si="205"/>
        <v>55727258</v>
      </c>
      <c r="Q270" s="258">
        <f t="shared" si="206"/>
        <v>58509274</v>
      </c>
      <c r="R270" s="426">
        <f t="shared" si="207"/>
        <v>17</v>
      </c>
      <c r="S270" s="426">
        <f t="array" ref="S270">MAX((IF(MNU_CODIGO_ALIMENTO_ENTREGA=CONCATENATE($E270,"_","P_"),MNU_GRAMAJE_REQUERIDO_TIPOB,"")))</f>
        <v>50</v>
      </c>
      <c r="T270" s="259">
        <f t="shared" si="208"/>
        <v>5775</v>
      </c>
      <c r="U270" s="259">
        <f t="shared" si="209"/>
        <v>98175</v>
      </c>
      <c r="V270" s="446">
        <f t="shared" si="210"/>
        <v>641</v>
      </c>
      <c r="W270" s="446">
        <f t="shared" si="211"/>
        <v>31.280800000000003</v>
      </c>
      <c r="X270" s="446">
        <f t="shared" si="212"/>
        <v>0.55127025600000001</v>
      </c>
      <c r="Y270" s="446">
        <f t="shared" si="213"/>
        <v>673</v>
      </c>
      <c r="Z270" s="260">
        <f t="shared" si="214"/>
        <v>62930175</v>
      </c>
      <c r="AA270" s="260">
        <f t="shared" si="215"/>
        <v>66071775</v>
      </c>
      <c r="AB270" s="425">
        <f t="shared" si="216"/>
        <v>17</v>
      </c>
      <c r="AC270" s="425">
        <f t="array" ref="AC270">MAX((IF(MNU_CODIGO_ALIMENTO_ENTREGA=CONCATENATE($E270,"_","P_"),MNU_GRAMAJE_REQUERIDO_TIPOC,"")))</f>
        <v>80</v>
      </c>
      <c r="AD270" s="257">
        <f t="shared" si="217"/>
        <v>5688</v>
      </c>
      <c r="AE270" s="257">
        <f t="shared" si="218"/>
        <v>96696</v>
      </c>
      <c r="AF270" s="446">
        <f t="shared" si="219"/>
        <v>1025</v>
      </c>
      <c r="AG270" s="446">
        <f t="shared" si="220"/>
        <v>50.02</v>
      </c>
      <c r="AH270" s="446">
        <f t="shared" si="221"/>
        <v>0.88151640000000009</v>
      </c>
      <c r="AI270" s="446">
        <f t="shared" si="222"/>
        <v>1076</v>
      </c>
      <c r="AJ270" s="258">
        <f t="shared" si="223"/>
        <v>99113400</v>
      </c>
      <c r="AK270" s="258">
        <f t="shared" si="224"/>
        <v>104044896</v>
      </c>
      <c r="AL270" s="426">
        <f t="shared" si="225"/>
        <v>17</v>
      </c>
      <c r="AM270" s="426">
        <f t="array" ref="AM270">MAX((IF(MNU_CODIGO_ALIMENTO_ENTREGA=CONCATENATE($E270,"_","P_"),MNU_GRAMAJE_REQUERIDO_TIPOM,"")))</f>
        <v>50</v>
      </c>
      <c r="AN270" s="259">
        <f t="shared" si="226"/>
        <v>745</v>
      </c>
      <c r="AO270" s="259">
        <f t="shared" si="227"/>
        <v>12665</v>
      </c>
      <c r="AP270" s="446">
        <f t="shared" si="228"/>
        <v>641</v>
      </c>
      <c r="AQ270" s="446">
        <f t="shared" si="229"/>
        <v>31.280800000000003</v>
      </c>
      <c r="AR270" s="446">
        <f t="shared" si="230"/>
        <v>0.55127025600000001</v>
      </c>
      <c r="AS270" s="446">
        <f t="shared" si="231"/>
        <v>673</v>
      </c>
      <c r="AT270" s="260">
        <f t="shared" si="232"/>
        <v>8118265</v>
      </c>
      <c r="AU270" s="260">
        <f t="shared" si="233"/>
        <v>8523545</v>
      </c>
      <c r="AV270" s="425">
        <f t="shared" si="234"/>
        <v>17</v>
      </c>
      <c r="AW270" s="425">
        <f t="array" ref="AW270">MAX((IF(MNU_CODIGO_ALIMENTO_ENTREGA=CONCATENATE($E270,"_","P_"),MNU_GRAMAJE_REQUERIDO_TIPOH,"")))</f>
        <v>80</v>
      </c>
      <c r="AX270" s="257">
        <f t="shared" si="235"/>
        <v>697</v>
      </c>
      <c r="AY270" s="257">
        <f t="shared" si="236"/>
        <v>11849</v>
      </c>
      <c r="AZ270" s="446">
        <f t="shared" si="237"/>
        <v>1025</v>
      </c>
      <c r="BA270" s="446">
        <f t="shared" si="238"/>
        <v>50.02</v>
      </c>
      <c r="BB270" s="446">
        <f t="shared" si="239"/>
        <v>0.88151640000000009</v>
      </c>
      <c r="BC270" s="446">
        <f t="shared" si="240"/>
        <v>1076</v>
      </c>
      <c r="BD270" s="258">
        <f t="shared" si="241"/>
        <v>12145225</v>
      </c>
      <c r="BE270" s="258">
        <f t="shared" si="242"/>
        <v>12749524</v>
      </c>
      <c r="BF270" s="391">
        <f t="shared" si="243"/>
        <v>238034323</v>
      </c>
      <c r="BG270" s="391">
        <f t="shared" si="244"/>
        <v>249899014</v>
      </c>
    </row>
    <row r="271" spans="1:59" ht="15.75">
      <c r="A271" s="333">
        <v>22</v>
      </c>
      <c r="B271" s="333" t="str">
        <f t="shared" si="196"/>
        <v>CEREAL EMPACADO_22</v>
      </c>
      <c r="C271" s="333" t="str">
        <f t="shared" si="197"/>
        <v>24_22</v>
      </c>
      <c r="D271" s="333" t="s">
        <v>1607</v>
      </c>
      <c r="E271" s="256">
        <v>24</v>
      </c>
      <c r="F271" s="322" t="s">
        <v>61</v>
      </c>
      <c r="G271" s="256" t="s">
        <v>9</v>
      </c>
      <c r="H271" s="425">
        <f t="shared" si="198"/>
        <v>17</v>
      </c>
      <c r="I271" s="425">
        <f t="array" ref="I271">MAX((IF(MNU_CODIGO_ALIMENTO_ENTREGA=CONCATENATE($E271,"_","P_"),MNU_GRAMAJE_REQUERIDO_TIPOA,"")))</f>
        <v>20</v>
      </c>
      <c r="J271" s="257">
        <f t="shared" si="199"/>
        <v>5114</v>
      </c>
      <c r="K271" s="257">
        <f t="shared" si="200"/>
        <v>86938</v>
      </c>
      <c r="L271" s="446">
        <f t="shared" si="201"/>
        <v>122</v>
      </c>
      <c r="M271" s="446">
        <f t="shared" si="202"/>
        <v>5.9535999999999998</v>
      </c>
      <c r="N271" s="446">
        <f t="shared" si="203"/>
        <v>0.104921952</v>
      </c>
      <c r="O271" s="446">
        <f t="shared" si="204"/>
        <v>128</v>
      </c>
      <c r="P271" s="258">
        <f t="shared" si="205"/>
        <v>10606436</v>
      </c>
      <c r="Q271" s="258">
        <f t="shared" si="206"/>
        <v>11128064</v>
      </c>
      <c r="R271" s="426">
        <f t="shared" si="207"/>
        <v>17</v>
      </c>
      <c r="S271" s="426">
        <f t="array" ref="S271">MAX((IF(MNU_CODIGO_ALIMENTO_ENTREGA=CONCATENATE($E271,"_","P_"),MNU_GRAMAJE_REQUERIDO_TIPOB,"")))</f>
        <v>30</v>
      </c>
      <c r="T271" s="259">
        <f t="shared" si="208"/>
        <v>5775</v>
      </c>
      <c r="U271" s="259">
        <f t="shared" si="209"/>
        <v>98175</v>
      </c>
      <c r="V271" s="446">
        <f t="shared" si="210"/>
        <v>191</v>
      </c>
      <c r="W271" s="446">
        <f t="shared" si="211"/>
        <v>9.3208000000000002</v>
      </c>
      <c r="X271" s="446">
        <f t="shared" si="212"/>
        <v>0.16426305600000002</v>
      </c>
      <c r="Y271" s="446">
        <f t="shared" si="213"/>
        <v>200</v>
      </c>
      <c r="Z271" s="260">
        <f t="shared" si="214"/>
        <v>18751425</v>
      </c>
      <c r="AA271" s="260">
        <f t="shared" si="215"/>
        <v>19635000</v>
      </c>
      <c r="AB271" s="425">
        <f t="shared" si="216"/>
        <v>17</v>
      </c>
      <c r="AC271" s="425">
        <f t="array" ref="AC271">MAX((IF(MNU_CODIGO_ALIMENTO_ENTREGA=CONCATENATE($E271,"_","P_"),MNU_GRAMAJE_REQUERIDO_TIPOC,"")))</f>
        <v>60</v>
      </c>
      <c r="AD271" s="257">
        <f t="shared" si="217"/>
        <v>5688</v>
      </c>
      <c r="AE271" s="257">
        <f t="shared" si="218"/>
        <v>96696</v>
      </c>
      <c r="AF271" s="446">
        <f t="shared" si="219"/>
        <v>367</v>
      </c>
      <c r="AG271" s="446">
        <f t="shared" si="220"/>
        <v>17.909599999999998</v>
      </c>
      <c r="AH271" s="446">
        <f t="shared" si="221"/>
        <v>0.31562587200000003</v>
      </c>
      <c r="AI271" s="446">
        <f t="shared" si="222"/>
        <v>385</v>
      </c>
      <c r="AJ271" s="258">
        <f t="shared" si="223"/>
        <v>35487432</v>
      </c>
      <c r="AK271" s="258">
        <f t="shared" si="224"/>
        <v>37227960</v>
      </c>
      <c r="AL271" s="426">
        <f t="shared" si="225"/>
        <v>17</v>
      </c>
      <c r="AM271" s="426">
        <f t="array" ref="AM271">MAX((IF(MNU_CODIGO_ALIMENTO_ENTREGA=CONCATENATE($E271,"_","P_"),MNU_GRAMAJE_REQUERIDO_TIPOM,"")))</f>
        <v>30</v>
      </c>
      <c r="AN271" s="259">
        <f t="shared" si="226"/>
        <v>745</v>
      </c>
      <c r="AO271" s="259">
        <f t="shared" si="227"/>
        <v>12665</v>
      </c>
      <c r="AP271" s="446">
        <f t="shared" si="228"/>
        <v>191</v>
      </c>
      <c r="AQ271" s="446">
        <f t="shared" si="229"/>
        <v>9.3208000000000002</v>
      </c>
      <c r="AR271" s="446">
        <f t="shared" si="230"/>
        <v>0.16426305600000002</v>
      </c>
      <c r="AS271" s="446">
        <f t="shared" si="231"/>
        <v>200</v>
      </c>
      <c r="AT271" s="260">
        <f t="shared" si="232"/>
        <v>2419015</v>
      </c>
      <c r="AU271" s="260">
        <f t="shared" si="233"/>
        <v>2533000</v>
      </c>
      <c r="AV271" s="425">
        <f t="shared" si="234"/>
        <v>17</v>
      </c>
      <c r="AW271" s="425">
        <f t="array" ref="AW271">MAX((IF(MNU_CODIGO_ALIMENTO_ENTREGA=CONCATENATE($E271,"_","P_"),MNU_GRAMAJE_REQUERIDO_TIPOH,"")))</f>
        <v>60</v>
      </c>
      <c r="AX271" s="257">
        <f t="shared" si="235"/>
        <v>697</v>
      </c>
      <c r="AY271" s="257">
        <f t="shared" si="236"/>
        <v>11849</v>
      </c>
      <c r="AZ271" s="446">
        <f t="shared" si="237"/>
        <v>367</v>
      </c>
      <c r="BA271" s="446">
        <f t="shared" si="238"/>
        <v>17.909599999999998</v>
      </c>
      <c r="BB271" s="446">
        <f t="shared" si="239"/>
        <v>0.31562587200000003</v>
      </c>
      <c r="BC271" s="446">
        <f t="shared" si="240"/>
        <v>385</v>
      </c>
      <c r="BD271" s="258">
        <f t="shared" si="241"/>
        <v>4348583</v>
      </c>
      <c r="BE271" s="258">
        <f t="shared" si="242"/>
        <v>4561865</v>
      </c>
      <c r="BF271" s="391">
        <f t="shared" si="243"/>
        <v>71612891</v>
      </c>
      <c r="BG271" s="391">
        <f t="shared" si="244"/>
        <v>75085889</v>
      </c>
    </row>
    <row r="272" spans="1:59" ht="15.75">
      <c r="A272" s="333">
        <v>22</v>
      </c>
      <c r="B272" s="333" t="str">
        <f t="shared" si="196"/>
        <v>CEREAL EMPACADO_22</v>
      </c>
      <c r="C272" s="333" t="str">
        <f t="shared" si="197"/>
        <v>25_22</v>
      </c>
      <c r="D272" s="333" t="s">
        <v>1607</v>
      </c>
      <c r="E272" s="256">
        <v>25</v>
      </c>
      <c r="F272" s="322" t="s">
        <v>64</v>
      </c>
      <c r="G272" s="256" t="s">
        <v>9</v>
      </c>
      <c r="H272" s="425">
        <f t="shared" si="198"/>
        <v>17</v>
      </c>
      <c r="I272" s="425">
        <f t="array" ref="I272">MAX((IF(MNU_CODIGO_ALIMENTO_ENTREGA=CONCATENATE($E272,"_","P_"),MNU_GRAMAJE_REQUERIDO_TIPOA,"")))</f>
        <v>40</v>
      </c>
      <c r="J272" s="257">
        <f t="shared" si="199"/>
        <v>5114</v>
      </c>
      <c r="K272" s="257">
        <f t="shared" si="200"/>
        <v>86938</v>
      </c>
      <c r="L272" s="446">
        <f t="shared" si="201"/>
        <v>244</v>
      </c>
      <c r="M272" s="446">
        <f t="shared" si="202"/>
        <v>11.9072</v>
      </c>
      <c r="N272" s="446">
        <f t="shared" si="203"/>
        <v>0.209843904</v>
      </c>
      <c r="O272" s="446">
        <f t="shared" si="204"/>
        <v>256</v>
      </c>
      <c r="P272" s="258">
        <f t="shared" si="205"/>
        <v>21212872</v>
      </c>
      <c r="Q272" s="258">
        <f t="shared" si="206"/>
        <v>22256128</v>
      </c>
      <c r="R272" s="426">
        <f t="shared" si="207"/>
        <v>17</v>
      </c>
      <c r="S272" s="426">
        <f t="array" ref="S272">MAX((IF(MNU_CODIGO_ALIMENTO_ENTREGA=CONCATENATE($E272,"_","P_"),MNU_GRAMAJE_REQUERIDO_TIPOB,"")))</f>
        <v>40</v>
      </c>
      <c r="T272" s="259">
        <f t="shared" si="208"/>
        <v>5775</v>
      </c>
      <c r="U272" s="259">
        <f t="shared" si="209"/>
        <v>98175</v>
      </c>
      <c r="V272" s="446">
        <f t="shared" si="210"/>
        <v>244</v>
      </c>
      <c r="W272" s="446">
        <f t="shared" si="211"/>
        <v>11.9072</v>
      </c>
      <c r="X272" s="446">
        <f t="shared" si="212"/>
        <v>0.209843904</v>
      </c>
      <c r="Y272" s="446">
        <f t="shared" si="213"/>
        <v>256</v>
      </c>
      <c r="Z272" s="260">
        <f t="shared" si="214"/>
        <v>23954700</v>
      </c>
      <c r="AA272" s="260">
        <f t="shared" si="215"/>
        <v>25132800</v>
      </c>
      <c r="AB272" s="425">
        <f t="shared" si="216"/>
        <v>17</v>
      </c>
      <c r="AC272" s="425">
        <f t="array" ref="AC272">MAX((IF(MNU_CODIGO_ALIMENTO_ENTREGA=CONCATENATE($E272,"_","P_"),MNU_GRAMAJE_REQUERIDO_TIPOC,"")))</f>
        <v>60</v>
      </c>
      <c r="AD272" s="257">
        <f t="shared" si="217"/>
        <v>5688</v>
      </c>
      <c r="AE272" s="257">
        <f t="shared" si="218"/>
        <v>96696</v>
      </c>
      <c r="AF272" s="446">
        <f t="shared" si="219"/>
        <v>366</v>
      </c>
      <c r="AG272" s="446">
        <f t="shared" si="220"/>
        <v>17.860800000000001</v>
      </c>
      <c r="AH272" s="446">
        <f t="shared" si="221"/>
        <v>0.31476585600000001</v>
      </c>
      <c r="AI272" s="446">
        <f t="shared" si="222"/>
        <v>384</v>
      </c>
      <c r="AJ272" s="258">
        <f t="shared" si="223"/>
        <v>35390736</v>
      </c>
      <c r="AK272" s="258">
        <f t="shared" si="224"/>
        <v>37131264</v>
      </c>
      <c r="AL272" s="426">
        <f t="shared" si="225"/>
        <v>17</v>
      </c>
      <c r="AM272" s="426">
        <f t="array" ref="AM272">MAX((IF(MNU_CODIGO_ALIMENTO_ENTREGA=CONCATENATE($E272,"_","P_"),MNU_GRAMAJE_REQUERIDO_TIPOM,"")))</f>
        <v>40</v>
      </c>
      <c r="AN272" s="259">
        <f t="shared" si="226"/>
        <v>745</v>
      </c>
      <c r="AO272" s="259">
        <f t="shared" si="227"/>
        <v>12665</v>
      </c>
      <c r="AP272" s="446">
        <f t="shared" si="228"/>
        <v>244</v>
      </c>
      <c r="AQ272" s="446">
        <f t="shared" si="229"/>
        <v>11.9072</v>
      </c>
      <c r="AR272" s="446">
        <f t="shared" si="230"/>
        <v>0.209843904</v>
      </c>
      <c r="AS272" s="446">
        <f t="shared" si="231"/>
        <v>256</v>
      </c>
      <c r="AT272" s="260">
        <f t="shared" si="232"/>
        <v>3090260</v>
      </c>
      <c r="AU272" s="260">
        <f t="shared" si="233"/>
        <v>3242240</v>
      </c>
      <c r="AV272" s="425">
        <f t="shared" si="234"/>
        <v>17</v>
      </c>
      <c r="AW272" s="425">
        <f t="array" ref="AW272">MAX((IF(MNU_CODIGO_ALIMENTO_ENTREGA=CONCATENATE($E272,"_","P_"),MNU_GRAMAJE_REQUERIDO_TIPOH,"")))</f>
        <v>60</v>
      </c>
      <c r="AX272" s="257">
        <f t="shared" si="235"/>
        <v>697</v>
      </c>
      <c r="AY272" s="257">
        <f t="shared" si="236"/>
        <v>11849</v>
      </c>
      <c r="AZ272" s="446">
        <f t="shared" si="237"/>
        <v>366</v>
      </c>
      <c r="BA272" s="446">
        <f t="shared" si="238"/>
        <v>17.860800000000001</v>
      </c>
      <c r="BB272" s="446">
        <f t="shared" si="239"/>
        <v>0.31476585600000001</v>
      </c>
      <c r="BC272" s="446">
        <f t="shared" si="240"/>
        <v>384</v>
      </c>
      <c r="BD272" s="258">
        <f t="shared" si="241"/>
        <v>4336734</v>
      </c>
      <c r="BE272" s="258">
        <f t="shared" si="242"/>
        <v>4550016</v>
      </c>
      <c r="BF272" s="391">
        <f t="shared" si="243"/>
        <v>87985302</v>
      </c>
      <c r="BG272" s="391">
        <f t="shared" si="244"/>
        <v>92312448</v>
      </c>
    </row>
    <row r="273" spans="1:59" ht="15.75">
      <c r="A273" s="333">
        <v>22</v>
      </c>
      <c r="B273" s="333" t="str">
        <f t="shared" si="196"/>
        <v>CEREAL EMPACADO_22</v>
      </c>
      <c r="C273" s="333" t="str">
        <f t="shared" si="197"/>
        <v>26_22</v>
      </c>
      <c r="D273" s="333" t="s">
        <v>1607</v>
      </c>
      <c r="E273" s="256">
        <v>26</v>
      </c>
      <c r="F273" s="322" t="s">
        <v>69</v>
      </c>
      <c r="G273" s="256" t="s">
        <v>9</v>
      </c>
      <c r="H273" s="425">
        <f t="shared" si="198"/>
        <v>6</v>
      </c>
      <c r="I273" s="425">
        <f t="array" ref="I273">MAX((IF(MNU_CODIGO_ALIMENTO_ENTREGA=CONCATENATE($E273,"_","P_"),MNU_GRAMAJE_REQUERIDO_TIPOA,"")))</f>
        <v>30</v>
      </c>
      <c r="J273" s="257">
        <f t="shared" si="199"/>
        <v>5114</v>
      </c>
      <c r="K273" s="257">
        <f t="shared" si="200"/>
        <v>30684</v>
      </c>
      <c r="L273" s="446">
        <f t="shared" si="201"/>
        <v>163</v>
      </c>
      <c r="M273" s="446">
        <f t="shared" si="202"/>
        <v>7.9543999999999997</v>
      </c>
      <c r="N273" s="446">
        <f t="shared" si="203"/>
        <v>0.14018260800000001</v>
      </c>
      <c r="O273" s="446">
        <f t="shared" si="204"/>
        <v>171</v>
      </c>
      <c r="P273" s="258">
        <f t="shared" si="205"/>
        <v>5001492</v>
      </c>
      <c r="Q273" s="258">
        <f t="shared" si="206"/>
        <v>5246964</v>
      </c>
      <c r="R273" s="426">
        <f t="shared" si="207"/>
        <v>6</v>
      </c>
      <c r="S273" s="426">
        <f t="array" ref="S273">MAX((IF(MNU_CODIGO_ALIMENTO_ENTREGA=CONCATENATE($E273,"_","P_"),MNU_GRAMAJE_REQUERIDO_TIPOB,"")))</f>
        <v>30</v>
      </c>
      <c r="T273" s="259">
        <f t="shared" si="208"/>
        <v>5775</v>
      </c>
      <c r="U273" s="259">
        <f t="shared" si="209"/>
        <v>34650</v>
      </c>
      <c r="V273" s="446">
        <f t="shared" si="210"/>
        <v>163</v>
      </c>
      <c r="W273" s="446">
        <f t="shared" si="211"/>
        <v>7.9543999999999997</v>
      </c>
      <c r="X273" s="446">
        <f t="shared" si="212"/>
        <v>0.14018260800000001</v>
      </c>
      <c r="Y273" s="446">
        <f t="shared" si="213"/>
        <v>171</v>
      </c>
      <c r="Z273" s="260">
        <f t="shared" si="214"/>
        <v>5647950</v>
      </c>
      <c r="AA273" s="260">
        <f t="shared" si="215"/>
        <v>5925150</v>
      </c>
      <c r="AB273" s="425">
        <f t="shared" si="216"/>
        <v>6</v>
      </c>
      <c r="AC273" s="425">
        <f t="array" ref="AC273">MAX((IF(MNU_CODIGO_ALIMENTO_ENTREGA=CONCATENATE($E273,"_","P_"),MNU_GRAMAJE_REQUERIDO_TIPOC,"")))</f>
        <v>30</v>
      </c>
      <c r="AD273" s="257">
        <f t="shared" si="217"/>
        <v>5688</v>
      </c>
      <c r="AE273" s="257">
        <f t="shared" si="218"/>
        <v>34128</v>
      </c>
      <c r="AF273" s="446">
        <f t="shared" si="219"/>
        <v>163</v>
      </c>
      <c r="AG273" s="446">
        <f t="shared" si="220"/>
        <v>7.9543999999999997</v>
      </c>
      <c r="AH273" s="446">
        <f t="shared" si="221"/>
        <v>0.14018260800000001</v>
      </c>
      <c r="AI273" s="446">
        <f t="shared" si="222"/>
        <v>171</v>
      </c>
      <c r="AJ273" s="258">
        <f t="shared" si="223"/>
        <v>5562864</v>
      </c>
      <c r="AK273" s="258">
        <f t="shared" si="224"/>
        <v>5835888</v>
      </c>
      <c r="AL273" s="426">
        <f t="shared" si="225"/>
        <v>6</v>
      </c>
      <c r="AM273" s="426">
        <f t="array" ref="AM273">MAX((IF(MNU_CODIGO_ALIMENTO_ENTREGA=CONCATENATE($E273,"_","P_"),MNU_GRAMAJE_REQUERIDO_TIPOM,"")))</f>
        <v>30</v>
      </c>
      <c r="AN273" s="259">
        <f t="shared" si="226"/>
        <v>745</v>
      </c>
      <c r="AO273" s="259">
        <f t="shared" si="227"/>
        <v>4470</v>
      </c>
      <c r="AP273" s="446">
        <f t="shared" si="228"/>
        <v>163</v>
      </c>
      <c r="AQ273" s="446">
        <f t="shared" si="229"/>
        <v>7.9543999999999997</v>
      </c>
      <c r="AR273" s="446">
        <f t="shared" si="230"/>
        <v>0.14018260800000001</v>
      </c>
      <c r="AS273" s="446">
        <f t="shared" si="231"/>
        <v>171</v>
      </c>
      <c r="AT273" s="260">
        <f t="shared" si="232"/>
        <v>728610</v>
      </c>
      <c r="AU273" s="260">
        <f t="shared" si="233"/>
        <v>764370</v>
      </c>
      <c r="AV273" s="425">
        <f t="shared" si="234"/>
        <v>6</v>
      </c>
      <c r="AW273" s="425">
        <f t="array" ref="AW273">MAX((IF(MNU_CODIGO_ALIMENTO_ENTREGA=CONCATENATE($E273,"_","P_"),MNU_GRAMAJE_REQUERIDO_TIPOH,"")))</f>
        <v>30</v>
      </c>
      <c r="AX273" s="257">
        <f t="shared" si="235"/>
        <v>697</v>
      </c>
      <c r="AY273" s="257">
        <f t="shared" si="236"/>
        <v>4182</v>
      </c>
      <c r="AZ273" s="446">
        <f t="shared" si="237"/>
        <v>163</v>
      </c>
      <c r="BA273" s="446">
        <f t="shared" si="238"/>
        <v>7.9543999999999997</v>
      </c>
      <c r="BB273" s="446">
        <f t="shared" si="239"/>
        <v>0.14018260800000001</v>
      </c>
      <c r="BC273" s="446">
        <f t="shared" si="240"/>
        <v>171</v>
      </c>
      <c r="BD273" s="258">
        <f t="shared" si="241"/>
        <v>681666</v>
      </c>
      <c r="BE273" s="258">
        <f t="shared" si="242"/>
        <v>715122</v>
      </c>
      <c r="BF273" s="391">
        <f t="shared" si="243"/>
        <v>17622582</v>
      </c>
      <c r="BG273" s="391">
        <f t="shared" si="244"/>
        <v>18487494</v>
      </c>
    </row>
    <row r="274" spans="1:59" ht="27">
      <c r="A274" s="333">
        <v>22</v>
      </c>
      <c r="B274" s="333" t="str">
        <f t="shared" si="196"/>
        <v>CEREAL EMPACADO_22</v>
      </c>
      <c r="C274" s="333" t="str">
        <f t="shared" si="197"/>
        <v>28_22</v>
      </c>
      <c r="D274" s="333" t="s">
        <v>1607</v>
      </c>
      <c r="E274" s="256">
        <v>28</v>
      </c>
      <c r="F274" s="322" t="s">
        <v>67</v>
      </c>
      <c r="G274" s="256" t="s">
        <v>9</v>
      </c>
      <c r="H274" s="425">
        <f t="shared" si="198"/>
        <v>6</v>
      </c>
      <c r="I274" s="425">
        <f t="array" ref="I274">MAX((IF(MNU_CODIGO_ALIMENTO_ENTREGA=CONCATENATE($E274,"_","P_"),MNU_GRAMAJE_REQUERIDO_TIPOA,"")))</f>
        <v>30</v>
      </c>
      <c r="J274" s="257">
        <f t="shared" si="199"/>
        <v>5114</v>
      </c>
      <c r="K274" s="257">
        <f t="shared" si="200"/>
        <v>30684</v>
      </c>
      <c r="L274" s="446">
        <f t="shared" si="201"/>
        <v>215</v>
      </c>
      <c r="M274" s="446">
        <f t="shared" si="202"/>
        <v>10.492000000000001</v>
      </c>
      <c r="N274" s="446">
        <f t="shared" si="203"/>
        <v>0.18490343999999997</v>
      </c>
      <c r="O274" s="446">
        <f t="shared" si="204"/>
        <v>226</v>
      </c>
      <c r="P274" s="258">
        <f t="shared" si="205"/>
        <v>6597060</v>
      </c>
      <c r="Q274" s="258">
        <f t="shared" si="206"/>
        <v>6934584</v>
      </c>
      <c r="R274" s="426">
        <f t="shared" si="207"/>
        <v>6</v>
      </c>
      <c r="S274" s="426">
        <f t="array" ref="S274">MAX((IF(MNU_CODIGO_ALIMENTO_ENTREGA=CONCATENATE($E274,"_","P_"),MNU_GRAMAJE_REQUERIDO_TIPOB,"")))</f>
        <v>40</v>
      </c>
      <c r="T274" s="259">
        <f t="shared" si="208"/>
        <v>5775</v>
      </c>
      <c r="U274" s="259">
        <f t="shared" si="209"/>
        <v>34650</v>
      </c>
      <c r="V274" s="446">
        <f t="shared" si="210"/>
        <v>287</v>
      </c>
      <c r="W274" s="446">
        <f t="shared" si="211"/>
        <v>14.005600000000001</v>
      </c>
      <c r="X274" s="446">
        <f t="shared" si="212"/>
        <v>0.24682459200000004</v>
      </c>
      <c r="Y274" s="446">
        <f t="shared" si="213"/>
        <v>301</v>
      </c>
      <c r="Z274" s="260">
        <f t="shared" si="214"/>
        <v>9944550</v>
      </c>
      <c r="AA274" s="260">
        <f t="shared" si="215"/>
        <v>10429650</v>
      </c>
      <c r="AB274" s="425">
        <f t="shared" si="216"/>
        <v>6</v>
      </c>
      <c r="AC274" s="425">
        <f t="array" ref="AC274">MAX((IF(MNU_CODIGO_ALIMENTO_ENTREGA=CONCATENATE($E274,"_","P_"),MNU_GRAMAJE_REQUERIDO_TIPOC,"")))</f>
        <v>60</v>
      </c>
      <c r="AD274" s="257">
        <f t="shared" si="217"/>
        <v>5688</v>
      </c>
      <c r="AE274" s="257">
        <f t="shared" si="218"/>
        <v>34128</v>
      </c>
      <c r="AF274" s="446">
        <f t="shared" si="219"/>
        <v>430</v>
      </c>
      <c r="AG274" s="446">
        <f t="shared" si="220"/>
        <v>20.984000000000002</v>
      </c>
      <c r="AH274" s="446">
        <f t="shared" si="221"/>
        <v>0.36980687999999995</v>
      </c>
      <c r="AI274" s="446">
        <f t="shared" si="222"/>
        <v>451</v>
      </c>
      <c r="AJ274" s="258">
        <f t="shared" si="223"/>
        <v>14675040</v>
      </c>
      <c r="AK274" s="258">
        <f t="shared" si="224"/>
        <v>15391728</v>
      </c>
      <c r="AL274" s="426">
        <f t="shared" si="225"/>
        <v>6</v>
      </c>
      <c r="AM274" s="426">
        <f t="array" ref="AM274">MAX((IF(MNU_CODIGO_ALIMENTO_ENTREGA=CONCATENATE($E274,"_","P_"),MNU_GRAMAJE_REQUERIDO_TIPOM,"")))</f>
        <v>40</v>
      </c>
      <c r="AN274" s="259">
        <f t="shared" si="226"/>
        <v>745</v>
      </c>
      <c r="AO274" s="259">
        <f t="shared" si="227"/>
        <v>4470</v>
      </c>
      <c r="AP274" s="446">
        <f t="shared" si="228"/>
        <v>287</v>
      </c>
      <c r="AQ274" s="446">
        <f t="shared" si="229"/>
        <v>14.005600000000001</v>
      </c>
      <c r="AR274" s="446">
        <f t="shared" si="230"/>
        <v>0.24682459200000004</v>
      </c>
      <c r="AS274" s="446">
        <f t="shared" si="231"/>
        <v>301</v>
      </c>
      <c r="AT274" s="260">
        <f t="shared" si="232"/>
        <v>1282890</v>
      </c>
      <c r="AU274" s="260">
        <f t="shared" si="233"/>
        <v>1345470</v>
      </c>
      <c r="AV274" s="425">
        <f t="shared" si="234"/>
        <v>6</v>
      </c>
      <c r="AW274" s="425">
        <f t="array" ref="AW274">MAX((IF(MNU_CODIGO_ALIMENTO_ENTREGA=CONCATENATE($E274,"_","P_"),MNU_GRAMAJE_REQUERIDO_TIPOH,"")))</f>
        <v>60</v>
      </c>
      <c r="AX274" s="257">
        <f t="shared" si="235"/>
        <v>697</v>
      </c>
      <c r="AY274" s="257">
        <f t="shared" si="236"/>
        <v>4182</v>
      </c>
      <c r="AZ274" s="446">
        <f t="shared" si="237"/>
        <v>430</v>
      </c>
      <c r="BA274" s="446">
        <f t="shared" si="238"/>
        <v>20.984000000000002</v>
      </c>
      <c r="BB274" s="446">
        <f t="shared" si="239"/>
        <v>0.36980687999999995</v>
      </c>
      <c r="BC274" s="446">
        <f t="shared" si="240"/>
        <v>451</v>
      </c>
      <c r="BD274" s="258">
        <f t="shared" si="241"/>
        <v>1798260</v>
      </c>
      <c r="BE274" s="258">
        <f t="shared" si="242"/>
        <v>1886082</v>
      </c>
      <c r="BF274" s="391">
        <f t="shared" si="243"/>
        <v>34297800</v>
      </c>
      <c r="BG274" s="391">
        <f t="shared" si="244"/>
        <v>35987514</v>
      </c>
    </row>
    <row r="275" spans="1:59" ht="15.75">
      <c r="A275" s="333">
        <v>22</v>
      </c>
      <c r="B275" s="333" t="str">
        <f t="shared" si="196"/>
        <v>CEREAL EMPACADO_22</v>
      </c>
      <c r="C275" s="333" t="str">
        <f t="shared" si="197"/>
        <v>30_22</v>
      </c>
      <c r="D275" s="333" t="s">
        <v>1607</v>
      </c>
      <c r="E275" s="256">
        <v>30</v>
      </c>
      <c r="F275" s="322" t="s">
        <v>63</v>
      </c>
      <c r="G275" s="256" t="s">
        <v>9</v>
      </c>
      <c r="H275" s="425">
        <f t="shared" si="198"/>
        <v>16</v>
      </c>
      <c r="I275" s="425">
        <f t="array" ref="I275">MAX((IF(MNU_CODIGO_ALIMENTO_ENTREGA=CONCATENATE($E275,"_","P_"),MNU_GRAMAJE_REQUERIDO_TIPOA,"")))</f>
        <v>30</v>
      </c>
      <c r="J275" s="257">
        <f t="shared" si="199"/>
        <v>5114</v>
      </c>
      <c r="K275" s="257">
        <f t="shared" si="200"/>
        <v>81824</v>
      </c>
      <c r="L275" s="446">
        <f t="shared" si="201"/>
        <v>316</v>
      </c>
      <c r="M275" s="446">
        <f t="shared" si="202"/>
        <v>15.4208</v>
      </c>
      <c r="N275" s="446">
        <f t="shared" si="203"/>
        <v>0.271765056</v>
      </c>
      <c r="O275" s="446">
        <f t="shared" si="204"/>
        <v>332</v>
      </c>
      <c r="P275" s="258">
        <f t="shared" si="205"/>
        <v>25856384</v>
      </c>
      <c r="Q275" s="258">
        <f t="shared" si="206"/>
        <v>27165568</v>
      </c>
      <c r="R275" s="426">
        <f t="shared" si="207"/>
        <v>16</v>
      </c>
      <c r="S275" s="426">
        <f t="array" ref="S275">MAX((IF(MNU_CODIGO_ALIMENTO_ENTREGA=CONCATENATE($E275,"_","P_"),MNU_GRAMAJE_REQUERIDO_TIPOB,"")))</f>
        <v>30</v>
      </c>
      <c r="T275" s="259">
        <f t="shared" si="208"/>
        <v>5775</v>
      </c>
      <c r="U275" s="259">
        <f t="shared" si="209"/>
        <v>92400</v>
      </c>
      <c r="V275" s="446">
        <f t="shared" si="210"/>
        <v>316</v>
      </c>
      <c r="W275" s="446">
        <f t="shared" si="211"/>
        <v>15.4208</v>
      </c>
      <c r="X275" s="446">
        <f t="shared" si="212"/>
        <v>0.271765056</v>
      </c>
      <c r="Y275" s="446">
        <f t="shared" si="213"/>
        <v>332</v>
      </c>
      <c r="Z275" s="260">
        <f t="shared" si="214"/>
        <v>29198400</v>
      </c>
      <c r="AA275" s="260">
        <f t="shared" si="215"/>
        <v>30676800</v>
      </c>
      <c r="AB275" s="425">
        <f t="shared" si="216"/>
        <v>16</v>
      </c>
      <c r="AC275" s="425">
        <f t="array" ref="AC275">MAX((IF(MNU_CODIGO_ALIMENTO_ENTREGA=CONCATENATE($E275,"_","P_"),MNU_GRAMAJE_REQUERIDO_TIPOC,"")))</f>
        <v>30</v>
      </c>
      <c r="AD275" s="257">
        <f t="shared" si="217"/>
        <v>5688</v>
      </c>
      <c r="AE275" s="257">
        <f t="shared" si="218"/>
        <v>91008</v>
      </c>
      <c r="AF275" s="446">
        <f t="shared" si="219"/>
        <v>316</v>
      </c>
      <c r="AG275" s="446">
        <f t="shared" si="220"/>
        <v>15.4208</v>
      </c>
      <c r="AH275" s="446">
        <f t="shared" si="221"/>
        <v>0.271765056</v>
      </c>
      <c r="AI275" s="446">
        <f t="shared" si="222"/>
        <v>332</v>
      </c>
      <c r="AJ275" s="258">
        <f t="shared" si="223"/>
        <v>28758528</v>
      </c>
      <c r="AK275" s="258">
        <f t="shared" si="224"/>
        <v>30214656</v>
      </c>
      <c r="AL275" s="426">
        <f t="shared" si="225"/>
        <v>16</v>
      </c>
      <c r="AM275" s="426">
        <f t="array" ref="AM275">MAX((IF(MNU_CODIGO_ALIMENTO_ENTREGA=CONCATENATE($E275,"_","P_"),MNU_GRAMAJE_REQUERIDO_TIPOM,"")))</f>
        <v>30</v>
      </c>
      <c r="AN275" s="259">
        <f t="shared" si="226"/>
        <v>745</v>
      </c>
      <c r="AO275" s="259">
        <f t="shared" si="227"/>
        <v>11920</v>
      </c>
      <c r="AP275" s="446">
        <f t="shared" si="228"/>
        <v>316</v>
      </c>
      <c r="AQ275" s="446">
        <f t="shared" si="229"/>
        <v>15.4208</v>
      </c>
      <c r="AR275" s="446">
        <f t="shared" si="230"/>
        <v>0.271765056</v>
      </c>
      <c r="AS275" s="446">
        <f t="shared" si="231"/>
        <v>332</v>
      </c>
      <c r="AT275" s="260">
        <f t="shared" si="232"/>
        <v>3766720</v>
      </c>
      <c r="AU275" s="260">
        <f t="shared" si="233"/>
        <v>3957440</v>
      </c>
      <c r="AV275" s="425">
        <f t="shared" si="234"/>
        <v>16</v>
      </c>
      <c r="AW275" s="425">
        <f t="array" ref="AW275">MAX((IF(MNU_CODIGO_ALIMENTO_ENTREGA=CONCATENATE($E275,"_","P_"),MNU_GRAMAJE_REQUERIDO_TIPOH,"")))</f>
        <v>30</v>
      </c>
      <c r="AX275" s="257">
        <f t="shared" si="235"/>
        <v>697</v>
      </c>
      <c r="AY275" s="257">
        <f t="shared" si="236"/>
        <v>11152</v>
      </c>
      <c r="AZ275" s="446">
        <f t="shared" si="237"/>
        <v>316</v>
      </c>
      <c r="BA275" s="446">
        <f t="shared" si="238"/>
        <v>15.4208</v>
      </c>
      <c r="BB275" s="446">
        <f t="shared" si="239"/>
        <v>0.271765056</v>
      </c>
      <c r="BC275" s="446">
        <f t="shared" si="240"/>
        <v>332</v>
      </c>
      <c r="BD275" s="258">
        <f t="shared" si="241"/>
        <v>3524032</v>
      </c>
      <c r="BE275" s="258">
        <f t="shared" si="242"/>
        <v>3702464</v>
      </c>
      <c r="BF275" s="391">
        <f t="shared" si="243"/>
        <v>91104064</v>
      </c>
      <c r="BG275" s="391">
        <f t="shared" si="244"/>
        <v>95716928</v>
      </c>
    </row>
    <row r="276" spans="1:59" ht="15.75">
      <c r="A276" s="333">
        <v>22</v>
      </c>
      <c r="B276" s="333" t="str">
        <f t="shared" si="196"/>
        <v>CEREAL EMPACADO_22</v>
      </c>
      <c r="C276" s="333" t="str">
        <f t="shared" si="197"/>
        <v>45_22</v>
      </c>
      <c r="D276" s="333" t="s">
        <v>1607</v>
      </c>
      <c r="E276" s="256">
        <v>45</v>
      </c>
      <c r="F276" s="322" t="s">
        <v>10</v>
      </c>
      <c r="G276" s="256" t="s">
        <v>9</v>
      </c>
      <c r="H276" s="425">
        <f t="shared" si="198"/>
        <v>16</v>
      </c>
      <c r="I276" s="425">
        <f t="array" ref="I276">MAX((IF(MNU_CODIGO_ALIMENTO_ENTREGA=CONCATENATE($E276,"_","P_"),MNU_GRAMAJE_REQUERIDO_TIPOA,"")))</f>
        <v>20</v>
      </c>
      <c r="J276" s="257">
        <f t="shared" si="199"/>
        <v>5114</v>
      </c>
      <c r="K276" s="257">
        <f t="shared" si="200"/>
        <v>81824</v>
      </c>
      <c r="L276" s="446">
        <f t="shared" si="201"/>
        <v>190</v>
      </c>
      <c r="M276" s="446">
        <f t="shared" si="202"/>
        <v>9.2720000000000002</v>
      </c>
      <c r="N276" s="446">
        <f t="shared" si="203"/>
        <v>0.16340304</v>
      </c>
      <c r="O276" s="446">
        <f t="shared" si="204"/>
        <v>199</v>
      </c>
      <c r="P276" s="258">
        <f t="shared" si="205"/>
        <v>15546560</v>
      </c>
      <c r="Q276" s="258">
        <f t="shared" si="206"/>
        <v>16282976</v>
      </c>
      <c r="R276" s="426">
        <f t="shared" si="207"/>
        <v>16</v>
      </c>
      <c r="S276" s="426">
        <f t="array" ref="S276">MAX((IF(MNU_CODIGO_ALIMENTO_ENTREGA=CONCATENATE($E276,"_","P_"),MNU_GRAMAJE_REQUERIDO_TIPOB,"")))</f>
        <v>30</v>
      </c>
      <c r="T276" s="259">
        <f t="shared" si="208"/>
        <v>5775</v>
      </c>
      <c r="U276" s="259">
        <f t="shared" si="209"/>
        <v>92400</v>
      </c>
      <c r="V276" s="446">
        <f t="shared" si="210"/>
        <v>284</v>
      </c>
      <c r="W276" s="446">
        <f t="shared" si="211"/>
        <v>13.8592</v>
      </c>
      <c r="X276" s="446">
        <f t="shared" si="212"/>
        <v>0.24424454399999998</v>
      </c>
      <c r="Y276" s="446">
        <f t="shared" si="213"/>
        <v>298</v>
      </c>
      <c r="Z276" s="260">
        <f t="shared" si="214"/>
        <v>26241600</v>
      </c>
      <c r="AA276" s="260">
        <f t="shared" si="215"/>
        <v>27535200</v>
      </c>
      <c r="AB276" s="425">
        <f t="shared" si="216"/>
        <v>16</v>
      </c>
      <c r="AC276" s="425">
        <f t="array" ref="AC276">MAX((IF(MNU_CODIGO_ALIMENTO_ENTREGA=CONCATENATE($E276,"_","P_"),MNU_GRAMAJE_REQUERIDO_TIPOC,"")))</f>
        <v>60</v>
      </c>
      <c r="AD276" s="257">
        <f t="shared" si="217"/>
        <v>5688</v>
      </c>
      <c r="AE276" s="257">
        <f t="shared" si="218"/>
        <v>91008</v>
      </c>
      <c r="AF276" s="446">
        <f t="shared" si="219"/>
        <v>569</v>
      </c>
      <c r="AG276" s="446">
        <f t="shared" si="220"/>
        <v>27.767199999999999</v>
      </c>
      <c r="AH276" s="446">
        <f t="shared" si="221"/>
        <v>0.48934910400000003</v>
      </c>
      <c r="AI276" s="446">
        <f t="shared" si="222"/>
        <v>597</v>
      </c>
      <c r="AJ276" s="258">
        <f t="shared" si="223"/>
        <v>51783552</v>
      </c>
      <c r="AK276" s="258">
        <f t="shared" si="224"/>
        <v>54331776</v>
      </c>
      <c r="AL276" s="426">
        <f t="shared" si="225"/>
        <v>16</v>
      </c>
      <c r="AM276" s="426">
        <f t="array" ref="AM276">MAX((IF(MNU_CODIGO_ALIMENTO_ENTREGA=CONCATENATE($E276,"_","P_"),MNU_GRAMAJE_REQUERIDO_TIPOM,"")))</f>
        <v>30</v>
      </c>
      <c r="AN276" s="259">
        <f t="shared" si="226"/>
        <v>745</v>
      </c>
      <c r="AO276" s="259">
        <f t="shared" si="227"/>
        <v>11920</v>
      </c>
      <c r="AP276" s="446">
        <f t="shared" si="228"/>
        <v>284</v>
      </c>
      <c r="AQ276" s="446">
        <f t="shared" si="229"/>
        <v>13.8592</v>
      </c>
      <c r="AR276" s="446">
        <f t="shared" si="230"/>
        <v>0.24424454399999998</v>
      </c>
      <c r="AS276" s="446">
        <f t="shared" si="231"/>
        <v>298</v>
      </c>
      <c r="AT276" s="260">
        <f t="shared" si="232"/>
        <v>3385280</v>
      </c>
      <c r="AU276" s="260">
        <f t="shared" si="233"/>
        <v>3552160</v>
      </c>
      <c r="AV276" s="425">
        <f t="shared" si="234"/>
        <v>16</v>
      </c>
      <c r="AW276" s="425">
        <f t="array" ref="AW276">MAX((IF(MNU_CODIGO_ALIMENTO_ENTREGA=CONCATENATE($E276,"_","P_"),MNU_GRAMAJE_REQUERIDO_TIPOH,"")))</f>
        <v>60</v>
      </c>
      <c r="AX276" s="257">
        <f t="shared" si="235"/>
        <v>697</v>
      </c>
      <c r="AY276" s="257">
        <f t="shared" si="236"/>
        <v>11152</v>
      </c>
      <c r="AZ276" s="446">
        <f t="shared" si="237"/>
        <v>569</v>
      </c>
      <c r="BA276" s="446">
        <f t="shared" si="238"/>
        <v>27.767199999999999</v>
      </c>
      <c r="BB276" s="446">
        <f t="shared" si="239"/>
        <v>0.48934910400000003</v>
      </c>
      <c r="BC276" s="446">
        <f t="shared" si="240"/>
        <v>597</v>
      </c>
      <c r="BD276" s="258">
        <f t="shared" si="241"/>
        <v>6345488</v>
      </c>
      <c r="BE276" s="258">
        <f t="shared" si="242"/>
        <v>6657744</v>
      </c>
      <c r="BF276" s="391">
        <f t="shared" si="243"/>
        <v>103302480</v>
      </c>
      <c r="BG276" s="391">
        <f t="shared" si="244"/>
        <v>108359856</v>
      </c>
    </row>
    <row r="277" spans="1:59" ht="15.75">
      <c r="A277" s="333">
        <v>22</v>
      </c>
      <c r="B277" s="333" t="str">
        <f t="shared" si="196"/>
        <v>CEREAL EMPACADO_22</v>
      </c>
      <c r="C277" s="333" t="str">
        <f t="shared" si="197"/>
        <v>50_22</v>
      </c>
      <c r="D277" s="333" t="s">
        <v>1607</v>
      </c>
      <c r="E277" s="256">
        <v>50</v>
      </c>
      <c r="F277" s="322" t="s">
        <v>65</v>
      </c>
      <c r="G277" s="256" t="s">
        <v>9</v>
      </c>
      <c r="H277" s="425">
        <f t="shared" si="198"/>
        <v>17</v>
      </c>
      <c r="I277" s="425">
        <f t="array" ref="I277">MAX((IF(MNU_CODIGO_ALIMENTO_ENTREGA=CONCATENATE($E277,"_","P_"),MNU_GRAMAJE_REQUERIDO_TIPOA,"")))</f>
        <v>30</v>
      </c>
      <c r="J277" s="257">
        <f t="shared" si="199"/>
        <v>5114</v>
      </c>
      <c r="K277" s="257">
        <f t="shared" si="200"/>
        <v>86938</v>
      </c>
      <c r="L277" s="446">
        <f t="shared" si="201"/>
        <v>306</v>
      </c>
      <c r="M277" s="446">
        <f t="shared" si="202"/>
        <v>14.9328</v>
      </c>
      <c r="N277" s="446">
        <f t="shared" si="203"/>
        <v>0.26316489599999998</v>
      </c>
      <c r="O277" s="446">
        <f t="shared" si="204"/>
        <v>321</v>
      </c>
      <c r="P277" s="258">
        <f t="shared" si="205"/>
        <v>26603028</v>
      </c>
      <c r="Q277" s="258">
        <f t="shared" si="206"/>
        <v>27907098</v>
      </c>
      <c r="R277" s="426">
        <f t="shared" si="207"/>
        <v>17</v>
      </c>
      <c r="S277" s="426">
        <f t="array" ref="S277">MAX((IF(MNU_CODIGO_ALIMENTO_ENTREGA=CONCATENATE($E277,"_","P_"),MNU_GRAMAJE_REQUERIDO_TIPOB,"")))</f>
        <v>40</v>
      </c>
      <c r="T277" s="259">
        <f t="shared" si="208"/>
        <v>5775</v>
      </c>
      <c r="U277" s="259">
        <f t="shared" si="209"/>
        <v>98175</v>
      </c>
      <c r="V277" s="446">
        <f t="shared" si="210"/>
        <v>408</v>
      </c>
      <c r="W277" s="446">
        <f t="shared" si="211"/>
        <v>19.910400000000003</v>
      </c>
      <c r="X277" s="446">
        <f t="shared" si="212"/>
        <v>0.35088652799999998</v>
      </c>
      <c r="Y277" s="446">
        <f t="shared" si="213"/>
        <v>428</v>
      </c>
      <c r="Z277" s="260">
        <f t="shared" si="214"/>
        <v>40055400</v>
      </c>
      <c r="AA277" s="260">
        <f t="shared" si="215"/>
        <v>42018900</v>
      </c>
      <c r="AB277" s="425">
        <f t="shared" si="216"/>
        <v>17</v>
      </c>
      <c r="AC277" s="425">
        <f t="array" ref="AC277">MAX((IF(MNU_CODIGO_ALIMENTO_ENTREGA=CONCATENATE($E277,"_","P_"),MNU_GRAMAJE_REQUERIDO_TIPOC,"")))</f>
        <v>80</v>
      </c>
      <c r="AD277" s="257">
        <f t="shared" si="217"/>
        <v>5688</v>
      </c>
      <c r="AE277" s="257">
        <f t="shared" si="218"/>
        <v>96696</v>
      </c>
      <c r="AF277" s="446">
        <f t="shared" si="219"/>
        <v>815</v>
      </c>
      <c r="AG277" s="446">
        <f t="shared" si="220"/>
        <v>39.772000000000006</v>
      </c>
      <c r="AH277" s="446">
        <f t="shared" si="221"/>
        <v>0.7009130400000001</v>
      </c>
      <c r="AI277" s="446">
        <f t="shared" si="222"/>
        <v>855</v>
      </c>
      <c r="AJ277" s="258">
        <f t="shared" si="223"/>
        <v>78807240</v>
      </c>
      <c r="AK277" s="258">
        <f t="shared" si="224"/>
        <v>82675080</v>
      </c>
      <c r="AL277" s="426">
        <f t="shared" si="225"/>
        <v>17</v>
      </c>
      <c r="AM277" s="426">
        <f t="array" ref="AM277">MAX((IF(MNU_CODIGO_ALIMENTO_ENTREGA=CONCATENATE($E277,"_","P_"),MNU_GRAMAJE_REQUERIDO_TIPOM,"")))</f>
        <v>40</v>
      </c>
      <c r="AN277" s="259">
        <f t="shared" si="226"/>
        <v>745</v>
      </c>
      <c r="AO277" s="259">
        <f t="shared" si="227"/>
        <v>12665</v>
      </c>
      <c r="AP277" s="446">
        <f t="shared" si="228"/>
        <v>408</v>
      </c>
      <c r="AQ277" s="446">
        <f t="shared" si="229"/>
        <v>19.910400000000003</v>
      </c>
      <c r="AR277" s="446">
        <f t="shared" si="230"/>
        <v>0.35088652799999998</v>
      </c>
      <c r="AS277" s="446">
        <f t="shared" si="231"/>
        <v>428</v>
      </c>
      <c r="AT277" s="260">
        <f t="shared" si="232"/>
        <v>5167320</v>
      </c>
      <c r="AU277" s="260">
        <f t="shared" si="233"/>
        <v>5420620</v>
      </c>
      <c r="AV277" s="425">
        <f t="shared" si="234"/>
        <v>17</v>
      </c>
      <c r="AW277" s="425">
        <f t="array" ref="AW277">MAX((IF(MNU_CODIGO_ALIMENTO_ENTREGA=CONCATENATE($E277,"_","P_"),MNU_GRAMAJE_REQUERIDO_TIPOH,"")))</f>
        <v>80</v>
      </c>
      <c r="AX277" s="257">
        <f t="shared" si="235"/>
        <v>697</v>
      </c>
      <c r="AY277" s="257">
        <f t="shared" si="236"/>
        <v>11849</v>
      </c>
      <c r="AZ277" s="446">
        <f t="shared" si="237"/>
        <v>815</v>
      </c>
      <c r="BA277" s="446">
        <f t="shared" si="238"/>
        <v>39.772000000000006</v>
      </c>
      <c r="BB277" s="446">
        <f t="shared" si="239"/>
        <v>0.7009130400000001</v>
      </c>
      <c r="BC277" s="446">
        <f t="shared" si="240"/>
        <v>855</v>
      </c>
      <c r="BD277" s="258">
        <f t="shared" si="241"/>
        <v>9656935</v>
      </c>
      <c r="BE277" s="258">
        <f t="shared" si="242"/>
        <v>10130895</v>
      </c>
      <c r="BF277" s="391">
        <f t="shared" si="243"/>
        <v>160289923</v>
      </c>
      <c r="BG277" s="391">
        <f t="shared" si="244"/>
        <v>168152593</v>
      </c>
    </row>
    <row r="278" spans="1:59" ht="15.75">
      <c r="A278" s="333">
        <v>22</v>
      </c>
      <c r="B278" s="333" t="str">
        <f t="shared" si="196"/>
        <v>CEREAL EMPACADO_22</v>
      </c>
      <c r="C278" s="333" t="str">
        <f t="shared" si="197"/>
        <v>61_22</v>
      </c>
      <c r="D278" s="333" t="s">
        <v>1607</v>
      </c>
      <c r="E278" s="256">
        <v>61</v>
      </c>
      <c r="F278" s="322" t="s">
        <v>13</v>
      </c>
      <c r="G278" s="256" t="s">
        <v>9</v>
      </c>
      <c r="H278" s="425">
        <f t="shared" si="198"/>
        <v>16</v>
      </c>
      <c r="I278" s="425">
        <f t="array" ref="I278">MAX((IF(MNU_CODIGO_ALIMENTO_ENTREGA=CONCATENATE($E278,"_","P_"),MNU_GRAMAJE_REQUERIDO_TIPOA,"")))</f>
        <v>20</v>
      </c>
      <c r="J278" s="257">
        <f t="shared" si="199"/>
        <v>5114</v>
      </c>
      <c r="K278" s="257">
        <f t="shared" si="200"/>
        <v>81824</v>
      </c>
      <c r="L278" s="446">
        <f t="shared" si="201"/>
        <v>222</v>
      </c>
      <c r="M278" s="446">
        <f t="shared" si="202"/>
        <v>10.833600000000001</v>
      </c>
      <c r="N278" s="446">
        <f t="shared" si="203"/>
        <v>0.190923552</v>
      </c>
      <c r="O278" s="446">
        <f t="shared" si="204"/>
        <v>233</v>
      </c>
      <c r="P278" s="258">
        <f t="shared" si="205"/>
        <v>18164928</v>
      </c>
      <c r="Q278" s="258">
        <f t="shared" si="206"/>
        <v>19064992</v>
      </c>
      <c r="R278" s="426">
        <f t="shared" si="207"/>
        <v>16</v>
      </c>
      <c r="S278" s="426">
        <f t="array" ref="S278">MAX((IF(MNU_CODIGO_ALIMENTO_ENTREGA=CONCATENATE($E278,"_","P_"),MNU_GRAMAJE_REQUERIDO_TIPOB,"")))</f>
        <v>30</v>
      </c>
      <c r="T278" s="259">
        <f t="shared" si="208"/>
        <v>5775</v>
      </c>
      <c r="U278" s="259">
        <f t="shared" si="209"/>
        <v>92400</v>
      </c>
      <c r="V278" s="446">
        <f t="shared" si="210"/>
        <v>334</v>
      </c>
      <c r="W278" s="446">
        <f t="shared" si="211"/>
        <v>16.299199999999999</v>
      </c>
      <c r="X278" s="446">
        <f t="shared" si="212"/>
        <v>0.28724534400000001</v>
      </c>
      <c r="Y278" s="446">
        <f t="shared" si="213"/>
        <v>351</v>
      </c>
      <c r="Z278" s="260">
        <f t="shared" si="214"/>
        <v>30861600</v>
      </c>
      <c r="AA278" s="260">
        <f t="shared" si="215"/>
        <v>32432400</v>
      </c>
      <c r="AB278" s="425">
        <f t="shared" si="216"/>
        <v>16</v>
      </c>
      <c r="AC278" s="425">
        <f t="array" ref="AC278">MAX((IF(MNU_CODIGO_ALIMENTO_ENTREGA=CONCATENATE($E278,"_","P_"),MNU_GRAMAJE_REQUERIDO_TIPOC,"")))</f>
        <v>70</v>
      </c>
      <c r="AD278" s="257">
        <f t="shared" si="217"/>
        <v>5688</v>
      </c>
      <c r="AE278" s="257">
        <f t="shared" si="218"/>
        <v>91008</v>
      </c>
      <c r="AF278" s="446">
        <f t="shared" si="219"/>
        <v>779</v>
      </c>
      <c r="AG278" s="446">
        <f t="shared" si="220"/>
        <v>38.0152</v>
      </c>
      <c r="AH278" s="446">
        <f t="shared" si="221"/>
        <v>0.66995246400000008</v>
      </c>
      <c r="AI278" s="446">
        <f t="shared" si="222"/>
        <v>818</v>
      </c>
      <c r="AJ278" s="258">
        <f t="shared" si="223"/>
        <v>70895232</v>
      </c>
      <c r="AK278" s="258">
        <f t="shared" si="224"/>
        <v>74444544</v>
      </c>
      <c r="AL278" s="426">
        <f t="shared" si="225"/>
        <v>16</v>
      </c>
      <c r="AM278" s="426">
        <f t="array" ref="AM278">MAX((IF(MNU_CODIGO_ALIMENTO_ENTREGA=CONCATENATE($E278,"_","P_"),MNU_GRAMAJE_REQUERIDO_TIPOM,"")))</f>
        <v>30</v>
      </c>
      <c r="AN278" s="259">
        <f t="shared" si="226"/>
        <v>745</v>
      </c>
      <c r="AO278" s="259">
        <f t="shared" si="227"/>
        <v>11920</v>
      </c>
      <c r="AP278" s="446">
        <f t="shared" si="228"/>
        <v>334</v>
      </c>
      <c r="AQ278" s="446">
        <f t="shared" si="229"/>
        <v>16.299199999999999</v>
      </c>
      <c r="AR278" s="446">
        <f t="shared" si="230"/>
        <v>0.28724534400000001</v>
      </c>
      <c r="AS278" s="446">
        <f t="shared" si="231"/>
        <v>351</v>
      </c>
      <c r="AT278" s="260">
        <f t="shared" si="232"/>
        <v>3981280</v>
      </c>
      <c r="AU278" s="260">
        <f t="shared" si="233"/>
        <v>4183920</v>
      </c>
      <c r="AV278" s="425">
        <f t="shared" si="234"/>
        <v>16</v>
      </c>
      <c r="AW278" s="425">
        <f t="array" ref="AW278">MAX((IF(MNU_CODIGO_ALIMENTO_ENTREGA=CONCATENATE($E278,"_","P_"),MNU_GRAMAJE_REQUERIDO_TIPOH,"")))</f>
        <v>70</v>
      </c>
      <c r="AX278" s="257">
        <f t="shared" si="235"/>
        <v>697</v>
      </c>
      <c r="AY278" s="257">
        <f t="shared" si="236"/>
        <v>11152</v>
      </c>
      <c r="AZ278" s="446">
        <f t="shared" si="237"/>
        <v>779</v>
      </c>
      <c r="BA278" s="446">
        <f t="shared" si="238"/>
        <v>38.0152</v>
      </c>
      <c r="BB278" s="446">
        <f t="shared" si="239"/>
        <v>0.66995246400000008</v>
      </c>
      <c r="BC278" s="446">
        <f t="shared" si="240"/>
        <v>818</v>
      </c>
      <c r="BD278" s="258">
        <f t="shared" si="241"/>
        <v>8687408</v>
      </c>
      <c r="BE278" s="258">
        <f t="shared" si="242"/>
        <v>9122336</v>
      </c>
      <c r="BF278" s="391">
        <f t="shared" si="243"/>
        <v>132590448</v>
      </c>
      <c r="BG278" s="391">
        <f t="shared" si="244"/>
        <v>139248192</v>
      </c>
    </row>
    <row r="279" spans="1:59" ht="15.75">
      <c r="A279" s="333">
        <v>22</v>
      </c>
      <c r="B279" s="333" t="str">
        <f t="shared" si="196"/>
        <v>CEREAL EMPACADO_22</v>
      </c>
      <c r="C279" s="333" t="str">
        <f t="shared" si="197"/>
        <v>62_22</v>
      </c>
      <c r="D279" s="333" t="s">
        <v>1607</v>
      </c>
      <c r="E279" s="256">
        <v>62</v>
      </c>
      <c r="F279" s="322" t="s">
        <v>68</v>
      </c>
      <c r="G279" s="256" t="s">
        <v>9</v>
      </c>
      <c r="H279" s="425">
        <f t="shared" si="198"/>
        <v>5</v>
      </c>
      <c r="I279" s="425">
        <f t="array" ref="I279">MAX((IF(MNU_CODIGO_ALIMENTO_ENTREGA=CONCATENATE($E279,"_","P_"),MNU_GRAMAJE_REQUERIDO_TIPOA,"")))</f>
        <v>50</v>
      </c>
      <c r="J279" s="257">
        <f t="shared" si="199"/>
        <v>5114</v>
      </c>
      <c r="K279" s="257">
        <f t="shared" si="200"/>
        <v>25570</v>
      </c>
      <c r="L279" s="446">
        <f t="shared" si="201"/>
        <v>595</v>
      </c>
      <c r="M279" s="446">
        <f t="shared" si="202"/>
        <v>29.036000000000001</v>
      </c>
      <c r="N279" s="446">
        <f t="shared" si="203"/>
        <v>0.51170952000000014</v>
      </c>
      <c r="O279" s="446">
        <f t="shared" si="204"/>
        <v>625</v>
      </c>
      <c r="P279" s="258">
        <f t="shared" si="205"/>
        <v>15214150</v>
      </c>
      <c r="Q279" s="258">
        <f t="shared" si="206"/>
        <v>15981250</v>
      </c>
      <c r="R279" s="426">
        <f t="shared" si="207"/>
        <v>5</v>
      </c>
      <c r="S279" s="426">
        <f t="array" ref="S279">MAX((IF(MNU_CODIGO_ALIMENTO_ENTREGA=CONCATENATE($E279,"_","P_"),MNU_GRAMAJE_REQUERIDO_TIPOB,"")))</f>
        <v>50</v>
      </c>
      <c r="T279" s="259">
        <f t="shared" si="208"/>
        <v>5775</v>
      </c>
      <c r="U279" s="259">
        <f t="shared" si="209"/>
        <v>28875</v>
      </c>
      <c r="V279" s="446">
        <f t="shared" si="210"/>
        <v>595</v>
      </c>
      <c r="W279" s="446">
        <f t="shared" si="211"/>
        <v>29.036000000000001</v>
      </c>
      <c r="X279" s="446">
        <f t="shared" si="212"/>
        <v>0.51170952000000014</v>
      </c>
      <c r="Y279" s="446">
        <f t="shared" si="213"/>
        <v>625</v>
      </c>
      <c r="Z279" s="260">
        <f t="shared" si="214"/>
        <v>17180625</v>
      </c>
      <c r="AA279" s="260">
        <f t="shared" si="215"/>
        <v>18046875</v>
      </c>
      <c r="AB279" s="425">
        <f t="shared" si="216"/>
        <v>5</v>
      </c>
      <c r="AC279" s="425">
        <f t="array" ref="AC279">MAX((IF(MNU_CODIGO_ALIMENTO_ENTREGA=CONCATENATE($E279,"_","P_"),MNU_GRAMAJE_REQUERIDO_TIPOC,"")))</f>
        <v>50</v>
      </c>
      <c r="AD279" s="257">
        <f t="shared" si="217"/>
        <v>5688</v>
      </c>
      <c r="AE279" s="257">
        <f t="shared" si="218"/>
        <v>28440</v>
      </c>
      <c r="AF279" s="446">
        <f t="shared" si="219"/>
        <v>595</v>
      </c>
      <c r="AG279" s="446">
        <f t="shared" si="220"/>
        <v>29.036000000000001</v>
      </c>
      <c r="AH279" s="446">
        <f t="shared" si="221"/>
        <v>0.51170952000000014</v>
      </c>
      <c r="AI279" s="446">
        <f t="shared" si="222"/>
        <v>625</v>
      </c>
      <c r="AJ279" s="258">
        <f t="shared" si="223"/>
        <v>16921800</v>
      </c>
      <c r="AK279" s="258">
        <f t="shared" si="224"/>
        <v>17775000</v>
      </c>
      <c r="AL279" s="426">
        <f t="shared" si="225"/>
        <v>5</v>
      </c>
      <c r="AM279" s="426">
        <f t="array" ref="AM279">MAX((IF(MNU_CODIGO_ALIMENTO_ENTREGA=CONCATENATE($E279,"_","P_"),MNU_GRAMAJE_REQUERIDO_TIPOM,"")))</f>
        <v>50</v>
      </c>
      <c r="AN279" s="259">
        <f t="shared" si="226"/>
        <v>745</v>
      </c>
      <c r="AO279" s="259">
        <f t="shared" si="227"/>
        <v>3725</v>
      </c>
      <c r="AP279" s="446">
        <f t="shared" si="228"/>
        <v>595</v>
      </c>
      <c r="AQ279" s="446">
        <f t="shared" si="229"/>
        <v>29.036000000000001</v>
      </c>
      <c r="AR279" s="446">
        <f t="shared" si="230"/>
        <v>0.51170952000000014</v>
      </c>
      <c r="AS279" s="446">
        <f t="shared" si="231"/>
        <v>625</v>
      </c>
      <c r="AT279" s="260">
        <f t="shared" si="232"/>
        <v>2216375</v>
      </c>
      <c r="AU279" s="260">
        <f t="shared" si="233"/>
        <v>2328125</v>
      </c>
      <c r="AV279" s="425">
        <f t="shared" si="234"/>
        <v>5</v>
      </c>
      <c r="AW279" s="425">
        <f t="array" ref="AW279">MAX((IF(MNU_CODIGO_ALIMENTO_ENTREGA=CONCATENATE($E279,"_","P_"),MNU_GRAMAJE_REQUERIDO_TIPOH,"")))</f>
        <v>50</v>
      </c>
      <c r="AX279" s="257">
        <f t="shared" si="235"/>
        <v>697</v>
      </c>
      <c r="AY279" s="257">
        <f t="shared" si="236"/>
        <v>3485</v>
      </c>
      <c r="AZ279" s="446">
        <f t="shared" si="237"/>
        <v>595</v>
      </c>
      <c r="BA279" s="446">
        <f t="shared" si="238"/>
        <v>29.036000000000001</v>
      </c>
      <c r="BB279" s="446">
        <f t="shared" si="239"/>
        <v>0.51170952000000014</v>
      </c>
      <c r="BC279" s="446">
        <f t="shared" si="240"/>
        <v>625</v>
      </c>
      <c r="BD279" s="258">
        <f t="shared" si="241"/>
        <v>2073575</v>
      </c>
      <c r="BE279" s="258">
        <f t="shared" si="242"/>
        <v>2178125</v>
      </c>
      <c r="BF279" s="391">
        <f t="shared" si="243"/>
        <v>53606525</v>
      </c>
      <c r="BG279" s="391">
        <f t="shared" si="244"/>
        <v>56309375</v>
      </c>
    </row>
    <row r="280" spans="1:59" ht="15.75">
      <c r="A280" s="333">
        <v>23</v>
      </c>
      <c r="B280" s="333" t="str">
        <f t="shared" si="196"/>
        <v>CEREAL EMPACADO_23</v>
      </c>
      <c r="C280" s="333" t="str">
        <f t="shared" si="197"/>
        <v>1_23</v>
      </c>
      <c r="D280" s="333" t="s">
        <v>1607</v>
      </c>
      <c r="E280" s="256">
        <v>1</v>
      </c>
      <c r="F280" s="322" t="s">
        <v>16</v>
      </c>
      <c r="G280" s="256" t="s">
        <v>9</v>
      </c>
      <c r="H280" s="425">
        <f t="shared" si="198"/>
        <v>15</v>
      </c>
      <c r="I280" s="425">
        <f t="array" ref="I280">MAX((IF(MNU_CODIGO_ALIMENTO_ENTREGA=CONCATENATE($E280,"_","P_"),MNU_GRAMAJE_REQUERIDO_TIPOA,"")))</f>
        <v>30</v>
      </c>
      <c r="J280" s="257">
        <f t="shared" si="199"/>
        <v>5500</v>
      </c>
      <c r="K280" s="257">
        <f t="shared" si="200"/>
        <v>82500</v>
      </c>
      <c r="L280" s="446">
        <f t="shared" si="201"/>
        <v>770</v>
      </c>
      <c r="M280" s="446">
        <f t="shared" si="202"/>
        <v>37.576000000000008</v>
      </c>
      <c r="N280" s="446">
        <f t="shared" si="203"/>
        <v>0.66221231999999997</v>
      </c>
      <c r="O280" s="446">
        <f t="shared" si="204"/>
        <v>808</v>
      </c>
      <c r="P280" s="258">
        <f t="shared" si="205"/>
        <v>63525000</v>
      </c>
      <c r="Q280" s="258">
        <f t="shared" si="206"/>
        <v>66660000</v>
      </c>
      <c r="R280" s="426">
        <f t="shared" si="207"/>
        <v>15</v>
      </c>
      <c r="S280" s="426">
        <f t="array" ref="S280">MAX((IF(MNU_CODIGO_ALIMENTO_ENTREGA=CONCATENATE($E280,"_","P_"),MNU_GRAMAJE_REQUERIDO_TIPOB,"")))</f>
        <v>40</v>
      </c>
      <c r="T280" s="259">
        <f t="shared" si="208"/>
        <v>6924</v>
      </c>
      <c r="U280" s="259">
        <f t="shared" si="209"/>
        <v>103860</v>
      </c>
      <c r="V280" s="446">
        <f t="shared" si="210"/>
        <v>1027</v>
      </c>
      <c r="W280" s="446">
        <f t="shared" si="211"/>
        <v>50.117600000000003</v>
      </c>
      <c r="X280" s="446">
        <f t="shared" si="212"/>
        <v>0.88323643200000013</v>
      </c>
      <c r="Y280" s="446">
        <f t="shared" si="213"/>
        <v>1078</v>
      </c>
      <c r="Z280" s="260">
        <f t="shared" si="214"/>
        <v>106664220</v>
      </c>
      <c r="AA280" s="260">
        <f t="shared" si="215"/>
        <v>111961080</v>
      </c>
      <c r="AB280" s="425">
        <f t="shared" si="216"/>
        <v>15</v>
      </c>
      <c r="AC280" s="425">
        <f t="array" ref="AC280">MAX((IF(MNU_CODIGO_ALIMENTO_ENTREGA=CONCATENATE($E280,"_","P_"),MNU_GRAMAJE_REQUERIDO_TIPOC,"")))</f>
        <v>60</v>
      </c>
      <c r="AD280" s="257">
        <f t="shared" si="217"/>
        <v>5626</v>
      </c>
      <c r="AE280" s="257">
        <f t="shared" si="218"/>
        <v>84390</v>
      </c>
      <c r="AF280" s="446">
        <f t="shared" si="219"/>
        <v>1540</v>
      </c>
      <c r="AG280" s="446">
        <f t="shared" si="220"/>
        <v>75.152000000000015</v>
      </c>
      <c r="AH280" s="446">
        <f t="shared" si="221"/>
        <v>1.3244246399999999</v>
      </c>
      <c r="AI280" s="446">
        <f t="shared" si="222"/>
        <v>1616</v>
      </c>
      <c r="AJ280" s="258">
        <f t="shared" si="223"/>
        <v>129960600</v>
      </c>
      <c r="AK280" s="258">
        <f t="shared" si="224"/>
        <v>136374240</v>
      </c>
      <c r="AL280" s="426">
        <f t="shared" si="225"/>
        <v>15</v>
      </c>
      <c r="AM280" s="426">
        <f t="array" ref="AM280">MAX((IF(MNU_CODIGO_ALIMENTO_ENTREGA=CONCATENATE($E280,"_","P_"),MNU_GRAMAJE_REQUERIDO_TIPOM,"")))</f>
        <v>40</v>
      </c>
      <c r="AN280" s="259">
        <f t="shared" si="226"/>
        <v>0</v>
      </c>
      <c r="AO280" s="259">
        <f t="shared" si="227"/>
        <v>0</v>
      </c>
      <c r="AP280" s="446">
        <f t="shared" si="228"/>
        <v>1027</v>
      </c>
      <c r="AQ280" s="446">
        <f t="shared" si="229"/>
        <v>50.117600000000003</v>
      </c>
      <c r="AR280" s="446">
        <f t="shared" si="230"/>
        <v>0.88323643200000013</v>
      </c>
      <c r="AS280" s="446">
        <f t="shared" si="231"/>
        <v>1078</v>
      </c>
      <c r="AT280" s="260">
        <f t="shared" si="232"/>
        <v>0</v>
      </c>
      <c r="AU280" s="260">
        <f t="shared" si="233"/>
        <v>0</v>
      </c>
      <c r="AV280" s="425">
        <f t="shared" si="234"/>
        <v>15</v>
      </c>
      <c r="AW280" s="425">
        <f t="array" ref="AW280">MAX((IF(MNU_CODIGO_ALIMENTO_ENTREGA=CONCATENATE($E280,"_","P_"),MNU_GRAMAJE_REQUERIDO_TIPOH,"")))</f>
        <v>60</v>
      </c>
      <c r="AX280" s="257">
        <f t="shared" si="235"/>
        <v>0</v>
      </c>
      <c r="AY280" s="257">
        <f t="shared" si="236"/>
        <v>0</v>
      </c>
      <c r="AZ280" s="446">
        <f t="shared" si="237"/>
        <v>1540</v>
      </c>
      <c r="BA280" s="446">
        <f t="shared" si="238"/>
        <v>75.152000000000015</v>
      </c>
      <c r="BB280" s="446">
        <f t="shared" si="239"/>
        <v>1.3244246399999999</v>
      </c>
      <c r="BC280" s="446">
        <f t="shared" si="240"/>
        <v>1616</v>
      </c>
      <c r="BD280" s="258">
        <f t="shared" si="241"/>
        <v>0</v>
      </c>
      <c r="BE280" s="258">
        <f t="shared" si="242"/>
        <v>0</v>
      </c>
      <c r="BF280" s="391">
        <f t="shared" si="243"/>
        <v>300149820</v>
      </c>
      <c r="BG280" s="391">
        <f t="shared" si="244"/>
        <v>314995320</v>
      </c>
    </row>
    <row r="281" spans="1:59" ht="15.75">
      <c r="A281" s="333">
        <v>23</v>
      </c>
      <c r="B281" s="333" t="str">
        <f t="shared" si="196"/>
        <v>CEREAL EMPACADO_23</v>
      </c>
      <c r="C281" s="333" t="str">
        <f t="shared" si="197"/>
        <v>3_23</v>
      </c>
      <c r="D281" s="333" t="s">
        <v>1607</v>
      </c>
      <c r="E281" s="256">
        <v>3</v>
      </c>
      <c r="F281" s="322" t="s">
        <v>12</v>
      </c>
      <c r="G281" s="256" t="s">
        <v>9</v>
      </c>
      <c r="H281" s="425">
        <f t="shared" si="198"/>
        <v>17</v>
      </c>
      <c r="I281" s="425">
        <f t="array" ref="I281">MAX((IF(MNU_CODIGO_ALIMENTO_ENTREGA=CONCATENATE($E281,"_","P_"),MNU_GRAMAJE_REQUERIDO_TIPOA,"")))</f>
        <v>50</v>
      </c>
      <c r="J281" s="257">
        <f t="shared" si="199"/>
        <v>5500</v>
      </c>
      <c r="K281" s="257">
        <f t="shared" si="200"/>
        <v>93500</v>
      </c>
      <c r="L281" s="446">
        <f t="shared" si="201"/>
        <v>481</v>
      </c>
      <c r="M281" s="446">
        <f t="shared" si="202"/>
        <v>23.472799999999999</v>
      </c>
      <c r="N281" s="446">
        <f t="shared" si="203"/>
        <v>0.41366769599999997</v>
      </c>
      <c r="O281" s="446">
        <f t="shared" si="204"/>
        <v>505</v>
      </c>
      <c r="P281" s="258">
        <f t="shared" si="205"/>
        <v>44973500</v>
      </c>
      <c r="Q281" s="258">
        <f t="shared" si="206"/>
        <v>47217500</v>
      </c>
      <c r="R281" s="426">
        <f t="shared" si="207"/>
        <v>17</v>
      </c>
      <c r="S281" s="426">
        <f t="array" ref="S281">MAX((IF(MNU_CODIGO_ALIMENTO_ENTREGA=CONCATENATE($E281,"_","P_"),MNU_GRAMAJE_REQUERIDO_TIPOB,"")))</f>
        <v>50</v>
      </c>
      <c r="T281" s="259">
        <f t="shared" si="208"/>
        <v>6924</v>
      </c>
      <c r="U281" s="259">
        <f t="shared" si="209"/>
        <v>117708</v>
      </c>
      <c r="V281" s="446">
        <f t="shared" si="210"/>
        <v>481</v>
      </c>
      <c r="W281" s="446">
        <f t="shared" si="211"/>
        <v>23.472799999999999</v>
      </c>
      <c r="X281" s="446">
        <f t="shared" si="212"/>
        <v>0.41366769599999997</v>
      </c>
      <c r="Y281" s="446">
        <f t="shared" si="213"/>
        <v>505</v>
      </c>
      <c r="Z281" s="260">
        <f t="shared" si="214"/>
        <v>56617548</v>
      </c>
      <c r="AA281" s="260">
        <f t="shared" si="215"/>
        <v>59442540</v>
      </c>
      <c r="AB281" s="425">
        <f t="shared" si="216"/>
        <v>17</v>
      </c>
      <c r="AC281" s="425">
        <f t="array" ref="AC281">MAX((IF(MNU_CODIGO_ALIMENTO_ENTREGA=CONCATENATE($E281,"_","P_"),MNU_GRAMAJE_REQUERIDO_TIPOC,"")))</f>
        <v>80</v>
      </c>
      <c r="AD281" s="257">
        <f t="shared" si="217"/>
        <v>5626</v>
      </c>
      <c r="AE281" s="257">
        <f t="shared" si="218"/>
        <v>95642</v>
      </c>
      <c r="AF281" s="446">
        <f t="shared" si="219"/>
        <v>727</v>
      </c>
      <c r="AG281" s="446">
        <f t="shared" si="220"/>
        <v>35.477600000000002</v>
      </c>
      <c r="AH281" s="446">
        <f t="shared" si="221"/>
        <v>0.62523163200000009</v>
      </c>
      <c r="AI281" s="446">
        <f t="shared" si="222"/>
        <v>763</v>
      </c>
      <c r="AJ281" s="258">
        <f t="shared" si="223"/>
        <v>69531734</v>
      </c>
      <c r="AK281" s="258">
        <f t="shared" si="224"/>
        <v>72974846</v>
      </c>
      <c r="AL281" s="426">
        <f t="shared" si="225"/>
        <v>17</v>
      </c>
      <c r="AM281" s="426">
        <f t="array" ref="AM281">MAX((IF(MNU_CODIGO_ALIMENTO_ENTREGA=CONCATENATE($E281,"_","P_"),MNU_GRAMAJE_REQUERIDO_TIPOM,"")))</f>
        <v>50</v>
      </c>
      <c r="AN281" s="259">
        <f t="shared" si="226"/>
        <v>0</v>
      </c>
      <c r="AO281" s="259">
        <f t="shared" si="227"/>
        <v>0</v>
      </c>
      <c r="AP281" s="446">
        <f t="shared" si="228"/>
        <v>481</v>
      </c>
      <c r="AQ281" s="446">
        <f t="shared" si="229"/>
        <v>23.472799999999999</v>
      </c>
      <c r="AR281" s="446">
        <f t="shared" si="230"/>
        <v>0.41366769599999997</v>
      </c>
      <c r="AS281" s="446">
        <f t="shared" si="231"/>
        <v>505</v>
      </c>
      <c r="AT281" s="260">
        <f t="shared" si="232"/>
        <v>0</v>
      </c>
      <c r="AU281" s="260">
        <f t="shared" si="233"/>
        <v>0</v>
      </c>
      <c r="AV281" s="425">
        <f t="shared" si="234"/>
        <v>17</v>
      </c>
      <c r="AW281" s="425">
        <f t="array" ref="AW281">MAX((IF(MNU_CODIGO_ALIMENTO_ENTREGA=CONCATENATE($E281,"_","P_"),MNU_GRAMAJE_REQUERIDO_TIPOH,"")))</f>
        <v>80</v>
      </c>
      <c r="AX281" s="257">
        <f t="shared" si="235"/>
        <v>0</v>
      </c>
      <c r="AY281" s="257">
        <f t="shared" si="236"/>
        <v>0</v>
      </c>
      <c r="AZ281" s="446">
        <f t="shared" si="237"/>
        <v>727</v>
      </c>
      <c r="BA281" s="446">
        <f t="shared" si="238"/>
        <v>35.477600000000002</v>
      </c>
      <c r="BB281" s="446">
        <f t="shared" si="239"/>
        <v>0.62523163200000009</v>
      </c>
      <c r="BC281" s="446">
        <f t="shared" si="240"/>
        <v>763</v>
      </c>
      <c r="BD281" s="258">
        <f t="shared" si="241"/>
        <v>0</v>
      </c>
      <c r="BE281" s="258">
        <f t="shared" si="242"/>
        <v>0</v>
      </c>
      <c r="BF281" s="391">
        <f t="shared" si="243"/>
        <v>171122782</v>
      </c>
      <c r="BG281" s="391">
        <f t="shared" si="244"/>
        <v>179634886</v>
      </c>
    </row>
    <row r="282" spans="1:59" ht="15.75">
      <c r="A282" s="333">
        <v>23</v>
      </c>
      <c r="B282" s="333" t="str">
        <f t="shared" si="196"/>
        <v>CEREAL EMPACADO_23</v>
      </c>
      <c r="C282" s="333" t="str">
        <f t="shared" si="197"/>
        <v>15_23</v>
      </c>
      <c r="D282" s="333" t="s">
        <v>1607</v>
      </c>
      <c r="E282" s="256">
        <v>15</v>
      </c>
      <c r="F282" s="322" t="s">
        <v>66</v>
      </c>
      <c r="G282" s="256" t="s">
        <v>9</v>
      </c>
      <c r="H282" s="425">
        <f t="shared" si="198"/>
        <v>17</v>
      </c>
      <c r="I282" s="425">
        <f t="array" ref="I282">MAX((IF(MNU_CODIGO_ALIMENTO_ENTREGA=CONCATENATE($E282,"_","P_"),MNU_GRAMAJE_REQUERIDO_TIPOA,"")))</f>
        <v>50</v>
      </c>
      <c r="J282" s="257">
        <f t="shared" si="199"/>
        <v>5500</v>
      </c>
      <c r="K282" s="257">
        <f t="shared" si="200"/>
        <v>93500</v>
      </c>
      <c r="L282" s="446">
        <f t="shared" si="201"/>
        <v>641</v>
      </c>
      <c r="M282" s="446">
        <f t="shared" si="202"/>
        <v>31.280800000000003</v>
      </c>
      <c r="N282" s="446">
        <f t="shared" si="203"/>
        <v>0.55127025600000001</v>
      </c>
      <c r="O282" s="446">
        <f t="shared" si="204"/>
        <v>673</v>
      </c>
      <c r="P282" s="258">
        <f t="shared" si="205"/>
        <v>59933500</v>
      </c>
      <c r="Q282" s="258">
        <f t="shared" si="206"/>
        <v>62925500</v>
      </c>
      <c r="R282" s="426">
        <f t="shared" si="207"/>
        <v>17</v>
      </c>
      <c r="S282" s="426">
        <f t="array" ref="S282">MAX((IF(MNU_CODIGO_ALIMENTO_ENTREGA=CONCATENATE($E282,"_","P_"),MNU_GRAMAJE_REQUERIDO_TIPOB,"")))</f>
        <v>50</v>
      </c>
      <c r="T282" s="259">
        <f t="shared" si="208"/>
        <v>6924</v>
      </c>
      <c r="U282" s="259">
        <f t="shared" si="209"/>
        <v>117708</v>
      </c>
      <c r="V282" s="446">
        <f t="shared" si="210"/>
        <v>641</v>
      </c>
      <c r="W282" s="446">
        <f t="shared" si="211"/>
        <v>31.280800000000003</v>
      </c>
      <c r="X282" s="446">
        <f t="shared" si="212"/>
        <v>0.55127025600000001</v>
      </c>
      <c r="Y282" s="446">
        <f t="shared" si="213"/>
        <v>673</v>
      </c>
      <c r="Z282" s="260">
        <f t="shared" si="214"/>
        <v>75450828</v>
      </c>
      <c r="AA282" s="260">
        <f t="shared" si="215"/>
        <v>79217484</v>
      </c>
      <c r="AB282" s="425">
        <f t="shared" si="216"/>
        <v>17</v>
      </c>
      <c r="AC282" s="425">
        <f t="array" ref="AC282">MAX((IF(MNU_CODIGO_ALIMENTO_ENTREGA=CONCATENATE($E282,"_","P_"),MNU_GRAMAJE_REQUERIDO_TIPOC,"")))</f>
        <v>80</v>
      </c>
      <c r="AD282" s="257">
        <f t="shared" si="217"/>
        <v>5626</v>
      </c>
      <c r="AE282" s="257">
        <f t="shared" si="218"/>
        <v>95642</v>
      </c>
      <c r="AF282" s="446">
        <f t="shared" si="219"/>
        <v>1025</v>
      </c>
      <c r="AG282" s="446">
        <f t="shared" si="220"/>
        <v>50.02</v>
      </c>
      <c r="AH282" s="446">
        <f t="shared" si="221"/>
        <v>0.88151640000000009</v>
      </c>
      <c r="AI282" s="446">
        <f t="shared" si="222"/>
        <v>1076</v>
      </c>
      <c r="AJ282" s="258">
        <f t="shared" si="223"/>
        <v>98033050</v>
      </c>
      <c r="AK282" s="258">
        <f t="shared" si="224"/>
        <v>102910792</v>
      </c>
      <c r="AL282" s="426">
        <f t="shared" si="225"/>
        <v>17</v>
      </c>
      <c r="AM282" s="426">
        <f t="array" ref="AM282">MAX((IF(MNU_CODIGO_ALIMENTO_ENTREGA=CONCATENATE($E282,"_","P_"),MNU_GRAMAJE_REQUERIDO_TIPOM,"")))</f>
        <v>50</v>
      </c>
      <c r="AN282" s="259">
        <f t="shared" si="226"/>
        <v>0</v>
      </c>
      <c r="AO282" s="259">
        <f t="shared" si="227"/>
        <v>0</v>
      </c>
      <c r="AP282" s="446">
        <f t="shared" si="228"/>
        <v>641</v>
      </c>
      <c r="AQ282" s="446">
        <f t="shared" si="229"/>
        <v>31.280800000000003</v>
      </c>
      <c r="AR282" s="446">
        <f t="shared" si="230"/>
        <v>0.55127025600000001</v>
      </c>
      <c r="AS282" s="446">
        <f t="shared" si="231"/>
        <v>673</v>
      </c>
      <c r="AT282" s="260">
        <f t="shared" si="232"/>
        <v>0</v>
      </c>
      <c r="AU282" s="260">
        <f t="shared" si="233"/>
        <v>0</v>
      </c>
      <c r="AV282" s="425">
        <f t="shared" si="234"/>
        <v>17</v>
      </c>
      <c r="AW282" s="425">
        <f t="array" ref="AW282">MAX((IF(MNU_CODIGO_ALIMENTO_ENTREGA=CONCATENATE($E282,"_","P_"),MNU_GRAMAJE_REQUERIDO_TIPOH,"")))</f>
        <v>80</v>
      </c>
      <c r="AX282" s="257">
        <f t="shared" si="235"/>
        <v>0</v>
      </c>
      <c r="AY282" s="257">
        <f t="shared" si="236"/>
        <v>0</v>
      </c>
      <c r="AZ282" s="446">
        <f t="shared" si="237"/>
        <v>1025</v>
      </c>
      <c r="BA282" s="446">
        <f t="shared" si="238"/>
        <v>50.02</v>
      </c>
      <c r="BB282" s="446">
        <f t="shared" si="239"/>
        <v>0.88151640000000009</v>
      </c>
      <c r="BC282" s="446">
        <f t="shared" si="240"/>
        <v>1076</v>
      </c>
      <c r="BD282" s="258">
        <f t="shared" si="241"/>
        <v>0</v>
      </c>
      <c r="BE282" s="258">
        <f t="shared" si="242"/>
        <v>0</v>
      </c>
      <c r="BF282" s="391">
        <f t="shared" si="243"/>
        <v>233417378</v>
      </c>
      <c r="BG282" s="391">
        <f t="shared" si="244"/>
        <v>245053776</v>
      </c>
    </row>
    <row r="283" spans="1:59" ht="15.75">
      <c r="A283" s="333">
        <v>23</v>
      </c>
      <c r="B283" s="333" t="str">
        <f t="shared" si="196"/>
        <v>CEREAL EMPACADO_23</v>
      </c>
      <c r="C283" s="333" t="str">
        <f t="shared" si="197"/>
        <v>24_23</v>
      </c>
      <c r="D283" s="333" t="s">
        <v>1607</v>
      </c>
      <c r="E283" s="256">
        <v>24</v>
      </c>
      <c r="F283" s="322" t="s">
        <v>61</v>
      </c>
      <c r="G283" s="256" t="s">
        <v>9</v>
      </c>
      <c r="H283" s="425">
        <f t="shared" si="198"/>
        <v>17</v>
      </c>
      <c r="I283" s="425">
        <f t="array" ref="I283">MAX((IF(MNU_CODIGO_ALIMENTO_ENTREGA=CONCATENATE($E283,"_","P_"),MNU_GRAMAJE_REQUERIDO_TIPOA,"")))</f>
        <v>20</v>
      </c>
      <c r="J283" s="257">
        <f t="shared" si="199"/>
        <v>5500</v>
      </c>
      <c r="K283" s="257">
        <f t="shared" si="200"/>
        <v>93500</v>
      </c>
      <c r="L283" s="446">
        <f t="shared" si="201"/>
        <v>122</v>
      </c>
      <c r="M283" s="446">
        <f t="shared" si="202"/>
        <v>5.9535999999999998</v>
      </c>
      <c r="N283" s="446">
        <f t="shared" si="203"/>
        <v>0.104921952</v>
      </c>
      <c r="O283" s="446">
        <f t="shared" si="204"/>
        <v>128</v>
      </c>
      <c r="P283" s="258">
        <f t="shared" si="205"/>
        <v>11407000</v>
      </c>
      <c r="Q283" s="258">
        <f t="shared" si="206"/>
        <v>11968000</v>
      </c>
      <c r="R283" s="426">
        <f t="shared" si="207"/>
        <v>17</v>
      </c>
      <c r="S283" s="426">
        <f t="array" ref="S283">MAX((IF(MNU_CODIGO_ALIMENTO_ENTREGA=CONCATENATE($E283,"_","P_"),MNU_GRAMAJE_REQUERIDO_TIPOB,"")))</f>
        <v>30</v>
      </c>
      <c r="T283" s="259">
        <f t="shared" si="208"/>
        <v>6924</v>
      </c>
      <c r="U283" s="259">
        <f t="shared" si="209"/>
        <v>117708</v>
      </c>
      <c r="V283" s="446">
        <f t="shared" si="210"/>
        <v>191</v>
      </c>
      <c r="W283" s="446">
        <f t="shared" si="211"/>
        <v>9.3208000000000002</v>
      </c>
      <c r="X283" s="446">
        <f t="shared" si="212"/>
        <v>0.16426305600000002</v>
      </c>
      <c r="Y283" s="446">
        <f t="shared" si="213"/>
        <v>200</v>
      </c>
      <c r="Z283" s="260">
        <f t="shared" si="214"/>
        <v>22482228</v>
      </c>
      <c r="AA283" s="260">
        <f t="shared" si="215"/>
        <v>23541600</v>
      </c>
      <c r="AB283" s="425">
        <f t="shared" si="216"/>
        <v>17</v>
      </c>
      <c r="AC283" s="425">
        <f t="array" ref="AC283">MAX((IF(MNU_CODIGO_ALIMENTO_ENTREGA=CONCATENATE($E283,"_","P_"),MNU_GRAMAJE_REQUERIDO_TIPOC,"")))</f>
        <v>60</v>
      </c>
      <c r="AD283" s="257">
        <f t="shared" si="217"/>
        <v>5626</v>
      </c>
      <c r="AE283" s="257">
        <f t="shared" si="218"/>
        <v>95642</v>
      </c>
      <c r="AF283" s="446">
        <f t="shared" si="219"/>
        <v>367</v>
      </c>
      <c r="AG283" s="446">
        <f t="shared" si="220"/>
        <v>17.909599999999998</v>
      </c>
      <c r="AH283" s="446">
        <f t="shared" si="221"/>
        <v>0.31562587200000003</v>
      </c>
      <c r="AI283" s="446">
        <f t="shared" si="222"/>
        <v>385</v>
      </c>
      <c r="AJ283" s="258">
        <f t="shared" si="223"/>
        <v>35100614</v>
      </c>
      <c r="AK283" s="258">
        <f t="shared" si="224"/>
        <v>36822170</v>
      </c>
      <c r="AL283" s="426">
        <f t="shared" si="225"/>
        <v>17</v>
      </c>
      <c r="AM283" s="426">
        <f t="array" ref="AM283">MAX((IF(MNU_CODIGO_ALIMENTO_ENTREGA=CONCATENATE($E283,"_","P_"),MNU_GRAMAJE_REQUERIDO_TIPOM,"")))</f>
        <v>30</v>
      </c>
      <c r="AN283" s="259">
        <f t="shared" si="226"/>
        <v>0</v>
      </c>
      <c r="AO283" s="259">
        <f t="shared" si="227"/>
        <v>0</v>
      </c>
      <c r="AP283" s="446">
        <f t="shared" si="228"/>
        <v>191</v>
      </c>
      <c r="AQ283" s="446">
        <f t="shared" si="229"/>
        <v>9.3208000000000002</v>
      </c>
      <c r="AR283" s="446">
        <f t="shared" si="230"/>
        <v>0.16426305600000002</v>
      </c>
      <c r="AS283" s="446">
        <f t="shared" si="231"/>
        <v>200</v>
      </c>
      <c r="AT283" s="260">
        <f t="shared" si="232"/>
        <v>0</v>
      </c>
      <c r="AU283" s="260">
        <f t="shared" si="233"/>
        <v>0</v>
      </c>
      <c r="AV283" s="425">
        <f t="shared" si="234"/>
        <v>17</v>
      </c>
      <c r="AW283" s="425">
        <f t="array" ref="AW283">MAX((IF(MNU_CODIGO_ALIMENTO_ENTREGA=CONCATENATE($E283,"_","P_"),MNU_GRAMAJE_REQUERIDO_TIPOH,"")))</f>
        <v>60</v>
      </c>
      <c r="AX283" s="257">
        <f t="shared" si="235"/>
        <v>0</v>
      </c>
      <c r="AY283" s="257">
        <f t="shared" si="236"/>
        <v>0</v>
      </c>
      <c r="AZ283" s="446">
        <f t="shared" si="237"/>
        <v>367</v>
      </c>
      <c r="BA283" s="446">
        <f t="shared" si="238"/>
        <v>17.909599999999998</v>
      </c>
      <c r="BB283" s="446">
        <f t="shared" si="239"/>
        <v>0.31562587200000003</v>
      </c>
      <c r="BC283" s="446">
        <f t="shared" si="240"/>
        <v>385</v>
      </c>
      <c r="BD283" s="258">
        <f t="shared" si="241"/>
        <v>0</v>
      </c>
      <c r="BE283" s="258">
        <f t="shared" si="242"/>
        <v>0</v>
      </c>
      <c r="BF283" s="391">
        <f t="shared" si="243"/>
        <v>68989842</v>
      </c>
      <c r="BG283" s="391">
        <f t="shared" si="244"/>
        <v>72331770</v>
      </c>
    </row>
    <row r="284" spans="1:59" ht="15.75">
      <c r="A284" s="333">
        <v>23</v>
      </c>
      <c r="B284" s="333" t="str">
        <f t="shared" si="196"/>
        <v>CEREAL EMPACADO_23</v>
      </c>
      <c r="C284" s="333" t="str">
        <f t="shared" si="197"/>
        <v>25_23</v>
      </c>
      <c r="D284" s="333" t="s">
        <v>1607</v>
      </c>
      <c r="E284" s="256">
        <v>25</v>
      </c>
      <c r="F284" s="459" t="s">
        <v>64</v>
      </c>
      <c r="G284" s="256" t="s">
        <v>9</v>
      </c>
      <c r="H284" s="425">
        <f t="shared" si="198"/>
        <v>17</v>
      </c>
      <c r="I284" s="425">
        <f t="array" ref="I284">MAX((IF(MNU_CODIGO_ALIMENTO_ENTREGA=CONCATENATE($E284,"_","P_"),MNU_GRAMAJE_REQUERIDO_TIPOA,"")))</f>
        <v>40</v>
      </c>
      <c r="J284" s="257">
        <f t="shared" si="199"/>
        <v>5500</v>
      </c>
      <c r="K284" s="257">
        <f t="shared" si="200"/>
        <v>93500</v>
      </c>
      <c r="L284" s="446">
        <f t="shared" si="201"/>
        <v>244</v>
      </c>
      <c r="M284" s="446">
        <f t="shared" si="202"/>
        <v>11.9072</v>
      </c>
      <c r="N284" s="446">
        <f t="shared" si="203"/>
        <v>0.209843904</v>
      </c>
      <c r="O284" s="446">
        <f t="shared" si="204"/>
        <v>256</v>
      </c>
      <c r="P284" s="258">
        <f t="shared" si="205"/>
        <v>22814000</v>
      </c>
      <c r="Q284" s="258">
        <f t="shared" si="206"/>
        <v>23936000</v>
      </c>
      <c r="R284" s="426">
        <f t="shared" si="207"/>
        <v>17</v>
      </c>
      <c r="S284" s="426">
        <f t="array" ref="S284">MAX((IF(MNU_CODIGO_ALIMENTO_ENTREGA=CONCATENATE($E284,"_","P_"),MNU_GRAMAJE_REQUERIDO_TIPOB,"")))</f>
        <v>40</v>
      </c>
      <c r="T284" s="259">
        <f t="shared" si="208"/>
        <v>6924</v>
      </c>
      <c r="U284" s="259">
        <f t="shared" si="209"/>
        <v>117708</v>
      </c>
      <c r="V284" s="446">
        <f t="shared" si="210"/>
        <v>244</v>
      </c>
      <c r="W284" s="446">
        <f t="shared" si="211"/>
        <v>11.9072</v>
      </c>
      <c r="X284" s="446">
        <f t="shared" si="212"/>
        <v>0.209843904</v>
      </c>
      <c r="Y284" s="446">
        <f t="shared" si="213"/>
        <v>256</v>
      </c>
      <c r="Z284" s="260">
        <f t="shared" si="214"/>
        <v>28720752</v>
      </c>
      <c r="AA284" s="260">
        <f t="shared" si="215"/>
        <v>30133248</v>
      </c>
      <c r="AB284" s="425">
        <f t="shared" si="216"/>
        <v>17</v>
      </c>
      <c r="AC284" s="425">
        <f t="array" ref="AC284">MAX((IF(MNU_CODIGO_ALIMENTO_ENTREGA=CONCATENATE($E284,"_","P_"),MNU_GRAMAJE_REQUERIDO_TIPOC,"")))</f>
        <v>60</v>
      </c>
      <c r="AD284" s="257">
        <f t="shared" si="217"/>
        <v>5626</v>
      </c>
      <c r="AE284" s="257">
        <f t="shared" si="218"/>
        <v>95642</v>
      </c>
      <c r="AF284" s="446">
        <f t="shared" si="219"/>
        <v>366</v>
      </c>
      <c r="AG284" s="446">
        <f t="shared" si="220"/>
        <v>17.860800000000001</v>
      </c>
      <c r="AH284" s="446">
        <f t="shared" si="221"/>
        <v>0.31476585600000001</v>
      </c>
      <c r="AI284" s="446">
        <f t="shared" si="222"/>
        <v>384</v>
      </c>
      <c r="AJ284" s="258">
        <f t="shared" si="223"/>
        <v>35004972</v>
      </c>
      <c r="AK284" s="258">
        <f t="shared" si="224"/>
        <v>36726528</v>
      </c>
      <c r="AL284" s="426">
        <f t="shared" si="225"/>
        <v>17</v>
      </c>
      <c r="AM284" s="426">
        <f t="array" ref="AM284">MAX((IF(MNU_CODIGO_ALIMENTO_ENTREGA=CONCATENATE($E284,"_","P_"),MNU_GRAMAJE_REQUERIDO_TIPOM,"")))</f>
        <v>40</v>
      </c>
      <c r="AN284" s="259">
        <f t="shared" si="226"/>
        <v>0</v>
      </c>
      <c r="AO284" s="259">
        <f t="shared" si="227"/>
        <v>0</v>
      </c>
      <c r="AP284" s="446">
        <f t="shared" si="228"/>
        <v>244</v>
      </c>
      <c r="AQ284" s="446">
        <f t="shared" si="229"/>
        <v>11.9072</v>
      </c>
      <c r="AR284" s="446">
        <f t="shared" si="230"/>
        <v>0.209843904</v>
      </c>
      <c r="AS284" s="446">
        <f t="shared" si="231"/>
        <v>256</v>
      </c>
      <c r="AT284" s="260">
        <f t="shared" si="232"/>
        <v>0</v>
      </c>
      <c r="AU284" s="260">
        <f t="shared" si="233"/>
        <v>0</v>
      </c>
      <c r="AV284" s="425">
        <f t="shared" si="234"/>
        <v>17</v>
      </c>
      <c r="AW284" s="425">
        <f t="array" ref="AW284">MAX((IF(MNU_CODIGO_ALIMENTO_ENTREGA=CONCATENATE($E284,"_","P_"),MNU_GRAMAJE_REQUERIDO_TIPOH,"")))</f>
        <v>60</v>
      </c>
      <c r="AX284" s="257">
        <f t="shared" si="235"/>
        <v>0</v>
      </c>
      <c r="AY284" s="257">
        <f t="shared" si="236"/>
        <v>0</v>
      </c>
      <c r="AZ284" s="446">
        <f t="shared" si="237"/>
        <v>366</v>
      </c>
      <c r="BA284" s="446">
        <f t="shared" si="238"/>
        <v>17.860800000000001</v>
      </c>
      <c r="BB284" s="446">
        <f t="shared" si="239"/>
        <v>0.31476585600000001</v>
      </c>
      <c r="BC284" s="446">
        <f t="shared" si="240"/>
        <v>384</v>
      </c>
      <c r="BD284" s="258">
        <f t="shared" si="241"/>
        <v>0</v>
      </c>
      <c r="BE284" s="258">
        <f t="shared" si="242"/>
        <v>0</v>
      </c>
      <c r="BF284" s="391">
        <f t="shared" si="243"/>
        <v>86539724</v>
      </c>
      <c r="BG284" s="391">
        <f t="shared" si="244"/>
        <v>90795776</v>
      </c>
    </row>
    <row r="285" spans="1:59" ht="15.75">
      <c r="A285" s="333">
        <v>23</v>
      </c>
      <c r="B285" s="333" t="str">
        <f t="shared" si="196"/>
        <v>CEREAL EMPACADO_23</v>
      </c>
      <c r="C285" s="333" t="str">
        <f t="shared" si="197"/>
        <v>26_23</v>
      </c>
      <c r="D285" s="333" t="s">
        <v>1607</v>
      </c>
      <c r="E285" s="256">
        <v>26</v>
      </c>
      <c r="F285" s="322" t="s">
        <v>69</v>
      </c>
      <c r="G285" s="256" t="s">
        <v>9</v>
      </c>
      <c r="H285" s="425">
        <f t="shared" si="198"/>
        <v>6</v>
      </c>
      <c r="I285" s="425">
        <f t="array" ref="I285">MAX((IF(MNU_CODIGO_ALIMENTO_ENTREGA=CONCATENATE($E285,"_","P_"),MNU_GRAMAJE_REQUERIDO_TIPOA,"")))</f>
        <v>30</v>
      </c>
      <c r="J285" s="257">
        <f t="shared" si="199"/>
        <v>5500</v>
      </c>
      <c r="K285" s="257">
        <f t="shared" si="200"/>
        <v>33000</v>
      </c>
      <c r="L285" s="446">
        <f t="shared" si="201"/>
        <v>163</v>
      </c>
      <c r="M285" s="446">
        <f t="shared" si="202"/>
        <v>7.9543999999999997</v>
      </c>
      <c r="N285" s="446">
        <f t="shared" si="203"/>
        <v>0.14018260800000001</v>
      </c>
      <c r="O285" s="446">
        <f t="shared" si="204"/>
        <v>171</v>
      </c>
      <c r="P285" s="258">
        <f t="shared" si="205"/>
        <v>5379000</v>
      </c>
      <c r="Q285" s="258">
        <f t="shared" si="206"/>
        <v>5643000</v>
      </c>
      <c r="R285" s="426">
        <f t="shared" si="207"/>
        <v>6</v>
      </c>
      <c r="S285" s="426">
        <f t="array" ref="S285">MAX((IF(MNU_CODIGO_ALIMENTO_ENTREGA=CONCATENATE($E285,"_","P_"),MNU_GRAMAJE_REQUERIDO_TIPOB,"")))</f>
        <v>30</v>
      </c>
      <c r="T285" s="259">
        <f t="shared" si="208"/>
        <v>6924</v>
      </c>
      <c r="U285" s="259">
        <f t="shared" si="209"/>
        <v>41544</v>
      </c>
      <c r="V285" s="446">
        <f t="shared" si="210"/>
        <v>163</v>
      </c>
      <c r="W285" s="446">
        <f t="shared" si="211"/>
        <v>7.9543999999999997</v>
      </c>
      <c r="X285" s="446">
        <f t="shared" si="212"/>
        <v>0.14018260800000001</v>
      </c>
      <c r="Y285" s="446">
        <f t="shared" si="213"/>
        <v>171</v>
      </c>
      <c r="Z285" s="260">
        <f t="shared" si="214"/>
        <v>6771672</v>
      </c>
      <c r="AA285" s="260">
        <f t="shared" si="215"/>
        <v>7104024</v>
      </c>
      <c r="AB285" s="425">
        <f t="shared" si="216"/>
        <v>6</v>
      </c>
      <c r="AC285" s="425">
        <f t="array" ref="AC285">MAX((IF(MNU_CODIGO_ALIMENTO_ENTREGA=CONCATENATE($E285,"_","P_"),MNU_GRAMAJE_REQUERIDO_TIPOC,"")))</f>
        <v>30</v>
      </c>
      <c r="AD285" s="257">
        <f t="shared" si="217"/>
        <v>5626</v>
      </c>
      <c r="AE285" s="257">
        <f t="shared" si="218"/>
        <v>33756</v>
      </c>
      <c r="AF285" s="446">
        <f t="shared" si="219"/>
        <v>163</v>
      </c>
      <c r="AG285" s="446">
        <f t="shared" si="220"/>
        <v>7.9543999999999997</v>
      </c>
      <c r="AH285" s="446">
        <f t="shared" si="221"/>
        <v>0.14018260800000001</v>
      </c>
      <c r="AI285" s="446">
        <f t="shared" si="222"/>
        <v>171</v>
      </c>
      <c r="AJ285" s="258">
        <f t="shared" si="223"/>
        <v>5502228</v>
      </c>
      <c r="AK285" s="258">
        <f t="shared" si="224"/>
        <v>5772276</v>
      </c>
      <c r="AL285" s="426">
        <f t="shared" si="225"/>
        <v>6</v>
      </c>
      <c r="AM285" s="426">
        <f t="array" ref="AM285">MAX((IF(MNU_CODIGO_ALIMENTO_ENTREGA=CONCATENATE($E285,"_","P_"),MNU_GRAMAJE_REQUERIDO_TIPOM,"")))</f>
        <v>30</v>
      </c>
      <c r="AN285" s="259">
        <f t="shared" si="226"/>
        <v>0</v>
      </c>
      <c r="AO285" s="259">
        <f t="shared" si="227"/>
        <v>0</v>
      </c>
      <c r="AP285" s="446">
        <f t="shared" si="228"/>
        <v>163</v>
      </c>
      <c r="AQ285" s="446">
        <f t="shared" si="229"/>
        <v>7.9543999999999997</v>
      </c>
      <c r="AR285" s="446">
        <f t="shared" si="230"/>
        <v>0.14018260800000001</v>
      </c>
      <c r="AS285" s="446">
        <f t="shared" si="231"/>
        <v>171</v>
      </c>
      <c r="AT285" s="260">
        <f t="shared" si="232"/>
        <v>0</v>
      </c>
      <c r="AU285" s="260">
        <f t="shared" si="233"/>
        <v>0</v>
      </c>
      <c r="AV285" s="425">
        <f t="shared" si="234"/>
        <v>6</v>
      </c>
      <c r="AW285" s="425">
        <f t="array" ref="AW285">MAX((IF(MNU_CODIGO_ALIMENTO_ENTREGA=CONCATENATE($E285,"_","P_"),MNU_GRAMAJE_REQUERIDO_TIPOH,"")))</f>
        <v>30</v>
      </c>
      <c r="AX285" s="257">
        <f t="shared" si="235"/>
        <v>0</v>
      </c>
      <c r="AY285" s="257">
        <f t="shared" si="236"/>
        <v>0</v>
      </c>
      <c r="AZ285" s="446">
        <f t="shared" si="237"/>
        <v>163</v>
      </c>
      <c r="BA285" s="446">
        <f t="shared" si="238"/>
        <v>7.9543999999999997</v>
      </c>
      <c r="BB285" s="446">
        <f t="shared" si="239"/>
        <v>0.14018260800000001</v>
      </c>
      <c r="BC285" s="446">
        <f t="shared" si="240"/>
        <v>171</v>
      </c>
      <c r="BD285" s="258">
        <f t="shared" si="241"/>
        <v>0</v>
      </c>
      <c r="BE285" s="258">
        <f t="shared" si="242"/>
        <v>0</v>
      </c>
      <c r="BF285" s="391">
        <f t="shared" si="243"/>
        <v>17652900</v>
      </c>
      <c r="BG285" s="391">
        <f t="shared" si="244"/>
        <v>18519300</v>
      </c>
    </row>
    <row r="286" spans="1:59" ht="27">
      <c r="A286" s="333">
        <v>23</v>
      </c>
      <c r="B286" s="333" t="str">
        <f t="shared" si="196"/>
        <v>CEREAL EMPACADO_23</v>
      </c>
      <c r="C286" s="333" t="str">
        <f t="shared" si="197"/>
        <v>28_23</v>
      </c>
      <c r="D286" s="333" t="s">
        <v>1607</v>
      </c>
      <c r="E286" s="256">
        <v>28</v>
      </c>
      <c r="F286" s="322" t="s">
        <v>67</v>
      </c>
      <c r="G286" s="256" t="s">
        <v>9</v>
      </c>
      <c r="H286" s="425">
        <f t="shared" si="198"/>
        <v>6</v>
      </c>
      <c r="I286" s="425">
        <f t="array" ref="I286">MAX((IF(MNU_CODIGO_ALIMENTO_ENTREGA=CONCATENATE($E286,"_","P_"),MNU_GRAMAJE_REQUERIDO_TIPOA,"")))</f>
        <v>30</v>
      </c>
      <c r="J286" s="257">
        <f t="shared" si="199"/>
        <v>5500</v>
      </c>
      <c r="K286" s="257">
        <f t="shared" si="200"/>
        <v>33000</v>
      </c>
      <c r="L286" s="446">
        <f t="shared" si="201"/>
        <v>215</v>
      </c>
      <c r="M286" s="446">
        <f t="shared" si="202"/>
        <v>10.492000000000001</v>
      </c>
      <c r="N286" s="446">
        <f t="shared" si="203"/>
        <v>0.18490343999999997</v>
      </c>
      <c r="O286" s="446">
        <f t="shared" si="204"/>
        <v>226</v>
      </c>
      <c r="P286" s="258">
        <f t="shared" si="205"/>
        <v>7095000</v>
      </c>
      <c r="Q286" s="258">
        <f t="shared" si="206"/>
        <v>7458000</v>
      </c>
      <c r="R286" s="426">
        <f t="shared" si="207"/>
        <v>6</v>
      </c>
      <c r="S286" s="426">
        <f t="array" ref="S286">MAX((IF(MNU_CODIGO_ALIMENTO_ENTREGA=CONCATENATE($E286,"_","P_"),MNU_GRAMAJE_REQUERIDO_TIPOB,"")))</f>
        <v>40</v>
      </c>
      <c r="T286" s="259">
        <f t="shared" si="208"/>
        <v>6924</v>
      </c>
      <c r="U286" s="259">
        <f t="shared" si="209"/>
        <v>41544</v>
      </c>
      <c r="V286" s="446">
        <f t="shared" si="210"/>
        <v>287</v>
      </c>
      <c r="W286" s="446">
        <f t="shared" si="211"/>
        <v>14.005600000000001</v>
      </c>
      <c r="X286" s="446">
        <f t="shared" si="212"/>
        <v>0.24682459200000004</v>
      </c>
      <c r="Y286" s="446">
        <f t="shared" si="213"/>
        <v>301</v>
      </c>
      <c r="Z286" s="260">
        <f t="shared" si="214"/>
        <v>11923128</v>
      </c>
      <c r="AA286" s="260">
        <f t="shared" si="215"/>
        <v>12504744</v>
      </c>
      <c r="AB286" s="425">
        <f t="shared" si="216"/>
        <v>6</v>
      </c>
      <c r="AC286" s="425">
        <f t="array" ref="AC286">MAX((IF(MNU_CODIGO_ALIMENTO_ENTREGA=CONCATENATE($E286,"_","P_"),MNU_GRAMAJE_REQUERIDO_TIPOC,"")))</f>
        <v>60</v>
      </c>
      <c r="AD286" s="257">
        <f t="shared" si="217"/>
        <v>5626</v>
      </c>
      <c r="AE286" s="257">
        <f t="shared" si="218"/>
        <v>33756</v>
      </c>
      <c r="AF286" s="446">
        <f t="shared" si="219"/>
        <v>430</v>
      </c>
      <c r="AG286" s="446">
        <f t="shared" si="220"/>
        <v>20.984000000000002</v>
      </c>
      <c r="AH286" s="446">
        <f t="shared" si="221"/>
        <v>0.36980687999999995</v>
      </c>
      <c r="AI286" s="446">
        <f t="shared" si="222"/>
        <v>451</v>
      </c>
      <c r="AJ286" s="258">
        <f t="shared" si="223"/>
        <v>14515080</v>
      </c>
      <c r="AK286" s="258">
        <f t="shared" si="224"/>
        <v>15223956</v>
      </c>
      <c r="AL286" s="426">
        <f t="shared" si="225"/>
        <v>6</v>
      </c>
      <c r="AM286" s="426">
        <f t="array" ref="AM286">MAX((IF(MNU_CODIGO_ALIMENTO_ENTREGA=CONCATENATE($E286,"_","P_"),MNU_GRAMAJE_REQUERIDO_TIPOM,"")))</f>
        <v>40</v>
      </c>
      <c r="AN286" s="259">
        <f t="shared" si="226"/>
        <v>0</v>
      </c>
      <c r="AO286" s="259">
        <f t="shared" si="227"/>
        <v>0</v>
      </c>
      <c r="AP286" s="446">
        <f t="shared" si="228"/>
        <v>287</v>
      </c>
      <c r="AQ286" s="446">
        <f t="shared" si="229"/>
        <v>14.005600000000001</v>
      </c>
      <c r="AR286" s="446">
        <f t="shared" si="230"/>
        <v>0.24682459200000004</v>
      </c>
      <c r="AS286" s="446">
        <f t="shared" si="231"/>
        <v>301</v>
      </c>
      <c r="AT286" s="260">
        <f t="shared" si="232"/>
        <v>0</v>
      </c>
      <c r="AU286" s="260">
        <f t="shared" si="233"/>
        <v>0</v>
      </c>
      <c r="AV286" s="425">
        <f t="shared" si="234"/>
        <v>6</v>
      </c>
      <c r="AW286" s="425">
        <f t="array" ref="AW286">MAX((IF(MNU_CODIGO_ALIMENTO_ENTREGA=CONCATENATE($E286,"_","P_"),MNU_GRAMAJE_REQUERIDO_TIPOH,"")))</f>
        <v>60</v>
      </c>
      <c r="AX286" s="257">
        <f t="shared" si="235"/>
        <v>0</v>
      </c>
      <c r="AY286" s="257">
        <f t="shared" si="236"/>
        <v>0</v>
      </c>
      <c r="AZ286" s="446">
        <f t="shared" si="237"/>
        <v>430</v>
      </c>
      <c r="BA286" s="446">
        <f t="shared" si="238"/>
        <v>20.984000000000002</v>
      </c>
      <c r="BB286" s="446">
        <f t="shared" si="239"/>
        <v>0.36980687999999995</v>
      </c>
      <c r="BC286" s="446">
        <f t="shared" si="240"/>
        <v>451</v>
      </c>
      <c r="BD286" s="258">
        <f t="shared" si="241"/>
        <v>0</v>
      </c>
      <c r="BE286" s="258">
        <f t="shared" si="242"/>
        <v>0</v>
      </c>
      <c r="BF286" s="391">
        <f t="shared" si="243"/>
        <v>33533208</v>
      </c>
      <c r="BG286" s="391">
        <f t="shared" si="244"/>
        <v>35186700</v>
      </c>
    </row>
    <row r="287" spans="1:59" ht="15.75">
      <c r="A287" s="333">
        <v>23</v>
      </c>
      <c r="B287" s="333" t="str">
        <f t="shared" si="196"/>
        <v>CEREAL EMPACADO_23</v>
      </c>
      <c r="C287" s="333" t="str">
        <f t="shared" si="197"/>
        <v>30_23</v>
      </c>
      <c r="D287" s="333" t="s">
        <v>1607</v>
      </c>
      <c r="E287" s="256">
        <v>30</v>
      </c>
      <c r="F287" s="322" t="s">
        <v>63</v>
      </c>
      <c r="G287" s="256" t="s">
        <v>9</v>
      </c>
      <c r="H287" s="425">
        <f t="shared" si="198"/>
        <v>16</v>
      </c>
      <c r="I287" s="425">
        <f t="array" ref="I287">MAX((IF(MNU_CODIGO_ALIMENTO_ENTREGA=CONCATENATE($E287,"_","P_"),MNU_GRAMAJE_REQUERIDO_TIPOA,"")))</f>
        <v>30</v>
      </c>
      <c r="J287" s="257">
        <f t="shared" si="199"/>
        <v>5500</v>
      </c>
      <c r="K287" s="257">
        <f t="shared" si="200"/>
        <v>88000</v>
      </c>
      <c r="L287" s="446">
        <f t="shared" si="201"/>
        <v>316</v>
      </c>
      <c r="M287" s="446">
        <f t="shared" si="202"/>
        <v>15.4208</v>
      </c>
      <c r="N287" s="446">
        <f t="shared" si="203"/>
        <v>0.271765056</v>
      </c>
      <c r="O287" s="446">
        <f t="shared" si="204"/>
        <v>332</v>
      </c>
      <c r="P287" s="258">
        <f t="shared" si="205"/>
        <v>27808000</v>
      </c>
      <c r="Q287" s="258">
        <f t="shared" si="206"/>
        <v>29216000</v>
      </c>
      <c r="R287" s="426">
        <f t="shared" si="207"/>
        <v>16</v>
      </c>
      <c r="S287" s="426">
        <f t="array" ref="S287">MAX((IF(MNU_CODIGO_ALIMENTO_ENTREGA=CONCATENATE($E287,"_","P_"),MNU_GRAMAJE_REQUERIDO_TIPOB,"")))</f>
        <v>30</v>
      </c>
      <c r="T287" s="259">
        <f t="shared" si="208"/>
        <v>6924</v>
      </c>
      <c r="U287" s="259">
        <f t="shared" si="209"/>
        <v>110784</v>
      </c>
      <c r="V287" s="446">
        <f t="shared" si="210"/>
        <v>316</v>
      </c>
      <c r="W287" s="446">
        <f t="shared" si="211"/>
        <v>15.4208</v>
      </c>
      <c r="X287" s="446">
        <f t="shared" si="212"/>
        <v>0.271765056</v>
      </c>
      <c r="Y287" s="446">
        <f t="shared" si="213"/>
        <v>332</v>
      </c>
      <c r="Z287" s="260">
        <f t="shared" si="214"/>
        <v>35007744</v>
      </c>
      <c r="AA287" s="260">
        <f t="shared" si="215"/>
        <v>36780288</v>
      </c>
      <c r="AB287" s="425">
        <f t="shared" si="216"/>
        <v>16</v>
      </c>
      <c r="AC287" s="425">
        <f t="array" ref="AC287">MAX((IF(MNU_CODIGO_ALIMENTO_ENTREGA=CONCATENATE($E287,"_","P_"),MNU_GRAMAJE_REQUERIDO_TIPOC,"")))</f>
        <v>30</v>
      </c>
      <c r="AD287" s="257">
        <f t="shared" si="217"/>
        <v>5626</v>
      </c>
      <c r="AE287" s="257">
        <f t="shared" si="218"/>
        <v>90016</v>
      </c>
      <c r="AF287" s="446">
        <f t="shared" si="219"/>
        <v>316</v>
      </c>
      <c r="AG287" s="446">
        <f t="shared" si="220"/>
        <v>15.4208</v>
      </c>
      <c r="AH287" s="446">
        <f t="shared" si="221"/>
        <v>0.271765056</v>
      </c>
      <c r="AI287" s="446">
        <f t="shared" si="222"/>
        <v>332</v>
      </c>
      <c r="AJ287" s="258">
        <f t="shared" si="223"/>
        <v>28445056</v>
      </c>
      <c r="AK287" s="258">
        <f t="shared" si="224"/>
        <v>29885312</v>
      </c>
      <c r="AL287" s="426">
        <f t="shared" si="225"/>
        <v>16</v>
      </c>
      <c r="AM287" s="426">
        <f t="array" ref="AM287">MAX((IF(MNU_CODIGO_ALIMENTO_ENTREGA=CONCATENATE($E287,"_","P_"),MNU_GRAMAJE_REQUERIDO_TIPOM,"")))</f>
        <v>30</v>
      </c>
      <c r="AN287" s="259">
        <f t="shared" si="226"/>
        <v>0</v>
      </c>
      <c r="AO287" s="259">
        <f t="shared" si="227"/>
        <v>0</v>
      </c>
      <c r="AP287" s="446">
        <f t="shared" si="228"/>
        <v>316</v>
      </c>
      <c r="AQ287" s="446">
        <f t="shared" si="229"/>
        <v>15.4208</v>
      </c>
      <c r="AR287" s="446">
        <f t="shared" si="230"/>
        <v>0.271765056</v>
      </c>
      <c r="AS287" s="446">
        <f t="shared" si="231"/>
        <v>332</v>
      </c>
      <c r="AT287" s="260">
        <f t="shared" si="232"/>
        <v>0</v>
      </c>
      <c r="AU287" s="260">
        <f t="shared" si="233"/>
        <v>0</v>
      </c>
      <c r="AV287" s="425">
        <f t="shared" si="234"/>
        <v>16</v>
      </c>
      <c r="AW287" s="425">
        <f t="array" ref="AW287">MAX((IF(MNU_CODIGO_ALIMENTO_ENTREGA=CONCATENATE($E287,"_","P_"),MNU_GRAMAJE_REQUERIDO_TIPOH,"")))</f>
        <v>30</v>
      </c>
      <c r="AX287" s="257">
        <f t="shared" si="235"/>
        <v>0</v>
      </c>
      <c r="AY287" s="257">
        <f t="shared" si="236"/>
        <v>0</v>
      </c>
      <c r="AZ287" s="446">
        <f t="shared" si="237"/>
        <v>316</v>
      </c>
      <c r="BA287" s="446">
        <f t="shared" si="238"/>
        <v>15.4208</v>
      </c>
      <c r="BB287" s="446">
        <f t="shared" si="239"/>
        <v>0.271765056</v>
      </c>
      <c r="BC287" s="446">
        <f t="shared" si="240"/>
        <v>332</v>
      </c>
      <c r="BD287" s="258">
        <f t="shared" si="241"/>
        <v>0</v>
      </c>
      <c r="BE287" s="258">
        <f t="shared" si="242"/>
        <v>0</v>
      </c>
      <c r="BF287" s="391">
        <f t="shared" si="243"/>
        <v>91260800</v>
      </c>
      <c r="BG287" s="391">
        <f t="shared" si="244"/>
        <v>95881600</v>
      </c>
    </row>
    <row r="288" spans="1:59" ht="15.75">
      <c r="A288" s="333">
        <v>23</v>
      </c>
      <c r="B288" s="333" t="str">
        <f t="shared" si="196"/>
        <v>CEREAL EMPACADO_23</v>
      </c>
      <c r="C288" s="333" t="str">
        <f t="shared" si="197"/>
        <v>45_23</v>
      </c>
      <c r="D288" s="333" t="s">
        <v>1607</v>
      </c>
      <c r="E288" s="256">
        <v>45</v>
      </c>
      <c r="F288" s="322" t="s">
        <v>10</v>
      </c>
      <c r="G288" s="256" t="s">
        <v>9</v>
      </c>
      <c r="H288" s="425">
        <f t="shared" si="198"/>
        <v>16</v>
      </c>
      <c r="I288" s="425">
        <f t="array" ref="I288">MAX((IF(MNU_CODIGO_ALIMENTO_ENTREGA=CONCATENATE($E288,"_","P_"),MNU_GRAMAJE_REQUERIDO_TIPOA,"")))</f>
        <v>20</v>
      </c>
      <c r="J288" s="257">
        <f t="shared" si="199"/>
        <v>5500</v>
      </c>
      <c r="K288" s="257">
        <f t="shared" si="200"/>
        <v>88000</v>
      </c>
      <c r="L288" s="446">
        <f t="shared" si="201"/>
        <v>190</v>
      </c>
      <c r="M288" s="446">
        <f t="shared" si="202"/>
        <v>9.2720000000000002</v>
      </c>
      <c r="N288" s="446">
        <f t="shared" si="203"/>
        <v>0.16340304</v>
      </c>
      <c r="O288" s="446">
        <f t="shared" si="204"/>
        <v>199</v>
      </c>
      <c r="P288" s="258">
        <f t="shared" si="205"/>
        <v>16720000</v>
      </c>
      <c r="Q288" s="258">
        <f t="shared" si="206"/>
        <v>17512000</v>
      </c>
      <c r="R288" s="426">
        <f t="shared" si="207"/>
        <v>16</v>
      </c>
      <c r="S288" s="426">
        <f t="array" ref="S288">MAX((IF(MNU_CODIGO_ALIMENTO_ENTREGA=CONCATENATE($E288,"_","P_"),MNU_GRAMAJE_REQUERIDO_TIPOB,"")))</f>
        <v>30</v>
      </c>
      <c r="T288" s="259">
        <f t="shared" si="208"/>
        <v>6924</v>
      </c>
      <c r="U288" s="259">
        <f t="shared" si="209"/>
        <v>110784</v>
      </c>
      <c r="V288" s="446">
        <f t="shared" si="210"/>
        <v>284</v>
      </c>
      <c r="W288" s="446">
        <f t="shared" si="211"/>
        <v>13.8592</v>
      </c>
      <c r="X288" s="446">
        <f t="shared" si="212"/>
        <v>0.24424454399999998</v>
      </c>
      <c r="Y288" s="446">
        <f t="shared" si="213"/>
        <v>298</v>
      </c>
      <c r="Z288" s="260">
        <f t="shared" si="214"/>
        <v>31462656</v>
      </c>
      <c r="AA288" s="260">
        <f t="shared" si="215"/>
        <v>33013632</v>
      </c>
      <c r="AB288" s="425">
        <f t="shared" si="216"/>
        <v>16</v>
      </c>
      <c r="AC288" s="425">
        <f t="array" ref="AC288">MAX((IF(MNU_CODIGO_ALIMENTO_ENTREGA=CONCATENATE($E288,"_","P_"),MNU_GRAMAJE_REQUERIDO_TIPOC,"")))</f>
        <v>60</v>
      </c>
      <c r="AD288" s="257">
        <f t="shared" si="217"/>
        <v>5626</v>
      </c>
      <c r="AE288" s="257">
        <f t="shared" si="218"/>
        <v>90016</v>
      </c>
      <c r="AF288" s="446">
        <f t="shared" si="219"/>
        <v>569</v>
      </c>
      <c r="AG288" s="446">
        <f t="shared" si="220"/>
        <v>27.767199999999999</v>
      </c>
      <c r="AH288" s="446">
        <f t="shared" si="221"/>
        <v>0.48934910400000003</v>
      </c>
      <c r="AI288" s="446">
        <f t="shared" si="222"/>
        <v>597</v>
      </c>
      <c r="AJ288" s="258">
        <f t="shared" si="223"/>
        <v>51219104</v>
      </c>
      <c r="AK288" s="258">
        <f t="shared" si="224"/>
        <v>53739552</v>
      </c>
      <c r="AL288" s="426">
        <f t="shared" si="225"/>
        <v>16</v>
      </c>
      <c r="AM288" s="426">
        <f t="array" ref="AM288">MAX((IF(MNU_CODIGO_ALIMENTO_ENTREGA=CONCATENATE($E288,"_","P_"),MNU_GRAMAJE_REQUERIDO_TIPOM,"")))</f>
        <v>30</v>
      </c>
      <c r="AN288" s="259">
        <f t="shared" si="226"/>
        <v>0</v>
      </c>
      <c r="AO288" s="259">
        <f t="shared" si="227"/>
        <v>0</v>
      </c>
      <c r="AP288" s="446">
        <f t="shared" si="228"/>
        <v>284</v>
      </c>
      <c r="AQ288" s="446">
        <f t="shared" si="229"/>
        <v>13.8592</v>
      </c>
      <c r="AR288" s="446">
        <f t="shared" si="230"/>
        <v>0.24424454399999998</v>
      </c>
      <c r="AS288" s="446">
        <f t="shared" si="231"/>
        <v>298</v>
      </c>
      <c r="AT288" s="260">
        <f t="shared" si="232"/>
        <v>0</v>
      </c>
      <c r="AU288" s="260">
        <f t="shared" si="233"/>
        <v>0</v>
      </c>
      <c r="AV288" s="425">
        <f t="shared" si="234"/>
        <v>16</v>
      </c>
      <c r="AW288" s="425">
        <f t="array" ref="AW288">MAX((IF(MNU_CODIGO_ALIMENTO_ENTREGA=CONCATENATE($E288,"_","P_"),MNU_GRAMAJE_REQUERIDO_TIPOH,"")))</f>
        <v>60</v>
      </c>
      <c r="AX288" s="257">
        <f t="shared" si="235"/>
        <v>0</v>
      </c>
      <c r="AY288" s="257">
        <f t="shared" si="236"/>
        <v>0</v>
      </c>
      <c r="AZ288" s="446">
        <f t="shared" si="237"/>
        <v>569</v>
      </c>
      <c r="BA288" s="446">
        <f t="shared" si="238"/>
        <v>27.767199999999999</v>
      </c>
      <c r="BB288" s="446">
        <f t="shared" si="239"/>
        <v>0.48934910400000003</v>
      </c>
      <c r="BC288" s="446">
        <f t="shared" si="240"/>
        <v>597</v>
      </c>
      <c r="BD288" s="258">
        <f t="shared" si="241"/>
        <v>0</v>
      </c>
      <c r="BE288" s="258">
        <f t="shared" si="242"/>
        <v>0</v>
      </c>
      <c r="BF288" s="391">
        <f t="shared" si="243"/>
        <v>99401760</v>
      </c>
      <c r="BG288" s="391">
        <f t="shared" si="244"/>
        <v>104265184</v>
      </c>
    </row>
    <row r="289" spans="1:59" ht="15.75">
      <c r="A289" s="333">
        <v>23</v>
      </c>
      <c r="B289" s="333" t="str">
        <f t="shared" si="196"/>
        <v>CEREAL EMPACADO_23</v>
      </c>
      <c r="C289" s="333" t="str">
        <f t="shared" si="197"/>
        <v>50_23</v>
      </c>
      <c r="D289" s="333" t="s">
        <v>1607</v>
      </c>
      <c r="E289" s="256">
        <v>50</v>
      </c>
      <c r="F289" s="322" t="s">
        <v>65</v>
      </c>
      <c r="G289" s="256" t="s">
        <v>9</v>
      </c>
      <c r="H289" s="425">
        <f t="shared" si="198"/>
        <v>17</v>
      </c>
      <c r="I289" s="425">
        <f t="array" ref="I289">MAX((IF(MNU_CODIGO_ALIMENTO_ENTREGA=CONCATENATE($E289,"_","P_"),MNU_GRAMAJE_REQUERIDO_TIPOA,"")))</f>
        <v>30</v>
      </c>
      <c r="J289" s="257">
        <f t="shared" si="199"/>
        <v>5500</v>
      </c>
      <c r="K289" s="257">
        <f t="shared" si="200"/>
        <v>93500</v>
      </c>
      <c r="L289" s="446">
        <f t="shared" si="201"/>
        <v>306</v>
      </c>
      <c r="M289" s="446">
        <f t="shared" si="202"/>
        <v>14.9328</v>
      </c>
      <c r="N289" s="446">
        <f t="shared" si="203"/>
        <v>0.26316489599999998</v>
      </c>
      <c r="O289" s="446">
        <f t="shared" si="204"/>
        <v>321</v>
      </c>
      <c r="P289" s="258">
        <f t="shared" si="205"/>
        <v>28611000</v>
      </c>
      <c r="Q289" s="258">
        <f t="shared" si="206"/>
        <v>30013500</v>
      </c>
      <c r="R289" s="426">
        <f t="shared" si="207"/>
        <v>17</v>
      </c>
      <c r="S289" s="426">
        <f t="array" ref="S289">MAX((IF(MNU_CODIGO_ALIMENTO_ENTREGA=CONCATENATE($E289,"_","P_"),MNU_GRAMAJE_REQUERIDO_TIPOB,"")))</f>
        <v>40</v>
      </c>
      <c r="T289" s="259">
        <f t="shared" si="208"/>
        <v>6924</v>
      </c>
      <c r="U289" s="259">
        <f t="shared" si="209"/>
        <v>117708</v>
      </c>
      <c r="V289" s="446">
        <f t="shared" si="210"/>
        <v>408</v>
      </c>
      <c r="W289" s="446">
        <f t="shared" si="211"/>
        <v>19.910400000000003</v>
      </c>
      <c r="X289" s="446">
        <f t="shared" si="212"/>
        <v>0.35088652799999998</v>
      </c>
      <c r="Y289" s="446">
        <f t="shared" si="213"/>
        <v>428</v>
      </c>
      <c r="Z289" s="260">
        <f t="shared" si="214"/>
        <v>48024864</v>
      </c>
      <c r="AA289" s="260">
        <f t="shared" si="215"/>
        <v>50379024</v>
      </c>
      <c r="AB289" s="425">
        <f t="shared" si="216"/>
        <v>17</v>
      </c>
      <c r="AC289" s="425">
        <f t="array" ref="AC289">MAX((IF(MNU_CODIGO_ALIMENTO_ENTREGA=CONCATENATE($E289,"_","P_"),MNU_GRAMAJE_REQUERIDO_TIPOC,"")))</f>
        <v>80</v>
      </c>
      <c r="AD289" s="257">
        <f t="shared" si="217"/>
        <v>5626</v>
      </c>
      <c r="AE289" s="257">
        <f t="shared" si="218"/>
        <v>95642</v>
      </c>
      <c r="AF289" s="446">
        <f t="shared" si="219"/>
        <v>815</v>
      </c>
      <c r="AG289" s="446">
        <f t="shared" si="220"/>
        <v>39.772000000000006</v>
      </c>
      <c r="AH289" s="446">
        <f t="shared" si="221"/>
        <v>0.7009130400000001</v>
      </c>
      <c r="AI289" s="446">
        <f t="shared" si="222"/>
        <v>855</v>
      </c>
      <c r="AJ289" s="258">
        <f t="shared" si="223"/>
        <v>77948230</v>
      </c>
      <c r="AK289" s="258">
        <f t="shared" si="224"/>
        <v>81773910</v>
      </c>
      <c r="AL289" s="426">
        <f t="shared" si="225"/>
        <v>17</v>
      </c>
      <c r="AM289" s="426">
        <f t="array" ref="AM289">MAX((IF(MNU_CODIGO_ALIMENTO_ENTREGA=CONCATENATE($E289,"_","P_"),MNU_GRAMAJE_REQUERIDO_TIPOM,"")))</f>
        <v>40</v>
      </c>
      <c r="AN289" s="259">
        <f t="shared" si="226"/>
        <v>0</v>
      </c>
      <c r="AO289" s="259">
        <f t="shared" si="227"/>
        <v>0</v>
      </c>
      <c r="AP289" s="446">
        <f t="shared" si="228"/>
        <v>408</v>
      </c>
      <c r="AQ289" s="446">
        <f t="shared" si="229"/>
        <v>19.910400000000003</v>
      </c>
      <c r="AR289" s="446">
        <f t="shared" si="230"/>
        <v>0.35088652799999998</v>
      </c>
      <c r="AS289" s="446">
        <f t="shared" si="231"/>
        <v>428</v>
      </c>
      <c r="AT289" s="260">
        <f t="shared" si="232"/>
        <v>0</v>
      </c>
      <c r="AU289" s="260">
        <f t="shared" si="233"/>
        <v>0</v>
      </c>
      <c r="AV289" s="425">
        <f t="shared" si="234"/>
        <v>17</v>
      </c>
      <c r="AW289" s="425">
        <f t="array" ref="AW289">MAX((IF(MNU_CODIGO_ALIMENTO_ENTREGA=CONCATENATE($E289,"_","P_"),MNU_GRAMAJE_REQUERIDO_TIPOH,"")))</f>
        <v>80</v>
      </c>
      <c r="AX289" s="257">
        <f t="shared" si="235"/>
        <v>0</v>
      </c>
      <c r="AY289" s="257">
        <f t="shared" si="236"/>
        <v>0</v>
      </c>
      <c r="AZ289" s="446">
        <f t="shared" si="237"/>
        <v>815</v>
      </c>
      <c r="BA289" s="446">
        <f t="shared" si="238"/>
        <v>39.772000000000006</v>
      </c>
      <c r="BB289" s="446">
        <f t="shared" si="239"/>
        <v>0.7009130400000001</v>
      </c>
      <c r="BC289" s="446">
        <f t="shared" si="240"/>
        <v>855</v>
      </c>
      <c r="BD289" s="258">
        <f t="shared" si="241"/>
        <v>0</v>
      </c>
      <c r="BE289" s="258">
        <f t="shared" si="242"/>
        <v>0</v>
      </c>
      <c r="BF289" s="391">
        <f t="shared" si="243"/>
        <v>154584094</v>
      </c>
      <c r="BG289" s="391">
        <f t="shared" si="244"/>
        <v>162166434</v>
      </c>
    </row>
    <row r="290" spans="1:59" ht="15.75">
      <c r="A290" s="333">
        <v>23</v>
      </c>
      <c r="B290" s="333" t="str">
        <f t="shared" si="196"/>
        <v>CEREAL EMPACADO_23</v>
      </c>
      <c r="C290" s="333" t="str">
        <f t="shared" si="197"/>
        <v>61_23</v>
      </c>
      <c r="D290" s="333" t="s">
        <v>1607</v>
      </c>
      <c r="E290" s="256">
        <v>61</v>
      </c>
      <c r="F290" s="322" t="s">
        <v>13</v>
      </c>
      <c r="G290" s="256" t="s">
        <v>9</v>
      </c>
      <c r="H290" s="425">
        <f t="shared" si="198"/>
        <v>16</v>
      </c>
      <c r="I290" s="425">
        <f t="array" ref="I290">MAX((IF(MNU_CODIGO_ALIMENTO_ENTREGA=CONCATENATE($E290,"_","P_"),MNU_GRAMAJE_REQUERIDO_TIPOA,"")))</f>
        <v>20</v>
      </c>
      <c r="J290" s="257">
        <f t="shared" si="199"/>
        <v>5500</v>
      </c>
      <c r="K290" s="257">
        <f t="shared" si="200"/>
        <v>88000</v>
      </c>
      <c r="L290" s="446">
        <f t="shared" si="201"/>
        <v>222</v>
      </c>
      <c r="M290" s="446">
        <f t="shared" si="202"/>
        <v>10.833600000000001</v>
      </c>
      <c r="N290" s="446">
        <f t="shared" si="203"/>
        <v>0.190923552</v>
      </c>
      <c r="O290" s="446">
        <f t="shared" si="204"/>
        <v>233</v>
      </c>
      <c r="P290" s="258">
        <f t="shared" si="205"/>
        <v>19536000</v>
      </c>
      <c r="Q290" s="258">
        <f t="shared" si="206"/>
        <v>20504000</v>
      </c>
      <c r="R290" s="426">
        <f t="shared" si="207"/>
        <v>16</v>
      </c>
      <c r="S290" s="426">
        <f t="array" ref="S290">MAX((IF(MNU_CODIGO_ALIMENTO_ENTREGA=CONCATENATE($E290,"_","P_"),MNU_GRAMAJE_REQUERIDO_TIPOB,"")))</f>
        <v>30</v>
      </c>
      <c r="T290" s="259">
        <f t="shared" si="208"/>
        <v>6924</v>
      </c>
      <c r="U290" s="259">
        <f t="shared" si="209"/>
        <v>110784</v>
      </c>
      <c r="V290" s="446">
        <f t="shared" si="210"/>
        <v>334</v>
      </c>
      <c r="W290" s="446">
        <f t="shared" si="211"/>
        <v>16.299199999999999</v>
      </c>
      <c r="X290" s="446">
        <f t="shared" si="212"/>
        <v>0.28724534400000001</v>
      </c>
      <c r="Y290" s="446">
        <f t="shared" si="213"/>
        <v>351</v>
      </c>
      <c r="Z290" s="260">
        <f t="shared" si="214"/>
        <v>37001856</v>
      </c>
      <c r="AA290" s="260">
        <f t="shared" si="215"/>
        <v>38885184</v>
      </c>
      <c r="AB290" s="425">
        <f t="shared" si="216"/>
        <v>16</v>
      </c>
      <c r="AC290" s="425">
        <f t="array" ref="AC290">MAX((IF(MNU_CODIGO_ALIMENTO_ENTREGA=CONCATENATE($E290,"_","P_"),MNU_GRAMAJE_REQUERIDO_TIPOC,"")))</f>
        <v>70</v>
      </c>
      <c r="AD290" s="257">
        <f t="shared" si="217"/>
        <v>5626</v>
      </c>
      <c r="AE290" s="257">
        <f t="shared" si="218"/>
        <v>90016</v>
      </c>
      <c r="AF290" s="446">
        <f t="shared" si="219"/>
        <v>779</v>
      </c>
      <c r="AG290" s="446">
        <f t="shared" si="220"/>
        <v>38.0152</v>
      </c>
      <c r="AH290" s="446">
        <f t="shared" si="221"/>
        <v>0.66995246400000008</v>
      </c>
      <c r="AI290" s="446">
        <f t="shared" si="222"/>
        <v>818</v>
      </c>
      <c r="AJ290" s="258">
        <f t="shared" si="223"/>
        <v>70122464</v>
      </c>
      <c r="AK290" s="258">
        <f t="shared" si="224"/>
        <v>73633088</v>
      </c>
      <c r="AL290" s="426">
        <f t="shared" si="225"/>
        <v>16</v>
      </c>
      <c r="AM290" s="426">
        <f t="array" ref="AM290">MAX((IF(MNU_CODIGO_ALIMENTO_ENTREGA=CONCATENATE($E290,"_","P_"),MNU_GRAMAJE_REQUERIDO_TIPOM,"")))</f>
        <v>30</v>
      </c>
      <c r="AN290" s="259">
        <f t="shared" si="226"/>
        <v>0</v>
      </c>
      <c r="AO290" s="259">
        <f t="shared" si="227"/>
        <v>0</v>
      </c>
      <c r="AP290" s="446">
        <f t="shared" si="228"/>
        <v>334</v>
      </c>
      <c r="AQ290" s="446">
        <f t="shared" si="229"/>
        <v>16.299199999999999</v>
      </c>
      <c r="AR290" s="446">
        <f t="shared" si="230"/>
        <v>0.28724534400000001</v>
      </c>
      <c r="AS290" s="446">
        <f t="shared" si="231"/>
        <v>351</v>
      </c>
      <c r="AT290" s="260">
        <f t="shared" si="232"/>
        <v>0</v>
      </c>
      <c r="AU290" s="260">
        <f t="shared" si="233"/>
        <v>0</v>
      </c>
      <c r="AV290" s="425">
        <f t="shared" si="234"/>
        <v>16</v>
      </c>
      <c r="AW290" s="425">
        <f t="array" ref="AW290">MAX((IF(MNU_CODIGO_ALIMENTO_ENTREGA=CONCATENATE($E290,"_","P_"),MNU_GRAMAJE_REQUERIDO_TIPOH,"")))</f>
        <v>70</v>
      </c>
      <c r="AX290" s="257">
        <f t="shared" si="235"/>
        <v>0</v>
      </c>
      <c r="AY290" s="257">
        <f t="shared" si="236"/>
        <v>0</v>
      </c>
      <c r="AZ290" s="446">
        <f t="shared" si="237"/>
        <v>779</v>
      </c>
      <c r="BA290" s="446">
        <f t="shared" si="238"/>
        <v>38.0152</v>
      </c>
      <c r="BB290" s="446">
        <f t="shared" si="239"/>
        <v>0.66995246400000008</v>
      </c>
      <c r="BC290" s="446">
        <f t="shared" si="240"/>
        <v>818</v>
      </c>
      <c r="BD290" s="258">
        <f t="shared" si="241"/>
        <v>0</v>
      </c>
      <c r="BE290" s="258">
        <f t="shared" si="242"/>
        <v>0</v>
      </c>
      <c r="BF290" s="391">
        <f t="shared" si="243"/>
        <v>126660320</v>
      </c>
      <c r="BG290" s="391">
        <f t="shared" si="244"/>
        <v>133022272</v>
      </c>
    </row>
    <row r="291" spans="1:59" ht="15.75">
      <c r="A291" s="333">
        <v>23</v>
      </c>
      <c r="B291" s="333" t="str">
        <f t="shared" si="196"/>
        <v>CEREAL EMPACADO_23</v>
      </c>
      <c r="C291" s="333" t="str">
        <f t="shared" si="197"/>
        <v>62_23</v>
      </c>
      <c r="D291" s="333" t="s">
        <v>1607</v>
      </c>
      <c r="E291" s="256">
        <v>62</v>
      </c>
      <c r="F291" s="322" t="s">
        <v>68</v>
      </c>
      <c r="G291" s="256" t="s">
        <v>9</v>
      </c>
      <c r="H291" s="425">
        <f t="shared" si="198"/>
        <v>5</v>
      </c>
      <c r="I291" s="425">
        <f t="array" ref="I291">MAX((IF(MNU_CODIGO_ALIMENTO_ENTREGA=CONCATENATE($E291,"_","P_"),MNU_GRAMAJE_REQUERIDO_TIPOA,"")))</f>
        <v>50</v>
      </c>
      <c r="J291" s="257">
        <f t="shared" si="199"/>
        <v>5500</v>
      </c>
      <c r="K291" s="257">
        <f t="shared" si="200"/>
        <v>27500</v>
      </c>
      <c r="L291" s="446">
        <f t="shared" si="201"/>
        <v>595</v>
      </c>
      <c r="M291" s="446">
        <f t="shared" si="202"/>
        <v>29.036000000000001</v>
      </c>
      <c r="N291" s="446">
        <f t="shared" si="203"/>
        <v>0.51170952000000014</v>
      </c>
      <c r="O291" s="446">
        <f t="shared" si="204"/>
        <v>625</v>
      </c>
      <c r="P291" s="258">
        <f t="shared" si="205"/>
        <v>16362500</v>
      </c>
      <c r="Q291" s="258">
        <f t="shared" si="206"/>
        <v>17187500</v>
      </c>
      <c r="R291" s="426">
        <f t="shared" si="207"/>
        <v>5</v>
      </c>
      <c r="S291" s="426">
        <f t="array" ref="S291">MAX((IF(MNU_CODIGO_ALIMENTO_ENTREGA=CONCATENATE($E291,"_","P_"),MNU_GRAMAJE_REQUERIDO_TIPOB,"")))</f>
        <v>50</v>
      </c>
      <c r="T291" s="259">
        <f t="shared" si="208"/>
        <v>6924</v>
      </c>
      <c r="U291" s="259">
        <f t="shared" si="209"/>
        <v>34620</v>
      </c>
      <c r="V291" s="446">
        <f t="shared" si="210"/>
        <v>595</v>
      </c>
      <c r="W291" s="446">
        <f t="shared" si="211"/>
        <v>29.036000000000001</v>
      </c>
      <c r="X291" s="446">
        <f t="shared" si="212"/>
        <v>0.51170952000000014</v>
      </c>
      <c r="Y291" s="446">
        <f t="shared" si="213"/>
        <v>625</v>
      </c>
      <c r="Z291" s="260">
        <f t="shared" si="214"/>
        <v>20598900</v>
      </c>
      <c r="AA291" s="260">
        <f t="shared" si="215"/>
        <v>21637500</v>
      </c>
      <c r="AB291" s="425">
        <f t="shared" si="216"/>
        <v>5</v>
      </c>
      <c r="AC291" s="425">
        <f t="array" ref="AC291">MAX((IF(MNU_CODIGO_ALIMENTO_ENTREGA=CONCATENATE($E291,"_","P_"),MNU_GRAMAJE_REQUERIDO_TIPOC,"")))</f>
        <v>50</v>
      </c>
      <c r="AD291" s="257">
        <f t="shared" si="217"/>
        <v>5626</v>
      </c>
      <c r="AE291" s="257">
        <f t="shared" si="218"/>
        <v>28130</v>
      </c>
      <c r="AF291" s="446">
        <f t="shared" si="219"/>
        <v>595</v>
      </c>
      <c r="AG291" s="446">
        <f t="shared" si="220"/>
        <v>29.036000000000001</v>
      </c>
      <c r="AH291" s="446">
        <f t="shared" si="221"/>
        <v>0.51170952000000014</v>
      </c>
      <c r="AI291" s="446">
        <f t="shared" si="222"/>
        <v>625</v>
      </c>
      <c r="AJ291" s="258">
        <f t="shared" si="223"/>
        <v>16737350</v>
      </c>
      <c r="AK291" s="258">
        <f t="shared" si="224"/>
        <v>17581250</v>
      </c>
      <c r="AL291" s="426">
        <f t="shared" si="225"/>
        <v>5</v>
      </c>
      <c r="AM291" s="426">
        <f t="array" ref="AM291">MAX((IF(MNU_CODIGO_ALIMENTO_ENTREGA=CONCATENATE($E291,"_","P_"),MNU_GRAMAJE_REQUERIDO_TIPOM,"")))</f>
        <v>50</v>
      </c>
      <c r="AN291" s="259">
        <f t="shared" si="226"/>
        <v>0</v>
      </c>
      <c r="AO291" s="259">
        <f t="shared" si="227"/>
        <v>0</v>
      </c>
      <c r="AP291" s="446">
        <f t="shared" si="228"/>
        <v>595</v>
      </c>
      <c r="AQ291" s="446">
        <f t="shared" si="229"/>
        <v>29.036000000000001</v>
      </c>
      <c r="AR291" s="446">
        <f t="shared" si="230"/>
        <v>0.51170952000000014</v>
      </c>
      <c r="AS291" s="446">
        <f t="shared" si="231"/>
        <v>625</v>
      </c>
      <c r="AT291" s="260">
        <f t="shared" si="232"/>
        <v>0</v>
      </c>
      <c r="AU291" s="260">
        <f t="shared" si="233"/>
        <v>0</v>
      </c>
      <c r="AV291" s="425">
        <f t="shared" si="234"/>
        <v>5</v>
      </c>
      <c r="AW291" s="425">
        <f t="array" ref="AW291">MAX((IF(MNU_CODIGO_ALIMENTO_ENTREGA=CONCATENATE($E291,"_","P_"),MNU_GRAMAJE_REQUERIDO_TIPOH,"")))</f>
        <v>50</v>
      </c>
      <c r="AX291" s="257">
        <f t="shared" si="235"/>
        <v>0</v>
      </c>
      <c r="AY291" s="257">
        <f t="shared" si="236"/>
        <v>0</v>
      </c>
      <c r="AZ291" s="446">
        <f t="shared" si="237"/>
        <v>595</v>
      </c>
      <c r="BA291" s="446">
        <f t="shared" si="238"/>
        <v>29.036000000000001</v>
      </c>
      <c r="BB291" s="446">
        <f t="shared" si="239"/>
        <v>0.51170952000000014</v>
      </c>
      <c r="BC291" s="446">
        <f t="shared" si="240"/>
        <v>625</v>
      </c>
      <c r="BD291" s="258">
        <f t="shared" si="241"/>
        <v>0</v>
      </c>
      <c r="BE291" s="258">
        <f t="shared" si="242"/>
        <v>0</v>
      </c>
      <c r="BF291" s="391">
        <f t="shared" si="243"/>
        <v>53698750</v>
      </c>
      <c r="BG291" s="391">
        <f t="shared" si="244"/>
        <v>56406250</v>
      </c>
    </row>
    <row r="292" spans="1:59" ht="15.75">
      <c r="A292" s="333">
        <v>24</v>
      </c>
      <c r="B292" s="333" t="str">
        <f t="shared" ref="B292:B355" si="245">CONCATENATE(D292,"_",A292)</f>
        <v>CEREAL EMPACADO_24</v>
      </c>
      <c r="C292" s="333" t="str">
        <f t="shared" ref="C292:C355" si="246">CONCATENATE(E292,"_",A292)</f>
        <v>1_24</v>
      </c>
      <c r="D292" s="333" t="s">
        <v>1607</v>
      </c>
      <c r="E292" s="256">
        <v>1</v>
      </c>
      <c r="F292" s="322" t="s">
        <v>16</v>
      </c>
      <c r="G292" s="256" t="s">
        <v>9</v>
      </c>
      <c r="H292" s="425">
        <f t="shared" ref="H292:H355" si="247">SUMIF(MNU_CODIGO_ALIMENTO_ENTREGA,CONCATENATE($E292,"_","P_"),MNU_FRECUENCIAS_LAV_TIPOA)</f>
        <v>15</v>
      </c>
      <c r="I292" s="425">
        <f t="array" ref="I292">MAX((IF(MNU_CODIGO_ALIMENTO_ENTREGA=CONCATENATE($E292,"_","P_"),MNU_GRAMAJE_REQUERIDO_TIPOA,"")))</f>
        <v>30</v>
      </c>
      <c r="J292" s="257">
        <f t="shared" ref="J292:J355" si="248">SUMIF(VOL_GRUPO,CONCATENATE($A292,"1052-1NO"),VOL_TIPOA)</f>
        <v>5949</v>
      </c>
      <c r="K292" s="257">
        <f t="shared" ref="K292:K355" si="249">H292*J292</f>
        <v>89235</v>
      </c>
      <c r="L292" s="446">
        <f t="shared" ref="L292:L355" si="250">IF(ISERROR(AVERAGEIFS(MNU_COSTO_UNITARIO_TIPOA_SELECCIONADO,MNU_CODIGO_ALIMENTO_ENTREGA,CONCATENATE($E292,"_","P_"))),0,AVERAGEIFS(MNU_COSTO_UNITARIO_TIPOA_SELECCIONADO,MNU_CODIGO_ALIMENTO_ENTREGA,CONCATENATE($E292,"_","P_")))</f>
        <v>770</v>
      </c>
      <c r="M292" s="446">
        <f t="shared" ref="M292:M355" si="251">(L292*0.01)+(L292*0.005)+(L292*0.02)+(L292*(13.8/1000))</f>
        <v>37.576000000000008</v>
      </c>
      <c r="N292" s="446">
        <f t="shared" ref="N292:N355" si="252">((L292+M292)*0.00071)+((L292+M292)*0.00011)</f>
        <v>0.66221231999999997</v>
      </c>
      <c r="O292" s="446">
        <f t="shared" ref="O292:O355" si="253">ROUND(L292+M292+N292,0)</f>
        <v>808</v>
      </c>
      <c r="P292" s="258">
        <f t="shared" ref="P292:P355" si="254">H292*J292*L292</f>
        <v>68710950</v>
      </c>
      <c r="Q292" s="258">
        <f t="shared" ref="Q292:Q355" si="255">H292*J292*O292</f>
        <v>72101880</v>
      </c>
      <c r="R292" s="426">
        <f t="shared" ref="R292:R355" si="256">SUMIF(MNU_CODIGO_ALIMENTO_ENTREGA,CONCATENATE($E292,"_","P_"),MNU_FRECUENCIAS_LAV_TIPOB)</f>
        <v>15</v>
      </c>
      <c r="S292" s="426">
        <f t="array" ref="S292">MAX((IF(MNU_CODIGO_ALIMENTO_ENTREGA=CONCATENATE($E292,"_","P_"),MNU_GRAMAJE_REQUERIDO_TIPOB,"")))</f>
        <v>40</v>
      </c>
      <c r="T292" s="259">
        <f t="shared" ref="T292:T355" si="257">SUMIF(VOL_GRUPO,CONCATENATE($A292,"1052-1NO"),VOL_TIPOB)</f>
        <v>7407</v>
      </c>
      <c r="U292" s="259">
        <f t="shared" ref="U292:U355" si="258">R292*T292</f>
        <v>111105</v>
      </c>
      <c r="V292" s="446">
        <f t="shared" ref="V292:V355" si="259">IF(ISERROR(AVERAGEIFS(MNU_COSTO_UNITARIO_TIPOB_SELECCIONADO,MNU_CODIGO_ALIMENTO_ENTREGA,CONCATENATE($E292,"_","P_"))),0,AVERAGEIFS(MNU_COSTO_UNITARIO_TIPOB_SELECCIONADO,MNU_CODIGO_ALIMENTO_ENTREGA,CONCATENATE($E292,"_","P_")))</f>
        <v>1027</v>
      </c>
      <c r="W292" s="446">
        <f t="shared" ref="W292:W355" si="260">(V292*0.01)+(V292*0.005)+(V292*0.02)+(V292*(13.8/1000))</f>
        <v>50.117600000000003</v>
      </c>
      <c r="X292" s="446">
        <f t="shared" ref="X292:X355" si="261">((V292+W292)*0.00071)+((V292+W292)*0.00011)</f>
        <v>0.88323643200000013</v>
      </c>
      <c r="Y292" s="446">
        <f t="shared" ref="Y292:Y355" si="262">ROUND(V292+W292+X292,0)</f>
        <v>1078</v>
      </c>
      <c r="Z292" s="260">
        <f t="shared" ref="Z292:Z355" si="263">R292*T292*V292</f>
        <v>114104835</v>
      </c>
      <c r="AA292" s="260">
        <f t="shared" ref="AA292:AA355" si="264">R292*T292*Y292</f>
        <v>119771190</v>
      </c>
      <c r="AB292" s="425">
        <f t="shared" ref="AB292:AB355" si="265">SUMIF(MNU_CODIGO_ALIMENTO_ENTREGA,CONCATENATE($E292,"_","P_"),MNU_FRECUENCIAS_LAV_TIPOC)</f>
        <v>15</v>
      </c>
      <c r="AC292" s="425">
        <f t="array" ref="AC292">MAX((IF(MNU_CODIGO_ALIMENTO_ENTREGA=CONCATENATE($E292,"_","P_"),MNU_GRAMAJE_REQUERIDO_TIPOC,"")))</f>
        <v>60</v>
      </c>
      <c r="AD292" s="257">
        <f t="shared" ref="AD292:AD355" si="266">SUMIF(VOL_GRUPO,CONCATENATE($A292,"1052-1NO"),VOL_TIPOC)</f>
        <v>8275</v>
      </c>
      <c r="AE292" s="257">
        <f t="shared" ref="AE292:AE355" si="267">AB292*AD292</f>
        <v>124125</v>
      </c>
      <c r="AF292" s="446">
        <f t="shared" ref="AF292:AF355" si="268">IF(ISERROR(AVERAGEIFS(MNU_COSTO_UNITARIO_TIPOC_SELECCIONADO,MNU_CODIGO_ALIMENTO_ENTREGA,CONCATENATE($E292,"_","P_"))),0,AVERAGEIFS(MNU_COSTO_UNITARIO_TIPOC_SELECCIONADO,MNU_CODIGO_ALIMENTO_ENTREGA,CONCATENATE($E292,"_","P_")))</f>
        <v>1540</v>
      </c>
      <c r="AG292" s="446">
        <f t="shared" ref="AG292:AG355" si="269">(AF292*0.01)+(AF292*0.005)+(AF292*0.02)+(AF292*(13.8/1000))</f>
        <v>75.152000000000015</v>
      </c>
      <c r="AH292" s="446">
        <f t="shared" ref="AH292:AH355" si="270">((AF292+AG292)*0.00071)+((AF292+AG292)*0.00011)</f>
        <v>1.3244246399999999</v>
      </c>
      <c r="AI292" s="446">
        <f t="shared" ref="AI292:AI355" si="271">ROUND(AF292+AG292+AH292,0)</f>
        <v>1616</v>
      </c>
      <c r="AJ292" s="258">
        <f t="shared" ref="AJ292:AJ355" si="272">AB292*AD292*AF292</f>
        <v>191152500</v>
      </c>
      <c r="AK292" s="258">
        <f t="shared" ref="AK292:AK355" si="273">AB292*AD292*AI292</f>
        <v>200586000</v>
      </c>
      <c r="AL292" s="426">
        <f t="shared" ref="AL292:AL355" si="274">SUMIF(MNU_CODIGO_ALIMENTO_ENTREGA,CONCATENATE($E292,"_","P_"),MNU_FRECUENCIAS_LAV_TIPOM)</f>
        <v>15</v>
      </c>
      <c r="AM292" s="426">
        <f t="array" ref="AM292">MAX((IF(MNU_CODIGO_ALIMENTO_ENTREGA=CONCATENATE($E292,"_","P_"),MNU_GRAMAJE_REQUERIDO_TIPOM,"")))</f>
        <v>40</v>
      </c>
      <c r="AN292" s="259">
        <f t="shared" ref="AN292:AN355" si="275">SUMIF(VOL_GRUPO,CONCATENATE($A292,"1052-1NO"),VOL_TIPOM)</f>
        <v>434</v>
      </c>
      <c r="AO292" s="259">
        <f t="shared" ref="AO292:AO355" si="276">AL292*AN292</f>
        <v>6510</v>
      </c>
      <c r="AP292" s="446">
        <f t="shared" ref="AP292:AP355" si="277">IF(ISERROR(AVERAGEIFS(MNU_COSTO_UNITARIO_TIPOM_SELECCIONADO,MNU_CODIGO_ALIMENTO_ENTREGA,CONCATENATE($E292,"_","P_"))),0,AVERAGEIFS(MNU_COSTO_UNITARIO_TIPOM_SELECCIONADO,MNU_CODIGO_ALIMENTO_ENTREGA,CONCATENATE($E292,"_","P_")))</f>
        <v>1027</v>
      </c>
      <c r="AQ292" s="446">
        <f t="shared" ref="AQ292:AQ355" si="278">(AP292*0.01)+(AP292*0.005)+(AP292*0.02)+(AP292*(13.8/1000))</f>
        <v>50.117600000000003</v>
      </c>
      <c r="AR292" s="446">
        <f t="shared" ref="AR292:AR355" si="279">((AP292+AQ292)*0.00071)+((AP292+AQ292)*0.00011)</f>
        <v>0.88323643200000013</v>
      </c>
      <c r="AS292" s="446">
        <f t="shared" ref="AS292:AS355" si="280">ROUND(AP292+AQ292+AR292,0)</f>
        <v>1078</v>
      </c>
      <c r="AT292" s="260">
        <f t="shared" ref="AT292:AT355" si="281">AL292*AN292*AP292</f>
        <v>6685770</v>
      </c>
      <c r="AU292" s="260">
        <f t="shared" ref="AU292:AU355" si="282">AL292*AN292*AS292</f>
        <v>7017780</v>
      </c>
      <c r="AV292" s="425">
        <f t="shared" ref="AV292:AV355" si="283">SUMIF(MNU_CODIGO_ALIMENTO_ENTREGA,CONCATENATE($E292,"_","P_"),MNU_FRECUENCIAS_LAV_TIPOH)</f>
        <v>15</v>
      </c>
      <c r="AW292" s="425">
        <f t="array" ref="AW292">MAX((IF(MNU_CODIGO_ALIMENTO_ENTREGA=CONCATENATE($E292,"_","P_"),MNU_GRAMAJE_REQUERIDO_TIPOH,"")))</f>
        <v>60</v>
      </c>
      <c r="AX292" s="257">
        <f t="shared" ref="AX292:AX355" si="284">SUMIF(VOL_GRUPO,CONCATENATE($A292,"1052-1NO"),VOL_TIPOH)</f>
        <v>173</v>
      </c>
      <c r="AY292" s="257">
        <f t="shared" ref="AY292:AY355" si="285">AV292*AX292</f>
        <v>2595</v>
      </c>
      <c r="AZ292" s="446">
        <f t="shared" ref="AZ292:AZ355" si="286">IF(ISERROR(AVERAGEIFS(MNU_COSTO_UNITARIO_TIPOH_SELECCIONADO,MNU_CODIGO_ALIMENTO_ENTREGA,CONCATENATE($E292,"_","P_"))),0,AVERAGEIFS(MNU_COSTO_UNITARIO_TIPOH_SELECCIONADO,MNU_CODIGO_ALIMENTO_ENTREGA,CONCATENATE($E292,"_","P_")))</f>
        <v>1540</v>
      </c>
      <c r="BA292" s="446">
        <f t="shared" ref="BA292:BA355" si="287">(AZ292*0.01)+(AZ292*0.005)+(AZ292*0.02)+(AZ292*(13.8/1000))</f>
        <v>75.152000000000015</v>
      </c>
      <c r="BB292" s="446">
        <f t="shared" ref="BB292:BB355" si="288">((AZ292+BA292)*0.00071)+((AZ292+BA292)*0.00011)</f>
        <v>1.3244246399999999</v>
      </c>
      <c r="BC292" s="446">
        <f t="shared" ref="BC292:BC355" si="289">ROUND(AZ292+BA292+BB292,0)</f>
        <v>1616</v>
      </c>
      <c r="BD292" s="258">
        <f t="shared" ref="BD292:BD355" si="290">AV292*AX292*AZ292</f>
        <v>3996300</v>
      </c>
      <c r="BE292" s="258">
        <f t="shared" ref="BE292:BE355" si="291">AV292*AX292*BC292</f>
        <v>4193520</v>
      </c>
      <c r="BF292" s="391">
        <f t="shared" ref="BF292:BF355" si="292">BD292+AT292+AJ292+Z292+P292</f>
        <v>384650355</v>
      </c>
      <c r="BG292" s="391">
        <f t="shared" ref="BG292:BG355" si="293">BE292+AU292+AK292+AA292+Q292</f>
        <v>403670370</v>
      </c>
    </row>
    <row r="293" spans="1:59" ht="15.75">
      <c r="A293" s="333">
        <v>24</v>
      </c>
      <c r="B293" s="333" t="str">
        <f t="shared" si="245"/>
        <v>CEREAL EMPACADO_24</v>
      </c>
      <c r="C293" s="333" t="str">
        <f t="shared" si="246"/>
        <v>3_24</v>
      </c>
      <c r="D293" s="333" t="s">
        <v>1607</v>
      </c>
      <c r="E293" s="256">
        <v>3</v>
      </c>
      <c r="F293" s="322" t="s">
        <v>12</v>
      </c>
      <c r="G293" s="256" t="s">
        <v>9</v>
      </c>
      <c r="H293" s="425">
        <f t="shared" si="247"/>
        <v>17</v>
      </c>
      <c r="I293" s="425">
        <f t="array" ref="I293">MAX((IF(MNU_CODIGO_ALIMENTO_ENTREGA=CONCATENATE($E293,"_","P_"),MNU_GRAMAJE_REQUERIDO_TIPOA,"")))</f>
        <v>50</v>
      </c>
      <c r="J293" s="257">
        <f t="shared" si="248"/>
        <v>5949</v>
      </c>
      <c r="K293" s="257">
        <f t="shared" si="249"/>
        <v>101133</v>
      </c>
      <c r="L293" s="446">
        <f t="shared" si="250"/>
        <v>481</v>
      </c>
      <c r="M293" s="446">
        <f t="shared" si="251"/>
        <v>23.472799999999999</v>
      </c>
      <c r="N293" s="446">
        <f t="shared" si="252"/>
        <v>0.41366769599999997</v>
      </c>
      <c r="O293" s="446">
        <f t="shared" si="253"/>
        <v>505</v>
      </c>
      <c r="P293" s="258">
        <f t="shared" si="254"/>
        <v>48644973</v>
      </c>
      <c r="Q293" s="258">
        <f t="shared" si="255"/>
        <v>51072165</v>
      </c>
      <c r="R293" s="426">
        <f t="shared" si="256"/>
        <v>17</v>
      </c>
      <c r="S293" s="426">
        <f t="array" ref="S293">MAX((IF(MNU_CODIGO_ALIMENTO_ENTREGA=CONCATENATE($E293,"_","P_"),MNU_GRAMAJE_REQUERIDO_TIPOB,"")))</f>
        <v>50</v>
      </c>
      <c r="T293" s="259">
        <f t="shared" si="257"/>
        <v>7407</v>
      </c>
      <c r="U293" s="259">
        <f t="shared" si="258"/>
        <v>125919</v>
      </c>
      <c r="V293" s="446">
        <f t="shared" si="259"/>
        <v>481</v>
      </c>
      <c r="W293" s="446">
        <f t="shared" si="260"/>
        <v>23.472799999999999</v>
      </c>
      <c r="X293" s="446">
        <f t="shared" si="261"/>
        <v>0.41366769599999997</v>
      </c>
      <c r="Y293" s="446">
        <f t="shared" si="262"/>
        <v>505</v>
      </c>
      <c r="Z293" s="260">
        <f t="shared" si="263"/>
        <v>60567039</v>
      </c>
      <c r="AA293" s="260">
        <f t="shared" si="264"/>
        <v>63589095</v>
      </c>
      <c r="AB293" s="425">
        <f t="shared" si="265"/>
        <v>17</v>
      </c>
      <c r="AC293" s="425">
        <f t="array" ref="AC293">MAX((IF(MNU_CODIGO_ALIMENTO_ENTREGA=CONCATENATE($E293,"_","P_"),MNU_GRAMAJE_REQUERIDO_TIPOC,"")))</f>
        <v>80</v>
      </c>
      <c r="AD293" s="257">
        <f t="shared" si="266"/>
        <v>8275</v>
      </c>
      <c r="AE293" s="257">
        <f t="shared" si="267"/>
        <v>140675</v>
      </c>
      <c r="AF293" s="446">
        <f t="shared" si="268"/>
        <v>727</v>
      </c>
      <c r="AG293" s="446">
        <f t="shared" si="269"/>
        <v>35.477600000000002</v>
      </c>
      <c r="AH293" s="446">
        <f t="shared" si="270"/>
        <v>0.62523163200000009</v>
      </c>
      <c r="AI293" s="446">
        <f t="shared" si="271"/>
        <v>763</v>
      </c>
      <c r="AJ293" s="258">
        <f t="shared" si="272"/>
        <v>102270725</v>
      </c>
      <c r="AK293" s="258">
        <f t="shared" si="273"/>
        <v>107335025</v>
      </c>
      <c r="AL293" s="426">
        <f t="shared" si="274"/>
        <v>17</v>
      </c>
      <c r="AM293" s="426">
        <f t="array" ref="AM293">MAX((IF(MNU_CODIGO_ALIMENTO_ENTREGA=CONCATENATE($E293,"_","P_"),MNU_GRAMAJE_REQUERIDO_TIPOM,"")))</f>
        <v>50</v>
      </c>
      <c r="AN293" s="259">
        <f t="shared" si="275"/>
        <v>434</v>
      </c>
      <c r="AO293" s="259">
        <f t="shared" si="276"/>
        <v>7378</v>
      </c>
      <c r="AP293" s="446">
        <f t="shared" si="277"/>
        <v>481</v>
      </c>
      <c r="AQ293" s="446">
        <f t="shared" si="278"/>
        <v>23.472799999999999</v>
      </c>
      <c r="AR293" s="446">
        <f t="shared" si="279"/>
        <v>0.41366769599999997</v>
      </c>
      <c r="AS293" s="446">
        <f t="shared" si="280"/>
        <v>505</v>
      </c>
      <c r="AT293" s="260">
        <f t="shared" si="281"/>
        <v>3548818</v>
      </c>
      <c r="AU293" s="260">
        <f t="shared" si="282"/>
        <v>3725890</v>
      </c>
      <c r="AV293" s="425">
        <f t="shared" si="283"/>
        <v>17</v>
      </c>
      <c r="AW293" s="425">
        <f t="array" ref="AW293">MAX((IF(MNU_CODIGO_ALIMENTO_ENTREGA=CONCATENATE($E293,"_","P_"),MNU_GRAMAJE_REQUERIDO_TIPOH,"")))</f>
        <v>80</v>
      </c>
      <c r="AX293" s="257">
        <f t="shared" si="284"/>
        <v>173</v>
      </c>
      <c r="AY293" s="257">
        <f t="shared" si="285"/>
        <v>2941</v>
      </c>
      <c r="AZ293" s="446">
        <f t="shared" si="286"/>
        <v>727</v>
      </c>
      <c r="BA293" s="446">
        <f t="shared" si="287"/>
        <v>35.477600000000002</v>
      </c>
      <c r="BB293" s="446">
        <f t="shared" si="288"/>
        <v>0.62523163200000009</v>
      </c>
      <c r="BC293" s="446">
        <f t="shared" si="289"/>
        <v>763</v>
      </c>
      <c r="BD293" s="258">
        <f t="shared" si="290"/>
        <v>2138107</v>
      </c>
      <c r="BE293" s="258">
        <f t="shared" si="291"/>
        <v>2243983</v>
      </c>
      <c r="BF293" s="391">
        <f t="shared" si="292"/>
        <v>217169662</v>
      </c>
      <c r="BG293" s="391">
        <f t="shared" si="293"/>
        <v>227966158</v>
      </c>
    </row>
    <row r="294" spans="1:59" ht="15.75">
      <c r="A294" s="333">
        <v>24</v>
      </c>
      <c r="B294" s="333" t="str">
        <f t="shared" si="245"/>
        <v>CEREAL EMPACADO_24</v>
      </c>
      <c r="C294" s="333" t="str">
        <f t="shared" si="246"/>
        <v>15_24</v>
      </c>
      <c r="D294" s="333" t="s">
        <v>1607</v>
      </c>
      <c r="E294" s="256">
        <v>15</v>
      </c>
      <c r="F294" s="322" t="s">
        <v>66</v>
      </c>
      <c r="G294" s="256" t="s">
        <v>9</v>
      </c>
      <c r="H294" s="425">
        <f t="shared" si="247"/>
        <v>17</v>
      </c>
      <c r="I294" s="425">
        <f t="array" ref="I294">MAX((IF(MNU_CODIGO_ALIMENTO_ENTREGA=CONCATENATE($E294,"_","P_"),MNU_GRAMAJE_REQUERIDO_TIPOA,"")))</f>
        <v>50</v>
      </c>
      <c r="J294" s="257">
        <f t="shared" si="248"/>
        <v>5949</v>
      </c>
      <c r="K294" s="257">
        <f t="shared" si="249"/>
        <v>101133</v>
      </c>
      <c r="L294" s="446">
        <f t="shared" si="250"/>
        <v>641</v>
      </c>
      <c r="M294" s="446">
        <f t="shared" si="251"/>
        <v>31.280800000000003</v>
      </c>
      <c r="N294" s="446">
        <f t="shared" si="252"/>
        <v>0.55127025600000001</v>
      </c>
      <c r="O294" s="446">
        <f t="shared" si="253"/>
        <v>673</v>
      </c>
      <c r="P294" s="258">
        <f t="shared" si="254"/>
        <v>64826253</v>
      </c>
      <c r="Q294" s="258">
        <f t="shared" si="255"/>
        <v>68062509</v>
      </c>
      <c r="R294" s="426">
        <f t="shared" si="256"/>
        <v>17</v>
      </c>
      <c r="S294" s="426">
        <f t="array" ref="S294">MAX((IF(MNU_CODIGO_ALIMENTO_ENTREGA=CONCATENATE($E294,"_","P_"),MNU_GRAMAJE_REQUERIDO_TIPOB,"")))</f>
        <v>50</v>
      </c>
      <c r="T294" s="259">
        <f t="shared" si="257"/>
        <v>7407</v>
      </c>
      <c r="U294" s="259">
        <f t="shared" si="258"/>
        <v>125919</v>
      </c>
      <c r="V294" s="446">
        <f t="shared" si="259"/>
        <v>641</v>
      </c>
      <c r="W294" s="446">
        <f t="shared" si="260"/>
        <v>31.280800000000003</v>
      </c>
      <c r="X294" s="446">
        <f t="shared" si="261"/>
        <v>0.55127025600000001</v>
      </c>
      <c r="Y294" s="446">
        <f t="shared" si="262"/>
        <v>673</v>
      </c>
      <c r="Z294" s="260">
        <f t="shared" si="263"/>
        <v>80714079</v>
      </c>
      <c r="AA294" s="260">
        <f t="shared" si="264"/>
        <v>84743487</v>
      </c>
      <c r="AB294" s="425">
        <f t="shared" si="265"/>
        <v>17</v>
      </c>
      <c r="AC294" s="425">
        <f t="array" ref="AC294">MAX((IF(MNU_CODIGO_ALIMENTO_ENTREGA=CONCATENATE($E294,"_","P_"),MNU_GRAMAJE_REQUERIDO_TIPOC,"")))</f>
        <v>80</v>
      </c>
      <c r="AD294" s="257">
        <f t="shared" si="266"/>
        <v>8275</v>
      </c>
      <c r="AE294" s="257">
        <f t="shared" si="267"/>
        <v>140675</v>
      </c>
      <c r="AF294" s="446">
        <f t="shared" si="268"/>
        <v>1025</v>
      </c>
      <c r="AG294" s="446">
        <f t="shared" si="269"/>
        <v>50.02</v>
      </c>
      <c r="AH294" s="446">
        <f t="shared" si="270"/>
        <v>0.88151640000000009</v>
      </c>
      <c r="AI294" s="446">
        <f t="shared" si="271"/>
        <v>1076</v>
      </c>
      <c r="AJ294" s="258">
        <f t="shared" si="272"/>
        <v>144191875</v>
      </c>
      <c r="AK294" s="258">
        <f t="shared" si="273"/>
        <v>151366300</v>
      </c>
      <c r="AL294" s="426">
        <f t="shared" si="274"/>
        <v>17</v>
      </c>
      <c r="AM294" s="426">
        <f t="array" ref="AM294">MAX((IF(MNU_CODIGO_ALIMENTO_ENTREGA=CONCATENATE($E294,"_","P_"),MNU_GRAMAJE_REQUERIDO_TIPOM,"")))</f>
        <v>50</v>
      </c>
      <c r="AN294" s="259">
        <f t="shared" si="275"/>
        <v>434</v>
      </c>
      <c r="AO294" s="259">
        <f t="shared" si="276"/>
        <v>7378</v>
      </c>
      <c r="AP294" s="446">
        <f t="shared" si="277"/>
        <v>641</v>
      </c>
      <c r="AQ294" s="446">
        <f t="shared" si="278"/>
        <v>31.280800000000003</v>
      </c>
      <c r="AR294" s="446">
        <f t="shared" si="279"/>
        <v>0.55127025600000001</v>
      </c>
      <c r="AS294" s="446">
        <f t="shared" si="280"/>
        <v>673</v>
      </c>
      <c r="AT294" s="260">
        <f t="shared" si="281"/>
        <v>4729298</v>
      </c>
      <c r="AU294" s="260">
        <f t="shared" si="282"/>
        <v>4965394</v>
      </c>
      <c r="AV294" s="425">
        <f t="shared" si="283"/>
        <v>17</v>
      </c>
      <c r="AW294" s="425">
        <f t="array" ref="AW294">MAX((IF(MNU_CODIGO_ALIMENTO_ENTREGA=CONCATENATE($E294,"_","P_"),MNU_GRAMAJE_REQUERIDO_TIPOH,"")))</f>
        <v>80</v>
      </c>
      <c r="AX294" s="257">
        <f t="shared" si="284"/>
        <v>173</v>
      </c>
      <c r="AY294" s="257">
        <f t="shared" si="285"/>
        <v>2941</v>
      </c>
      <c r="AZ294" s="446">
        <f t="shared" si="286"/>
        <v>1025</v>
      </c>
      <c r="BA294" s="446">
        <f t="shared" si="287"/>
        <v>50.02</v>
      </c>
      <c r="BB294" s="446">
        <f t="shared" si="288"/>
        <v>0.88151640000000009</v>
      </c>
      <c r="BC294" s="446">
        <f t="shared" si="289"/>
        <v>1076</v>
      </c>
      <c r="BD294" s="258">
        <f t="shared" si="290"/>
        <v>3014525</v>
      </c>
      <c r="BE294" s="258">
        <f t="shared" si="291"/>
        <v>3164516</v>
      </c>
      <c r="BF294" s="391">
        <f t="shared" si="292"/>
        <v>297476030</v>
      </c>
      <c r="BG294" s="391">
        <f t="shared" si="293"/>
        <v>312302206</v>
      </c>
    </row>
    <row r="295" spans="1:59" ht="15.75">
      <c r="A295" s="333">
        <v>24</v>
      </c>
      <c r="B295" s="333" t="str">
        <f t="shared" si="245"/>
        <v>CEREAL EMPACADO_24</v>
      </c>
      <c r="C295" s="333" t="str">
        <f t="shared" si="246"/>
        <v>24_24</v>
      </c>
      <c r="D295" s="333" t="s">
        <v>1607</v>
      </c>
      <c r="E295" s="256">
        <v>24</v>
      </c>
      <c r="F295" s="322" t="s">
        <v>61</v>
      </c>
      <c r="G295" s="256" t="s">
        <v>9</v>
      </c>
      <c r="H295" s="425">
        <f t="shared" si="247"/>
        <v>17</v>
      </c>
      <c r="I295" s="425">
        <f t="array" ref="I295">MAX((IF(MNU_CODIGO_ALIMENTO_ENTREGA=CONCATENATE($E295,"_","P_"),MNU_GRAMAJE_REQUERIDO_TIPOA,"")))</f>
        <v>20</v>
      </c>
      <c r="J295" s="257">
        <f t="shared" si="248"/>
        <v>5949</v>
      </c>
      <c r="K295" s="257">
        <f t="shared" si="249"/>
        <v>101133</v>
      </c>
      <c r="L295" s="446">
        <f t="shared" si="250"/>
        <v>122</v>
      </c>
      <c r="M295" s="446">
        <f t="shared" si="251"/>
        <v>5.9535999999999998</v>
      </c>
      <c r="N295" s="446">
        <f t="shared" si="252"/>
        <v>0.104921952</v>
      </c>
      <c r="O295" s="446">
        <f t="shared" si="253"/>
        <v>128</v>
      </c>
      <c r="P295" s="258">
        <f t="shared" si="254"/>
        <v>12338226</v>
      </c>
      <c r="Q295" s="258">
        <f t="shared" si="255"/>
        <v>12945024</v>
      </c>
      <c r="R295" s="426">
        <f t="shared" si="256"/>
        <v>17</v>
      </c>
      <c r="S295" s="426">
        <f t="array" ref="S295">MAX((IF(MNU_CODIGO_ALIMENTO_ENTREGA=CONCATENATE($E295,"_","P_"),MNU_GRAMAJE_REQUERIDO_TIPOB,"")))</f>
        <v>30</v>
      </c>
      <c r="T295" s="259">
        <f t="shared" si="257"/>
        <v>7407</v>
      </c>
      <c r="U295" s="259">
        <f t="shared" si="258"/>
        <v>125919</v>
      </c>
      <c r="V295" s="446">
        <f t="shared" si="259"/>
        <v>191</v>
      </c>
      <c r="W295" s="446">
        <f t="shared" si="260"/>
        <v>9.3208000000000002</v>
      </c>
      <c r="X295" s="446">
        <f t="shared" si="261"/>
        <v>0.16426305600000002</v>
      </c>
      <c r="Y295" s="446">
        <f t="shared" si="262"/>
        <v>200</v>
      </c>
      <c r="Z295" s="260">
        <f t="shared" si="263"/>
        <v>24050529</v>
      </c>
      <c r="AA295" s="260">
        <f t="shared" si="264"/>
        <v>25183800</v>
      </c>
      <c r="AB295" s="425">
        <f t="shared" si="265"/>
        <v>17</v>
      </c>
      <c r="AC295" s="425">
        <f t="array" ref="AC295">MAX((IF(MNU_CODIGO_ALIMENTO_ENTREGA=CONCATENATE($E295,"_","P_"),MNU_GRAMAJE_REQUERIDO_TIPOC,"")))</f>
        <v>60</v>
      </c>
      <c r="AD295" s="257">
        <f t="shared" si="266"/>
        <v>8275</v>
      </c>
      <c r="AE295" s="257">
        <f t="shared" si="267"/>
        <v>140675</v>
      </c>
      <c r="AF295" s="446">
        <f t="shared" si="268"/>
        <v>367</v>
      </c>
      <c r="AG295" s="446">
        <f t="shared" si="269"/>
        <v>17.909599999999998</v>
      </c>
      <c r="AH295" s="446">
        <f t="shared" si="270"/>
        <v>0.31562587200000003</v>
      </c>
      <c r="AI295" s="446">
        <f t="shared" si="271"/>
        <v>385</v>
      </c>
      <c r="AJ295" s="258">
        <f t="shared" si="272"/>
        <v>51627725</v>
      </c>
      <c r="AK295" s="258">
        <f t="shared" si="273"/>
        <v>54159875</v>
      </c>
      <c r="AL295" s="426">
        <f t="shared" si="274"/>
        <v>17</v>
      </c>
      <c r="AM295" s="426">
        <f t="array" ref="AM295">MAX((IF(MNU_CODIGO_ALIMENTO_ENTREGA=CONCATENATE($E295,"_","P_"),MNU_GRAMAJE_REQUERIDO_TIPOM,"")))</f>
        <v>30</v>
      </c>
      <c r="AN295" s="259">
        <f t="shared" si="275"/>
        <v>434</v>
      </c>
      <c r="AO295" s="259">
        <f t="shared" si="276"/>
        <v>7378</v>
      </c>
      <c r="AP295" s="446">
        <f t="shared" si="277"/>
        <v>191</v>
      </c>
      <c r="AQ295" s="446">
        <f t="shared" si="278"/>
        <v>9.3208000000000002</v>
      </c>
      <c r="AR295" s="446">
        <f t="shared" si="279"/>
        <v>0.16426305600000002</v>
      </c>
      <c r="AS295" s="446">
        <f t="shared" si="280"/>
        <v>200</v>
      </c>
      <c r="AT295" s="260">
        <f t="shared" si="281"/>
        <v>1409198</v>
      </c>
      <c r="AU295" s="260">
        <f t="shared" si="282"/>
        <v>1475600</v>
      </c>
      <c r="AV295" s="425">
        <f t="shared" si="283"/>
        <v>17</v>
      </c>
      <c r="AW295" s="425">
        <f t="array" ref="AW295">MAX((IF(MNU_CODIGO_ALIMENTO_ENTREGA=CONCATENATE($E295,"_","P_"),MNU_GRAMAJE_REQUERIDO_TIPOH,"")))</f>
        <v>60</v>
      </c>
      <c r="AX295" s="257">
        <f t="shared" si="284"/>
        <v>173</v>
      </c>
      <c r="AY295" s="257">
        <f t="shared" si="285"/>
        <v>2941</v>
      </c>
      <c r="AZ295" s="446">
        <f t="shared" si="286"/>
        <v>367</v>
      </c>
      <c r="BA295" s="446">
        <f t="shared" si="287"/>
        <v>17.909599999999998</v>
      </c>
      <c r="BB295" s="446">
        <f t="shared" si="288"/>
        <v>0.31562587200000003</v>
      </c>
      <c r="BC295" s="446">
        <f t="shared" si="289"/>
        <v>385</v>
      </c>
      <c r="BD295" s="258">
        <f t="shared" si="290"/>
        <v>1079347</v>
      </c>
      <c r="BE295" s="258">
        <f t="shared" si="291"/>
        <v>1132285</v>
      </c>
      <c r="BF295" s="391">
        <f t="shared" si="292"/>
        <v>90505025</v>
      </c>
      <c r="BG295" s="391">
        <f t="shared" si="293"/>
        <v>94896584</v>
      </c>
    </row>
    <row r="296" spans="1:59" ht="15.75">
      <c r="A296" s="333">
        <v>24</v>
      </c>
      <c r="B296" s="333" t="str">
        <f t="shared" si="245"/>
        <v>CEREAL EMPACADO_24</v>
      </c>
      <c r="C296" s="333" t="str">
        <f t="shared" si="246"/>
        <v>25_24</v>
      </c>
      <c r="D296" s="333" t="s">
        <v>1607</v>
      </c>
      <c r="E296" s="256">
        <v>25</v>
      </c>
      <c r="F296" s="322" t="s">
        <v>64</v>
      </c>
      <c r="G296" s="256" t="s">
        <v>9</v>
      </c>
      <c r="H296" s="425">
        <f t="shared" si="247"/>
        <v>17</v>
      </c>
      <c r="I296" s="425">
        <f t="array" ref="I296">MAX((IF(MNU_CODIGO_ALIMENTO_ENTREGA=CONCATENATE($E296,"_","P_"),MNU_GRAMAJE_REQUERIDO_TIPOA,"")))</f>
        <v>40</v>
      </c>
      <c r="J296" s="257">
        <f t="shared" si="248"/>
        <v>5949</v>
      </c>
      <c r="K296" s="257">
        <f t="shared" si="249"/>
        <v>101133</v>
      </c>
      <c r="L296" s="446">
        <f t="shared" si="250"/>
        <v>244</v>
      </c>
      <c r="M296" s="446">
        <f t="shared" si="251"/>
        <v>11.9072</v>
      </c>
      <c r="N296" s="446">
        <f t="shared" si="252"/>
        <v>0.209843904</v>
      </c>
      <c r="O296" s="446">
        <f t="shared" si="253"/>
        <v>256</v>
      </c>
      <c r="P296" s="258">
        <f t="shared" si="254"/>
        <v>24676452</v>
      </c>
      <c r="Q296" s="258">
        <f t="shared" si="255"/>
        <v>25890048</v>
      </c>
      <c r="R296" s="426">
        <f t="shared" si="256"/>
        <v>17</v>
      </c>
      <c r="S296" s="426">
        <f t="array" ref="S296">MAX((IF(MNU_CODIGO_ALIMENTO_ENTREGA=CONCATENATE($E296,"_","P_"),MNU_GRAMAJE_REQUERIDO_TIPOB,"")))</f>
        <v>40</v>
      </c>
      <c r="T296" s="259">
        <f t="shared" si="257"/>
        <v>7407</v>
      </c>
      <c r="U296" s="259">
        <f t="shared" si="258"/>
        <v>125919</v>
      </c>
      <c r="V296" s="446">
        <f t="shared" si="259"/>
        <v>244</v>
      </c>
      <c r="W296" s="446">
        <f t="shared" si="260"/>
        <v>11.9072</v>
      </c>
      <c r="X296" s="446">
        <f t="shared" si="261"/>
        <v>0.209843904</v>
      </c>
      <c r="Y296" s="446">
        <f t="shared" si="262"/>
        <v>256</v>
      </c>
      <c r="Z296" s="260">
        <f t="shared" si="263"/>
        <v>30724236</v>
      </c>
      <c r="AA296" s="260">
        <f t="shared" si="264"/>
        <v>32235264</v>
      </c>
      <c r="AB296" s="425">
        <f t="shared" si="265"/>
        <v>17</v>
      </c>
      <c r="AC296" s="425">
        <f t="array" ref="AC296">MAX((IF(MNU_CODIGO_ALIMENTO_ENTREGA=CONCATENATE($E296,"_","P_"),MNU_GRAMAJE_REQUERIDO_TIPOC,"")))</f>
        <v>60</v>
      </c>
      <c r="AD296" s="257">
        <f t="shared" si="266"/>
        <v>8275</v>
      </c>
      <c r="AE296" s="257">
        <f t="shared" si="267"/>
        <v>140675</v>
      </c>
      <c r="AF296" s="446">
        <f t="shared" si="268"/>
        <v>366</v>
      </c>
      <c r="AG296" s="446">
        <f t="shared" si="269"/>
        <v>17.860800000000001</v>
      </c>
      <c r="AH296" s="446">
        <f t="shared" si="270"/>
        <v>0.31476585600000001</v>
      </c>
      <c r="AI296" s="446">
        <f t="shared" si="271"/>
        <v>384</v>
      </c>
      <c r="AJ296" s="258">
        <f t="shared" si="272"/>
        <v>51487050</v>
      </c>
      <c r="AK296" s="258">
        <f t="shared" si="273"/>
        <v>54019200</v>
      </c>
      <c r="AL296" s="426">
        <f t="shared" si="274"/>
        <v>17</v>
      </c>
      <c r="AM296" s="426">
        <f t="array" ref="AM296">MAX((IF(MNU_CODIGO_ALIMENTO_ENTREGA=CONCATENATE($E296,"_","P_"),MNU_GRAMAJE_REQUERIDO_TIPOM,"")))</f>
        <v>40</v>
      </c>
      <c r="AN296" s="259">
        <f t="shared" si="275"/>
        <v>434</v>
      </c>
      <c r="AO296" s="259">
        <f t="shared" si="276"/>
        <v>7378</v>
      </c>
      <c r="AP296" s="446">
        <f t="shared" si="277"/>
        <v>244</v>
      </c>
      <c r="AQ296" s="446">
        <f t="shared" si="278"/>
        <v>11.9072</v>
      </c>
      <c r="AR296" s="446">
        <f t="shared" si="279"/>
        <v>0.209843904</v>
      </c>
      <c r="AS296" s="446">
        <f t="shared" si="280"/>
        <v>256</v>
      </c>
      <c r="AT296" s="260">
        <f t="shared" si="281"/>
        <v>1800232</v>
      </c>
      <c r="AU296" s="260">
        <f t="shared" si="282"/>
        <v>1888768</v>
      </c>
      <c r="AV296" s="425">
        <f t="shared" si="283"/>
        <v>17</v>
      </c>
      <c r="AW296" s="425">
        <f t="array" ref="AW296">MAX((IF(MNU_CODIGO_ALIMENTO_ENTREGA=CONCATENATE($E296,"_","P_"),MNU_GRAMAJE_REQUERIDO_TIPOH,"")))</f>
        <v>60</v>
      </c>
      <c r="AX296" s="257">
        <f t="shared" si="284"/>
        <v>173</v>
      </c>
      <c r="AY296" s="257">
        <f t="shared" si="285"/>
        <v>2941</v>
      </c>
      <c r="AZ296" s="446">
        <f t="shared" si="286"/>
        <v>366</v>
      </c>
      <c r="BA296" s="446">
        <f t="shared" si="287"/>
        <v>17.860800000000001</v>
      </c>
      <c r="BB296" s="446">
        <f t="shared" si="288"/>
        <v>0.31476585600000001</v>
      </c>
      <c r="BC296" s="446">
        <f t="shared" si="289"/>
        <v>384</v>
      </c>
      <c r="BD296" s="258">
        <f t="shared" si="290"/>
        <v>1076406</v>
      </c>
      <c r="BE296" s="258">
        <f t="shared" si="291"/>
        <v>1129344</v>
      </c>
      <c r="BF296" s="391">
        <f t="shared" si="292"/>
        <v>109764376</v>
      </c>
      <c r="BG296" s="391">
        <f t="shared" si="293"/>
        <v>115162624</v>
      </c>
    </row>
    <row r="297" spans="1:59" ht="15.75">
      <c r="A297" s="333">
        <v>24</v>
      </c>
      <c r="B297" s="333" t="str">
        <f t="shared" si="245"/>
        <v>CEREAL EMPACADO_24</v>
      </c>
      <c r="C297" s="333" t="str">
        <f t="shared" si="246"/>
        <v>26_24</v>
      </c>
      <c r="D297" s="333" t="s">
        <v>1607</v>
      </c>
      <c r="E297" s="256">
        <v>26</v>
      </c>
      <c r="F297" s="322" t="s">
        <v>69</v>
      </c>
      <c r="G297" s="256" t="s">
        <v>9</v>
      </c>
      <c r="H297" s="425">
        <f t="shared" si="247"/>
        <v>6</v>
      </c>
      <c r="I297" s="425">
        <f t="array" ref="I297">MAX((IF(MNU_CODIGO_ALIMENTO_ENTREGA=CONCATENATE($E297,"_","P_"),MNU_GRAMAJE_REQUERIDO_TIPOA,"")))</f>
        <v>30</v>
      </c>
      <c r="J297" s="257">
        <f t="shared" si="248"/>
        <v>5949</v>
      </c>
      <c r="K297" s="257">
        <f t="shared" si="249"/>
        <v>35694</v>
      </c>
      <c r="L297" s="446">
        <f t="shared" si="250"/>
        <v>163</v>
      </c>
      <c r="M297" s="446">
        <f t="shared" si="251"/>
        <v>7.9543999999999997</v>
      </c>
      <c r="N297" s="446">
        <f t="shared" si="252"/>
        <v>0.14018260800000001</v>
      </c>
      <c r="O297" s="446">
        <f t="shared" si="253"/>
        <v>171</v>
      </c>
      <c r="P297" s="258">
        <f t="shared" si="254"/>
        <v>5818122</v>
      </c>
      <c r="Q297" s="258">
        <f t="shared" si="255"/>
        <v>6103674</v>
      </c>
      <c r="R297" s="426">
        <f t="shared" si="256"/>
        <v>6</v>
      </c>
      <c r="S297" s="426">
        <f t="array" ref="S297">MAX((IF(MNU_CODIGO_ALIMENTO_ENTREGA=CONCATENATE($E297,"_","P_"),MNU_GRAMAJE_REQUERIDO_TIPOB,"")))</f>
        <v>30</v>
      </c>
      <c r="T297" s="259">
        <f t="shared" si="257"/>
        <v>7407</v>
      </c>
      <c r="U297" s="259">
        <f t="shared" si="258"/>
        <v>44442</v>
      </c>
      <c r="V297" s="446">
        <f t="shared" si="259"/>
        <v>163</v>
      </c>
      <c r="W297" s="446">
        <f t="shared" si="260"/>
        <v>7.9543999999999997</v>
      </c>
      <c r="X297" s="446">
        <f t="shared" si="261"/>
        <v>0.14018260800000001</v>
      </c>
      <c r="Y297" s="446">
        <f t="shared" si="262"/>
        <v>171</v>
      </c>
      <c r="Z297" s="260">
        <f t="shared" si="263"/>
        <v>7244046</v>
      </c>
      <c r="AA297" s="260">
        <f t="shared" si="264"/>
        <v>7599582</v>
      </c>
      <c r="AB297" s="425">
        <f t="shared" si="265"/>
        <v>6</v>
      </c>
      <c r="AC297" s="425">
        <f t="array" ref="AC297">MAX((IF(MNU_CODIGO_ALIMENTO_ENTREGA=CONCATENATE($E297,"_","P_"),MNU_GRAMAJE_REQUERIDO_TIPOC,"")))</f>
        <v>30</v>
      </c>
      <c r="AD297" s="257">
        <f t="shared" si="266"/>
        <v>8275</v>
      </c>
      <c r="AE297" s="257">
        <f t="shared" si="267"/>
        <v>49650</v>
      </c>
      <c r="AF297" s="446">
        <f t="shared" si="268"/>
        <v>163</v>
      </c>
      <c r="AG297" s="446">
        <f t="shared" si="269"/>
        <v>7.9543999999999997</v>
      </c>
      <c r="AH297" s="446">
        <f t="shared" si="270"/>
        <v>0.14018260800000001</v>
      </c>
      <c r="AI297" s="446">
        <f t="shared" si="271"/>
        <v>171</v>
      </c>
      <c r="AJ297" s="258">
        <f t="shared" si="272"/>
        <v>8092950</v>
      </c>
      <c r="AK297" s="258">
        <f t="shared" si="273"/>
        <v>8490150</v>
      </c>
      <c r="AL297" s="426">
        <f t="shared" si="274"/>
        <v>6</v>
      </c>
      <c r="AM297" s="426">
        <f t="array" ref="AM297">MAX((IF(MNU_CODIGO_ALIMENTO_ENTREGA=CONCATENATE($E297,"_","P_"),MNU_GRAMAJE_REQUERIDO_TIPOM,"")))</f>
        <v>30</v>
      </c>
      <c r="AN297" s="259">
        <f t="shared" si="275"/>
        <v>434</v>
      </c>
      <c r="AO297" s="259">
        <f t="shared" si="276"/>
        <v>2604</v>
      </c>
      <c r="AP297" s="446">
        <f t="shared" si="277"/>
        <v>163</v>
      </c>
      <c r="AQ297" s="446">
        <f t="shared" si="278"/>
        <v>7.9543999999999997</v>
      </c>
      <c r="AR297" s="446">
        <f t="shared" si="279"/>
        <v>0.14018260800000001</v>
      </c>
      <c r="AS297" s="446">
        <f t="shared" si="280"/>
        <v>171</v>
      </c>
      <c r="AT297" s="260">
        <f t="shared" si="281"/>
        <v>424452</v>
      </c>
      <c r="AU297" s="260">
        <f t="shared" si="282"/>
        <v>445284</v>
      </c>
      <c r="AV297" s="425">
        <f t="shared" si="283"/>
        <v>6</v>
      </c>
      <c r="AW297" s="425">
        <f t="array" ref="AW297">MAX((IF(MNU_CODIGO_ALIMENTO_ENTREGA=CONCATENATE($E297,"_","P_"),MNU_GRAMAJE_REQUERIDO_TIPOH,"")))</f>
        <v>30</v>
      </c>
      <c r="AX297" s="257">
        <f t="shared" si="284"/>
        <v>173</v>
      </c>
      <c r="AY297" s="257">
        <f t="shared" si="285"/>
        <v>1038</v>
      </c>
      <c r="AZ297" s="446">
        <f t="shared" si="286"/>
        <v>163</v>
      </c>
      <c r="BA297" s="446">
        <f t="shared" si="287"/>
        <v>7.9543999999999997</v>
      </c>
      <c r="BB297" s="446">
        <f t="shared" si="288"/>
        <v>0.14018260800000001</v>
      </c>
      <c r="BC297" s="446">
        <f t="shared" si="289"/>
        <v>171</v>
      </c>
      <c r="BD297" s="258">
        <f t="shared" si="290"/>
        <v>169194</v>
      </c>
      <c r="BE297" s="258">
        <f t="shared" si="291"/>
        <v>177498</v>
      </c>
      <c r="BF297" s="391">
        <f t="shared" si="292"/>
        <v>21748764</v>
      </c>
      <c r="BG297" s="391">
        <f t="shared" si="293"/>
        <v>22816188</v>
      </c>
    </row>
    <row r="298" spans="1:59" ht="27">
      <c r="A298" s="333">
        <v>24</v>
      </c>
      <c r="B298" s="333" t="str">
        <f t="shared" si="245"/>
        <v>CEREAL EMPACADO_24</v>
      </c>
      <c r="C298" s="333" t="str">
        <f t="shared" si="246"/>
        <v>28_24</v>
      </c>
      <c r="D298" s="333" t="s">
        <v>1607</v>
      </c>
      <c r="E298" s="256">
        <v>28</v>
      </c>
      <c r="F298" s="322" t="s">
        <v>67</v>
      </c>
      <c r="G298" s="256" t="s">
        <v>9</v>
      </c>
      <c r="H298" s="425">
        <f t="shared" si="247"/>
        <v>6</v>
      </c>
      <c r="I298" s="425">
        <f t="array" ref="I298">MAX((IF(MNU_CODIGO_ALIMENTO_ENTREGA=CONCATENATE($E298,"_","P_"),MNU_GRAMAJE_REQUERIDO_TIPOA,"")))</f>
        <v>30</v>
      </c>
      <c r="J298" s="257">
        <f t="shared" si="248"/>
        <v>5949</v>
      </c>
      <c r="K298" s="257">
        <f t="shared" si="249"/>
        <v>35694</v>
      </c>
      <c r="L298" s="446">
        <f t="shared" si="250"/>
        <v>215</v>
      </c>
      <c r="M298" s="446">
        <f t="shared" si="251"/>
        <v>10.492000000000001</v>
      </c>
      <c r="N298" s="446">
        <f t="shared" si="252"/>
        <v>0.18490343999999997</v>
      </c>
      <c r="O298" s="446">
        <f t="shared" si="253"/>
        <v>226</v>
      </c>
      <c r="P298" s="258">
        <f t="shared" si="254"/>
        <v>7674210</v>
      </c>
      <c r="Q298" s="258">
        <f t="shared" si="255"/>
        <v>8066844</v>
      </c>
      <c r="R298" s="426">
        <f t="shared" si="256"/>
        <v>6</v>
      </c>
      <c r="S298" s="426">
        <f t="array" ref="S298">MAX((IF(MNU_CODIGO_ALIMENTO_ENTREGA=CONCATENATE($E298,"_","P_"),MNU_GRAMAJE_REQUERIDO_TIPOB,"")))</f>
        <v>40</v>
      </c>
      <c r="T298" s="259">
        <f t="shared" si="257"/>
        <v>7407</v>
      </c>
      <c r="U298" s="259">
        <f t="shared" si="258"/>
        <v>44442</v>
      </c>
      <c r="V298" s="446">
        <f t="shared" si="259"/>
        <v>287</v>
      </c>
      <c r="W298" s="446">
        <f t="shared" si="260"/>
        <v>14.005600000000001</v>
      </c>
      <c r="X298" s="446">
        <f t="shared" si="261"/>
        <v>0.24682459200000004</v>
      </c>
      <c r="Y298" s="446">
        <f t="shared" si="262"/>
        <v>301</v>
      </c>
      <c r="Z298" s="260">
        <f t="shared" si="263"/>
        <v>12754854</v>
      </c>
      <c r="AA298" s="260">
        <f t="shared" si="264"/>
        <v>13377042</v>
      </c>
      <c r="AB298" s="425">
        <f t="shared" si="265"/>
        <v>6</v>
      </c>
      <c r="AC298" s="425">
        <f t="array" ref="AC298">MAX((IF(MNU_CODIGO_ALIMENTO_ENTREGA=CONCATENATE($E298,"_","P_"),MNU_GRAMAJE_REQUERIDO_TIPOC,"")))</f>
        <v>60</v>
      </c>
      <c r="AD298" s="257">
        <f t="shared" si="266"/>
        <v>8275</v>
      </c>
      <c r="AE298" s="257">
        <f t="shared" si="267"/>
        <v>49650</v>
      </c>
      <c r="AF298" s="446">
        <f t="shared" si="268"/>
        <v>430</v>
      </c>
      <c r="AG298" s="446">
        <f t="shared" si="269"/>
        <v>20.984000000000002</v>
      </c>
      <c r="AH298" s="446">
        <f t="shared" si="270"/>
        <v>0.36980687999999995</v>
      </c>
      <c r="AI298" s="446">
        <f t="shared" si="271"/>
        <v>451</v>
      </c>
      <c r="AJ298" s="258">
        <f t="shared" si="272"/>
        <v>21349500</v>
      </c>
      <c r="AK298" s="258">
        <f t="shared" si="273"/>
        <v>22392150</v>
      </c>
      <c r="AL298" s="426">
        <f t="shared" si="274"/>
        <v>6</v>
      </c>
      <c r="AM298" s="426">
        <f t="array" ref="AM298">MAX((IF(MNU_CODIGO_ALIMENTO_ENTREGA=CONCATENATE($E298,"_","P_"),MNU_GRAMAJE_REQUERIDO_TIPOM,"")))</f>
        <v>40</v>
      </c>
      <c r="AN298" s="259">
        <f t="shared" si="275"/>
        <v>434</v>
      </c>
      <c r="AO298" s="259">
        <f t="shared" si="276"/>
        <v>2604</v>
      </c>
      <c r="AP298" s="446">
        <f t="shared" si="277"/>
        <v>287</v>
      </c>
      <c r="AQ298" s="446">
        <f t="shared" si="278"/>
        <v>14.005600000000001</v>
      </c>
      <c r="AR298" s="446">
        <f t="shared" si="279"/>
        <v>0.24682459200000004</v>
      </c>
      <c r="AS298" s="446">
        <f t="shared" si="280"/>
        <v>301</v>
      </c>
      <c r="AT298" s="260">
        <f t="shared" si="281"/>
        <v>747348</v>
      </c>
      <c r="AU298" s="260">
        <f t="shared" si="282"/>
        <v>783804</v>
      </c>
      <c r="AV298" s="425">
        <f t="shared" si="283"/>
        <v>6</v>
      </c>
      <c r="AW298" s="425">
        <f t="array" ref="AW298">MAX((IF(MNU_CODIGO_ALIMENTO_ENTREGA=CONCATENATE($E298,"_","P_"),MNU_GRAMAJE_REQUERIDO_TIPOH,"")))</f>
        <v>60</v>
      </c>
      <c r="AX298" s="257">
        <f t="shared" si="284"/>
        <v>173</v>
      </c>
      <c r="AY298" s="257">
        <f t="shared" si="285"/>
        <v>1038</v>
      </c>
      <c r="AZ298" s="446">
        <f t="shared" si="286"/>
        <v>430</v>
      </c>
      <c r="BA298" s="446">
        <f t="shared" si="287"/>
        <v>20.984000000000002</v>
      </c>
      <c r="BB298" s="446">
        <f t="shared" si="288"/>
        <v>0.36980687999999995</v>
      </c>
      <c r="BC298" s="446">
        <f t="shared" si="289"/>
        <v>451</v>
      </c>
      <c r="BD298" s="258">
        <f t="shared" si="290"/>
        <v>446340</v>
      </c>
      <c r="BE298" s="258">
        <f t="shared" si="291"/>
        <v>468138</v>
      </c>
      <c r="BF298" s="391">
        <f t="shared" si="292"/>
        <v>42972252</v>
      </c>
      <c r="BG298" s="391">
        <f t="shared" si="293"/>
        <v>45087978</v>
      </c>
    </row>
    <row r="299" spans="1:59" ht="15.75">
      <c r="A299" s="333">
        <v>24</v>
      </c>
      <c r="B299" s="333" t="str">
        <f t="shared" si="245"/>
        <v>CEREAL EMPACADO_24</v>
      </c>
      <c r="C299" s="333" t="str">
        <f t="shared" si="246"/>
        <v>30_24</v>
      </c>
      <c r="D299" s="333" t="s">
        <v>1607</v>
      </c>
      <c r="E299" s="256">
        <v>30</v>
      </c>
      <c r="F299" s="322" t="s">
        <v>63</v>
      </c>
      <c r="G299" s="256" t="s">
        <v>9</v>
      </c>
      <c r="H299" s="425">
        <f t="shared" si="247"/>
        <v>16</v>
      </c>
      <c r="I299" s="425">
        <f t="array" ref="I299">MAX((IF(MNU_CODIGO_ALIMENTO_ENTREGA=CONCATENATE($E299,"_","P_"),MNU_GRAMAJE_REQUERIDO_TIPOA,"")))</f>
        <v>30</v>
      </c>
      <c r="J299" s="257">
        <f t="shared" si="248"/>
        <v>5949</v>
      </c>
      <c r="K299" s="257">
        <f t="shared" si="249"/>
        <v>95184</v>
      </c>
      <c r="L299" s="446">
        <f t="shared" si="250"/>
        <v>316</v>
      </c>
      <c r="M299" s="446">
        <f t="shared" si="251"/>
        <v>15.4208</v>
      </c>
      <c r="N299" s="446">
        <f t="shared" si="252"/>
        <v>0.271765056</v>
      </c>
      <c r="O299" s="446">
        <f t="shared" si="253"/>
        <v>332</v>
      </c>
      <c r="P299" s="258">
        <f t="shared" si="254"/>
        <v>30078144</v>
      </c>
      <c r="Q299" s="258">
        <f t="shared" si="255"/>
        <v>31601088</v>
      </c>
      <c r="R299" s="426">
        <f t="shared" si="256"/>
        <v>16</v>
      </c>
      <c r="S299" s="426">
        <f t="array" ref="S299">MAX((IF(MNU_CODIGO_ALIMENTO_ENTREGA=CONCATENATE($E299,"_","P_"),MNU_GRAMAJE_REQUERIDO_TIPOB,"")))</f>
        <v>30</v>
      </c>
      <c r="T299" s="259">
        <f t="shared" si="257"/>
        <v>7407</v>
      </c>
      <c r="U299" s="259">
        <f t="shared" si="258"/>
        <v>118512</v>
      </c>
      <c r="V299" s="446">
        <f t="shared" si="259"/>
        <v>316</v>
      </c>
      <c r="W299" s="446">
        <f t="shared" si="260"/>
        <v>15.4208</v>
      </c>
      <c r="X299" s="446">
        <f t="shared" si="261"/>
        <v>0.271765056</v>
      </c>
      <c r="Y299" s="446">
        <f t="shared" si="262"/>
        <v>332</v>
      </c>
      <c r="Z299" s="260">
        <f t="shared" si="263"/>
        <v>37449792</v>
      </c>
      <c r="AA299" s="260">
        <f t="shared" si="264"/>
        <v>39345984</v>
      </c>
      <c r="AB299" s="425">
        <f t="shared" si="265"/>
        <v>16</v>
      </c>
      <c r="AC299" s="425">
        <f t="array" ref="AC299">MAX((IF(MNU_CODIGO_ALIMENTO_ENTREGA=CONCATENATE($E299,"_","P_"),MNU_GRAMAJE_REQUERIDO_TIPOC,"")))</f>
        <v>30</v>
      </c>
      <c r="AD299" s="257">
        <f t="shared" si="266"/>
        <v>8275</v>
      </c>
      <c r="AE299" s="257">
        <f t="shared" si="267"/>
        <v>132400</v>
      </c>
      <c r="AF299" s="446">
        <f t="shared" si="268"/>
        <v>316</v>
      </c>
      <c r="AG299" s="446">
        <f t="shared" si="269"/>
        <v>15.4208</v>
      </c>
      <c r="AH299" s="446">
        <f t="shared" si="270"/>
        <v>0.271765056</v>
      </c>
      <c r="AI299" s="446">
        <f t="shared" si="271"/>
        <v>332</v>
      </c>
      <c r="AJ299" s="258">
        <f t="shared" si="272"/>
        <v>41838400</v>
      </c>
      <c r="AK299" s="258">
        <f t="shared" si="273"/>
        <v>43956800</v>
      </c>
      <c r="AL299" s="426">
        <f t="shared" si="274"/>
        <v>16</v>
      </c>
      <c r="AM299" s="426">
        <f t="array" ref="AM299">MAX((IF(MNU_CODIGO_ALIMENTO_ENTREGA=CONCATENATE($E299,"_","P_"),MNU_GRAMAJE_REQUERIDO_TIPOM,"")))</f>
        <v>30</v>
      </c>
      <c r="AN299" s="259">
        <f t="shared" si="275"/>
        <v>434</v>
      </c>
      <c r="AO299" s="259">
        <f t="shared" si="276"/>
        <v>6944</v>
      </c>
      <c r="AP299" s="446">
        <f t="shared" si="277"/>
        <v>316</v>
      </c>
      <c r="AQ299" s="446">
        <f t="shared" si="278"/>
        <v>15.4208</v>
      </c>
      <c r="AR299" s="446">
        <f t="shared" si="279"/>
        <v>0.271765056</v>
      </c>
      <c r="AS299" s="446">
        <f t="shared" si="280"/>
        <v>332</v>
      </c>
      <c r="AT299" s="260">
        <f t="shared" si="281"/>
        <v>2194304</v>
      </c>
      <c r="AU299" s="260">
        <f t="shared" si="282"/>
        <v>2305408</v>
      </c>
      <c r="AV299" s="425">
        <f t="shared" si="283"/>
        <v>16</v>
      </c>
      <c r="AW299" s="425">
        <f t="array" ref="AW299">MAX((IF(MNU_CODIGO_ALIMENTO_ENTREGA=CONCATENATE($E299,"_","P_"),MNU_GRAMAJE_REQUERIDO_TIPOH,"")))</f>
        <v>30</v>
      </c>
      <c r="AX299" s="257">
        <f t="shared" si="284"/>
        <v>173</v>
      </c>
      <c r="AY299" s="257">
        <f t="shared" si="285"/>
        <v>2768</v>
      </c>
      <c r="AZ299" s="446">
        <f t="shared" si="286"/>
        <v>316</v>
      </c>
      <c r="BA299" s="446">
        <f t="shared" si="287"/>
        <v>15.4208</v>
      </c>
      <c r="BB299" s="446">
        <f t="shared" si="288"/>
        <v>0.271765056</v>
      </c>
      <c r="BC299" s="446">
        <f t="shared" si="289"/>
        <v>332</v>
      </c>
      <c r="BD299" s="258">
        <f t="shared" si="290"/>
        <v>874688</v>
      </c>
      <c r="BE299" s="258">
        <f t="shared" si="291"/>
        <v>918976</v>
      </c>
      <c r="BF299" s="391">
        <f t="shared" si="292"/>
        <v>112435328</v>
      </c>
      <c r="BG299" s="391">
        <f t="shared" si="293"/>
        <v>118128256</v>
      </c>
    </row>
    <row r="300" spans="1:59" ht="15.75">
      <c r="A300" s="333">
        <v>24</v>
      </c>
      <c r="B300" s="333" t="str">
        <f t="shared" si="245"/>
        <v>CEREAL EMPACADO_24</v>
      </c>
      <c r="C300" s="333" t="str">
        <f t="shared" si="246"/>
        <v>45_24</v>
      </c>
      <c r="D300" s="333" t="s">
        <v>1607</v>
      </c>
      <c r="E300" s="256">
        <v>45</v>
      </c>
      <c r="F300" s="322" t="s">
        <v>10</v>
      </c>
      <c r="G300" s="256" t="s">
        <v>9</v>
      </c>
      <c r="H300" s="425">
        <f t="shared" si="247"/>
        <v>16</v>
      </c>
      <c r="I300" s="425">
        <f t="array" ref="I300">MAX((IF(MNU_CODIGO_ALIMENTO_ENTREGA=CONCATENATE($E300,"_","P_"),MNU_GRAMAJE_REQUERIDO_TIPOA,"")))</f>
        <v>20</v>
      </c>
      <c r="J300" s="257">
        <f t="shared" si="248"/>
        <v>5949</v>
      </c>
      <c r="K300" s="257">
        <f t="shared" si="249"/>
        <v>95184</v>
      </c>
      <c r="L300" s="446">
        <f t="shared" si="250"/>
        <v>190</v>
      </c>
      <c r="M300" s="446">
        <f t="shared" si="251"/>
        <v>9.2720000000000002</v>
      </c>
      <c r="N300" s="446">
        <f t="shared" si="252"/>
        <v>0.16340304</v>
      </c>
      <c r="O300" s="446">
        <f t="shared" si="253"/>
        <v>199</v>
      </c>
      <c r="P300" s="258">
        <f t="shared" si="254"/>
        <v>18084960</v>
      </c>
      <c r="Q300" s="258">
        <f t="shared" si="255"/>
        <v>18941616</v>
      </c>
      <c r="R300" s="426">
        <f t="shared" si="256"/>
        <v>16</v>
      </c>
      <c r="S300" s="426">
        <f t="array" ref="S300">MAX((IF(MNU_CODIGO_ALIMENTO_ENTREGA=CONCATENATE($E300,"_","P_"),MNU_GRAMAJE_REQUERIDO_TIPOB,"")))</f>
        <v>30</v>
      </c>
      <c r="T300" s="259">
        <f t="shared" si="257"/>
        <v>7407</v>
      </c>
      <c r="U300" s="259">
        <f t="shared" si="258"/>
        <v>118512</v>
      </c>
      <c r="V300" s="446">
        <f t="shared" si="259"/>
        <v>284</v>
      </c>
      <c r="W300" s="446">
        <f t="shared" si="260"/>
        <v>13.8592</v>
      </c>
      <c r="X300" s="446">
        <f t="shared" si="261"/>
        <v>0.24424454399999998</v>
      </c>
      <c r="Y300" s="446">
        <f t="shared" si="262"/>
        <v>298</v>
      </c>
      <c r="Z300" s="260">
        <f t="shared" si="263"/>
        <v>33657408</v>
      </c>
      <c r="AA300" s="260">
        <f t="shared" si="264"/>
        <v>35316576</v>
      </c>
      <c r="AB300" s="425">
        <f t="shared" si="265"/>
        <v>16</v>
      </c>
      <c r="AC300" s="425">
        <f t="array" ref="AC300">MAX((IF(MNU_CODIGO_ALIMENTO_ENTREGA=CONCATENATE($E300,"_","P_"),MNU_GRAMAJE_REQUERIDO_TIPOC,"")))</f>
        <v>60</v>
      </c>
      <c r="AD300" s="257">
        <f t="shared" si="266"/>
        <v>8275</v>
      </c>
      <c r="AE300" s="257">
        <f t="shared" si="267"/>
        <v>132400</v>
      </c>
      <c r="AF300" s="446">
        <f t="shared" si="268"/>
        <v>569</v>
      </c>
      <c r="AG300" s="446">
        <f t="shared" si="269"/>
        <v>27.767199999999999</v>
      </c>
      <c r="AH300" s="446">
        <f t="shared" si="270"/>
        <v>0.48934910400000003</v>
      </c>
      <c r="AI300" s="446">
        <f t="shared" si="271"/>
        <v>597</v>
      </c>
      <c r="AJ300" s="258">
        <f t="shared" si="272"/>
        <v>75335600</v>
      </c>
      <c r="AK300" s="258">
        <f t="shared" si="273"/>
        <v>79042800</v>
      </c>
      <c r="AL300" s="426">
        <f t="shared" si="274"/>
        <v>16</v>
      </c>
      <c r="AM300" s="426">
        <f t="array" ref="AM300">MAX((IF(MNU_CODIGO_ALIMENTO_ENTREGA=CONCATENATE($E300,"_","P_"),MNU_GRAMAJE_REQUERIDO_TIPOM,"")))</f>
        <v>30</v>
      </c>
      <c r="AN300" s="259">
        <f t="shared" si="275"/>
        <v>434</v>
      </c>
      <c r="AO300" s="259">
        <f t="shared" si="276"/>
        <v>6944</v>
      </c>
      <c r="AP300" s="446">
        <f t="shared" si="277"/>
        <v>284</v>
      </c>
      <c r="AQ300" s="446">
        <f t="shared" si="278"/>
        <v>13.8592</v>
      </c>
      <c r="AR300" s="446">
        <f t="shared" si="279"/>
        <v>0.24424454399999998</v>
      </c>
      <c r="AS300" s="446">
        <f t="shared" si="280"/>
        <v>298</v>
      </c>
      <c r="AT300" s="260">
        <f t="shared" si="281"/>
        <v>1972096</v>
      </c>
      <c r="AU300" s="260">
        <f t="shared" si="282"/>
        <v>2069312</v>
      </c>
      <c r="AV300" s="425">
        <f t="shared" si="283"/>
        <v>16</v>
      </c>
      <c r="AW300" s="425">
        <f t="array" ref="AW300">MAX((IF(MNU_CODIGO_ALIMENTO_ENTREGA=CONCATENATE($E300,"_","P_"),MNU_GRAMAJE_REQUERIDO_TIPOH,"")))</f>
        <v>60</v>
      </c>
      <c r="AX300" s="257">
        <f t="shared" si="284"/>
        <v>173</v>
      </c>
      <c r="AY300" s="257">
        <f t="shared" si="285"/>
        <v>2768</v>
      </c>
      <c r="AZ300" s="446">
        <f t="shared" si="286"/>
        <v>569</v>
      </c>
      <c r="BA300" s="446">
        <f t="shared" si="287"/>
        <v>27.767199999999999</v>
      </c>
      <c r="BB300" s="446">
        <f t="shared" si="288"/>
        <v>0.48934910400000003</v>
      </c>
      <c r="BC300" s="446">
        <f t="shared" si="289"/>
        <v>597</v>
      </c>
      <c r="BD300" s="258">
        <f t="shared" si="290"/>
        <v>1574992</v>
      </c>
      <c r="BE300" s="258">
        <f t="shared" si="291"/>
        <v>1652496</v>
      </c>
      <c r="BF300" s="391">
        <f t="shared" si="292"/>
        <v>130625056</v>
      </c>
      <c r="BG300" s="391">
        <f t="shared" si="293"/>
        <v>137022800</v>
      </c>
    </row>
    <row r="301" spans="1:59" ht="15.75">
      <c r="A301" s="333">
        <v>24</v>
      </c>
      <c r="B301" s="333" t="str">
        <f t="shared" si="245"/>
        <v>CEREAL EMPACADO_24</v>
      </c>
      <c r="C301" s="333" t="str">
        <f t="shared" si="246"/>
        <v>50_24</v>
      </c>
      <c r="D301" s="333" t="s">
        <v>1607</v>
      </c>
      <c r="E301" s="256">
        <v>50</v>
      </c>
      <c r="F301" s="322" t="s">
        <v>65</v>
      </c>
      <c r="G301" s="256" t="s">
        <v>9</v>
      </c>
      <c r="H301" s="425">
        <f t="shared" si="247"/>
        <v>17</v>
      </c>
      <c r="I301" s="425">
        <f t="array" ref="I301">MAX((IF(MNU_CODIGO_ALIMENTO_ENTREGA=CONCATENATE($E301,"_","P_"),MNU_GRAMAJE_REQUERIDO_TIPOA,"")))</f>
        <v>30</v>
      </c>
      <c r="J301" s="257">
        <f t="shared" si="248"/>
        <v>5949</v>
      </c>
      <c r="K301" s="257">
        <f t="shared" si="249"/>
        <v>101133</v>
      </c>
      <c r="L301" s="446">
        <f t="shared" si="250"/>
        <v>306</v>
      </c>
      <c r="M301" s="446">
        <f t="shared" si="251"/>
        <v>14.9328</v>
      </c>
      <c r="N301" s="446">
        <f t="shared" si="252"/>
        <v>0.26316489599999998</v>
      </c>
      <c r="O301" s="446">
        <f t="shared" si="253"/>
        <v>321</v>
      </c>
      <c r="P301" s="258">
        <f t="shared" si="254"/>
        <v>30946698</v>
      </c>
      <c r="Q301" s="258">
        <f t="shared" si="255"/>
        <v>32463693</v>
      </c>
      <c r="R301" s="426">
        <f t="shared" si="256"/>
        <v>17</v>
      </c>
      <c r="S301" s="426">
        <f t="array" ref="S301">MAX((IF(MNU_CODIGO_ALIMENTO_ENTREGA=CONCATENATE($E301,"_","P_"),MNU_GRAMAJE_REQUERIDO_TIPOB,"")))</f>
        <v>40</v>
      </c>
      <c r="T301" s="259">
        <f t="shared" si="257"/>
        <v>7407</v>
      </c>
      <c r="U301" s="259">
        <f t="shared" si="258"/>
        <v>125919</v>
      </c>
      <c r="V301" s="446">
        <f t="shared" si="259"/>
        <v>408</v>
      </c>
      <c r="W301" s="446">
        <f t="shared" si="260"/>
        <v>19.910400000000003</v>
      </c>
      <c r="X301" s="446">
        <f t="shared" si="261"/>
        <v>0.35088652799999998</v>
      </c>
      <c r="Y301" s="446">
        <f t="shared" si="262"/>
        <v>428</v>
      </c>
      <c r="Z301" s="260">
        <f t="shared" si="263"/>
        <v>51374952</v>
      </c>
      <c r="AA301" s="260">
        <f t="shared" si="264"/>
        <v>53893332</v>
      </c>
      <c r="AB301" s="425">
        <f t="shared" si="265"/>
        <v>17</v>
      </c>
      <c r="AC301" s="425">
        <f t="array" ref="AC301">MAX((IF(MNU_CODIGO_ALIMENTO_ENTREGA=CONCATENATE($E301,"_","P_"),MNU_GRAMAJE_REQUERIDO_TIPOC,"")))</f>
        <v>80</v>
      </c>
      <c r="AD301" s="257">
        <f t="shared" si="266"/>
        <v>8275</v>
      </c>
      <c r="AE301" s="257">
        <f t="shared" si="267"/>
        <v>140675</v>
      </c>
      <c r="AF301" s="446">
        <f t="shared" si="268"/>
        <v>815</v>
      </c>
      <c r="AG301" s="446">
        <f t="shared" si="269"/>
        <v>39.772000000000006</v>
      </c>
      <c r="AH301" s="446">
        <f t="shared" si="270"/>
        <v>0.7009130400000001</v>
      </c>
      <c r="AI301" s="446">
        <f t="shared" si="271"/>
        <v>855</v>
      </c>
      <c r="AJ301" s="258">
        <f t="shared" si="272"/>
        <v>114650125</v>
      </c>
      <c r="AK301" s="258">
        <f t="shared" si="273"/>
        <v>120277125</v>
      </c>
      <c r="AL301" s="426">
        <f t="shared" si="274"/>
        <v>17</v>
      </c>
      <c r="AM301" s="426">
        <f t="array" ref="AM301">MAX((IF(MNU_CODIGO_ALIMENTO_ENTREGA=CONCATENATE($E301,"_","P_"),MNU_GRAMAJE_REQUERIDO_TIPOM,"")))</f>
        <v>40</v>
      </c>
      <c r="AN301" s="259">
        <f t="shared" si="275"/>
        <v>434</v>
      </c>
      <c r="AO301" s="259">
        <f t="shared" si="276"/>
        <v>7378</v>
      </c>
      <c r="AP301" s="446">
        <f t="shared" si="277"/>
        <v>408</v>
      </c>
      <c r="AQ301" s="446">
        <f t="shared" si="278"/>
        <v>19.910400000000003</v>
      </c>
      <c r="AR301" s="446">
        <f t="shared" si="279"/>
        <v>0.35088652799999998</v>
      </c>
      <c r="AS301" s="446">
        <f t="shared" si="280"/>
        <v>428</v>
      </c>
      <c r="AT301" s="260">
        <f t="shared" si="281"/>
        <v>3010224</v>
      </c>
      <c r="AU301" s="260">
        <f t="shared" si="282"/>
        <v>3157784</v>
      </c>
      <c r="AV301" s="425">
        <f t="shared" si="283"/>
        <v>17</v>
      </c>
      <c r="AW301" s="425">
        <f t="array" ref="AW301">MAX((IF(MNU_CODIGO_ALIMENTO_ENTREGA=CONCATENATE($E301,"_","P_"),MNU_GRAMAJE_REQUERIDO_TIPOH,"")))</f>
        <v>80</v>
      </c>
      <c r="AX301" s="257">
        <f t="shared" si="284"/>
        <v>173</v>
      </c>
      <c r="AY301" s="257">
        <f t="shared" si="285"/>
        <v>2941</v>
      </c>
      <c r="AZ301" s="446">
        <f t="shared" si="286"/>
        <v>815</v>
      </c>
      <c r="BA301" s="446">
        <f t="shared" si="287"/>
        <v>39.772000000000006</v>
      </c>
      <c r="BB301" s="446">
        <f t="shared" si="288"/>
        <v>0.7009130400000001</v>
      </c>
      <c r="BC301" s="446">
        <f t="shared" si="289"/>
        <v>855</v>
      </c>
      <c r="BD301" s="258">
        <f t="shared" si="290"/>
        <v>2396915</v>
      </c>
      <c r="BE301" s="258">
        <f t="shared" si="291"/>
        <v>2514555</v>
      </c>
      <c r="BF301" s="391">
        <f t="shared" si="292"/>
        <v>202378914</v>
      </c>
      <c r="BG301" s="391">
        <f t="shared" si="293"/>
        <v>212306489</v>
      </c>
    </row>
    <row r="302" spans="1:59" ht="15.75">
      <c r="A302" s="333">
        <v>24</v>
      </c>
      <c r="B302" s="333" t="str">
        <f t="shared" si="245"/>
        <v>CEREAL EMPACADO_24</v>
      </c>
      <c r="C302" s="333" t="str">
        <f t="shared" si="246"/>
        <v>61_24</v>
      </c>
      <c r="D302" s="333" t="s">
        <v>1607</v>
      </c>
      <c r="E302" s="256">
        <v>61</v>
      </c>
      <c r="F302" s="322" t="s">
        <v>13</v>
      </c>
      <c r="G302" s="256" t="s">
        <v>9</v>
      </c>
      <c r="H302" s="425">
        <f t="shared" si="247"/>
        <v>16</v>
      </c>
      <c r="I302" s="425">
        <f t="array" ref="I302">MAX((IF(MNU_CODIGO_ALIMENTO_ENTREGA=CONCATENATE($E302,"_","P_"),MNU_GRAMAJE_REQUERIDO_TIPOA,"")))</f>
        <v>20</v>
      </c>
      <c r="J302" s="257">
        <f t="shared" si="248"/>
        <v>5949</v>
      </c>
      <c r="K302" s="257">
        <f t="shared" si="249"/>
        <v>95184</v>
      </c>
      <c r="L302" s="446">
        <f t="shared" si="250"/>
        <v>222</v>
      </c>
      <c r="M302" s="446">
        <f t="shared" si="251"/>
        <v>10.833600000000001</v>
      </c>
      <c r="N302" s="446">
        <f t="shared" si="252"/>
        <v>0.190923552</v>
      </c>
      <c r="O302" s="446">
        <f t="shared" si="253"/>
        <v>233</v>
      </c>
      <c r="P302" s="258">
        <f t="shared" si="254"/>
        <v>21130848</v>
      </c>
      <c r="Q302" s="258">
        <f t="shared" si="255"/>
        <v>22177872</v>
      </c>
      <c r="R302" s="426">
        <f t="shared" si="256"/>
        <v>16</v>
      </c>
      <c r="S302" s="426">
        <f t="array" ref="S302">MAX((IF(MNU_CODIGO_ALIMENTO_ENTREGA=CONCATENATE($E302,"_","P_"),MNU_GRAMAJE_REQUERIDO_TIPOB,"")))</f>
        <v>30</v>
      </c>
      <c r="T302" s="259">
        <f t="shared" si="257"/>
        <v>7407</v>
      </c>
      <c r="U302" s="259">
        <f t="shared" si="258"/>
        <v>118512</v>
      </c>
      <c r="V302" s="446">
        <f t="shared" si="259"/>
        <v>334</v>
      </c>
      <c r="W302" s="446">
        <f t="shared" si="260"/>
        <v>16.299199999999999</v>
      </c>
      <c r="X302" s="446">
        <f t="shared" si="261"/>
        <v>0.28724534400000001</v>
      </c>
      <c r="Y302" s="446">
        <f t="shared" si="262"/>
        <v>351</v>
      </c>
      <c r="Z302" s="260">
        <f t="shared" si="263"/>
        <v>39583008</v>
      </c>
      <c r="AA302" s="260">
        <f t="shared" si="264"/>
        <v>41597712</v>
      </c>
      <c r="AB302" s="425">
        <f t="shared" si="265"/>
        <v>16</v>
      </c>
      <c r="AC302" s="425">
        <f t="array" ref="AC302">MAX((IF(MNU_CODIGO_ALIMENTO_ENTREGA=CONCATENATE($E302,"_","P_"),MNU_GRAMAJE_REQUERIDO_TIPOC,"")))</f>
        <v>70</v>
      </c>
      <c r="AD302" s="257">
        <f t="shared" si="266"/>
        <v>8275</v>
      </c>
      <c r="AE302" s="257">
        <f t="shared" si="267"/>
        <v>132400</v>
      </c>
      <c r="AF302" s="446">
        <f t="shared" si="268"/>
        <v>779</v>
      </c>
      <c r="AG302" s="446">
        <f t="shared" si="269"/>
        <v>38.0152</v>
      </c>
      <c r="AH302" s="446">
        <f t="shared" si="270"/>
        <v>0.66995246400000008</v>
      </c>
      <c r="AI302" s="446">
        <f t="shared" si="271"/>
        <v>818</v>
      </c>
      <c r="AJ302" s="258">
        <f t="shared" si="272"/>
        <v>103139600</v>
      </c>
      <c r="AK302" s="258">
        <f t="shared" si="273"/>
        <v>108303200</v>
      </c>
      <c r="AL302" s="426">
        <f t="shared" si="274"/>
        <v>16</v>
      </c>
      <c r="AM302" s="426">
        <f t="array" ref="AM302">MAX((IF(MNU_CODIGO_ALIMENTO_ENTREGA=CONCATENATE($E302,"_","P_"),MNU_GRAMAJE_REQUERIDO_TIPOM,"")))</f>
        <v>30</v>
      </c>
      <c r="AN302" s="259">
        <f t="shared" si="275"/>
        <v>434</v>
      </c>
      <c r="AO302" s="259">
        <f t="shared" si="276"/>
        <v>6944</v>
      </c>
      <c r="AP302" s="446">
        <f t="shared" si="277"/>
        <v>334</v>
      </c>
      <c r="AQ302" s="446">
        <f t="shared" si="278"/>
        <v>16.299199999999999</v>
      </c>
      <c r="AR302" s="446">
        <f t="shared" si="279"/>
        <v>0.28724534400000001</v>
      </c>
      <c r="AS302" s="446">
        <f t="shared" si="280"/>
        <v>351</v>
      </c>
      <c r="AT302" s="260">
        <f t="shared" si="281"/>
        <v>2319296</v>
      </c>
      <c r="AU302" s="260">
        <f t="shared" si="282"/>
        <v>2437344</v>
      </c>
      <c r="AV302" s="425">
        <f t="shared" si="283"/>
        <v>16</v>
      </c>
      <c r="AW302" s="425">
        <f t="array" ref="AW302">MAX((IF(MNU_CODIGO_ALIMENTO_ENTREGA=CONCATENATE($E302,"_","P_"),MNU_GRAMAJE_REQUERIDO_TIPOH,"")))</f>
        <v>70</v>
      </c>
      <c r="AX302" s="257">
        <f t="shared" si="284"/>
        <v>173</v>
      </c>
      <c r="AY302" s="257">
        <f t="shared" si="285"/>
        <v>2768</v>
      </c>
      <c r="AZ302" s="446">
        <f t="shared" si="286"/>
        <v>779</v>
      </c>
      <c r="BA302" s="446">
        <f t="shared" si="287"/>
        <v>38.0152</v>
      </c>
      <c r="BB302" s="446">
        <f t="shared" si="288"/>
        <v>0.66995246400000008</v>
      </c>
      <c r="BC302" s="446">
        <f t="shared" si="289"/>
        <v>818</v>
      </c>
      <c r="BD302" s="258">
        <f t="shared" si="290"/>
        <v>2156272</v>
      </c>
      <c r="BE302" s="258">
        <f t="shared" si="291"/>
        <v>2264224</v>
      </c>
      <c r="BF302" s="391">
        <f t="shared" si="292"/>
        <v>168329024</v>
      </c>
      <c r="BG302" s="391">
        <f t="shared" si="293"/>
        <v>176780352</v>
      </c>
    </row>
    <row r="303" spans="1:59" ht="15.75">
      <c r="A303" s="333">
        <v>24</v>
      </c>
      <c r="B303" s="333" t="str">
        <f t="shared" si="245"/>
        <v>CEREAL EMPACADO_24</v>
      </c>
      <c r="C303" s="333" t="str">
        <f t="shared" si="246"/>
        <v>62_24</v>
      </c>
      <c r="D303" s="333" t="s">
        <v>1607</v>
      </c>
      <c r="E303" s="256">
        <v>62</v>
      </c>
      <c r="F303" s="322" t="s">
        <v>68</v>
      </c>
      <c r="G303" s="256" t="s">
        <v>9</v>
      </c>
      <c r="H303" s="425">
        <f t="shared" si="247"/>
        <v>5</v>
      </c>
      <c r="I303" s="425">
        <f t="array" ref="I303">MAX((IF(MNU_CODIGO_ALIMENTO_ENTREGA=CONCATENATE($E303,"_","P_"),MNU_GRAMAJE_REQUERIDO_TIPOA,"")))</f>
        <v>50</v>
      </c>
      <c r="J303" s="257">
        <f t="shared" si="248"/>
        <v>5949</v>
      </c>
      <c r="K303" s="257">
        <f t="shared" si="249"/>
        <v>29745</v>
      </c>
      <c r="L303" s="446">
        <f t="shared" si="250"/>
        <v>595</v>
      </c>
      <c r="M303" s="446">
        <f t="shared" si="251"/>
        <v>29.036000000000001</v>
      </c>
      <c r="N303" s="446">
        <f t="shared" si="252"/>
        <v>0.51170952000000014</v>
      </c>
      <c r="O303" s="446">
        <f t="shared" si="253"/>
        <v>625</v>
      </c>
      <c r="P303" s="258">
        <f t="shared" si="254"/>
        <v>17698275</v>
      </c>
      <c r="Q303" s="258">
        <f t="shared" si="255"/>
        <v>18590625</v>
      </c>
      <c r="R303" s="426">
        <f t="shared" si="256"/>
        <v>5</v>
      </c>
      <c r="S303" s="426">
        <f t="array" ref="S303">MAX((IF(MNU_CODIGO_ALIMENTO_ENTREGA=CONCATENATE($E303,"_","P_"),MNU_GRAMAJE_REQUERIDO_TIPOB,"")))</f>
        <v>50</v>
      </c>
      <c r="T303" s="259">
        <f t="shared" si="257"/>
        <v>7407</v>
      </c>
      <c r="U303" s="259">
        <f t="shared" si="258"/>
        <v>37035</v>
      </c>
      <c r="V303" s="446">
        <f t="shared" si="259"/>
        <v>595</v>
      </c>
      <c r="W303" s="446">
        <f t="shared" si="260"/>
        <v>29.036000000000001</v>
      </c>
      <c r="X303" s="446">
        <f t="shared" si="261"/>
        <v>0.51170952000000014</v>
      </c>
      <c r="Y303" s="446">
        <f t="shared" si="262"/>
        <v>625</v>
      </c>
      <c r="Z303" s="260">
        <f t="shared" si="263"/>
        <v>22035825</v>
      </c>
      <c r="AA303" s="260">
        <f t="shared" si="264"/>
        <v>23146875</v>
      </c>
      <c r="AB303" s="425">
        <f t="shared" si="265"/>
        <v>5</v>
      </c>
      <c r="AC303" s="425">
        <f t="array" ref="AC303">MAX((IF(MNU_CODIGO_ALIMENTO_ENTREGA=CONCATENATE($E303,"_","P_"),MNU_GRAMAJE_REQUERIDO_TIPOC,"")))</f>
        <v>50</v>
      </c>
      <c r="AD303" s="257">
        <f t="shared" si="266"/>
        <v>8275</v>
      </c>
      <c r="AE303" s="257">
        <f t="shared" si="267"/>
        <v>41375</v>
      </c>
      <c r="AF303" s="446">
        <f t="shared" si="268"/>
        <v>595</v>
      </c>
      <c r="AG303" s="446">
        <f t="shared" si="269"/>
        <v>29.036000000000001</v>
      </c>
      <c r="AH303" s="446">
        <f t="shared" si="270"/>
        <v>0.51170952000000014</v>
      </c>
      <c r="AI303" s="446">
        <f t="shared" si="271"/>
        <v>625</v>
      </c>
      <c r="AJ303" s="258">
        <f t="shared" si="272"/>
        <v>24618125</v>
      </c>
      <c r="AK303" s="258">
        <f t="shared" si="273"/>
        <v>25859375</v>
      </c>
      <c r="AL303" s="426">
        <f t="shared" si="274"/>
        <v>5</v>
      </c>
      <c r="AM303" s="426">
        <f t="array" ref="AM303">MAX((IF(MNU_CODIGO_ALIMENTO_ENTREGA=CONCATENATE($E303,"_","P_"),MNU_GRAMAJE_REQUERIDO_TIPOM,"")))</f>
        <v>50</v>
      </c>
      <c r="AN303" s="259">
        <f t="shared" si="275"/>
        <v>434</v>
      </c>
      <c r="AO303" s="259">
        <f t="shared" si="276"/>
        <v>2170</v>
      </c>
      <c r="AP303" s="446">
        <f t="shared" si="277"/>
        <v>595</v>
      </c>
      <c r="AQ303" s="446">
        <f t="shared" si="278"/>
        <v>29.036000000000001</v>
      </c>
      <c r="AR303" s="446">
        <f t="shared" si="279"/>
        <v>0.51170952000000014</v>
      </c>
      <c r="AS303" s="446">
        <f t="shared" si="280"/>
        <v>625</v>
      </c>
      <c r="AT303" s="260">
        <f t="shared" si="281"/>
        <v>1291150</v>
      </c>
      <c r="AU303" s="260">
        <f t="shared" si="282"/>
        <v>1356250</v>
      </c>
      <c r="AV303" s="425">
        <f t="shared" si="283"/>
        <v>5</v>
      </c>
      <c r="AW303" s="425">
        <f t="array" ref="AW303">MAX((IF(MNU_CODIGO_ALIMENTO_ENTREGA=CONCATENATE($E303,"_","P_"),MNU_GRAMAJE_REQUERIDO_TIPOH,"")))</f>
        <v>50</v>
      </c>
      <c r="AX303" s="257">
        <f t="shared" si="284"/>
        <v>173</v>
      </c>
      <c r="AY303" s="257">
        <f t="shared" si="285"/>
        <v>865</v>
      </c>
      <c r="AZ303" s="446">
        <f t="shared" si="286"/>
        <v>595</v>
      </c>
      <c r="BA303" s="446">
        <f t="shared" si="287"/>
        <v>29.036000000000001</v>
      </c>
      <c r="BB303" s="446">
        <f t="shared" si="288"/>
        <v>0.51170952000000014</v>
      </c>
      <c r="BC303" s="446">
        <f t="shared" si="289"/>
        <v>625</v>
      </c>
      <c r="BD303" s="258">
        <f t="shared" si="290"/>
        <v>514675</v>
      </c>
      <c r="BE303" s="258">
        <f t="shared" si="291"/>
        <v>540625</v>
      </c>
      <c r="BF303" s="391">
        <f t="shared" si="292"/>
        <v>66158050</v>
      </c>
      <c r="BG303" s="391">
        <f t="shared" si="293"/>
        <v>69493750</v>
      </c>
    </row>
    <row r="304" spans="1:59" ht="15.75">
      <c r="A304" s="333">
        <v>25</v>
      </c>
      <c r="B304" s="333" t="str">
        <f t="shared" si="245"/>
        <v>CEREAL EMPACADO_25</v>
      </c>
      <c r="C304" s="333" t="str">
        <f t="shared" si="246"/>
        <v>1_25</v>
      </c>
      <c r="D304" s="333" t="s">
        <v>1607</v>
      </c>
      <c r="E304" s="256">
        <v>1</v>
      </c>
      <c r="F304" s="322" t="s">
        <v>16</v>
      </c>
      <c r="G304" s="256" t="s">
        <v>9</v>
      </c>
      <c r="H304" s="425">
        <f t="shared" si="247"/>
        <v>15</v>
      </c>
      <c r="I304" s="425">
        <f t="array" ref="I304">MAX((IF(MNU_CODIGO_ALIMENTO_ENTREGA=CONCATENATE($E304,"_","P_"),MNU_GRAMAJE_REQUERIDO_TIPOA,"")))</f>
        <v>30</v>
      </c>
      <c r="J304" s="257">
        <f t="shared" si="248"/>
        <v>5680</v>
      </c>
      <c r="K304" s="257">
        <f t="shared" si="249"/>
        <v>85200</v>
      </c>
      <c r="L304" s="446">
        <f t="shared" si="250"/>
        <v>770</v>
      </c>
      <c r="M304" s="446">
        <f t="shared" si="251"/>
        <v>37.576000000000008</v>
      </c>
      <c r="N304" s="446">
        <f t="shared" si="252"/>
        <v>0.66221231999999997</v>
      </c>
      <c r="O304" s="446">
        <f t="shared" si="253"/>
        <v>808</v>
      </c>
      <c r="P304" s="258">
        <f t="shared" si="254"/>
        <v>65604000</v>
      </c>
      <c r="Q304" s="258">
        <f t="shared" si="255"/>
        <v>68841600</v>
      </c>
      <c r="R304" s="426">
        <f t="shared" si="256"/>
        <v>15</v>
      </c>
      <c r="S304" s="426">
        <f t="array" ref="S304">MAX((IF(MNU_CODIGO_ALIMENTO_ENTREGA=CONCATENATE($E304,"_","P_"),MNU_GRAMAJE_REQUERIDO_TIPOB,"")))</f>
        <v>40</v>
      </c>
      <c r="T304" s="259">
        <f t="shared" si="257"/>
        <v>7082</v>
      </c>
      <c r="U304" s="259">
        <f t="shared" si="258"/>
        <v>106230</v>
      </c>
      <c r="V304" s="446">
        <f t="shared" si="259"/>
        <v>1027</v>
      </c>
      <c r="W304" s="446">
        <f t="shared" si="260"/>
        <v>50.117600000000003</v>
      </c>
      <c r="X304" s="446">
        <f t="shared" si="261"/>
        <v>0.88323643200000013</v>
      </c>
      <c r="Y304" s="446">
        <f t="shared" si="262"/>
        <v>1078</v>
      </c>
      <c r="Z304" s="260">
        <f t="shared" si="263"/>
        <v>109098210</v>
      </c>
      <c r="AA304" s="260">
        <f t="shared" si="264"/>
        <v>114515940</v>
      </c>
      <c r="AB304" s="425">
        <f t="shared" si="265"/>
        <v>15</v>
      </c>
      <c r="AC304" s="425">
        <f t="array" ref="AC304">MAX((IF(MNU_CODIGO_ALIMENTO_ENTREGA=CONCATENATE($E304,"_","P_"),MNU_GRAMAJE_REQUERIDO_TIPOC,"")))</f>
        <v>60</v>
      </c>
      <c r="AD304" s="257">
        <f t="shared" si="266"/>
        <v>7654</v>
      </c>
      <c r="AE304" s="257">
        <f t="shared" si="267"/>
        <v>114810</v>
      </c>
      <c r="AF304" s="446">
        <f t="shared" si="268"/>
        <v>1540</v>
      </c>
      <c r="AG304" s="446">
        <f t="shared" si="269"/>
        <v>75.152000000000015</v>
      </c>
      <c r="AH304" s="446">
        <f t="shared" si="270"/>
        <v>1.3244246399999999</v>
      </c>
      <c r="AI304" s="446">
        <f t="shared" si="271"/>
        <v>1616</v>
      </c>
      <c r="AJ304" s="258">
        <f t="shared" si="272"/>
        <v>176807400</v>
      </c>
      <c r="AK304" s="258">
        <f t="shared" si="273"/>
        <v>185532960</v>
      </c>
      <c r="AL304" s="426">
        <f t="shared" si="274"/>
        <v>15</v>
      </c>
      <c r="AM304" s="426">
        <f t="array" ref="AM304">MAX((IF(MNU_CODIGO_ALIMENTO_ENTREGA=CONCATENATE($E304,"_","P_"),MNU_GRAMAJE_REQUERIDO_TIPOM,"")))</f>
        <v>40</v>
      </c>
      <c r="AN304" s="259">
        <f t="shared" si="275"/>
        <v>215</v>
      </c>
      <c r="AO304" s="259">
        <f t="shared" si="276"/>
        <v>3225</v>
      </c>
      <c r="AP304" s="446">
        <f t="shared" si="277"/>
        <v>1027</v>
      </c>
      <c r="AQ304" s="446">
        <f t="shared" si="278"/>
        <v>50.117600000000003</v>
      </c>
      <c r="AR304" s="446">
        <f t="shared" si="279"/>
        <v>0.88323643200000013</v>
      </c>
      <c r="AS304" s="446">
        <f t="shared" si="280"/>
        <v>1078</v>
      </c>
      <c r="AT304" s="260">
        <f t="shared" si="281"/>
        <v>3312075</v>
      </c>
      <c r="AU304" s="260">
        <f t="shared" si="282"/>
        <v>3476550</v>
      </c>
      <c r="AV304" s="425">
        <f t="shared" si="283"/>
        <v>15</v>
      </c>
      <c r="AW304" s="425">
        <f t="array" ref="AW304">MAX((IF(MNU_CODIGO_ALIMENTO_ENTREGA=CONCATENATE($E304,"_","P_"),MNU_GRAMAJE_REQUERIDO_TIPOH,"")))</f>
        <v>60</v>
      </c>
      <c r="AX304" s="257">
        <f t="shared" si="284"/>
        <v>167</v>
      </c>
      <c r="AY304" s="257">
        <f t="shared" si="285"/>
        <v>2505</v>
      </c>
      <c r="AZ304" s="446">
        <f t="shared" si="286"/>
        <v>1540</v>
      </c>
      <c r="BA304" s="446">
        <f t="shared" si="287"/>
        <v>75.152000000000015</v>
      </c>
      <c r="BB304" s="446">
        <f t="shared" si="288"/>
        <v>1.3244246399999999</v>
      </c>
      <c r="BC304" s="446">
        <f t="shared" si="289"/>
        <v>1616</v>
      </c>
      <c r="BD304" s="258">
        <f t="shared" si="290"/>
        <v>3857700</v>
      </c>
      <c r="BE304" s="258">
        <f t="shared" si="291"/>
        <v>4048080</v>
      </c>
      <c r="BF304" s="391">
        <f t="shared" si="292"/>
        <v>358679385</v>
      </c>
      <c r="BG304" s="391">
        <f t="shared" si="293"/>
        <v>376415130</v>
      </c>
    </row>
    <row r="305" spans="1:59" ht="15.75">
      <c r="A305" s="333">
        <v>25</v>
      </c>
      <c r="B305" s="333" t="str">
        <f t="shared" si="245"/>
        <v>CEREAL EMPACADO_25</v>
      </c>
      <c r="C305" s="333" t="str">
        <f t="shared" si="246"/>
        <v>3_25</v>
      </c>
      <c r="D305" s="333" t="s">
        <v>1607</v>
      </c>
      <c r="E305" s="256">
        <v>3</v>
      </c>
      <c r="F305" s="322" t="s">
        <v>12</v>
      </c>
      <c r="G305" s="256" t="s">
        <v>9</v>
      </c>
      <c r="H305" s="425">
        <f t="shared" si="247"/>
        <v>17</v>
      </c>
      <c r="I305" s="425">
        <f t="array" ref="I305">MAX((IF(MNU_CODIGO_ALIMENTO_ENTREGA=CONCATENATE($E305,"_","P_"),MNU_GRAMAJE_REQUERIDO_TIPOA,"")))</f>
        <v>50</v>
      </c>
      <c r="J305" s="257">
        <f t="shared" si="248"/>
        <v>5680</v>
      </c>
      <c r="K305" s="257">
        <f t="shared" si="249"/>
        <v>96560</v>
      </c>
      <c r="L305" s="446">
        <f t="shared" si="250"/>
        <v>481</v>
      </c>
      <c r="M305" s="446">
        <f t="shared" si="251"/>
        <v>23.472799999999999</v>
      </c>
      <c r="N305" s="446">
        <f t="shared" si="252"/>
        <v>0.41366769599999997</v>
      </c>
      <c r="O305" s="446">
        <f t="shared" si="253"/>
        <v>505</v>
      </c>
      <c r="P305" s="258">
        <f t="shared" si="254"/>
        <v>46445360</v>
      </c>
      <c r="Q305" s="258">
        <f t="shared" si="255"/>
        <v>48762800</v>
      </c>
      <c r="R305" s="426">
        <f t="shared" si="256"/>
        <v>17</v>
      </c>
      <c r="S305" s="426">
        <f t="array" ref="S305">MAX((IF(MNU_CODIGO_ALIMENTO_ENTREGA=CONCATENATE($E305,"_","P_"),MNU_GRAMAJE_REQUERIDO_TIPOB,"")))</f>
        <v>50</v>
      </c>
      <c r="T305" s="259">
        <f t="shared" si="257"/>
        <v>7082</v>
      </c>
      <c r="U305" s="259">
        <f t="shared" si="258"/>
        <v>120394</v>
      </c>
      <c r="V305" s="446">
        <f t="shared" si="259"/>
        <v>481</v>
      </c>
      <c r="W305" s="446">
        <f t="shared" si="260"/>
        <v>23.472799999999999</v>
      </c>
      <c r="X305" s="446">
        <f t="shared" si="261"/>
        <v>0.41366769599999997</v>
      </c>
      <c r="Y305" s="446">
        <f t="shared" si="262"/>
        <v>505</v>
      </c>
      <c r="Z305" s="260">
        <f t="shared" si="263"/>
        <v>57909514</v>
      </c>
      <c r="AA305" s="260">
        <f t="shared" si="264"/>
        <v>60798970</v>
      </c>
      <c r="AB305" s="425">
        <f t="shared" si="265"/>
        <v>17</v>
      </c>
      <c r="AC305" s="425">
        <f t="array" ref="AC305">MAX((IF(MNU_CODIGO_ALIMENTO_ENTREGA=CONCATENATE($E305,"_","P_"),MNU_GRAMAJE_REQUERIDO_TIPOC,"")))</f>
        <v>80</v>
      </c>
      <c r="AD305" s="257">
        <f t="shared" si="266"/>
        <v>7654</v>
      </c>
      <c r="AE305" s="257">
        <f t="shared" si="267"/>
        <v>130118</v>
      </c>
      <c r="AF305" s="446">
        <f t="shared" si="268"/>
        <v>727</v>
      </c>
      <c r="AG305" s="446">
        <f t="shared" si="269"/>
        <v>35.477600000000002</v>
      </c>
      <c r="AH305" s="446">
        <f t="shared" si="270"/>
        <v>0.62523163200000009</v>
      </c>
      <c r="AI305" s="446">
        <f t="shared" si="271"/>
        <v>763</v>
      </c>
      <c r="AJ305" s="258">
        <f t="shared" si="272"/>
        <v>94595786</v>
      </c>
      <c r="AK305" s="258">
        <f t="shared" si="273"/>
        <v>99280034</v>
      </c>
      <c r="AL305" s="426">
        <f t="shared" si="274"/>
        <v>17</v>
      </c>
      <c r="AM305" s="426">
        <f t="array" ref="AM305">MAX((IF(MNU_CODIGO_ALIMENTO_ENTREGA=CONCATENATE($E305,"_","P_"),MNU_GRAMAJE_REQUERIDO_TIPOM,"")))</f>
        <v>50</v>
      </c>
      <c r="AN305" s="259">
        <f t="shared" si="275"/>
        <v>215</v>
      </c>
      <c r="AO305" s="259">
        <f t="shared" si="276"/>
        <v>3655</v>
      </c>
      <c r="AP305" s="446">
        <f t="shared" si="277"/>
        <v>481</v>
      </c>
      <c r="AQ305" s="446">
        <f t="shared" si="278"/>
        <v>23.472799999999999</v>
      </c>
      <c r="AR305" s="446">
        <f t="shared" si="279"/>
        <v>0.41366769599999997</v>
      </c>
      <c r="AS305" s="446">
        <f t="shared" si="280"/>
        <v>505</v>
      </c>
      <c r="AT305" s="260">
        <f t="shared" si="281"/>
        <v>1758055</v>
      </c>
      <c r="AU305" s="260">
        <f t="shared" si="282"/>
        <v>1845775</v>
      </c>
      <c r="AV305" s="425">
        <f t="shared" si="283"/>
        <v>17</v>
      </c>
      <c r="AW305" s="425">
        <f t="array" ref="AW305">MAX((IF(MNU_CODIGO_ALIMENTO_ENTREGA=CONCATENATE($E305,"_","P_"),MNU_GRAMAJE_REQUERIDO_TIPOH,"")))</f>
        <v>80</v>
      </c>
      <c r="AX305" s="257">
        <f t="shared" si="284"/>
        <v>167</v>
      </c>
      <c r="AY305" s="257">
        <f t="shared" si="285"/>
        <v>2839</v>
      </c>
      <c r="AZ305" s="446">
        <f t="shared" si="286"/>
        <v>727</v>
      </c>
      <c r="BA305" s="446">
        <f t="shared" si="287"/>
        <v>35.477600000000002</v>
      </c>
      <c r="BB305" s="446">
        <f t="shared" si="288"/>
        <v>0.62523163200000009</v>
      </c>
      <c r="BC305" s="446">
        <f t="shared" si="289"/>
        <v>763</v>
      </c>
      <c r="BD305" s="258">
        <f t="shared" si="290"/>
        <v>2063953</v>
      </c>
      <c r="BE305" s="258">
        <f t="shared" si="291"/>
        <v>2166157</v>
      </c>
      <c r="BF305" s="391">
        <f t="shared" si="292"/>
        <v>202772668</v>
      </c>
      <c r="BG305" s="391">
        <f t="shared" si="293"/>
        <v>212853736</v>
      </c>
    </row>
    <row r="306" spans="1:59" ht="15.75">
      <c r="A306" s="333">
        <v>25</v>
      </c>
      <c r="B306" s="333" t="str">
        <f t="shared" si="245"/>
        <v>CEREAL EMPACADO_25</v>
      </c>
      <c r="C306" s="333" t="str">
        <f t="shared" si="246"/>
        <v>15_25</v>
      </c>
      <c r="D306" s="333" t="s">
        <v>1607</v>
      </c>
      <c r="E306" s="256">
        <v>15</v>
      </c>
      <c r="F306" s="322" t="s">
        <v>66</v>
      </c>
      <c r="G306" s="256" t="s">
        <v>9</v>
      </c>
      <c r="H306" s="425">
        <f t="shared" si="247"/>
        <v>17</v>
      </c>
      <c r="I306" s="425">
        <f t="array" ref="I306">MAX((IF(MNU_CODIGO_ALIMENTO_ENTREGA=CONCATENATE($E306,"_","P_"),MNU_GRAMAJE_REQUERIDO_TIPOA,"")))</f>
        <v>50</v>
      </c>
      <c r="J306" s="257">
        <f t="shared" si="248"/>
        <v>5680</v>
      </c>
      <c r="K306" s="257">
        <f t="shared" si="249"/>
        <v>96560</v>
      </c>
      <c r="L306" s="446">
        <f t="shared" si="250"/>
        <v>641</v>
      </c>
      <c r="M306" s="446">
        <f t="shared" si="251"/>
        <v>31.280800000000003</v>
      </c>
      <c r="N306" s="446">
        <f t="shared" si="252"/>
        <v>0.55127025600000001</v>
      </c>
      <c r="O306" s="446">
        <f t="shared" si="253"/>
        <v>673</v>
      </c>
      <c r="P306" s="258">
        <f t="shared" si="254"/>
        <v>61894960</v>
      </c>
      <c r="Q306" s="258">
        <f t="shared" si="255"/>
        <v>64984880</v>
      </c>
      <c r="R306" s="426">
        <f t="shared" si="256"/>
        <v>17</v>
      </c>
      <c r="S306" s="426">
        <f t="array" ref="S306">MAX((IF(MNU_CODIGO_ALIMENTO_ENTREGA=CONCATENATE($E306,"_","P_"),MNU_GRAMAJE_REQUERIDO_TIPOB,"")))</f>
        <v>50</v>
      </c>
      <c r="T306" s="259">
        <f t="shared" si="257"/>
        <v>7082</v>
      </c>
      <c r="U306" s="259">
        <f t="shared" si="258"/>
        <v>120394</v>
      </c>
      <c r="V306" s="446">
        <f t="shared" si="259"/>
        <v>641</v>
      </c>
      <c r="W306" s="446">
        <f t="shared" si="260"/>
        <v>31.280800000000003</v>
      </c>
      <c r="X306" s="446">
        <f t="shared" si="261"/>
        <v>0.55127025600000001</v>
      </c>
      <c r="Y306" s="446">
        <f t="shared" si="262"/>
        <v>673</v>
      </c>
      <c r="Z306" s="260">
        <f t="shared" si="263"/>
        <v>77172554</v>
      </c>
      <c r="AA306" s="260">
        <f t="shared" si="264"/>
        <v>81025162</v>
      </c>
      <c r="AB306" s="425">
        <f t="shared" si="265"/>
        <v>17</v>
      </c>
      <c r="AC306" s="425">
        <f t="array" ref="AC306">MAX((IF(MNU_CODIGO_ALIMENTO_ENTREGA=CONCATENATE($E306,"_","P_"),MNU_GRAMAJE_REQUERIDO_TIPOC,"")))</f>
        <v>80</v>
      </c>
      <c r="AD306" s="257">
        <f t="shared" si="266"/>
        <v>7654</v>
      </c>
      <c r="AE306" s="257">
        <f t="shared" si="267"/>
        <v>130118</v>
      </c>
      <c r="AF306" s="446">
        <f t="shared" si="268"/>
        <v>1025</v>
      </c>
      <c r="AG306" s="446">
        <f t="shared" si="269"/>
        <v>50.02</v>
      </c>
      <c r="AH306" s="446">
        <f t="shared" si="270"/>
        <v>0.88151640000000009</v>
      </c>
      <c r="AI306" s="446">
        <f t="shared" si="271"/>
        <v>1076</v>
      </c>
      <c r="AJ306" s="258">
        <f t="shared" si="272"/>
        <v>133370950</v>
      </c>
      <c r="AK306" s="258">
        <f t="shared" si="273"/>
        <v>140006968</v>
      </c>
      <c r="AL306" s="426">
        <f t="shared" si="274"/>
        <v>17</v>
      </c>
      <c r="AM306" s="426">
        <f t="array" ref="AM306">MAX((IF(MNU_CODIGO_ALIMENTO_ENTREGA=CONCATENATE($E306,"_","P_"),MNU_GRAMAJE_REQUERIDO_TIPOM,"")))</f>
        <v>50</v>
      </c>
      <c r="AN306" s="259">
        <f t="shared" si="275"/>
        <v>215</v>
      </c>
      <c r="AO306" s="259">
        <f t="shared" si="276"/>
        <v>3655</v>
      </c>
      <c r="AP306" s="446">
        <f t="shared" si="277"/>
        <v>641</v>
      </c>
      <c r="AQ306" s="446">
        <f t="shared" si="278"/>
        <v>31.280800000000003</v>
      </c>
      <c r="AR306" s="446">
        <f t="shared" si="279"/>
        <v>0.55127025600000001</v>
      </c>
      <c r="AS306" s="446">
        <f t="shared" si="280"/>
        <v>673</v>
      </c>
      <c r="AT306" s="260">
        <f t="shared" si="281"/>
        <v>2342855</v>
      </c>
      <c r="AU306" s="260">
        <f t="shared" si="282"/>
        <v>2459815</v>
      </c>
      <c r="AV306" s="425">
        <f t="shared" si="283"/>
        <v>17</v>
      </c>
      <c r="AW306" s="425">
        <f t="array" ref="AW306">MAX((IF(MNU_CODIGO_ALIMENTO_ENTREGA=CONCATENATE($E306,"_","P_"),MNU_GRAMAJE_REQUERIDO_TIPOH,"")))</f>
        <v>80</v>
      </c>
      <c r="AX306" s="257">
        <f t="shared" si="284"/>
        <v>167</v>
      </c>
      <c r="AY306" s="257">
        <f t="shared" si="285"/>
        <v>2839</v>
      </c>
      <c r="AZ306" s="446">
        <f t="shared" si="286"/>
        <v>1025</v>
      </c>
      <c r="BA306" s="446">
        <f t="shared" si="287"/>
        <v>50.02</v>
      </c>
      <c r="BB306" s="446">
        <f t="shared" si="288"/>
        <v>0.88151640000000009</v>
      </c>
      <c r="BC306" s="446">
        <f t="shared" si="289"/>
        <v>1076</v>
      </c>
      <c r="BD306" s="258">
        <f t="shared" si="290"/>
        <v>2909975</v>
      </c>
      <c r="BE306" s="258">
        <f t="shared" si="291"/>
        <v>3054764</v>
      </c>
      <c r="BF306" s="391">
        <f t="shared" si="292"/>
        <v>277691294</v>
      </c>
      <c r="BG306" s="391">
        <f t="shared" si="293"/>
        <v>291531589</v>
      </c>
    </row>
    <row r="307" spans="1:59" ht="15.75">
      <c r="A307" s="333">
        <v>25</v>
      </c>
      <c r="B307" s="333" t="str">
        <f t="shared" si="245"/>
        <v>CEREAL EMPACADO_25</v>
      </c>
      <c r="C307" s="333" t="str">
        <f t="shared" si="246"/>
        <v>24_25</v>
      </c>
      <c r="D307" s="333" t="s">
        <v>1607</v>
      </c>
      <c r="E307" s="256">
        <v>24</v>
      </c>
      <c r="F307" s="322" t="s">
        <v>61</v>
      </c>
      <c r="G307" s="256" t="s">
        <v>9</v>
      </c>
      <c r="H307" s="425">
        <f t="shared" si="247"/>
        <v>17</v>
      </c>
      <c r="I307" s="425">
        <f t="array" ref="I307">MAX((IF(MNU_CODIGO_ALIMENTO_ENTREGA=CONCATENATE($E307,"_","P_"),MNU_GRAMAJE_REQUERIDO_TIPOA,"")))</f>
        <v>20</v>
      </c>
      <c r="J307" s="257">
        <f t="shared" si="248"/>
        <v>5680</v>
      </c>
      <c r="K307" s="257">
        <f t="shared" si="249"/>
        <v>96560</v>
      </c>
      <c r="L307" s="446">
        <f t="shared" si="250"/>
        <v>122</v>
      </c>
      <c r="M307" s="446">
        <f t="shared" si="251"/>
        <v>5.9535999999999998</v>
      </c>
      <c r="N307" s="446">
        <f t="shared" si="252"/>
        <v>0.104921952</v>
      </c>
      <c r="O307" s="446">
        <f t="shared" si="253"/>
        <v>128</v>
      </c>
      <c r="P307" s="258">
        <f t="shared" si="254"/>
        <v>11780320</v>
      </c>
      <c r="Q307" s="258">
        <f t="shared" si="255"/>
        <v>12359680</v>
      </c>
      <c r="R307" s="426">
        <f t="shared" si="256"/>
        <v>17</v>
      </c>
      <c r="S307" s="426">
        <f t="array" ref="S307">MAX((IF(MNU_CODIGO_ALIMENTO_ENTREGA=CONCATENATE($E307,"_","P_"),MNU_GRAMAJE_REQUERIDO_TIPOB,"")))</f>
        <v>30</v>
      </c>
      <c r="T307" s="259">
        <f t="shared" si="257"/>
        <v>7082</v>
      </c>
      <c r="U307" s="259">
        <f t="shared" si="258"/>
        <v>120394</v>
      </c>
      <c r="V307" s="446">
        <f t="shared" si="259"/>
        <v>191</v>
      </c>
      <c r="W307" s="446">
        <f t="shared" si="260"/>
        <v>9.3208000000000002</v>
      </c>
      <c r="X307" s="446">
        <f t="shared" si="261"/>
        <v>0.16426305600000002</v>
      </c>
      <c r="Y307" s="446">
        <f t="shared" si="262"/>
        <v>200</v>
      </c>
      <c r="Z307" s="260">
        <f t="shared" si="263"/>
        <v>22995254</v>
      </c>
      <c r="AA307" s="260">
        <f t="shared" si="264"/>
        <v>24078800</v>
      </c>
      <c r="AB307" s="425">
        <f t="shared" si="265"/>
        <v>17</v>
      </c>
      <c r="AC307" s="425">
        <f t="array" ref="AC307">MAX((IF(MNU_CODIGO_ALIMENTO_ENTREGA=CONCATENATE($E307,"_","P_"),MNU_GRAMAJE_REQUERIDO_TIPOC,"")))</f>
        <v>60</v>
      </c>
      <c r="AD307" s="257">
        <f t="shared" si="266"/>
        <v>7654</v>
      </c>
      <c r="AE307" s="257">
        <f t="shared" si="267"/>
        <v>130118</v>
      </c>
      <c r="AF307" s="446">
        <f t="shared" si="268"/>
        <v>367</v>
      </c>
      <c r="AG307" s="446">
        <f t="shared" si="269"/>
        <v>17.909599999999998</v>
      </c>
      <c r="AH307" s="446">
        <f t="shared" si="270"/>
        <v>0.31562587200000003</v>
      </c>
      <c r="AI307" s="446">
        <f t="shared" si="271"/>
        <v>385</v>
      </c>
      <c r="AJ307" s="258">
        <f t="shared" si="272"/>
        <v>47753306</v>
      </c>
      <c r="AK307" s="258">
        <f t="shared" si="273"/>
        <v>50095430</v>
      </c>
      <c r="AL307" s="426">
        <f t="shared" si="274"/>
        <v>17</v>
      </c>
      <c r="AM307" s="426">
        <f t="array" ref="AM307">MAX((IF(MNU_CODIGO_ALIMENTO_ENTREGA=CONCATENATE($E307,"_","P_"),MNU_GRAMAJE_REQUERIDO_TIPOM,"")))</f>
        <v>30</v>
      </c>
      <c r="AN307" s="259">
        <f t="shared" si="275"/>
        <v>215</v>
      </c>
      <c r="AO307" s="259">
        <f t="shared" si="276"/>
        <v>3655</v>
      </c>
      <c r="AP307" s="446">
        <f t="shared" si="277"/>
        <v>191</v>
      </c>
      <c r="AQ307" s="446">
        <f t="shared" si="278"/>
        <v>9.3208000000000002</v>
      </c>
      <c r="AR307" s="446">
        <f t="shared" si="279"/>
        <v>0.16426305600000002</v>
      </c>
      <c r="AS307" s="446">
        <f t="shared" si="280"/>
        <v>200</v>
      </c>
      <c r="AT307" s="260">
        <f t="shared" si="281"/>
        <v>698105</v>
      </c>
      <c r="AU307" s="260">
        <f t="shared" si="282"/>
        <v>731000</v>
      </c>
      <c r="AV307" s="425">
        <f t="shared" si="283"/>
        <v>17</v>
      </c>
      <c r="AW307" s="425">
        <f t="array" ref="AW307">MAX((IF(MNU_CODIGO_ALIMENTO_ENTREGA=CONCATENATE($E307,"_","P_"),MNU_GRAMAJE_REQUERIDO_TIPOH,"")))</f>
        <v>60</v>
      </c>
      <c r="AX307" s="257">
        <f t="shared" si="284"/>
        <v>167</v>
      </c>
      <c r="AY307" s="257">
        <f t="shared" si="285"/>
        <v>2839</v>
      </c>
      <c r="AZ307" s="446">
        <f t="shared" si="286"/>
        <v>367</v>
      </c>
      <c r="BA307" s="446">
        <f t="shared" si="287"/>
        <v>17.909599999999998</v>
      </c>
      <c r="BB307" s="446">
        <f t="shared" si="288"/>
        <v>0.31562587200000003</v>
      </c>
      <c r="BC307" s="446">
        <f t="shared" si="289"/>
        <v>385</v>
      </c>
      <c r="BD307" s="258">
        <f t="shared" si="290"/>
        <v>1041913</v>
      </c>
      <c r="BE307" s="258">
        <f t="shared" si="291"/>
        <v>1093015</v>
      </c>
      <c r="BF307" s="391">
        <f t="shared" si="292"/>
        <v>84268898</v>
      </c>
      <c r="BG307" s="391">
        <f t="shared" si="293"/>
        <v>88357925</v>
      </c>
    </row>
    <row r="308" spans="1:59" ht="15.75">
      <c r="A308" s="333">
        <v>25</v>
      </c>
      <c r="B308" s="333" t="str">
        <f t="shared" si="245"/>
        <v>CEREAL EMPACADO_25</v>
      </c>
      <c r="C308" s="333" t="str">
        <f t="shared" si="246"/>
        <v>25_25</v>
      </c>
      <c r="D308" s="333" t="s">
        <v>1607</v>
      </c>
      <c r="E308" s="256">
        <v>25</v>
      </c>
      <c r="F308" s="322" t="s">
        <v>64</v>
      </c>
      <c r="G308" s="256" t="s">
        <v>9</v>
      </c>
      <c r="H308" s="425">
        <f t="shared" si="247"/>
        <v>17</v>
      </c>
      <c r="I308" s="425">
        <f t="array" ref="I308">MAX((IF(MNU_CODIGO_ALIMENTO_ENTREGA=CONCATENATE($E308,"_","P_"),MNU_GRAMAJE_REQUERIDO_TIPOA,"")))</f>
        <v>40</v>
      </c>
      <c r="J308" s="257">
        <f t="shared" si="248"/>
        <v>5680</v>
      </c>
      <c r="K308" s="257">
        <f t="shared" si="249"/>
        <v>96560</v>
      </c>
      <c r="L308" s="446">
        <f t="shared" si="250"/>
        <v>244</v>
      </c>
      <c r="M308" s="446">
        <f t="shared" si="251"/>
        <v>11.9072</v>
      </c>
      <c r="N308" s="446">
        <f t="shared" si="252"/>
        <v>0.209843904</v>
      </c>
      <c r="O308" s="446">
        <f t="shared" si="253"/>
        <v>256</v>
      </c>
      <c r="P308" s="258">
        <f t="shared" si="254"/>
        <v>23560640</v>
      </c>
      <c r="Q308" s="258">
        <f t="shared" si="255"/>
        <v>24719360</v>
      </c>
      <c r="R308" s="426">
        <f t="shared" si="256"/>
        <v>17</v>
      </c>
      <c r="S308" s="426">
        <f t="array" ref="S308">MAX((IF(MNU_CODIGO_ALIMENTO_ENTREGA=CONCATENATE($E308,"_","P_"),MNU_GRAMAJE_REQUERIDO_TIPOB,"")))</f>
        <v>40</v>
      </c>
      <c r="T308" s="259">
        <f t="shared" si="257"/>
        <v>7082</v>
      </c>
      <c r="U308" s="259">
        <f t="shared" si="258"/>
        <v>120394</v>
      </c>
      <c r="V308" s="446">
        <f t="shared" si="259"/>
        <v>244</v>
      </c>
      <c r="W308" s="446">
        <f t="shared" si="260"/>
        <v>11.9072</v>
      </c>
      <c r="X308" s="446">
        <f t="shared" si="261"/>
        <v>0.209843904</v>
      </c>
      <c r="Y308" s="446">
        <f t="shared" si="262"/>
        <v>256</v>
      </c>
      <c r="Z308" s="260">
        <f t="shared" si="263"/>
        <v>29376136</v>
      </c>
      <c r="AA308" s="260">
        <f t="shared" si="264"/>
        <v>30820864</v>
      </c>
      <c r="AB308" s="425">
        <f t="shared" si="265"/>
        <v>17</v>
      </c>
      <c r="AC308" s="425">
        <f t="array" ref="AC308">MAX((IF(MNU_CODIGO_ALIMENTO_ENTREGA=CONCATENATE($E308,"_","P_"),MNU_GRAMAJE_REQUERIDO_TIPOC,"")))</f>
        <v>60</v>
      </c>
      <c r="AD308" s="257">
        <f t="shared" si="266"/>
        <v>7654</v>
      </c>
      <c r="AE308" s="257">
        <f t="shared" si="267"/>
        <v>130118</v>
      </c>
      <c r="AF308" s="446">
        <f t="shared" si="268"/>
        <v>366</v>
      </c>
      <c r="AG308" s="446">
        <f t="shared" si="269"/>
        <v>17.860800000000001</v>
      </c>
      <c r="AH308" s="446">
        <f t="shared" si="270"/>
        <v>0.31476585600000001</v>
      </c>
      <c r="AI308" s="446">
        <f t="shared" si="271"/>
        <v>384</v>
      </c>
      <c r="AJ308" s="258">
        <f t="shared" si="272"/>
        <v>47623188</v>
      </c>
      <c r="AK308" s="258">
        <f t="shared" si="273"/>
        <v>49965312</v>
      </c>
      <c r="AL308" s="426">
        <f t="shared" si="274"/>
        <v>17</v>
      </c>
      <c r="AM308" s="426">
        <f t="array" ref="AM308">MAX((IF(MNU_CODIGO_ALIMENTO_ENTREGA=CONCATENATE($E308,"_","P_"),MNU_GRAMAJE_REQUERIDO_TIPOM,"")))</f>
        <v>40</v>
      </c>
      <c r="AN308" s="259">
        <f t="shared" si="275"/>
        <v>215</v>
      </c>
      <c r="AO308" s="259">
        <f t="shared" si="276"/>
        <v>3655</v>
      </c>
      <c r="AP308" s="446">
        <f t="shared" si="277"/>
        <v>244</v>
      </c>
      <c r="AQ308" s="446">
        <f t="shared" si="278"/>
        <v>11.9072</v>
      </c>
      <c r="AR308" s="446">
        <f t="shared" si="279"/>
        <v>0.209843904</v>
      </c>
      <c r="AS308" s="446">
        <f t="shared" si="280"/>
        <v>256</v>
      </c>
      <c r="AT308" s="260">
        <f t="shared" si="281"/>
        <v>891820</v>
      </c>
      <c r="AU308" s="260">
        <f t="shared" si="282"/>
        <v>935680</v>
      </c>
      <c r="AV308" s="425">
        <f t="shared" si="283"/>
        <v>17</v>
      </c>
      <c r="AW308" s="425">
        <f t="array" ref="AW308">MAX((IF(MNU_CODIGO_ALIMENTO_ENTREGA=CONCATENATE($E308,"_","P_"),MNU_GRAMAJE_REQUERIDO_TIPOH,"")))</f>
        <v>60</v>
      </c>
      <c r="AX308" s="257">
        <f t="shared" si="284"/>
        <v>167</v>
      </c>
      <c r="AY308" s="257">
        <f t="shared" si="285"/>
        <v>2839</v>
      </c>
      <c r="AZ308" s="446">
        <f t="shared" si="286"/>
        <v>366</v>
      </c>
      <c r="BA308" s="446">
        <f t="shared" si="287"/>
        <v>17.860800000000001</v>
      </c>
      <c r="BB308" s="446">
        <f t="shared" si="288"/>
        <v>0.31476585600000001</v>
      </c>
      <c r="BC308" s="446">
        <f t="shared" si="289"/>
        <v>384</v>
      </c>
      <c r="BD308" s="258">
        <f t="shared" si="290"/>
        <v>1039074</v>
      </c>
      <c r="BE308" s="258">
        <f t="shared" si="291"/>
        <v>1090176</v>
      </c>
      <c r="BF308" s="391">
        <f t="shared" si="292"/>
        <v>102490858</v>
      </c>
      <c r="BG308" s="391">
        <f t="shared" si="293"/>
        <v>107531392</v>
      </c>
    </row>
    <row r="309" spans="1:59" ht="15.75">
      <c r="A309" s="333">
        <v>25</v>
      </c>
      <c r="B309" s="333" t="str">
        <f t="shared" si="245"/>
        <v>CEREAL EMPACADO_25</v>
      </c>
      <c r="C309" s="333" t="str">
        <f t="shared" si="246"/>
        <v>26_25</v>
      </c>
      <c r="D309" s="333" t="s">
        <v>1607</v>
      </c>
      <c r="E309" s="256">
        <v>26</v>
      </c>
      <c r="F309" s="322" t="s">
        <v>69</v>
      </c>
      <c r="G309" s="256" t="s">
        <v>9</v>
      </c>
      <c r="H309" s="425">
        <f t="shared" si="247"/>
        <v>6</v>
      </c>
      <c r="I309" s="425">
        <f t="array" ref="I309">MAX((IF(MNU_CODIGO_ALIMENTO_ENTREGA=CONCATENATE($E309,"_","P_"),MNU_GRAMAJE_REQUERIDO_TIPOA,"")))</f>
        <v>30</v>
      </c>
      <c r="J309" s="257">
        <f t="shared" si="248"/>
        <v>5680</v>
      </c>
      <c r="K309" s="257">
        <f t="shared" si="249"/>
        <v>34080</v>
      </c>
      <c r="L309" s="446">
        <f t="shared" si="250"/>
        <v>163</v>
      </c>
      <c r="M309" s="446">
        <f t="shared" si="251"/>
        <v>7.9543999999999997</v>
      </c>
      <c r="N309" s="446">
        <f t="shared" si="252"/>
        <v>0.14018260800000001</v>
      </c>
      <c r="O309" s="446">
        <f t="shared" si="253"/>
        <v>171</v>
      </c>
      <c r="P309" s="258">
        <f t="shared" si="254"/>
        <v>5555040</v>
      </c>
      <c r="Q309" s="258">
        <f t="shared" si="255"/>
        <v>5827680</v>
      </c>
      <c r="R309" s="426">
        <f t="shared" si="256"/>
        <v>6</v>
      </c>
      <c r="S309" s="426">
        <f t="array" ref="S309">MAX((IF(MNU_CODIGO_ALIMENTO_ENTREGA=CONCATENATE($E309,"_","P_"),MNU_GRAMAJE_REQUERIDO_TIPOB,"")))</f>
        <v>30</v>
      </c>
      <c r="T309" s="259">
        <f t="shared" si="257"/>
        <v>7082</v>
      </c>
      <c r="U309" s="259">
        <f t="shared" si="258"/>
        <v>42492</v>
      </c>
      <c r="V309" s="446">
        <f t="shared" si="259"/>
        <v>163</v>
      </c>
      <c r="W309" s="446">
        <f t="shared" si="260"/>
        <v>7.9543999999999997</v>
      </c>
      <c r="X309" s="446">
        <f t="shared" si="261"/>
        <v>0.14018260800000001</v>
      </c>
      <c r="Y309" s="446">
        <f t="shared" si="262"/>
        <v>171</v>
      </c>
      <c r="Z309" s="260">
        <f t="shared" si="263"/>
        <v>6926196</v>
      </c>
      <c r="AA309" s="260">
        <f t="shared" si="264"/>
        <v>7266132</v>
      </c>
      <c r="AB309" s="425">
        <f t="shared" si="265"/>
        <v>6</v>
      </c>
      <c r="AC309" s="425">
        <f t="array" ref="AC309">MAX((IF(MNU_CODIGO_ALIMENTO_ENTREGA=CONCATENATE($E309,"_","P_"),MNU_GRAMAJE_REQUERIDO_TIPOC,"")))</f>
        <v>30</v>
      </c>
      <c r="AD309" s="257">
        <f t="shared" si="266"/>
        <v>7654</v>
      </c>
      <c r="AE309" s="257">
        <f t="shared" si="267"/>
        <v>45924</v>
      </c>
      <c r="AF309" s="446">
        <f t="shared" si="268"/>
        <v>163</v>
      </c>
      <c r="AG309" s="446">
        <f t="shared" si="269"/>
        <v>7.9543999999999997</v>
      </c>
      <c r="AH309" s="446">
        <f t="shared" si="270"/>
        <v>0.14018260800000001</v>
      </c>
      <c r="AI309" s="446">
        <f t="shared" si="271"/>
        <v>171</v>
      </c>
      <c r="AJ309" s="258">
        <f t="shared" si="272"/>
        <v>7485612</v>
      </c>
      <c r="AK309" s="258">
        <f t="shared" si="273"/>
        <v>7853004</v>
      </c>
      <c r="AL309" s="426">
        <f t="shared" si="274"/>
        <v>6</v>
      </c>
      <c r="AM309" s="426">
        <f t="array" ref="AM309">MAX((IF(MNU_CODIGO_ALIMENTO_ENTREGA=CONCATENATE($E309,"_","P_"),MNU_GRAMAJE_REQUERIDO_TIPOM,"")))</f>
        <v>30</v>
      </c>
      <c r="AN309" s="259">
        <f t="shared" si="275"/>
        <v>215</v>
      </c>
      <c r="AO309" s="259">
        <f t="shared" si="276"/>
        <v>1290</v>
      </c>
      <c r="AP309" s="446">
        <f t="shared" si="277"/>
        <v>163</v>
      </c>
      <c r="AQ309" s="446">
        <f t="shared" si="278"/>
        <v>7.9543999999999997</v>
      </c>
      <c r="AR309" s="446">
        <f t="shared" si="279"/>
        <v>0.14018260800000001</v>
      </c>
      <c r="AS309" s="446">
        <f t="shared" si="280"/>
        <v>171</v>
      </c>
      <c r="AT309" s="260">
        <f t="shared" si="281"/>
        <v>210270</v>
      </c>
      <c r="AU309" s="260">
        <f t="shared" si="282"/>
        <v>220590</v>
      </c>
      <c r="AV309" s="425">
        <f t="shared" si="283"/>
        <v>6</v>
      </c>
      <c r="AW309" s="425">
        <f t="array" ref="AW309">MAX((IF(MNU_CODIGO_ALIMENTO_ENTREGA=CONCATENATE($E309,"_","P_"),MNU_GRAMAJE_REQUERIDO_TIPOH,"")))</f>
        <v>30</v>
      </c>
      <c r="AX309" s="257">
        <f t="shared" si="284"/>
        <v>167</v>
      </c>
      <c r="AY309" s="257">
        <f t="shared" si="285"/>
        <v>1002</v>
      </c>
      <c r="AZ309" s="446">
        <f t="shared" si="286"/>
        <v>163</v>
      </c>
      <c r="BA309" s="446">
        <f t="shared" si="287"/>
        <v>7.9543999999999997</v>
      </c>
      <c r="BB309" s="446">
        <f t="shared" si="288"/>
        <v>0.14018260800000001</v>
      </c>
      <c r="BC309" s="446">
        <f t="shared" si="289"/>
        <v>171</v>
      </c>
      <c r="BD309" s="258">
        <f t="shared" si="290"/>
        <v>163326</v>
      </c>
      <c r="BE309" s="258">
        <f t="shared" si="291"/>
        <v>171342</v>
      </c>
      <c r="BF309" s="391">
        <f t="shared" si="292"/>
        <v>20340444</v>
      </c>
      <c r="BG309" s="391">
        <f t="shared" si="293"/>
        <v>21338748</v>
      </c>
    </row>
    <row r="310" spans="1:59" ht="27">
      <c r="A310" s="333">
        <v>25</v>
      </c>
      <c r="B310" s="333" t="str">
        <f t="shared" si="245"/>
        <v>CEREAL EMPACADO_25</v>
      </c>
      <c r="C310" s="333" t="str">
        <f t="shared" si="246"/>
        <v>28_25</v>
      </c>
      <c r="D310" s="333" t="s">
        <v>1607</v>
      </c>
      <c r="E310" s="256">
        <v>28</v>
      </c>
      <c r="F310" s="322" t="s">
        <v>67</v>
      </c>
      <c r="G310" s="256" t="s">
        <v>9</v>
      </c>
      <c r="H310" s="425">
        <f t="shared" si="247"/>
        <v>6</v>
      </c>
      <c r="I310" s="425">
        <f t="array" ref="I310">MAX((IF(MNU_CODIGO_ALIMENTO_ENTREGA=CONCATENATE($E310,"_","P_"),MNU_GRAMAJE_REQUERIDO_TIPOA,"")))</f>
        <v>30</v>
      </c>
      <c r="J310" s="257">
        <f t="shared" si="248"/>
        <v>5680</v>
      </c>
      <c r="K310" s="257">
        <f t="shared" si="249"/>
        <v>34080</v>
      </c>
      <c r="L310" s="446">
        <f t="shared" si="250"/>
        <v>215</v>
      </c>
      <c r="M310" s="446">
        <f t="shared" si="251"/>
        <v>10.492000000000001</v>
      </c>
      <c r="N310" s="446">
        <f t="shared" si="252"/>
        <v>0.18490343999999997</v>
      </c>
      <c r="O310" s="446">
        <f t="shared" si="253"/>
        <v>226</v>
      </c>
      <c r="P310" s="258">
        <f t="shared" si="254"/>
        <v>7327200</v>
      </c>
      <c r="Q310" s="258">
        <f t="shared" si="255"/>
        <v>7702080</v>
      </c>
      <c r="R310" s="426">
        <f t="shared" si="256"/>
        <v>6</v>
      </c>
      <c r="S310" s="426">
        <f t="array" ref="S310">MAX((IF(MNU_CODIGO_ALIMENTO_ENTREGA=CONCATENATE($E310,"_","P_"),MNU_GRAMAJE_REQUERIDO_TIPOB,"")))</f>
        <v>40</v>
      </c>
      <c r="T310" s="259">
        <f t="shared" si="257"/>
        <v>7082</v>
      </c>
      <c r="U310" s="259">
        <f t="shared" si="258"/>
        <v>42492</v>
      </c>
      <c r="V310" s="446">
        <f t="shared" si="259"/>
        <v>287</v>
      </c>
      <c r="W310" s="446">
        <f t="shared" si="260"/>
        <v>14.005600000000001</v>
      </c>
      <c r="X310" s="446">
        <f t="shared" si="261"/>
        <v>0.24682459200000004</v>
      </c>
      <c r="Y310" s="446">
        <f t="shared" si="262"/>
        <v>301</v>
      </c>
      <c r="Z310" s="260">
        <f t="shared" si="263"/>
        <v>12195204</v>
      </c>
      <c r="AA310" s="260">
        <f t="shared" si="264"/>
        <v>12790092</v>
      </c>
      <c r="AB310" s="425">
        <f t="shared" si="265"/>
        <v>6</v>
      </c>
      <c r="AC310" s="425">
        <f t="array" ref="AC310">MAX((IF(MNU_CODIGO_ALIMENTO_ENTREGA=CONCATENATE($E310,"_","P_"),MNU_GRAMAJE_REQUERIDO_TIPOC,"")))</f>
        <v>60</v>
      </c>
      <c r="AD310" s="257">
        <f t="shared" si="266"/>
        <v>7654</v>
      </c>
      <c r="AE310" s="257">
        <f t="shared" si="267"/>
        <v>45924</v>
      </c>
      <c r="AF310" s="446">
        <f t="shared" si="268"/>
        <v>430</v>
      </c>
      <c r="AG310" s="446">
        <f t="shared" si="269"/>
        <v>20.984000000000002</v>
      </c>
      <c r="AH310" s="446">
        <f t="shared" si="270"/>
        <v>0.36980687999999995</v>
      </c>
      <c r="AI310" s="446">
        <f t="shared" si="271"/>
        <v>451</v>
      </c>
      <c r="AJ310" s="258">
        <f t="shared" si="272"/>
        <v>19747320</v>
      </c>
      <c r="AK310" s="258">
        <f t="shared" si="273"/>
        <v>20711724</v>
      </c>
      <c r="AL310" s="426">
        <f t="shared" si="274"/>
        <v>6</v>
      </c>
      <c r="AM310" s="426">
        <f t="array" ref="AM310">MAX((IF(MNU_CODIGO_ALIMENTO_ENTREGA=CONCATENATE($E310,"_","P_"),MNU_GRAMAJE_REQUERIDO_TIPOM,"")))</f>
        <v>40</v>
      </c>
      <c r="AN310" s="259">
        <f t="shared" si="275"/>
        <v>215</v>
      </c>
      <c r="AO310" s="259">
        <f t="shared" si="276"/>
        <v>1290</v>
      </c>
      <c r="AP310" s="446">
        <f t="shared" si="277"/>
        <v>287</v>
      </c>
      <c r="AQ310" s="446">
        <f t="shared" si="278"/>
        <v>14.005600000000001</v>
      </c>
      <c r="AR310" s="446">
        <f t="shared" si="279"/>
        <v>0.24682459200000004</v>
      </c>
      <c r="AS310" s="446">
        <f t="shared" si="280"/>
        <v>301</v>
      </c>
      <c r="AT310" s="260">
        <f t="shared" si="281"/>
        <v>370230</v>
      </c>
      <c r="AU310" s="260">
        <f t="shared" si="282"/>
        <v>388290</v>
      </c>
      <c r="AV310" s="425">
        <f t="shared" si="283"/>
        <v>6</v>
      </c>
      <c r="AW310" s="425">
        <f t="array" ref="AW310">MAX((IF(MNU_CODIGO_ALIMENTO_ENTREGA=CONCATENATE($E310,"_","P_"),MNU_GRAMAJE_REQUERIDO_TIPOH,"")))</f>
        <v>60</v>
      </c>
      <c r="AX310" s="257">
        <f t="shared" si="284"/>
        <v>167</v>
      </c>
      <c r="AY310" s="257">
        <f t="shared" si="285"/>
        <v>1002</v>
      </c>
      <c r="AZ310" s="446">
        <f t="shared" si="286"/>
        <v>430</v>
      </c>
      <c r="BA310" s="446">
        <f t="shared" si="287"/>
        <v>20.984000000000002</v>
      </c>
      <c r="BB310" s="446">
        <f t="shared" si="288"/>
        <v>0.36980687999999995</v>
      </c>
      <c r="BC310" s="446">
        <f t="shared" si="289"/>
        <v>451</v>
      </c>
      <c r="BD310" s="258">
        <f t="shared" si="290"/>
        <v>430860</v>
      </c>
      <c r="BE310" s="258">
        <f t="shared" si="291"/>
        <v>451902</v>
      </c>
      <c r="BF310" s="391">
        <f t="shared" si="292"/>
        <v>40070814</v>
      </c>
      <c r="BG310" s="391">
        <f t="shared" si="293"/>
        <v>42044088</v>
      </c>
    </row>
    <row r="311" spans="1:59" ht="15.75">
      <c r="A311" s="333">
        <v>25</v>
      </c>
      <c r="B311" s="333" t="str">
        <f t="shared" si="245"/>
        <v>CEREAL EMPACADO_25</v>
      </c>
      <c r="C311" s="333" t="str">
        <f t="shared" si="246"/>
        <v>30_25</v>
      </c>
      <c r="D311" s="333" t="s">
        <v>1607</v>
      </c>
      <c r="E311" s="256">
        <v>30</v>
      </c>
      <c r="F311" s="322" t="s">
        <v>63</v>
      </c>
      <c r="G311" s="256" t="s">
        <v>9</v>
      </c>
      <c r="H311" s="425">
        <f t="shared" si="247"/>
        <v>16</v>
      </c>
      <c r="I311" s="425">
        <f t="array" ref="I311">MAX((IF(MNU_CODIGO_ALIMENTO_ENTREGA=CONCATENATE($E311,"_","P_"),MNU_GRAMAJE_REQUERIDO_TIPOA,"")))</f>
        <v>30</v>
      </c>
      <c r="J311" s="257">
        <f t="shared" si="248"/>
        <v>5680</v>
      </c>
      <c r="K311" s="257">
        <f t="shared" si="249"/>
        <v>90880</v>
      </c>
      <c r="L311" s="446">
        <f t="shared" si="250"/>
        <v>316</v>
      </c>
      <c r="M311" s="446">
        <f t="shared" si="251"/>
        <v>15.4208</v>
      </c>
      <c r="N311" s="446">
        <f t="shared" si="252"/>
        <v>0.271765056</v>
      </c>
      <c r="O311" s="446">
        <f t="shared" si="253"/>
        <v>332</v>
      </c>
      <c r="P311" s="258">
        <f t="shared" si="254"/>
        <v>28718080</v>
      </c>
      <c r="Q311" s="258">
        <f t="shared" si="255"/>
        <v>30172160</v>
      </c>
      <c r="R311" s="426">
        <f t="shared" si="256"/>
        <v>16</v>
      </c>
      <c r="S311" s="426">
        <f t="array" ref="S311">MAX((IF(MNU_CODIGO_ALIMENTO_ENTREGA=CONCATENATE($E311,"_","P_"),MNU_GRAMAJE_REQUERIDO_TIPOB,"")))</f>
        <v>30</v>
      </c>
      <c r="T311" s="259">
        <f t="shared" si="257"/>
        <v>7082</v>
      </c>
      <c r="U311" s="259">
        <f t="shared" si="258"/>
        <v>113312</v>
      </c>
      <c r="V311" s="446">
        <f t="shared" si="259"/>
        <v>316</v>
      </c>
      <c r="W311" s="446">
        <f t="shared" si="260"/>
        <v>15.4208</v>
      </c>
      <c r="X311" s="446">
        <f t="shared" si="261"/>
        <v>0.271765056</v>
      </c>
      <c r="Y311" s="446">
        <f t="shared" si="262"/>
        <v>332</v>
      </c>
      <c r="Z311" s="260">
        <f t="shared" si="263"/>
        <v>35806592</v>
      </c>
      <c r="AA311" s="260">
        <f t="shared" si="264"/>
        <v>37619584</v>
      </c>
      <c r="AB311" s="425">
        <f t="shared" si="265"/>
        <v>16</v>
      </c>
      <c r="AC311" s="425">
        <f t="array" ref="AC311">MAX((IF(MNU_CODIGO_ALIMENTO_ENTREGA=CONCATENATE($E311,"_","P_"),MNU_GRAMAJE_REQUERIDO_TIPOC,"")))</f>
        <v>30</v>
      </c>
      <c r="AD311" s="257">
        <f t="shared" si="266"/>
        <v>7654</v>
      </c>
      <c r="AE311" s="257">
        <f t="shared" si="267"/>
        <v>122464</v>
      </c>
      <c r="AF311" s="446">
        <f t="shared" si="268"/>
        <v>316</v>
      </c>
      <c r="AG311" s="446">
        <f t="shared" si="269"/>
        <v>15.4208</v>
      </c>
      <c r="AH311" s="446">
        <f t="shared" si="270"/>
        <v>0.271765056</v>
      </c>
      <c r="AI311" s="446">
        <f t="shared" si="271"/>
        <v>332</v>
      </c>
      <c r="AJ311" s="258">
        <f t="shared" si="272"/>
        <v>38698624</v>
      </c>
      <c r="AK311" s="258">
        <f t="shared" si="273"/>
        <v>40658048</v>
      </c>
      <c r="AL311" s="426">
        <f t="shared" si="274"/>
        <v>16</v>
      </c>
      <c r="AM311" s="426">
        <f t="array" ref="AM311">MAX((IF(MNU_CODIGO_ALIMENTO_ENTREGA=CONCATENATE($E311,"_","P_"),MNU_GRAMAJE_REQUERIDO_TIPOM,"")))</f>
        <v>30</v>
      </c>
      <c r="AN311" s="259">
        <f t="shared" si="275"/>
        <v>215</v>
      </c>
      <c r="AO311" s="259">
        <f t="shared" si="276"/>
        <v>3440</v>
      </c>
      <c r="AP311" s="446">
        <f t="shared" si="277"/>
        <v>316</v>
      </c>
      <c r="AQ311" s="446">
        <f t="shared" si="278"/>
        <v>15.4208</v>
      </c>
      <c r="AR311" s="446">
        <f t="shared" si="279"/>
        <v>0.271765056</v>
      </c>
      <c r="AS311" s="446">
        <f t="shared" si="280"/>
        <v>332</v>
      </c>
      <c r="AT311" s="260">
        <f t="shared" si="281"/>
        <v>1087040</v>
      </c>
      <c r="AU311" s="260">
        <f t="shared" si="282"/>
        <v>1142080</v>
      </c>
      <c r="AV311" s="425">
        <f t="shared" si="283"/>
        <v>16</v>
      </c>
      <c r="AW311" s="425">
        <f t="array" ref="AW311">MAX((IF(MNU_CODIGO_ALIMENTO_ENTREGA=CONCATENATE($E311,"_","P_"),MNU_GRAMAJE_REQUERIDO_TIPOH,"")))</f>
        <v>30</v>
      </c>
      <c r="AX311" s="257">
        <f t="shared" si="284"/>
        <v>167</v>
      </c>
      <c r="AY311" s="257">
        <f t="shared" si="285"/>
        <v>2672</v>
      </c>
      <c r="AZ311" s="446">
        <f t="shared" si="286"/>
        <v>316</v>
      </c>
      <c r="BA311" s="446">
        <f t="shared" si="287"/>
        <v>15.4208</v>
      </c>
      <c r="BB311" s="446">
        <f t="shared" si="288"/>
        <v>0.271765056</v>
      </c>
      <c r="BC311" s="446">
        <f t="shared" si="289"/>
        <v>332</v>
      </c>
      <c r="BD311" s="258">
        <f t="shared" si="290"/>
        <v>844352</v>
      </c>
      <c r="BE311" s="258">
        <f t="shared" si="291"/>
        <v>887104</v>
      </c>
      <c r="BF311" s="391">
        <f t="shared" si="292"/>
        <v>105154688</v>
      </c>
      <c r="BG311" s="391">
        <f t="shared" si="293"/>
        <v>110478976</v>
      </c>
    </row>
    <row r="312" spans="1:59" ht="15.75">
      <c r="A312" s="333">
        <v>25</v>
      </c>
      <c r="B312" s="333" t="str">
        <f t="shared" si="245"/>
        <v>CEREAL EMPACADO_25</v>
      </c>
      <c r="C312" s="333" t="str">
        <f t="shared" si="246"/>
        <v>45_25</v>
      </c>
      <c r="D312" s="333" t="s">
        <v>1607</v>
      </c>
      <c r="E312" s="256">
        <v>45</v>
      </c>
      <c r="F312" s="322" t="s">
        <v>10</v>
      </c>
      <c r="G312" s="256" t="s">
        <v>9</v>
      </c>
      <c r="H312" s="425">
        <f t="shared" si="247"/>
        <v>16</v>
      </c>
      <c r="I312" s="425">
        <f t="array" ref="I312">MAX((IF(MNU_CODIGO_ALIMENTO_ENTREGA=CONCATENATE($E312,"_","P_"),MNU_GRAMAJE_REQUERIDO_TIPOA,"")))</f>
        <v>20</v>
      </c>
      <c r="J312" s="257">
        <f t="shared" si="248"/>
        <v>5680</v>
      </c>
      <c r="K312" s="257">
        <f t="shared" si="249"/>
        <v>90880</v>
      </c>
      <c r="L312" s="446">
        <f t="shared" si="250"/>
        <v>190</v>
      </c>
      <c r="M312" s="446">
        <f t="shared" si="251"/>
        <v>9.2720000000000002</v>
      </c>
      <c r="N312" s="446">
        <f t="shared" si="252"/>
        <v>0.16340304</v>
      </c>
      <c r="O312" s="446">
        <f t="shared" si="253"/>
        <v>199</v>
      </c>
      <c r="P312" s="258">
        <f t="shared" si="254"/>
        <v>17267200</v>
      </c>
      <c r="Q312" s="258">
        <f t="shared" si="255"/>
        <v>18085120</v>
      </c>
      <c r="R312" s="426">
        <f t="shared" si="256"/>
        <v>16</v>
      </c>
      <c r="S312" s="426">
        <f t="array" ref="S312">MAX((IF(MNU_CODIGO_ALIMENTO_ENTREGA=CONCATENATE($E312,"_","P_"),MNU_GRAMAJE_REQUERIDO_TIPOB,"")))</f>
        <v>30</v>
      </c>
      <c r="T312" s="259">
        <f t="shared" si="257"/>
        <v>7082</v>
      </c>
      <c r="U312" s="259">
        <f t="shared" si="258"/>
        <v>113312</v>
      </c>
      <c r="V312" s="446">
        <f t="shared" si="259"/>
        <v>284</v>
      </c>
      <c r="W312" s="446">
        <f t="shared" si="260"/>
        <v>13.8592</v>
      </c>
      <c r="X312" s="446">
        <f t="shared" si="261"/>
        <v>0.24424454399999998</v>
      </c>
      <c r="Y312" s="446">
        <f t="shared" si="262"/>
        <v>298</v>
      </c>
      <c r="Z312" s="260">
        <f t="shared" si="263"/>
        <v>32180608</v>
      </c>
      <c r="AA312" s="260">
        <f t="shared" si="264"/>
        <v>33766976</v>
      </c>
      <c r="AB312" s="425">
        <f t="shared" si="265"/>
        <v>16</v>
      </c>
      <c r="AC312" s="425">
        <f t="array" ref="AC312">MAX((IF(MNU_CODIGO_ALIMENTO_ENTREGA=CONCATENATE($E312,"_","P_"),MNU_GRAMAJE_REQUERIDO_TIPOC,"")))</f>
        <v>60</v>
      </c>
      <c r="AD312" s="257">
        <f t="shared" si="266"/>
        <v>7654</v>
      </c>
      <c r="AE312" s="257">
        <f t="shared" si="267"/>
        <v>122464</v>
      </c>
      <c r="AF312" s="446">
        <f t="shared" si="268"/>
        <v>569</v>
      </c>
      <c r="AG312" s="446">
        <f t="shared" si="269"/>
        <v>27.767199999999999</v>
      </c>
      <c r="AH312" s="446">
        <f t="shared" si="270"/>
        <v>0.48934910400000003</v>
      </c>
      <c r="AI312" s="446">
        <f t="shared" si="271"/>
        <v>597</v>
      </c>
      <c r="AJ312" s="258">
        <f t="shared" si="272"/>
        <v>69682016</v>
      </c>
      <c r="AK312" s="258">
        <f t="shared" si="273"/>
        <v>73111008</v>
      </c>
      <c r="AL312" s="426">
        <f t="shared" si="274"/>
        <v>16</v>
      </c>
      <c r="AM312" s="426">
        <f t="array" ref="AM312">MAX((IF(MNU_CODIGO_ALIMENTO_ENTREGA=CONCATENATE($E312,"_","P_"),MNU_GRAMAJE_REQUERIDO_TIPOM,"")))</f>
        <v>30</v>
      </c>
      <c r="AN312" s="259">
        <f t="shared" si="275"/>
        <v>215</v>
      </c>
      <c r="AO312" s="259">
        <f t="shared" si="276"/>
        <v>3440</v>
      </c>
      <c r="AP312" s="446">
        <f t="shared" si="277"/>
        <v>284</v>
      </c>
      <c r="AQ312" s="446">
        <f t="shared" si="278"/>
        <v>13.8592</v>
      </c>
      <c r="AR312" s="446">
        <f t="shared" si="279"/>
        <v>0.24424454399999998</v>
      </c>
      <c r="AS312" s="446">
        <f t="shared" si="280"/>
        <v>298</v>
      </c>
      <c r="AT312" s="260">
        <f t="shared" si="281"/>
        <v>976960</v>
      </c>
      <c r="AU312" s="260">
        <f t="shared" si="282"/>
        <v>1025120</v>
      </c>
      <c r="AV312" s="425">
        <f t="shared" si="283"/>
        <v>16</v>
      </c>
      <c r="AW312" s="425">
        <f t="array" ref="AW312">MAX((IF(MNU_CODIGO_ALIMENTO_ENTREGA=CONCATENATE($E312,"_","P_"),MNU_GRAMAJE_REQUERIDO_TIPOH,"")))</f>
        <v>60</v>
      </c>
      <c r="AX312" s="257">
        <f t="shared" si="284"/>
        <v>167</v>
      </c>
      <c r="AY312" s="257">
        <f t="shared" si="285"/>
        <v>2672</v>
      </c>
      <c r="AZ312" s="446">
        <f t="shared" si="286"/>
        <v>569</v>
      </c>
      <c r="BA312" s="446">
        <f t="shared" si="287"/>
        <v>27.767199999999999</v>
      </c>
      <c r="BB312" s="446">
        <f t="shared" si="288"/>
        <v>0.48934910400000003</v>
      </c>
      <c r="BC312" s="446">
        <f t="shared" si="289"/>
        <v>597</v>
      </c>
      <c r="BD312" s="258">
        <f t="shared" si="290"/>
        <v>1520368</v>
      </c>
      <c r="BE312" s="258">
        <f t="shared" si="291"/>
        <v>1595184</v>
      </c>
      <c r="BF312" s="391">
        <f t="shared" si="292"/>
        <v>121627152</v>
      </c>
      <c r="BG312" s="391">
        <f t="shared" si="293"/>
        <v>127583408</v>
      </c>
    </row>
    <row r="313" spans="1:59" ht="15.75">
      <c r="A313" s="333">
        <v>25</v>
      </c>
      <c r="B313" s="333" t="str">
        <f t="shared" si="245"/>
        <v>CEREAL EMPACADO_25</v>
      </c>
      <c r="C313" s="333" t="str">
        <f t="shared" si="246"/>
        <v>50_25</v>
      </c>
      <c r="D313" s="333" t="s">
        <v>1607</v>
      </c>
      <c r="E313" s="256">
        <v>50</v>
      </c>
      <c r="F313" s="322" t="s">
        <v>65</v>
      </c>
      <c r="G313" s="256" t="s">
        <v>9</v>
      </c>
      <c r="H313" s="425">
        <f t="shared" si="247"/>
        <v>17</v>
      </c>
      <c r="I313" s="425">
        <f t="array" ref="I313">MAX((IF(MNU_CODIGO_ALIMENTO_ENTREGA=CONCATENATE($E313,"_","P_"),MNU_GRAMAJE_REQUERIDO_TIPOA,"")))</f>
        <v>30</v>
      </c>
      <c r="J313" s="257">
        <f t="shared" si="248"/>
        <v>5680</v>
      </c>
      <c r="K313" s="257">
        <f t="shared" si="249"/>
        <v>96560</v>
      </c>
      <c r="L313" s="446">
        <f t="shared" si="250"/>
        <v>306</v>
      </c>
      <c r="M313" s="446">
        <f t="shared" si="251"/>
        <v>14.9328</v>
      </c>
      <c r="N313" s="446">
        <f t="shared" si="252"/>
        <v>0.26316489599999998</v>
      </c>
      <c r="O313" s="446">
        <f t="shared" si="253"/>
        <v>321</v>
      </c>
      <c r="P313" s="258">
        <f t="shared" si="254"/>
        <v>29547360</v>
      </c>
      <c r="Q313" s="258">
        <f t="shared" si="255"/>
        <v>30995760</v>
      </c>
      <c r="R313" s="426">
        <f t="shared" si="256"/>
        <v>17</v>
      </c>
      <c r="S313" s="426">
        <f t="array" ref="S313">MAX((IF(MNU_CODIGO_ALIMENTO_ENTREGA=CONCATENATE($E313,"_","P_"),MNU_GRAMAJE_REQUERIDO_TIPOB,"")))</f>
        <v>40</v>
      </c>
      <c r="T313" s="259">
        <f t="shared" si="257"/>
        <v>7082</v>
      </c>
      <c r="U313" s="259">
        <f t="shared" si="258"/>
        <v>120394</v>
      </c>
      <c r="V313" s="446">
        <f t="shared" si="259"/>
        <v>408</v>
      </c>
      <c r="W313" s="446">
        <f t="shared" si="260"/>
        <v>19.910400000000003</v>
      </c>
      <c r="X313" s="446">
        <f t="shared" si="261"/>
        <v>0.35088652799999998</v>
      </c>
      <c r="Y313" s="446">
        <f t="shared" si="262"/>
        <v>428</v>
      </c>
      <c r="Z313" s="260">
        <f t="shared" si="263"/>
        <v>49120752</v>
      </c>
      <c r="AA313" s="260">
        <f t="shared" si="264"/>
        <v>51528632</v>
      </c>
      <c r="AB313" s="425">
        <f t="shared" si="265"/>
        <v>17</v>
      </c>
      <c r="AC313" s="425">
        <f t="array" ref="AC313">MAX((IF(MNU_CODIGO_ALIMENTO_ENTREGA=CONCATENATE($E313,"_","P_"),MNU_GRAMAJE_REQUERIDO_TIPOC,"")))</f>
        <v>80</v>
      </c>
      <c r="AD313" s="257">
        <f t="shared" si="266"/>
        <v>7654</v>
      </c>
      <c r="AE313" s="257">
        <f t="shared" si="267"/>
        <v>130118</v>
      </c>
      <c r="AF313" s="446">
        <f t="shared" si="268"/>
        <v>815</v>
      </c>
      <c r="AG313" s="446">
        <f t="shared" si="269"/>
        <v>39.772000000000006</v>
      </c>
      <c r="AH313" s="446">
        <f t="shared" si="270"/>
        <v>0.7009130400000001</v>
      </c>
      <c r="AI313" s="446">
        <f t="shared" si="271"/>
        <v>855</v>
      </c>
      <c r="AJ313" s="258">
        <f t="shared" si="272"/>
        <v>106046170</v>
      </c>
      <c r="AK313" s="258">
        <f t="shared" si="273"/>
        <v>111250890</v>
      </c>
      <c r="AL313" s="426">
        <f t="shared" si="274"/>
        <v>17</v>
      </c>
      <c r="AM313" s="426">
        <f t="array" ref="AM313">MAX((IF(MNU_CODIGO_ALIMENTO_ENTREGA=CONCATENATE($E313,"_","P_"),MNU_GRAMAJE_REQUERIDO_TIPOM,"")))</f>
        <v>40</v>
      </c>
      <c r="AN313" s="259">
        <f t="shared" si="275"/>
        <v>215</v>
      </c>
      <c r="AO313" s="259">
        <f t="shared" si="276"/>
        <v>3655</v>
      </c>
      <c r="AP313" s="446">
        <f t="shared" si="277"/>
        <v>408</v>
      </c>
      <c r="AQ313" s="446">
        <f t="shared" si="278"/>
        <v>19.910400000000003</v>
      </c>
      <c r="AR313" s="446">
        <f t="shared" si="279"/>
        <v>0.35088652799999998</v>
      </c>
      <c r="AS313" s="446">
        <f t="shared" si="280"/>
        <v>428</v>
      </c>
      <c r="AT313" s="260">
        <f t="shared" si="281"/>
        <v>1491240</v>
      </c>
      <c r="AU313" s="260">
        <f t="shared" si="282"/>
        <v>1564340</v>
      </c>
      <c r="AV313" s="425">
        <f t="shared" si="283"/>
        <v>17</v>
      </c>
      <c r="AW313" s="425">
        <f t="array" ref="AW313">MAX((IF(MNU_CODIGO_ALIMENTO_ENTREGA=CONCATENATE($E313,"_","P_"),MNU_GRAMAJE_REQUERIDO_TIPOH,"")))</f>
        <v>80</v>
      </c>
      <c r="AX313" s="257">
        <f t="shared" si="284"/>
        <v>167</v>
      </c>
      <c r="AY313" s="257">
        <f t="shared" si="285"/>
        <v>2839</v>
      </c>
      <c r="AZ313" s="446">
        <f t="shared" si="286"/>
        <v>815</v>
      </c>
      <c r="BA313" s="446">
        <f t="shared" si="287"/>
        <v>39.772000000000006</v>
      </c>
      <c r="BB313" s="446">
        <f t="shared" si="288"/>
        <v>0.7009130400000001</v>
      </c>
      <c r="BC313" s="446">
        <f t="shared" si="289"/>
        <v>855</v>
      </c>
      <c r="BD313" s="258">
        <f t="shared" si="290"/>
        <v>2313785</v>
      </c>
      <c r="BE313" s="258">
        <f t="shared" si="291"/>
        <v>2427345</v>
      </c>
      <c r="BF313" s="391">
        <f t="shared" si="292"/>
        <v>188519307</v>
      </c>
      <c r="BG313" s="391">
        <f t="shared" si="293"/>
        <v>197766967</v>
      </c>
    </row>
    <row r="314" spans="1:59" ht="15.75">
      <c r="A314" s="333">
        <v>25</v>
      </c>
      <c r="B314" s="333" t="str">
        <f t="shared" si="245"/>
        <v>CEREAL EMPACADO_25</v>
      </c>
      <c r="C314" s="333" t="str">
        <f t="shared" si="246"/>
        <v>61_25</v>
      </c>
      <c r="D314" s="333" t="s">
        <v>1607</v>
      </c>
      <c r="E314" s="256">
        <v>61</v>
      </c>
      <c r="F314" s="322" t="s">
        <v>13</v>
      </c>
      <c r="G314" s="256" t="s">
        <v>9</v>
      </c>
      <c r="H314" s="425">
        <f t="shared" si="247"/>
        <v>16</v>
      </c>
      <c r="I314" s="425">
        <f t="array" ref="I314">MAX((IF(MNU_CODIGO_ALIMENTO_ENTREGA=CONCATENATE($E314,"_","P_"),MNU_GRAMAJE_REQUERIDO_TIPOA,"")))</f>
        <v>20</v>
      </c>
      <c r="J314" s="257">
        <f t="shared" si="248"/>
        <v>5680</v>
      </c>
      <c r="K314" s="257">
        <f t="shared" si="249"/>
        <v>90880</v>
      </c>
      <c r="L314" s="446">
        <f t="shared" si="250"/>
        <v>222</v>
      </c>
      <c r="M314" s="446">
        <f t="shared" si="251"/>
        <v>10.833600000000001</v>
      </c>
      <c r="N314" s="446">
        <f t="shared" si="252"/>
        <v>0.190923552</v>
      </c>
      <c r="O314" s="446">
        <f t="shared" si="253"/>
        <v>233</v>
      </c>
      <c r="P314" s="258">
        <f t="shared" si="254"/>
        <v>20175360</v>
      </c>
      <c r="Q314" s="258">
        <f t="shared" si="255"/>
        <v>21175040</v>
      </c>
      <c r="R314" s="426">
        <f t="shared" si="256"/>
        <v>16</v>
      </c>
      <c r="S314" s="426">
        <f t="array" ref="S314">MAX((IF(MNU_CODIGO_ALIMENTO_ENTREGA=CONCATENATE($E314,"_","P_"),MNU_GRAMAJE_REQUERIDO_TIPOB,"")))</f>
        <v>30</v>
      </c>
      <c r="T314" s="259">
        <f t="shared" si="257"/>
        <v>7082</v>
      </c>
      <c r="U314" s="259">
        <f t="shared" si="258"/>
        <v>113312</v>
      </c>
      <c r="V314" s="446">
        <f t="shared" si="259"/>
        <v>334</v>
      </c>
      <c r="W314" s="446">
        <f t="shared" si="260"/>
        <v>16.299199999999999</v>
      </c>
      <c r="X314" s="446">
        <f t="shared" si="261"/>
        <v>0.28724534400000001</v>
      </c>
      <c r="Y314" s="446">
        <f t="shared" si="262"/>
        <v>351</v>
      </c>
      <c r="Z314" s="260">
        <f t="shared" si="263"/>
        <v>37846208</v>
      </c>
      <c r="AA314" s="260">
        <f t="shared" si="264"/>
        <v>39772512</v>
      </c>
      <c r="AB314" s="425">
        <f t="shared" si="265"/>
        <v>16</v>
      </c>
      <c r="AC314" s="425">
        <f t="array" ref="AC314">MAX((IF(MNU_CODIGO_ALIMENTO_ENTREGA=CONCATENATE($E314,"_","P_"),MNU_GRAMAJE_REQUERIDO_TIPOC,"")))</f>
        <v>70</v>
      </c>
      <c r="AD314" s="257">
        <f t="shared" si="266"/>
        <v>7654</v>
      </c>
      <c r="AE314" s="257">
        <f t="shared" si="267"/>
        <v>122464</v>
      </c>
      <c r="AF314" s="446">
        <f t="shared" si="268"/>
        <v>779</v>
      </c>
      <c r="AG314" s="446">
        <f t="shared" si="269"/>
        <v>38.0152</v>
      </c>
      <c r="AH314" s="446">
        <f t="shared" si="270"/>
        <v>0.66995246400000008</v>
      </c>
      <c r="AI314" s="446">
        <f t="shared" si="271"/>
        <v>818</v>
      </c>
      <c r="AJ314" s="258">
        <f t="shared" si="272"/>
        <v>95399456</v>
      </c>
      <c r="AK314" s="258">
        <f t="shared" si="273"/>
        <v>100175552</v>
      </c>
      <c r="AL314" s="426">
        <f t="shared" si="274"/>
        <v>16</v>
      </c>
      <c r="AM314" s="426">
        <f t="array" ref="AM314">MAX((IF(MNU_CODIGO_ALIMENTO_ENTREGA=CONCATENATE($E314,"_","P_"),MNU_GRAMAJE_REQUERIDO_TIPOM,"")))</f>
        <v>30</v>
      </c>
      <c r="AN314" s="259">
        <f t="shared" si="275"/>
        <v>215</v>
      </c>
      <c r="AO314" s="259">
        <f t="shared" si="276"/>
        <v>3440</v>
      </c>
      <c r="AP314" s="446">
        <f t="shared" si="277"/>
        <v>334</v>
      </c>
      <c r="AQ314" s="446">
        <f t="shared" si="278"/>
        <v>16.299199999999999</v>
      </c>
      <c r="AR314" s="446">
        <f t="shared" si="279"/>
        <v>0.28724534400000001</v>
      </c>
      <c r="AS314" s="446">
        <f t="shared" si="280"/>
        <v>351</v>
      </c>
      <c r="AT314" s="260">
        <f t="shared" si="281"/>
        <v>1148960</v>
      </c>
      <c r="AU314" s="260">
        <f t="shared" si="282"/>
        <v>1207440</v>
      </c>
      <c r="AV314" s="425">
        <f t="shared" si="283"/>
        <v>16</v>
      </c>
      <c r="AW314" s="425">
        <f t="array" ref="AW314">MAX((IF(MNU_CODIGO_ALIMENTO_ENTREGA=CONCATENATE($E314,"_","P_"),MNU_GRAMAJE_REQUERIDO_TIPOH,"")))</f>
        <v>70</v>
      </c>
      <c r="AX314" s="257">
        <f t="shared" si="284"/>
        <v>167</v>
      </c>
      <c r="AY314" s="257">
        <f t="shared" si="285"/>
        <v>2672</v>
      </c>
      <c r="AZ314" s="446">
        <f t="shared" si="286"/>
        <v>779</v>
      </c>
      <c r="BA314" s="446">
        <f t="shared" si="287"/>
        <v>38.0152</v>
      </c>
      <c r="BB314" s="446">
        <f t="shared" si="288"/>
        <v>0.66995246400000008</v>
      </c>
      <c r="BC314" s="446">
        <f t="shared" si="289"/>
        <v>818</v>
      </c>
      <c r="BD314" s="258">
        <f t="shared" si="290"/>
        <v>2081488</v>
      </c>
      <c r="BE314" s="258">
        <f t="shared" si="291"/>
        <v>2185696</v>
      </c>
      <c r="BF314" s="391">
        <f t="shared" si="292"/>
        <v>156651472</v>
      </c>
      <c r="BG314" s="391">
        <f t="shared" si="293"/>
        <v>164516240</v>
      </c>
    </row>
    <row r="315" spans="1:59" ht="15.75">
      <c r="A315" s="333">
        <v>25</v>
      </c>
      <c r="B315" s="333" t="str">
        <f t="shared" si="245"/>
        <v>CEREAL EMPACADO_25</v>
      </c>
      <c r="C315" s="333" t="str">
        <f t="shared" si="246"/>
        <v>62_25</v>
      </c>
      <c r="D315" s="333" t="s">
        <v>1607</v>
      </c>
      <c r="E315" s="256">
        <v>62</v>
      </c>
      <c r="F315" s="322" t="s">
        <v>68</v>
      </c>
      <c r="G315" s="256" t="s">
        <v>9</v>
      </c>
      <c r="H315" s="425">
        <f t="shared" si="247"/>
        <v>5</v>
      </c>
      <c r="I315" s="425">
        <f t="array" ref="I315">MAX((IF(MNU_CODIGO_ALIMENTO_ENTREGA=CONCATENATE($E315,"_","P_"),MNU_GRAMAJE_REQUERIDO_TIPOA,"")))</f>
        <v>50</v>
      </c>
      <c r="J315" s="257">
        <f t="shared" si="248"/>
        <v>5680</v>
      </c>
      <c r="K315" s="257">
        <f t="shared" si="249"/>
        <v>28400</v>
      </c>
      <c r="L315" s="446">
        <f t="shared" si="250"/>
        <v>595</v>
      </c>
      <c r="M315" s="446">
        <f t="shared" si="251"/>
        <v>29.036000000000001</v>
      </c>
      <c r="N315" s="446">
        <f t="shared" si="252"/>
        <v>0.51170952000000014</v>
      </c>
      <c r="O315" s="446">
        <f t="shared" si="253"/>
        <v>625</v>
      </c>
      <c r="P315" s="258">
        <f t="shared" si="254"/>
        <v>16898000</v>
      </c>
      <c r="Q315" s="258">
        <f t="shared" si="255"/>
        <v>17750000</v>
      </c>
      <c r="R315" s="426">
        <f t="shared" si="256"/>
        <v>5</v>
      </c>
      <c r="S315" s="426">
        <f t="array" ref="S315">MAX((IF(MNU_CODIGO_ALIMENTO_ENTREGA=CONCATENATE($E315,"_","P_"),MNU_GRAMAJE_REQUERIDO_TIPOB,"")))</f>
        <v>50</v>
      </c>
      <c r="T315" s="259">
        <f t="shared" si="257"/>
        <v>7082</v>
      </c>
      <c r="U315" s="259">
        <f t="shared" si="258"/>
        <v>35410</v>
      </c>
      <c r="V315" s="446">
        <f t="shared" si="259"/>
        <v>595</v>
      </c>
      <c r="W315" s="446">
        <f t="shared" si="260"/>
        <v>29.036000000000001</v>
      </c>
      <c r="X315" s="446">
        <f t="shared" si="261"/>
        <v>0.51170952000000014</v>
      </c>
      <c r="Y315" s="446">
        <f t="shared" si="262"/>
        <v>625</v>
      </c>
      <c r="Z315" s="260">
        <f t="shared" si="263"/>
        <v>21068950</v>
      </c>
      <c r="AA315" s="260">
        <f t="shared" si="264"/>
        <v>22131250</v>
      </c>
      <c r="AB315" s="425">
        <f t="shared" si="265"/>
        <v>5</v>
      </c>
      <c r="AC315" s="425">
        <f t="array" ref="AC315">MAX((IF(MNU_CODIGO_ALIMENTO_ENTREGA=CONCATENATE($E315,"_","P_"),MNU_GRAMAJE_REQUERIDO_TIPOC,"")))</f>
        <v>50</v>
      </c>
      <c r="AD315" s="257">
        <f t="shared" si="266"/>
        <v>7654</v>
      </c>
      <c r="AE315" s="257">
        <f t="shared" si="267"/>
        <v>38270</v>
      </c>
      <c r="AF315" s="446">
        <f t="shared" si="268"/>
        <v>595</v>
      </c>
      <c r="AG315" s="446">
        <f t="shared" si="269"/>
        <v>29.036000000000001</v>
      </c>
      <c r="AH315" s="446">
        <f t="shared" si="270"/>
        <v>0.51170952000000014</v>
      </c>
      <c r="AI315" s="446">
        <f t="shared" si="271"/>
        <v>625</v>
      </c>
      <c r="AJ315" s="258">
        <f t="shared" si="272"/>
        <v>22770650</v>
      </c>
      <c r="AK315" s="258">
        <f t="shared" si="273"/>
        <v>23918750</v>
      </c>
      <c r="AL315" s="426">
        <f t="shared" si="274"/>
        <v>5</v>
      </c>
      <c r="AM315" s="426">
        <f t="array" ref="AM315">MAX((IF(MNU_CODIGO_ALIMENTO_ENTREGA=CONCATENATE($E315,"_","P_"),MNU_GRAMAJE_REQUERIDO_TIPOM,"")))</f>
        <v>50</v>
      </c>
      <c r="AN315" s="259">
        <f t="shared" si="275"/>
        <v>215</v>
      </c>
      <c r="AO315" s="259">
        <f t="shared" si="276"/>
        <v>1075</v>
      </c>
      <c r="AP315" s="446">
        <f t="shared" si="277"/>
        <v>595</v>
      </c>
      <c r="AQ315" s="446">
        <f t="shared" si="278"/>
        <v>29.036000000000001</v>
      </c>
      <c r="AR315" s="446">
        <f t="shared" si="279"/>
        <v>0.51170952000000014</v>
      </c>
      <c r="AS315" s="446">
        <f t="shared" si="280"/>
        <v>625</v>
      </c>
      <c r="AT315" s="260">
        <f t="shared" si="281"/>
        <v>639625</v>
      </c>
      <c r="AU315" s="260">
        <f t="shared" si="282"/>
        <v>671875</v>
      </c>
      <c r="AV315" s="425">
        <f t="shared" si="283"/>
        <v>5</v>
      </c>
      <c r="AW315" s="425">
        <f t="array" ref="AW315">MAX((IF(MNU_CODIGO_ALIMENTO_ENTREGA=CONCATENATE($E315,"_","P_"),MNU_GRAMAJE_REQUERIDO_TIPOH,"")))</f>
        <v>50</v>
      </c>
      <c r="AX315" s="257">
        <f t="shared" si="284"/>
        <v>167</v>
      </c>
      <c r="AY315" s="257">
        <f t="shared" si="285"/>
        <v>835</v>
      </c>
      <c r="AZ315" s="446">
        <f t="shared" si="286"/>
        <v>595</v>
      </c>
      <c r="BA315" s="446">
        <f t="shared" si="287"/>
        <v>29.036000000000001</v>
      </c>
      <c r="BB315" s="446">
        <f t="shared" si="288"/>
        <v>0.51170952000000014</v>
      </c>
      <c r="BC315" s="446">
        <f t="shared" si="289"/>
        <v>625</v>
      </c>
      <c r="BD315" s="258">
        <f t="shared" si="290"/>
        <v>496825</v>
      </c>
      <c r="BE315" s="258">
        <f t="shared" si="291"/>
        <v>521875</v>
      </c>
      <c r="BF315" s="391">
        <f t="shared" si="292"/>
        <v>61874050</v>
      </c>
      <c r="BG315" s="391">
        <f t="shared" si="293"/>
        <v>64993750</v>
      </c>
    </row>
    <row r="316" spans="1:59" ht="15.75">
      <c r="A316" s="333">
        <v>26</v>
      </c>
      <c r="B316" s="333" t="str">
        <f t="shared" si="245"/>
        <v>CEREAL EMPACADO_26</v>
      </c>
      <c r="C316" s="333" t="str">
        <f t="shared" si="246"/>
        <v>1_26</v>
      </c>
      <c r="D316" s="333" t="s">
        <v>1607</v>
      </c>
      <c r="E316" s="256">
        <v>1</v>
      </c>
      <c r="F316" s="322" t="s">
        <v>16</v>
      </c>
      <c r="G316" s="256" t="s">
        <v>9</v>
      </c>
      <c r="H316" s="425">
        <f t="shared" si="247"/>
        <v>15</v>
      </c>
      <c r="I316" s="425">
        <f t="array" ref="I316">MAX((IF(MNU_CODIGO_ALIMENTO_ENTREGA=CONCATENATE($E316,"_","P_"),MNU_GRAMAJE_REQUERIDO_TIPOA,"")))</f>
        <v>30</v>
      </c>
      <c r="J316" s="257">
        <f t="shared" si="248"/>
        <v>4940</v>
      </c>
      <c r="K316" s="257">
        <f t="shared" si="249"/>
        <v>74100</v>
      </c>
      <c r="L316" s="446">
        <f t="shared" si="250"/>
        <v>770</v>
      </c>
      <c r="M316" s="446">
        <f t="shared" si="251"/>
        <v>37.576000000000008</v>
      </c>
      <c r="N316" s="446">
        <f t="shared" si="252"/>
        <v>0.66221231999999997</v>
      </c>
      <c r="O316" s="446">
        <f t="shared" si="253"/>
        <v>808</v>
      </c>
      <c r="P316" s="258">
        <f t="shared" si="254"/>
        <v>57057000</v>
      </c>
      <c r="Q316" s="258">
        <f t="shared" si="255"/>
        <v>59872800</v>
      </c>
      <c r="R316" s="426">
        <f t="shared" si="256"/>
        <v>15</v>
      </c>
      <c r="S316" s="426">
        <f t="array" ref="S316">MAX((IF(MNU_CODIGO_ALIMENTO_ENTREGA=CONCATENATE($E316,"_","P_"),MNU_GRAMAJE_REQUERIDO_TIPOB,"")))</f>
        <v>40</v>
      </c>
      <c r="T316" s="259">
        <f t="shared" si="257"/>
        <v>6800</v>
      </c>
      <c r="U316" s="259">
        <f t="shared" si="258"/>
        <v>102000</v>
      </c>
      <c r="V316" s="446">
        <f t="shared" si="259"/>
        <v>1027</v>
      </c>
      <c r="W316" s="446">
        <f t="shared" si="260"/>
        <v>50.117600000000003</v>
      </c>
      <c r="X316" s="446">
        <f t="shared" si="261"/>
        <v>0.88323643200000013</v>
      </c>
      <c r="Y316" s="446">
        <f t="shared" si="262"/>
        <v>1078</v>
      </c>
      <c r="Z316" s="260">
        <f t="shared" si="263"/>
        <v>104754000</v>
      </c>
      <c r="AA316" s="260">
        <f t="shared" si="264"/>
        <v>109956000</v>
      </c>
      <c r="AB316" s="425">
        <f t="shared" si="265"/>
        <v>15</v>
      </c>
      <c r="AC316" s="425">
        <f t="array" ref="AC316">MAX((IF(MNU_CODIGO_ALIMENTO_ENTREGA=CONCATENATE($E316,"_","P_"),MNU_GRAMAJE_REQUERIDO_TIPOC,"")))</f>
        <v>60</v>
      </c>
      <c r="AD316" s="257">
        <f t="shared" si="266"/>
        <v>7513</v>
      </c>
      <c r="AE316" s="257">
        <f t="shared" si="267"/>
        <v>112695</v>
      </c>
      <c r="AF316" s="446">
        <f t="shared" si="268"/>
        <v>1540</v>
      </c>
      <c r="AG316" s="446">
        <f t="shared" si="269"/>
        <v>75.152000000000015</v>
      </c>
      <c r="AH316" s="446">
        <f t="shared" si="270"/>
        <v>1.3244246399999999</v>
      </c>
      <c r="AI316" s="446">
        <f t="shared" si="271"/>
        <v>1616</v>
      </c>
      <c r="AJ316" s="258">
        <f t="shared" si="272"/>
        <v>173550300</v>
      </c>
      <c r="AK316" s="258">
        <f t="shared" si="273"/>
        <v>182115120</v>
      </c>
      <c r="AL316" s="426">
        <f t="shared" si="274"/>
        <v>15</v>
      </c>
      <c r="AM316" s="426">
        <f t="array" ref="AM316">MAX((IF(MNU_CODIGO_ALIMENTO_ENTREGA=CONCATENATE($E316,"_","P_"),MNU_GRAMAJE_REQUERIDO_TIPOM,"")))</f>
        <v>40</v>
      </c>
      <c r="AN316" s="259">
        <f t="shared" si="275"/>
        <v>230</v>
      </c>
      <c r="AO316" s="259">
        <f t="shared" si="276"/>
        <v>3450</v>
      </c>
      <c r="AP316" s="446">
        <f t="shared" si="277"/>
        <v>1027</v>
      </c>
      <c r="AQ316" s="446">
        <f t="shared" si="278"/>
        <v>50.117600000000003</v>
      </c>
      <c r="AR316" s="446">
        <f t="shared" si="279"/>
        <v>0.88323643200000013</v>
      </c>
      <c r="AS316" s="446">
        <f t="shared" si="280"/>
        <v>1078</v>
      </c>
      <c r="AT316" s="260">
        <f t="shared" si="281"/>
        <v>3543150</v>
      </c>
      <c r="AU316" s="260">
        <f t="shared" si="282"/>
        <v>3719100</v>
      </c>
      <c r="AV316" s="425">
        <f t="shared" si="283"/>
        <v>15</v>
      </c>
      <c r="AW316" s="425">
        <f t="array" ref="AW316">MAX((IF(MNU_CODIGO_ALIMENTO_ENTREGA=CONCATENATE($E316,"_","P_"),MNU_GRAMAJE_REQUERIDO_TIPOH,"")))</f>
        <v>60</v>
      </c>
      <c r="AX316" s="257">
        <f t="shared" si="284"/>
        <v>290</v>
      </c>
      <c r="AY316" s="257">
        <f t="shared" si="285"/>
        <v>4350</v>
      </c>
      <c r="AZ316" s="446">
        <f t="shared" si="286"/>
        <v>1540</v>
      </c>
      <c r="BA316" s="446">
        <f t="shared" si="287"/>
        <v>75.152000000000015</v>
      </c>
      <c r="BB316" s="446">
        <f t="shared" si="288"/>
        <v>1.3244246399999999</v>
      </c>
      <c r="BC316" s="446">
        <f t="shared" si="289"/>
        <v>1616</v>
      </c>
      <c r="BD316" s="258">
        <f t="shared" si="290"/>
        <v>6699000</v>
      </c>
      <c r="BE316" s="258">
        <f t="shared" si="291"/>
        <v>7029600</v>
      </c>
      <c r="BF316" s="391">
        <f t="shared" si="292"/>
        <v>345603450</v>
      </c>
      <c r="BG316" s="391">
        <f t="shared" si="293"/>
        <v>362692620</v>
      </c>
    </row>
    <row r="317" spans="1:59" ht="15.75">
      <c r="A317" s="333">
        <v>26</v>
      </c>
      <c r="B317" s="333" t="str">
        <f t="shared" si="245"/>
        <v>CEREAL EMPACADO_26</v>
      </c>
      <c r="C317" s="333" t="str">
        <f t="shared" si="246"/>
        <v>3_26</v>
      </c>
      <c r="D317" s="333" t="s">
        <v>1607</v>
      </c>
      <c r="E317" s="256">
        <v>3</v>
      </c>
      <c r="F317" s="322" t="s">
        <v>12</v>
      </c>
      <c r="G317" s="256" t="s">
        <v>9</v>
      </c>
      <c r="H317" s="425">
        <f t="shared" si="247"/>
        <v>17</v>
      </c>
      <c r="I317" s="425">
        <f t="array" ref="I317">MAX((IF(MNU_CODIGO_ALIMENTO_ENTREGA=CONCATENATE($E317,"_","P_"),MNU_GRAMAJE_REQUERIDO_TIPOA,"")))</f>
        <v>50</v>
      </c>
      <c r="J317" s="257">
        <f t="shared" si="248"/>
        <v>4940</v>
      </c>
      <c r="K317" s="257">
        <f t="shared" si="249"/>
        <v>83980</v>
      </c>
      <c r="L317" s="446">
        <f t="shared" si="250"/>
        <v>481</v>
      </c>
      <c r="M317" s="446">
        <f t="shared" si="251"/>
        <v>23.472799999999999</v>
      </c>
      <c r="N317" s="446">
        <f t="shared" si="252"/>
        <v>0.41366769599999997</v>
      </c>
      <c r="O317" s="446">
        <f t="shared" si="253"/>
        <v>505</v>
      </c>
      <c r="P317" s="258">
        <f t="shared" si="254"/>
        <v>40394380</v>
      </c>
      <c r="Q317" s="258">
        <f t="shared" si="255"/>
        <v>42409900</v>
      </c>
      <c r="R317" s="426">
        <f t="shared" si="256"/>
        <v>17</v>
      </c>
      <c r="S317" s="426">
        <f t="array" ref="S317">MAX((IF(MNU_CODIGO_ALIMENTO_ENTREGA=CONCATENATE($E317,"_","P_"),MNU_GRAMAJE_REQUERIDO_TIPOB,"")))</f>
        <v>50</v>
      </c>
      <c r="T317" s="259">
        <f t="shared" si="257"/>
        <v>6800</v>
      </c>
      <c r="U317" s="259">
        <f t="shared" si="258"/>
        <v>115600</v>
      </c>
      <c r="V317" s="446">
        <f t="shared" si="259"/>
        <v>481</v>
      </c>
      <c r="W317" s="446">
        <f t="shared" si="260"/>
        <v>23.472799999999999</v>
      </c>
      <c r="X317" s="446">
        <f t="shared" si="261"/>
        <v>0.41366769599999997</v>
      </c>
      <c r="Y317" s="446">
        <f t="shared" si="262"/>
        <v>505</v>
      </c>
      <c r="Z317" s="260">
        <f t="shared" si="263"/>
        <v>55603600</v>
      </c>
      <c r="AA317" s="260">
        <f t="shared" si="264"/>
        <v>58378000</v>
      </c>
      <c r="AB317" s="425">
        <f t="shared" si="265"/>
        <v>17</v>
      </c>
      <c r="AC317" s="425">
        <f t="array" ref="AC317">MAX((IF(MNU_CODIGO_ALIMENTO_ENTREGA=CONCATENATE($E317,"_","P_"),MNU_GRAMAJE_REQUERIDO_TIPOC,"")))</f>
        <v>80</v>
      </c>
      <c r="AD317" s="257">
        <f t="shared" si="266"/>
        <v>7513</v>
      </c>
      <c r="AE317" s="257">
        <f t="shared" si="267"/>
        <v>127721</v>
      </c>
      <c r="AF317" s="446">
        <f t="shared" si="268"/>
        <v>727</v>
      </c>
      <c r="AG317" s="446">
        <f t="shared" si="269"/>
        <v>35.477600000000002</v>
      </c>
      <c r="AH317" s="446">
        <f t="shared" si="270"/>
        <v>0.62523163200000009</v>
      </c>
      <c r="AI317" s="446">
        <f t="shared" si="271"/>
        <v>763</v>
      </c>
      <c r="AJ317" s="258">
        <f t="shared" si="272"/>
        <v>92853167</v>
      </c>
      <c r="AK317" s="258">
        <f t="shared" si="273"/>
        <v>97451123</v>
      </c>
      <c r="AL317" s="426">
        <f t="shared" si="274"/>
        <v>17</v>
      </c>
      <c r="AM317" s="426">
        <f t="array" ref="AM317">MAX((IF(MNU_CODIGO_ALIMENTO_ENTREGA=CONCATENATE($E317,"_","P_"),MNU_GRAMAJE_REQUERIDO_TIPOM,"")))</f>
        <v>50</v>
      </c>
      <c r="AN317" s="259">
        <f t="shared" si="275"/>
        <v>230</v>
      </c>
      <c r="AO317" s="259">
        <f t="shared" si="276"/>
        <v>3910</v>
      </c>
      <c r="AP317" s="446">
        <f t="shared" si="277"/>
        <v>481</v>
      </c>
      <c r="AQ317" s="446">
        <f t="shared" si="278"/>
        <v>23.472799999999999</v>
      </c>
      <c r="AR317" s="446">
        <f t="shared" si="279"/>
        <v>0.41366769599999997</v>
      </c>
      <c r="AS317" s="446">
        <f t="shared" si="280"/>
        <v>505</v>
      </c>
      <c r="AT317" s="260">
        <f t="shared" si="281"/>
        <v>1880710</v>
      </c>
      <c r="AU317" s="260">
        <f t="shared" si="282"/>
        <v>1974550</v>
      </c>
      <c r="AV317" s="425">
        <f t="shared" si="283"/>
        <v>17</v>
      </c>
      <c r="AW317" s="425">
        <f t="array" ref="AW317">MAX((IF(MNU_CODIGO_ALIMENTO_ENTREGA=CONCATENATE($E317,"_","P_"),MNU_GRAMAJE_REQUERIDO_TIPOH,"")))</f>
        <v>80</v>
      </c>
      <c r="AX317" s="257">
        <f t="shared" si="284"/>
        <v>290</v>
      </c>
      <c r="AY317" s="257">
        <f t="shared" si="285"/>
        <v>4930</v>
      </c>
      <c r="AZ317" s="446">
        <f t="shared" si="286"/>
        <v>727</v>
      </c>
      <c r="BA317" s="446">
        <f t="shared" si="287"/>
        <v>35.477600000000002</v>
      </c>
      <c r="BB317" s="446">
        <f t="shared" si="288"/>
        <v>0.62523163200000009</v>
      </c>
      <c r="BC317" s="446">
        <f t="shared" si="289"/>
        <v>763</v>
      </c>
      <c r="BD317" s="258">
        <f t="shared" si="290"/>
        <v>3584110</v>
      </c>
      <c r="BE317" s="258">
        <f t="shared" si="291"/>
        <v>3761590</v>
      </c>
      <c r="BF317" s="391">
        <f t="shared" si="292"/>
        <v>194315967</v>
      </c>
      <c r="BG317" s="391">
        <f t="shared" si="293"/>
        <v>203975163</v>
      </c>
    </row>
    <row r="318" spans="1:59" ht="15.75">
      <c r="A318" s="333">
        <v>26</v>
      </c>
      <c r="B318" s="333" t="str">
        <f t="shared" si="245"/>
        <v>CEREAL EMPACADO_26</v>
      </c>
      <c r="C318" s="333" t="str">
        <f t="shared" si="246"/>
        <v>15_26</v>
      </c>
      <c r="D318" s="333" t="s">
        <v>1607</v>
      </c>
      <c r="E318" s="256">
        <v>15</v>
      </c>
      <c r="F318" s="322" t="s">
        <v>66</v>
      </c>
      <c r="G318" s="256" t="s">
        <v>9</v>
      </c>
      <c r="H318" s="425">
        <f t="shared" si="247"/>
        <v>17</v>
      </c>
      <c r="I318" s="425">
        <f t="array" ref="I318">MAX((IF(MNU_CODIGO_ALIMENTO_ENTREGA=CONCATENATE($E318,"_","P_"),MNU_GRAMAJE_REQUERIDO_TIPOA,"")))</f>
        <v>50</v>
      </c>
      <c r="J318" s="257">
        <f t="shared" si="248"/>
        <v>4940</v>
      </c>
      <c r="K318" s="257">
        <f t="shared" si="249"/>
        <v>83980</v>
      </c>
      <c r="L318" s="446">
        <f t="shared" si="250"/>
        <v>641</v>
      </c>
      <c r="M318" s="446">
        <f t="shared" si="251"/>
        <v>31.280800000000003</v>
      </c>
      <c r="N318" s="446">
        <f t="shared" si="252"/>
        <v>0.55127025600000001</v>
      </c>
      <c r="O318" s="446">
        <f t="shared" si="253"/>
        <v>673</v>
      </c>
      <c r="P318" s="258">
        <f t="shared" si="254"/>
        <v>53831180</v>
      </c>
      <c r="Q318" s="258">
        <f t="shared" si="255"/>
        <v>56518540</v>
      </c>
      <c r="R318" s="426">
        <f t="shared" si="256"/>
        <v>17</v>
      </c>
      <c r="S318" s="426">
        <f t="array" ref="S318">MAX((IF(MNU_CODIGO_ALIMENTO_ENTREGA=CONCATENATE($E318,"_","P_"),MNU_GRAMAJE_REQUERIDO_TIPOB,"")))</f>
        <v>50</v>
      </c>
      <c r="T318" s="259">
        <f t="shared" si="257"/>
        <v>6800</v>
      </c>
      <c r="U318" s="259">
        <f t="shared" si="258"/>
        <v>115600</v>
      </c>
      <c r="V318" s="446">
        <f t="shared" si="259"/>
        <v>641</v>
      </c>
      <c r="W318" s="446">
        <f t="shared" si="260"/>
        <v>31.280800000000003</v>
      </c>
      <c r="X318" s="446">
        <f t="shared" si="261"/>
        <v>0.55127025600000001</v>
      </c>
      <c r="Y318" s="446">
        <f t="shared" si="262"/>
        <v>673</v>
      </c>
      <c r="Z318" s="260">
        <f t="shared" si="263"/>
        <v>74099600</v>
      </c>
      <c r="AA318" s="260">
        <f t="shared" si="264"/>
        <v>77798800</v>
      </c>
      <c r="AB318" s="425">
        <f t="shared" si="265"/>
        <v>17</v>
      </c>
      <c r="AC318" s="425">
        <f t="array" ref="AC318">MAX((IF(MNU_CODIGO_ALIMENTO_ENTREGA=CONCATENATE($E318,"_","P_"),MNU_GRAMAJE_REQUERIDO_TIPOC,"")))</f>
        <v>80</v>
      </c>
      <c r="AD318" s="257">
        <f t="shared" si="266"/>
        <v>7513</v>
      </c>
      <c r="AE318" s="257">
        <f t="shared" si="267"/>
        <v>127721</v>
      </c>
      <c r="AF318" s="446">
        <f t="shared" si="268"/>
        <v>1025</v>
      </c>
      <c r="AG318" s="446">
        <f t="shared" si="269"/>
        <v>50.02</v>
      </c>
      <c r="AH318" s="446">
        <f t="shared" si="270"/>
        <v>0.88151640000000009</v>
      </c>
      <c r="AI318" s="446">
        <f t="shared" si="271"/>
        <v>1076</v>
      </c>
      <c r="AJ318" s="258">
        <f t="shared" si="272"/>
        <v>130914025</v>
      </c>
      <c r="AK318" s="258">
        <f t="shared" si="273"/>
        <v>137427796</v>
      </c>
      <c r="AL318" s="426">
        <f t="shared" si="274"/>
        <v>17</v>
      </c>
      <c r="AM318" s="426">
        <f t="array" ref="AM318">MAX((IF(MNU_CODIGO_ALIMENTO_ENTREGA=CONCATENATE($E318,"_","P_"),MNU_GRAMAJE_REQUERIDO_TIPOM,"")))</f>
        <v>50</v>
      </c>
      <c r="AN318" s="259">
        <f t="shared" si="275"/>
        <v>230</v>
      </c>
      <c r="AO318" s="259">
        <f t="shared" si="276"/>
        <v>3910</v>
      </c>
      <c r="AP318" s="446">
        <f t="shared" si="277"/>
        <v>641</v>
      </c>
      <c r="AQ318" s="446">
        <f t="shared" si="278"/>
        <v>31.280800000000003</v>
      </c>
      <c r="AR318" s="446">
        <f t="shared" si="279"/>
        <v>0.55127025600000001</v>
      </c>
      <c r="AS318" s="446">
        <f t="shared" si="280"/>
        <v>673</v>
      </c>
      <c r="AT318" s="260">
        <f t="shared" si="281"/>
        <v>2506310</v>
      </c>
      <c r="AU318" s="260">
        <f t="shared" si="282"/>
        <v>2631430</v>
      </c>
      <c r="AV318" s="425">
        <f t="shared" si="283"/>
        <v>17</v>
      </c>
      <c r="AW318" s="425">
        <f t="array" ref="AW318">MAX((IF(MNU_CODIGO_ALIMENTO_ENTREGA=CONCATENATE($E318,"_","P_"),MNU_GRAMAJE_REQUERIDO_TIPOH,"")))</f>
        <v>80</v>
      </c>
      <c r="AX318" s="257">
        <f t="shared" si="284"/>
        <v>290</v>
      </c>
      <c r="AY318" s="257">
        <f t="shared" si="285"/>
        <v>4930</v>
      </c>
      <c r="AZ318" s="446">
        <f t="shared" si="286"/>
        <v>1025</v>
      </c>
      <c r="BA318" s="446">
        <f t="shared" si="287"/>
        <v>50.02</v>
      </c>
      <c r="BB318" s="446">
        <f t="shared" si="288"/>
        <v>0.88151640000000009</v>
      </c>
      <c r="BC318" s="446">
        <f t="shared" si="289"/>
        <v>1076</v>
      </c>
      <c r="BD318" s="258">
        <f t="shared" si="290"/>
        <v>5053250</v>
      </c>
      <c r="BE318" s="258">
        <f t="shared" si="291"/>
        <v>5304680</v>
      </c>
      <c r="BF318" s="391">
        <f t="shared" si="292"/>
        <v>266404365</v>
      </c>
      <c r="BG318" s="391">
        <f t="shared" si="293"/>
        <v>279681246</v>
      </c>
    </row>
    <row r="319" spans="1:59" ht="15.75">
      <c r="A319" s="333">
        <v>26</v>
      </c>
      <c r="B319" s="333" t="str">
        <f t="shared" si="245"/>
        <v>CEREAL EMPACADO_26</v>
      </c>
      <c r="C319" s="333" t="str">
        <f t="shared" si="246"/>
        <v>24_26</v>
      </c>
      <c r="D319" s="333" t="s">
        <v>1607</v>
      </c>
      <c r="E319" s="256">
        <v>24</v>
      </c>
      <c r="F319" s="322" t="s">
        <v>61</v>
      </c>
      <c r="G319" s="256" t="s">
        <v>9</v>
      </c>
      <c r="H319" s="425">
        <f t="shared" si="247"/>
        <v>17</v>
      </c>
      <c r="I319" s="425">
        <f t="array" ref="I319">MAX((IF(MNU_CODIGO_ALIMENTO_ENTREGA=CONCATENATE($E319,"_","P_"),MNU_GRAMAJE_REQUERIDO_TIPOA,"")))</f>
        <v>20</v>
      </c>
      <c r="J319" s="257">
        <f t="shared" si="248"/>
        <v>4940</v>
      </c>
      <c r="K319" s="257">
        <f t="shared" si="249"/>
        <v>83980</v>
      </c>
      <c r="L319" s="446">
        <f t="shared" si="250"/>
        <v>122</v>
      </c>
      <c r="M319" s="446">
        <f t="shared" si="251"/>
        <v>5.9535999999999998</v>
      </c>
      <c r="N319" s="446">
        <f t="shared" si="252"/>
        <v>0.104921952</v>
      </c>
      <c r="O319" s="446">
        <f t="shared" si="253"/>
        <v>128</v>
      </c>
      <c r="P319" s="258">
        <f t="shared" si="254"/>
        <v>10245560</v>
      </c>
      <c r="Q319" s="258">
        <f t="shared" si="255"/>
        <v>10749440</v>
      </c>
      <c r="R319" s="426">
        <f t="shared" si="256"/>
        <v>17</v>
      </c>
      <c r="S319" s="426">
        <f t="array" ref="S319">MAX((IF(MNU_CODIGO_ALIMENTO_ENTREGA=CONCATENATE($E319,"_","P_"),MNU_GRAMAJE_REQUERIDO_TIPOB,"")))</f>
        <v>30</v>
      </c>
      <c r="T319" s="259">
        <f t="shared" si="257"/>
        <v>6800</v>
      </c>
      <c r="U319" s="259">
        <f t="shared" si="258"/>
        <v>115600</v>
      </c>
      <c r="V319" s="446">
        <f t="shared" si="259"/>
        <v>191</v>
      </c>
      <c r="W319" s="446">
        <f t="shared" si="260"/>
        <v>9.3208000000000002</v>
      </c>
      <c r="X319" s="446">
        <f t="shared" si="261"/>
        <v>0.16426305600000002</v>
      </c>
      <c r="Y319" s="446">
        <f t="shared" si="262"/>
        <v>200</v>
      </c>
      <c r="Z319" s="260">
        <f t="shared" si="263"/>
        <v>22079600</v>
      </c>
      <c r="AA319" s="260">
        <f t="shared" si="264"/>
        <v>23120000</v>
      </c>
      <c r="AB319" s="425">
        <f t="shared" si="265"/>
        <v>17</v>
      </c>
      <c r="AC319" s="425">
        <f t="array" ref="AC319">MAX((IF(MNU_CODIGO_ALIMENTO_ENTREGA=CONCATENATE($E319,"_","P_"),MNU_GRAMAJE_REQUERIDO_TIPOC,"")))</f>
        <v>60</v>
      </c>
      <c r="AD319" s="257">
        <f t="shared" si="266"/>
        <v>7513</v>
      </c>
      <c r="AE319" s="257">
        <f t="shared" si="267"/>
        <v>127721</v>
      </c>
      <c r="AF319" s="446">
        <f t="shared" si="268"/>
        <v>367</v>
      </c>
      <c r="AG319" s="446">
        <f t="shared" si="269"/>
        <v>17.909599999999998</v>
      </c>
      <c r="AH319" s="446">
        <f t="shared" si="270"/>
        <v>0.31562587200000003</v>
      </c>
      <c r="AI319" s="446">
        <f t="shared" si="271"/>
        <v>385</v>
      </c>
      <c r="AJ319" s="258">
        <f t="shared" si="272"/>
        <v>46873607</v>
      </c>
      <c r="AK319" s="258">
        <f t="shared" si="273"/>
        <v>49172585</v>
      </c>
      <c r="AL319" s="426">
        <f t="shared" si="274"/>
        <v>17</v>
      </c>
      <c r="AM319" s="426">
        <f t="array" ref="AM319">MAX((IF(MNU_CODIGO_ALIMENTO_ENTREGA=CONCATENATE($E319,"_","P_"),MNU_GRAMAJE_REQUERIDO_TIPOM,"")))</f>
        <v>30</v>
      </c>
      <c r="AN319" s="259">
        <f t="shared" si="275"/>
        <v>230</v>
      </c>
      <c r="AO319" s="259">
        <f t="shared" si="276"/>
        <v>3910</v>
      </c>
      <c r="AP319" s="446">
        <f t="shared" si="277"/>
        <v>191</v>
      </c>
      <c r="AQ319" s="446">
        <f t="shared" si="278"/>
        <v>9.3208000000000002</v>
      </c>
      <c r="AR319" s="446">
        <f t="shared" si="279"/>
        <v>0.16426305600000002</v>
      </c>
      <c r="AS319" s="446">
        <f t="shared" si="280"/>
        <v>200</v>
      </c>
      <c r="AT319" s="260">
        <f t="shared" si="281"/>
        <v>746810</v>
      </c>
      <c r="AU319" s="260">
        <f t="shared" si="282"/>
        <v>782000</v>
      </c>
      <c r="AV319" s="425">
        <f t="shared" si="283"/>
        <v>17</v>
      </c>
      <c r="AW319" s="425">
        <f t="array" ref="AW319">MAX((IF(MNU_CODIGO_ALIMENTO_ENTREGA=CONCATENATE($E319,"_","P_"),MNU_GRAMAJE_REQUERIDO_TIPOH,"")))</f>
        <v>60</v>
      </c>
      <c r="AX319" s="257">
        <f t="shared" si="284"/>
        <v>290</v>
      </c>
      <c r="AY319" s="257">
        <f t="shared" si="285"/>
        <v>4930</v>
      </c>
      <c r="AZ319" s="446">
        <f t="shared" si="286"/>
        <v>367</v>
      </c>
      <c r="BA319" s="446">
        <f t="shared" si="287"/>
        <v>17.909599999999998</v>
      </c>
      <c r="BB319" s="446">
        <f t="shared" si="288"/>
        <v>0.31562587200000003</v>
      </c>
      <c r="BC319" s="446">
        <f t="shared" si="289"/>
        <v>385</v>
      </c>
      <c r="BD319" s="258">
        <f t="shared" si="290"/>
        <v>1809310</v>
      </c>
      <c r="BE319" s="258">
        <f t="shared" si="291"/>
        <v>1898050</v>
      </c>
      <c r="BF319" s="391">
        <f t="shared" si="292"/>
        <v>81754887</v>
      </c>
      <c r="BG319" s="391">
        <f t="shared" si="293"/>
        <v>85722075</v>
      </c>
    </row>
    <row r="320" spans="1:59" ht="15.75">
      <c r="A320" s="333">
        <v>26</v>
      </c>
      <c r="B320" s="333" t="str">
        <f t="shared" si="245"/>
        <v>CEREAL EMPACADO_26</v>
      </c>
      <c r="C320" s="333" t="str">
        <f t="shared" si="246"/>
        <v>25_26</v>
      </c>
      <c r="D320" s="333" t="s">
        <v>1607</v>
      </c>
      <c r="E320" s="256">
        <v>25</v>
      </c>
      <c r="F320" s="322" t="s">
        <v>64</v>
      </c>
      <c r="G320" s="256" t="s">
        <v>9</v>
      </c>
      <c r="H320" s="425">
        <f t="shared" si="247"/>
        <v>17</v>
      </c>
      <c r="I320" s="425">
        <f t="array" ref="I320">MAX((IF(MNU_CODIGO_ALIMENTO_ENTREGA=CONCATENATE($E320,"_","P_"),MNU_GRAMAJE_REQUERIDO_TIPOA,"")))</f>
        <v>40</v>
      </c>
      <c r="J320" s="257">
        <f t="shared" si="248"/>
        <v>4940</v>
      </c>
      <c r="K320" s="257">
        <f t="shared" si="249"/>
        <v>83980</v>
      </c>
      <c r="L320" s="446">
        <f t="shared" si="250"/>
        <v>244</v>
      </c>
      <c r="M320" s="446">
        <f t="shared" si="251"/>
        <v>11.9072</v>
      </c>
      <c r="N320" s="446">
        <f t="shared" si="252"/>
        <v>0.209843904</v>
      </c>
      <c r="O320" s="446">
        <f t="shared" si="253"/>
        <v>256</v>
      </c>
      <c r="P320" s="258">
        <f t="shared" si="254"/>
        <v>20491120</v>
      </c>
      <c r="Q320" s="258">
        <f t="shared" si="255"/>
        <v>21498880</v>
      </c>
      <c r="R320" s="426">
        <f t="shared" si="256"/>
        <v>17</v>
      </c>
      <c r="S320" s="426">
        <f t="array" ref="S320">MAX((IF(MNU_CODIGO_ALIMENTO_ENTREGA=CONCATENATE($E320,"_","P_"),MNU_GRAMAJE_REQUERIDO_TIPOB,"")))</f>
        <v>40</v>
      </c>
      <c r="T320" s="259">
        <f t="shared" si="257"/>
        <v>6800</v>
      </c>
      <c r="U320" s="259">
        <f t="shared" si="258"/>
        <v>115600</v>
      </c>
      <c r="V320" s="446">
        <f t="shared" si="259"/>
        <v>244</v>
      </c>
      <c r="W320" s="446">
        <f t="shared" si="260"/>
        <v>11.9072</v>
      </c>
      <c r="X320" s="446">
        <f t="shared" si="261"/>
        <v>0.209843904</v>
      </c>
      <c r="Y320" s="446">
        <f t="shared" si="262"/>
        <v>256</v>
      </c>
      <c r="Z320" s="260">
        <f t="shared" si="263"/>
        <v>28206400</v>
      </c>
      <c r="AA320" s="260">
        <f t="shared" si="264"/>
        <v>29593600</v>
      </c>
      <c r="AB320" s="425">
        <f t="shared" si="265"/>
        <v>17</v>
      </c>
      <c r="AC320" s="425">
        <f t="array" ref="AC320">MAX((IF(MNU_CODIGO_ALIMENTO_ENTREGA=CONCATENATE($E320,"_","P_"),MNU_GRAMAJE_REQUERIDO_TIPOC,"")))</f>
        <v>60</v>
      </c>
      <c r="AD320" s="257">
        <f t="shared" si="266"/>
        <v>7513</v>
      </c>
      <c r="AE320" s="257">
        <f t="shared" si="267"/>
        <v>127721</v>
      </c>
      <c r="AF320" s="446">
        <f t="shared" si="268"/>
        <v>366</v>
      </c>
      <c r="AG320" s="446">
        <f t="shared" si="269"/>
        <v>17.860800000000001</v>
      </c>
      <c r="AH320" s="446">
        <f t="shared" si="270"/>
        <v>0.31476585600000001</v>
      </c>
      <c r="AI320" s="446">
        <f t="shared" si="271"/>
        <v>384</v>
      </c>
      <c r="AJ320" s="258">
        <f t="shared" si="272"/>
        <v>46745886</v>
      </c>
      <c r="AK320" s="258">
        <f t="shared" si="273"/>
        <v>49044864</v>
      </c>
      <c r="AL320" s="426">
        <f t="shared" si="274"/>
        <v>17</v>
      </c>
      <c r="AM320" s="426">
        <f t="array" ref="AM320">MAX((IF(MNU_CODIGO_ALIMENTO_ENTREGA=CONCATENATE($E320,"_","P_"),MNU_GRAMAJE_REQUERIDO_TIPOM,"")))</f>
        <v>40</v>
      </c>
      <c r="AN320" s="259">
        <f t="shared" si="275"/>
        <v>230</v>
      </c>
      <c r="AO320" s="259">
        <f t="shared" si="276"/>
        <v>3910</v>
      </c>
      <c r="AP320" s="446">
        <f t="shared" si="277"/>
        <v>244</v>
      </c>
      <c r="AQ320" s="446">
        <f t="shared" si="278"/>
        <v>11.9072</v>
      </c>
      <c r="AR320" s="446">
        <f t="shared" si="279"/>
        <v>0.209843904</v>
      </c>
      <c r="AS320" s="446">
        <f t="shared" si="280"/>
        <v>256</v>
      </c>
      <c r="AT320" s="260">
        <f t="shared" si="281"/>
        <v>954040</v>
      </c>
      <c r="AU320" s="260">
        <f t="shared" si="282"/>
        <v>1000960</v>
      </c>
      <c r="AV320" s="425">
        <f t="shared" si="283"/>
        <v>17</v>
      </c>
      <c r="AW320" s="425">
        <f t="array" ref="AW320">MAX((IF(MNU_CODIGO_ALIMENTO_ENTREGA=CONCATENATE($E320,"_","P_"),MNU_GRAMAJE_REQUERIDO_TIPOH,"")))</f>
        <v>60</v>
      </c>
      <c r="AX320" s="257">
        <f t="shared" si="284"/>
        <v>290</v>
      </c>
      <c r="AY320" s="257">
        <f t="shared" si="285"/>
        <v>4930</v>
      </c>
      <c r="AZ320" s="446">
        <f t="shared" si="286"/>
        <v>366</v>
      </c>
      <c r="BA320" s="446">
        <f t="shared" si="287"/>
        <v>17.860800000000001</v>
      </c>
      <c r="BB320" s="446">
        <f t="shared" si="288"/>
        <v>0.31476585600000001</v>
      </c>
      <c r="BC320" s="446">
        <f t="shared" si="289"/>
        <v>384</v>
      </c>
      <c r="BD320" s="258">
        <f t="shared" si="290"/>
        <v>1804380</v>
      </c>
      <c r="BE320" s="258">
        <f t="shared" si="291"/>
        <v>1893120</v>
      </c>
      <c r="BF320" s="391">
        <f t="shared" si="292"/>
        <v>98201826</v>
      </c>
      <c r="BG320" s="391">
        <f t="shared" si="293"/>
        <v>103031424</v>
      </c>
    </row>
    <row r="321" spans="1:59" ht="15.75">
      <c r="A321" s="333">
        <v>26</v>
      </c>
      <c r="B321" s="333" t="str">
        <f t="shared" si="245"/>
        <v>CEREAL EMPACADO_26</v>
      </c>
      <c r="C321" s="333" t="str">
        <f t="shared" si="246"/>
        <v>26_26</v>
      </c>
      <c r="D321" s="333" t="s">
        <v>1607</v>
      </c>
      <c r="E321" s="256">
        <v>26</v>
      </c>
      <c r="F321" s="322" t="s">
        <v>69</v>
      </c>
      <c r="G321" s="256" t="s">
        <v>9</v>
      </c>
      <c r="H321" s="425">
        <f t="shared" si="247"/>
        <v>6</v>
      </c>
      <c r="I321" s="425">
        <f t="array" ref="I321">MAX((IF(MNU_CODIGO_ALIMENTO_ENTREGA=CONCATENATE($E321,"_","P_"),MNU_GRAMAJE_REQUERIDO_TIPOA,"")))</f>
        <v>30</v>
      </c>
      <c r="J321" s="257">
        <f t="shared" si="248"/>
        <v>4940</v>
      </c>
      <c r="K321" s="257">
        <f t="shared" si="249"/>
        <v>29640</v>
      </c>
      <c r="L321" s="446">
        <f t="shared" si="250"/>
        <v>163</v>
      </c>
      <c r="M321" s="446">
        <f t="shared" si="251"/>
        <v>7.9543999999999997</v>
      </c>
      <c r="N321" s="446">
        <f t="shared" si="252"/>
        <v>0.14018260800000001</v>
      </c>
      <c r="O321" s="446">
        <f t="shared" si="253"/>
        <v>171</v>
      </c>
      <c r="P321" s="258">
        <f t="shared" si="254"/>
        <v>4831320</v>
      </c>
      <c r="Q321" s="258">
        <f t="shared" si="255"/>
        <v>5068440</v>
      </c>
      <c r="R321" s="426">
        <f t="shared" si="256"/>
        <v>6</v>
      </c>
      <c r="S321" s="426">
        <f t="array" ref="S321">MAX((IF(MNU_CODIGO_ALIMENTO_ENTREGA=CONCATENATE($E321,"_","P_"),MNU_GRAMAJE_REQUERIDO_TIPOB,"")))</f>
        <v>30</v>
      </c>
      <c r="T321" s="259">
        <f t="shared" si="257"/>
        <v>6800</v>
      </c>
      <c r="U321" s="259">
        <f t="shared" si="258"/>
        <v>40800</v>
      </c>
      <c r="V321" s="446">
        <f t="shared" si="259"/>
        <v>163</v>
      </c>
      <c r="W321" s="446">
        <f t="shared" si="260"/>
        <v>7.9543999999999997</v>
      </c>
      <c r="X321" s="446">
        <f t="shared" si="261"/>
        <v>0.14018260800000001</v>
      </c>
      <c r="Y321" s="446">
        <f t="shared" si="262"/>
        <v>171</v>
      </c>
      <c r="Z321" s="260">
        <f t="shared" si="263"/>
        <v>6650400</v>
      </c>
      <c r="AA321" s="260">
        <f t="shared" si="264"/>
        <v>6976800</v>
      </c>
      <c r="AB321" s="425">
        <f t="shared" si="265"/>
        <v>6</v>
      </c>
      <c r="AC321" s="425">
        <f t="array" ref="AC321">MAX((IF(MNU_CODIGO_ALIMENTO_ENTREGA=CONCATENATE($E321,"_","P_"),MNU_GRAMAJE_REQUERIDO_TIPOC,"")))</f>
        <v>30</v>
      </c>
      <c r="AD321" s="257">
        <f t="shared" si="266"/>
        <v>7513</v>
      </c>
      <c r="AE321" s="257">
        <f t="shared" si="267"/>
        <v>45078</v>
      </c>
      <c r="AF321" s="446">
        <f t="shared" si="268"/>
        <v>163</v>
      </c>
      <c r="AG321" s="446">
        <f t="shared" si="269"/>
        <v>7.9543999999999997</v>
      </c>
      <c r="AH321" s="446">
        <f t="shared" si="270"/>
        <v>0.14018260800000001</v>
      </c>
      <c r="AI321" s="446">
        <f t="shared" si="271"/>
        <v>171</v>
      </c>
      <c r="AJ321" s="258">
        <f t="shared" si="272"/>
        <v>7347714</v>
      </c>
      <c r="AK321" s="258">
        <f t="shared" si="273"/>
        <v>7708338</v>
      </c>
      <c r="AL321" s="426">
        <f t="shared" si="274"/>
        <v>6</v>
      </c>
      <c r="AM321" s="426">
        <f t="array" ref="AM321">MAX((IF(MNU_CODIGO_ALIMENTO_ENTREGA=CONCATENATE($E321,"_","P_"),MNU_GRAMAJE_REQUERIDO_TIPOM,"")))</f>
        <v>30</v>
      </c>
      <c r="AN321" s="259">
        <f t="shared" si="275"/>
        <v>230</v>
      </c>
      <c r="AO321" s="259">
        <f t="shared" si="276"/>
        <v>1380</v>
      </c>
      <c r="AP321" s="446">
        <f t="shared" si="277"/>
        <v>163</v>
      </c>
      <c r="AQ321" s="446">
        <f t="shared" si="278"/>
        <v>7.9543999999999997</v>
      </c>
      <c r="AR321" s="446">
        <f t="shared" si="279"/>
        <v>0.14018260800000001</v>
      </c>
      <c r="AS321" s="446">
        <f t="shared" si="280"/>
        <v>171</v>
      </c>
      <c r="AT321" s="260">
        <f t="shared" si="281"/>
        <v>224940</v>
      </c>
      <c r="AU321" s="260">
        <f t="shared" si="282"/>
        <v>235980</v>
      </c>
      <c r="AV321" s="425">
        <f t="shared" si="283"/>
        <v>6</v>
      </c>
      <c r="AW321" s="425">
        <f t="array" ref="AW321">MAX((IF(MNU_CODIGO_ALIMENTO_ENTREGA=CONCATENATE($E321,"_","P_"),MNU_GRAMAJE_REQUERIDO_TIPOH,"")))</f>
        <v>30</v>
      </c>
      <c r="AX321" s="257">
        <f t="shared" si="284"/>
        <v>290</v>
      </c>
      <c r="AY321" s="257">
        <f t="shared" si="285"/>
        <v>1740</v>
      </c>
      <c r="AZ321" s="446">
        <f t="shared" si="286"/>
        <v>163</v>
      </c>
      <c r="BA321" s="446">
        <f t="shared" si="287"/>
        <v>7.9543999999999997</v>
      </c>
      <c r="BB321" s="446">
        <f t="shared" si="288"/>
        <v>0.14018260800000001</v>
      </c>
      <c r="BC321" s="446">
        <f t="shared" si="289"/>
        <v>171</v>
      </c>
      <c r="BD321" s="258">
        <f t="shared" si="290"/>
        <v>283620</v>
      </c>
      <c r="BE321" s="258">
        <f t="shared" si="291"/>
        <v>297540</v>
      </c>
      <c r="BF321" s="391">
        <f t="shared" si="292"/>
        <v>19337994</v>
      </c>
      <c r="BG321" s="391">
        <f t="shared" si="293"/>
        <v>20287098</v>
      </c>
    </row>
    <row r="322" spans="1:59" ht="27">
      <c r="A322" s="333">
        <v>26</v>
      </c>
      <c r="B322" s="333" t="str">
        <f t="shared" si="245"/>
        <v>CEREAL EMPACADO_26</v>
      </c>
      <c r="C322" s="333" t="str">
        <f t="shared" si="246"/>
        <v>28_26</v>
      </c>
      <c r="D322" s="333" t="s">
        <v>1607</v>
      </c>
      <c r="E322" s="256">
        <v>28</v>
      </c>
      <c r="F322" s="322" t="s">
        <v>67</v>
      </c>
      <c r="G322" s="256" t="s">
        <v>9</v>
      </c>
      <c r="H322" s="425">
        <f t="shared" si="247"/>
        <v>6</v>
      </c>
      <c r="I322" s="425">
        <f t="array" ref="I322">MAX((IF(MNU_CODIGO_ALIMENTO_ENTREGA=CONCATENATE($E322,"_","P_"),MNU_GRAMAJE_REQUERIDO_TIPOA,"")))</f>
        <v>30</v>
      </c>
      <c r="J322" s="257">
        <f t="shared" si="248"/>
        <v>4940</v>
      </c>
      <c r="K322" s="257">
        <f t="shared" si="249"/>
        <v>29640</v>
      </c>
      <c r="L322" s="446">
        <f t="shared" si="250"/>
        <v>215</v>
      </c>
      <c r="M322" s="446">
        <f t="shared" si="251"/>
        <v>10.492000000000001</v>
      </c>
      <c r="N322" s="446">
        <f t="shared" si="252"/>
        <v>0.18490343999999997</v>
      </c>
      <c r="O322" s="446">
        <f t="shared" si="253"/>
        <v>226</v>
      </c>
      <c r="P322" s="258">
        <f t="shared" si="254"/>
        <v>6372600</v>
      </c>
      <c r="Q322" s="258">
        <f t="shared" si="255"/>
        <v>6698640</v>
      </c>
      <c r="R322" s="426">
        <f t="shared" si="256"/>
        <v>6</v>
      </c>
      <c r="S322" s="426">
        <f t="array" ref="S322">MAX((IF(MNU_CODIGO_ALIMENTO_ENTREGA=CONCATENATE($E322,"_","P_"),MNU_GRAMAJE_REQUERIDO_TIPOB,"")))</f>
        <v>40</v>
      </c>
      <c r="T322" s="259">
        <f t="shared" si="257"/>
        <v>6800</v>
      </c>
      <c r="U322" s="259">
        <f t="shared" si="258"/>
        <v>40800</v>
      </c>
      <c r="V322" s="446">
        <f t="shared" si="259"/>
        <v>287</v>
      </c>
      <c r="W322" s="446">
        <f t="shared" si="260"/>
        <v>14.005600000000001</v>
      </c>
      <c r="X322" s="446">
        <f t="shared" si="261"/>
        <v>0.24682459200000004</v>
      </c>
      <c r="Y322" s="446">
        <f t="shared" si="262"/>
        <v>301</v>
      </c>
      <c r="Z322" s="260">
        <f t="shared" si="263"/>
        <v>11709600</v>
      </c>
      <c r="AA322" s="260">
        <f t="shared" si="264"/>
        <v>12280800</v>
      </c>
      <c r="AB322" s="425">
        <f t="shared" si="265"/>
        <v>6</v>
      </c>
      <c r="AC322" s="425">
        <f t="array" ref="AC322">MAX((IF(MNU_CODIGO_ALIMENTO_ENTREGA=CONCATENATE($E322,"_","P_"),MNU_GRAMAJE_REQUERIDO_TIPOC,"")))</f>
        <v>60</v>
      </c>
      <c r="AD322" s="257">
        <f t="shared" si="266"/>
        <v>7513</v>
      </c>
      <c r="AE322" s="257">
        <f t="shared" si="267"/>
        <v>45078</v>
      </c>
      <c r="AF322" s="446">
        <f t="shared" si="268"/>
        <v>430</v>
      </c>
      <c r="AG322" s="446">
        <f t="shared" si="269"/>
        <v>20.984000000000002</v>
      </c>
      <c r="AH322" s="446">
        <f t="shared" si="270"/>
        <v>0.36980687999999995</v>
      </c>
      <c r="AI322" s="446">
        <f t="shared" si="271"/>
        <v>451</v>
      </c>
      <c r="AJ322" s="258">
        <f t="shared" si="272"/>
        <v>19383540</v>
      </c>
      <c r="AK322" s="258">
        <f t="shared" si="273"/>
        <v>20330178</v>
      </c>
      <c r="AL322" s="426">
        <f t="shared" si="274"/>
        <v>6</v>
      </c>
      <c r="AM322" s="426">
        <f t="array" ref="AM322">MAX((IF(MNU_CODIGO_ALIMENTO_ENTREGA=CONCATENATE($E322,"_","P_"),MNU_GRAMAJE_REQUERIDO_TIPOM,"")))</f>
        <v>40</v>
      </c>
      <c r="AN322" s="259">
        <f t="shared" si="275"/>
        <v>230</v>
      </c>
      <c r="AO322" s="259">
        <f t="shared" si="276"/>
        <v>1380</v>
      </c>
      <c r="AP322" s="446">
        <f t="shared" si="277"/>
        <v>287</v>
      </c>
      <c r="AQ322" s="446">
        <f t="shared" si="278"/>
        <v>14.005600000000001</v>
      </c>
      <c r="AR322" s="446">
        <f t="shared" si="279"/>
        <v>0.24682459200000004</v>
      </c>
      <c r="AS322" s="446">
        <f t="shared" si="280"/>
        <v>301</v>
      </c>
      <c r="AT322" s="260">
        <f t="shared" si="281"/>
        <v>396060</v>
      </c>
      <c r="AU322" s="260">
        <f t="shared" si="282"/>
        <v>415380</v>
      </c>
      <c r="AV322" s="425">
        <f t="shared" si="283"/>
        <v>6</v>
      </c>
      <c r="AW322" s="425">
        <f t="array" ref="AW322">MAX((IF(MNU_CODIGO_ALIMENTO_ENTREGA=CONCATENATE($E322,"_","P_"),MNU_GRAMAJE_REQUERIDO_TIPOH,"")))</f>
        <v>60</v>
      </c>
      <c r="AX322" s="257">
        <f t="shared" si="284"/>
        <v>290</v>
      </c>
      <c r="AY322" s="257">
        <f t="shared" si="285"/>
        <v>1740</v>
      </c>
      <c r="AZ322" s="446">
        <f t="shared" si="286"/>
        <v>430</v>
      </c>
      <c r="BA322" s="446">
        <f t="shared" si="287"/>
        <v>20.984000000000002</v>
      </c>
      <c r="BB322" s="446">
        <f t="shared" si="288"/>
        <v>0.36980687999999995</v>
      </c>
      <c r="BC322" s="446">
        <f t="shared" si="289"/>
        <v>451</v>
      </c>
      <c r="BD322" s="258">
        <f t="shared" si="290"/>
        <v>748200</v>
      </c>
      <c r="BE322" s="258">
        <f t="shared" si="291"/>
        <v>784740</v>
      </c>
      <c r="BF322" s="391">
        <f t="shared" si="292"/>
        <v>38610000</v>
      </c>
      <c r="BG322" s="391">
        <f t="shared" si="293"/>
        <v>40509738</v>
      </c>
    </row>
    <row r="323" spans="1:59" ht="15.75">
      <c r="A323" s="333">
        <v>26</v>
      </c>
      <c r="B323" s="333" t="str">
        <f t="shared" si="245"/>
        <v>CEREAL EMPACADO_26</v>
      </c>
      <c r="C323" s="333" t="str">
        <f t="shared" si="246"/>
        <v>30_26</v>
      </c>
      <c r="D323" s="333" t="s">
        <v>1607</v>
      </c>
      <c r="E323" s="256">
        <v>30</v>
      </c>
      <c r="F323" s="322" t="s">
        <v>63</v>
      </c>
      <c r="G323" s="256" t="s">
        <v>9</v>
      </c>
      <c r="H323" s="425">
        <f t="shared" si="247"/>
        <v>16</v>
      </c>
      <c r="I323" s="425">
        <f t="array" ref="I323">MAX((IF(MNU_CODIGO_ALIMENTO_ENTREGA=CONCATENATE($E323,"_","P_"),MNU_GRAMAJE_REQUERIDO_TIPOA,"")))</f>
        <v>30</v>
      </c>
      <c r="J323" s="257">
        <f t="shared" si="248"/>
        <v>4940</v>
      </c>
      <c r="K323" s="257">
        <f t="shared" si="249"/>
        <v>79040</v>
      </c>
      <c r="L323" s="446">
        <f t="shared" si="250"/>
        <v>316</v>
      </c>
      <c r="M323" s="446">
        <f t="shared" si="251"/>
        <v>15.4208</v>
      </c>
      <c r="N323" s="446">
        <f t="shared" si="252"/>
        <v>0.271765056</v>
      </c>
      <c r="O323" s="446">
        <f t="shared" si="253"/>
        <v>332</v>
      </c>
      <c r="P323" s="258">
        <f t="shared" si="254"/>
        <v>24976640</v>
      </c>
      <c r="Q323" s="258">
        <f t="shared" si="255"/>
        <v>26241280</v>
      </c>
      <c r="R323" s="426">
        <f t="shared" si="256"/>
        <v>16</v>
      </c>
      <c r="S323" s="426">
        <f t="array" ref="S323">MAX((IF(MNU_CODIGO_ALIMENTO_ENTREGA=CONCATENATE($E323,"_","P_"),MNU_GRAMAJE_REQUERIDO_TIPOB,"")))</f>
        <v>30</v>
      </c>
      <c r="T323" s="259">
        <f t="shared" si="257"/>
        <v>6800</v>
      </c>
      <c r="U323" s="259">
        <f t="shared" si="258"/>
        <v>108800</v>
      </c>
      <c r="V323" s="446">
        <f t="shared" si="259"/>
        <v>316</v>
      </c>
      <c r="W323" s="446">
        <f t="shared" si="260"/>
        <v>15.4208</v>
      </c>
      <c r="X323" s="446">
        <f t="shared" si="261"/>
        <v>0.271765056</v>
      </c>
      <c r="Y323" s="446">
        <f t="shared" si="262"/>
        <v>332</v>
      </c>
      <c r="Z323" s="260">
        <f t="shared" si="263"/>
        <v>34380800</v>
      </c>
      <c r="AA323" s="260">
        <f t="shared" si="264"/>
        <v>36121600</v>
      </c>
      <c r="AB323" s="425">
        <f t="shared" si="265"/>
        <v>16</v>
      </c>
      <c r="AC323" s="425">
        <f t="array" ref="AC323">MAX((IF(MNU_CODIGO_ALIMENTO_ENTREGA=CONCATENATE($E323,"_","P_"),MNU_GRAMAJE_REQUERIDO_TIPOC,"")))</f>
        <v>30</v>
      </c>
      <c r="AD323" s="257">
        <f t="shared" si="266"/>
        <v>7513</v>
      </c>
      <c r="AE323" s="257">
        <f t="shared" si="267"/>
        <v>120208</v>
      </c>
      <c r="AF323" s="446">
        <f t="shared" si="268"/>
        <v>316</v>
      </c>
      <c r="AG323" s="446">
        <f t="shared" si="269"/>
        <v>15.4208</v>
      </c>
      <c r="AH323" s="446">
        <f t="shared" si="270"/>
        <v>0.271765056</v>
      </c>
      <c r="AI323" s="446">
        <f t="shared" si="271"/>
        <v>332</v>
      </c>
      <c r="AJ323" s="258">
        <f t="shared" si="272"/>
        <v>37985728</v>
      </c>
      <c r="AK323" s="258">
        <f t="shared" si="273"/>
        <v>39909056</v>
      </c>
      <c r="AL323" s="426">
        <f t="shared" si="274"/>
        <v>16</v>
      </c>
      <c r="AM323" s="426">
        <f t="array" ref="AM323">MAX((IF(MNU_CODIGO_ALIMENTO_ENTREGA=CONCATENATE($E323,"_","P_"),MNU_GRAMAJE_REQUERIDO_TIPOM,"")))</f>
        <v>30</v>
      </c>
      <c r="AN323" s="259">
        <f t="shared" si="275"/>
        <v>230</v>
      </c>
      <c r="AO323" s="259">
        <f t="shared" si="276"/>
        <v>3680</v>
      </c>
      <c r="AP323" s="446">
        <f t="shared" si="277"/>
        <v>316</v>
      </c>
      <c r="AQ323" s="446">
        <f t="shared" si="278"/>
        <v>15.4208</v>
      </c>
      <c r="AR323" s="446">
        <f t="shared" si="279"/>
        <v>0.271765056</v>
      </c>
      <c r="AS323" s="446">
        <f t="shared" si="280"/>
        <v>332</v>
      </c>
      <c r="AT323" s="260">
        <f t="shared" si="281"/>
        <v>1162880</v>
      </c>
      <c r="AU323" s="260">
        <f t="shared" si="282"/>
        <v>1221760</v>
      </c>
      <c r="AV323" s="425">
        <f t="shared" si="283"/>
        <v>16</v>
      </c>
      <c r="AW323" s="425">
        <f t="array" ref="AW323">MAX((IF(MNU_CODIGO_ALIMENTO_ENTREGA=CONCATENATE($E323,"_","P_"),MNU_GRAMAJE_REQUERIDO_TIPOH,"")))</f>
        <v>30</v>
      </c>
      <c r="AX323" s="257">
        <f t="shared" si="284"/>
        <v>290</v>
      </c>
      <c r="AY323" s="257">
        <f t="shared" si="285"/>
        <v>4640</v>
      </c>
      <c r="AZ323" s="446">
        <f t="shared" si="286"/>
        <v>316</v>
      </c>
      <c r="BA323" s="446">
        <f t="shared" si="287"/>
        <v>15.4208</v>
      </c>
      <c r="BB323" s="446">
        <f t="shared" si="288"/>
        <v>0.271765056</v>
      </c>
      <c r="BC323" s="446">
        <f t="shared" si="289"/>
        <v>332</v>
      </c>
      <c r="BD323" s="258">
        <f t="shared" si="290"/>
        <v>1466240</v>
      </c>
      <c r="BE323" s="258">
        <f t="shared" si="291"/>
        <v>1540480</v>
      </c>
      <c r="BF323" s="391">
        <f t="shared" si="292"/>
        <v>99972288</v>
      </c>
      <c r="BG323" s="391">
        <f t="shared" si="293"/>
        <v>105034176</v>
      </c>
    </row>
    <row r="324" spans="1:59" ht="15.75">
      <c r="A324" s="333">
        <v>26</v>
      </c>
      <c r="B324" s="333" t="str">
        <f t="shared" si="245"/>
        <v>CEREAL EMPACADO_26</v>
      </c>
      <c r="C324" s="333" t="str">
        <f t="shared" si="246"/>
        <v>45_26</v>
      </c>
      <c r="D324" s="333" t="s">
        <v>1607</v>
      </c>
      <c r="E324" s="256">
        <v>45</v>
      </c>
      <c r="F324" s="322" t="s">
        <v>10</v>
      </c>
      <c r="G324" s="256" t="s">
        <v>9</v>
      </c>
      <c r="H324" s="425">
        <f t="shared" si="247"/>
        <v>16</v>
      </c>
      <c r="I324" s="425">
        <f t="array" ref="I324">MAX((IF(MNU_CODIGO_ALIMENTO_ENTREGA=CONCATENATE($E324,"_","P_"),MNU_GRAMAJE_REQUERIDO_TIPOA,"")))</f>
        <v>20</v>
      </c>
      <c r="J324" s="257">
        <f t="shared" si="248"/>
        <v>4940</v>
      </c>
      <c r="K324" s="257">
        <f t="shared" si="249"/>
        <v>79040</v>
      </c>
      <c r="L324" s="446">
        <f t="shared" si="250"/>
        <v>190</v>
      </c>
      <c r="M324" s="446">
        <f t="shared" si="251"/>
        <v>9.2720000000000002</v>
      </c>
      <c r="N324" s="446">
        <f t="shared" si="252"/>
        <v>0.16340304</v>
      </c>
      <c r="O324" s="446">
        <f t="shared" si="253"/>
        <v>199</v>
      </c>
      <c r="P324" s="258">
        <f t="shared" si="254"/>
        <v>15017600</v>
      </c>
      <c r="Q324" s="258">
        <f t="shared" si="255"/>
        <v>15728960</v>
      </c>
      <c r="R324" s="426">
        <f t="shared" si="256"/>
        <v>16</v>
      </c>
      <c r="S324" s="426">
        <f t="array" ref="S324">MAX((IF(MNU_CODIGO_ALIMENTO_ENTREGA=CONCATENATE($E324,"_","P_"),MNU_GRAMAJE_REQUERIDO_TIPOB,"")))</f>
        <v>30</v>
      </c>
      <c r="T324" s="259">
        <f t="shared" si="257"/>
        <v>6800</v>
      </c>
      <c r="U324" s="259">
        <f t="shared" si="258"/>
        <v>108800</v>
      </c>
      <c r="V324" s="446">
        <f t="shared" si="259"/>
        <v>284</v>
      </c>
      <c r="W324" s="446">
        <f t="shared" si="260"/>
        <v>13.8592</v>
      </c>
      <c r="X324" s="446">
        <f t="shared" si="261"/>
        <v>0.24424454399999998</v>
      </c>
      <c r="Y324" s="446">
        <f t="shared" si="262"/>
        <v>298</v>
      </c>
      <c r="Z324" s="260">
        <f t="shared" si="263"/>
        <v>30899200</v>
      </c>
      <c r="AA324" s="260">
        <f t="shared" si="264"/>
        <v>32422400</v>
      </c>
      <c r="AB324" s="425">
        <f t="shared" si="265"/>
        <v>16</v>
      </c>
      <c r="AC324" s="425">
        <f t="array" ref="AC324">MAX((IF(MNU_CODIGO_ALIMENTO_ENTREGA=CONCATENATE($E324,"_","P_"),MNU_GRAMAJE_REQUERIDO_TIPOC,"")))</f>
        <v>60</v>
      </c>
      <c r="AD324" s="257">
        <f t="shared" si="266"/>
        <v>7513</v>
      </c>
      <c r="AE324" s="257">
        <f t="shared" si="267"/>
        <v>120208</v>
      </c>
      <c r="AF324" s="446">
        <f t="shared" si="268"/>
        <v>569</v>
      </c>
      <c r="AG324" s="446">
        <f t="shared" si="269"/>
        <v>27.767199999999999</v>
      </c>
      <c r="AH324" s="446">
        <f t="shared" si="270"/>
        <v>0.48934910400000003</v>
      </c>
      <c r="AI324" s="446">
        <f t="shared" si="271"/>
        <v>597</v>
      </c>
      <c r="AJ324" s="258">
        <f t="shared" si="272"/>
        <v>68398352</v>
      </c>
      <c r="AK324" s="258">
        <f t="shared" si="273"/>
        <v>71764176</v>
      </c>
      <c r="AL324" s="426">
        <f t="shared" si="274"/>
        <v>16</v>
      </c>
      <c r="AM324" s="426">
        <f t="array" ref="AM324">MAX((IF(MNU_CODIGO_ALIMENTO_ENTREGA=CONCATENATE($E324,"_","P_"),MNU_GRAMAJE_REQUERIDO_TIPOM,"")))</f>
        <v>30</v>
      </c>
      <c r="AN324" s="259">
        <f t="shared" si="275"/>
        <v>230</v>
      </c>
      <c r="AO324" s="259">
        <f t="shared" si="276"/>
        <v>3680</v>
      </c>
      <c r="AP324" s="446">
        <f t="shared" si="277"/>
        <v>284</v>
      </c>
      <c r="AQ324" s="446">
        <f t="shared" si="278"/>
        <v>13.8592</v>
      </c>
      <c r="AR324" s="446">
        <f t="shared" si="279"/>
        <v>0.24424454399999998</v>
      </c>
      <c r="AS324" s="446">
        <f t="shared" si="280"/>
        <v>298</v>
      </c>
      <c r="AT324" s="260">
        <f t="shared" si="281"/>
        <v>1045120</v>
      </c>
      <c r="AU324" s="260">
        <f t="shared" si="282"/>
        <v>1096640</v>
      </c>
      <c r="AV324" s="425">
        <f t="shared" si="283"/>
        <v>16</v>
      </c>
      <c r="AW324" s="425">
        <f t="array" ref="AW324">MAX((IF(MNU_CODIGO_ALIMENTO_ENTREGA=CONCATENATE($E324,"_","P_"),MNU_GRAMAJE_REQUERIDO_TIPOH,"")))</f>
        <v>60</v>
      </c>
      <c r="AX324" s="257">
        <f t="shared" si="284"/>
        <v>290</v>
      </c>
      <c r="AY324" s="257">
        <f t="shared" si="285"/>
        <v>4640</v>
      </c>
      <c r="AZ324" s="446">
        <f t="shared" si="286"/>
        <v>569</v>
      </c>
      <c r="BA324" s="446">
        <f t="shared" si="287"/>
        <v>27.767199999999999</v>
      </c>
      <c r="BB324" s="446">
        <f t="shared" si="288"/>
        <v>0.48934910400000003</v>
      </c>
      <c r="BC324" s="446">
        <f t="shared" si="289"/>
        <v>597</v>
      </c>
      <c r="BD324" s="258">
        <f t="shared" si="290"/>
        <v>2640160</v>
      </c>
      <c r="BE324" s="258">
        <f t="shared" si="291"/>
        <v>2770080</v>
      </c>
      <c r="BF324" s="391">
        <f t="shared" si="292"/>
        <v>118000432</v>
      </c>
      <c r="BG324" s="391">
        <f t="shared" si="293"/>
        <v>123782256</v>
      </c>
    </row>
    <row r="325" spans="1:59" ht="15.75">
      <c r="A325" s="333">
        <v>26</v>
      </c>
      <c r="B325" s="333" t="str">
        <f t="shared" si="245"/>
        <v>CEREAL EMPACADO_26</v>
      </c>
      <c r="C325" s="333" t="str">
        <f t="shared" si="246"/>
        <v>50_26</v>
      </c>
      <c r="D325" s="333" t="s">
        <v>1607</v>
      </c>
      <c r="E325" s="256">
        <v>50</v>
      </c>
      <c r="F325" s="322" t="s">
        <v>65</v>
      </c>
      <c r="G325" s="256" t="s">
        <v>9</v>
      </c>
      <c r="H325" s="425">
        <f t="shared" si="247"/>
        <v>17</v>
      </c>
      <c r="I325" s="425">
        <f t="array" ref="I325">MAX((IF(MNU_CODIGO_ALIMENTO_ENTREGA=CONCATENATE($E325,"_","P_"),MNU_GRAMAJE_REQUERIDO_TIPOA,"")))</f>
        <v>30</v>
      </c>
      <c r="J325" s="257">
        <f t="shared" si="248"/>
        <v>4940</v>
      </c>
      <c r="K325" s="257">
        <f t="shared" si="249"/>
        <v>83980</v>
      </c>
      <c r="L325" s="446">
        <f t="shared" si="250"/>
        <v>306</v>
      </c>
      <c r="M325" s="446">
        <f t="shared" si="251"/>
        <v>14.9328</v>
      </c>
      <c r="N325" s="446">
        <f t="shared" si="252"/>
        <v>0.26316489599999998</v>
      </c>
      <c r="O325" s="446">
        <f t="shared" si="253"/>
        <v>321</v>
      </c>
      <c r="P325" s="258">
        <f t="shared" si="254"/>
        <v>25697880</v>
      </c>
      <c r="Q325" s="258">
        <f t="shared" si="255"/>
        <v>26957580</v>
      </c>
      <c r="R325" s="426">
        <f t="shared" si="256"/>
        <v>17</v>
      </c>
      <c r="S325" s="426">
        <f t="array" ref="S325">MAX((IF(MNU_CODIGO_ALIMENTO_ENTREGA=CONCATENATE($E325,"_","P_"),MNU_GRAMAJE_REQUERIDO_TIPOB,"")))</f>
        <v>40</v>
      </c>
      <c r="T325" s="259">
        <f t="shared" si="257"/>
        <v>6800</v>
      </c>
      <c r="U325" s="259">
        <f t="shared" si="258"/>
        <v>115600</v>
      </c>
      <c r="V325" s="446">
        <f t="shared" si="259"/>
        <v>408</v>
      </c>
      <c r="W325" s="446">
        <f t="shared" si="260"/>
        <v>19.910400000000003</v>
      </c>
      <c r="X325" s="446">
        <f t="shared" si="261"/>
        <v>0.35088652799999998</v>
      </c>
      <c r="Y325" s="446">
        <f t="shared" si="262"/>
        <v>428</v>
      </c>
      <c r="Z325" s="260">
        <f t="shared" si="263"/>
        <v>47164800</v>
      </c>
      <c r="AA325" s="260">
        <f t="shared" si="264"/>
        <v>49476800</v>
      </c>
      <c r="AB325" s="425">
        <f t="shared" si="265"/>
        <v>17</v>
      </c>
      <c r="AC325" s="425">
        <f t="array" ref="AC325">MAX((IF(MNU_CODIGO_ALIMENTO_ENTREGA=CONCATENATE($E325,"_","P_"),MNU_GRAMAJE_REQUERIDO_TIPOC,"")))</f>
        <v>80</v>
      </c>
      <c r="AD325" s="257">
        <f t="shared" si="266"/>
        <v>7513</v>
      </c>
      <c r="AE325" s="257">
        <f t="shared" si="267"/>
        <v>127721</v>
      </c>
      <c r="AF325" s="446">
        <f t="shared" si="268"/>
        <v>815</v>
      </c>
      <c r="AG325" s="446">
        <f t="shared" si="269"/>
        <v>39.772000000000006</v>
      </c>
      <c r="AH325" s="446">
        <f t="shared" si="270"/>
        <v>0.7009130400000001</v>
      </c>
      <c r="AI325" s="446">
        <f t="shared" si="271"/>
        <v>855</v>
      </c>
      <c r="AJ325" s="258">
        <f t="shared" si="272"/>
        <v>104092615</v>
      </c>
      <c r="AK325" s="258">
        <f t="shared" si="273"/>
        <v>109201455</v>
      </c>
      <c r="AL325" s="426">
        <f t="shared" si="274"/>
        <v>17</v>
      </c>
      <c r="AM325" s="426">
        <f t="array" ref="AM325">MAX((IF(MNU_CODIGO_ALIMENTO_ENTREGA=CONCATENATE($E325,"_","P_"),MNU_GRAMAJE_REQUERIDO_TIPOM,"")))</f>
        <v>40</v>
      </c>
      <c r="AN325" s="259">
        <f t="shared" si="275"/>
        <v>230</v>
      </c>
      <c r="AO325" s="259">
        <f t="shared" si="276"/>
        <v>3910</v>
      </c>
      <c r="AP325" s="446">
        <f t="shared" si="277"/>
        <v>408</v>
      </c>
      <c r="AQ325" s="446">
        <f t="shared" si="278"/>
        <v>19.910400000000003</v>
      </c>
      <c r="AR325" s="446">
        <f t="shared" si="279"/>
        <v>0.35088652799999998</v>
      </c>
      <c r="AS325" s="446">
        <f t="shared" si="280"/>
        <v>428</v>
      </c>
      <c r="AT325" s="260">
        <f t="shared" si="281"/>
        <v>1595280</v>
      </c>
      <c r="AU325" s="260">
        <f t="shared" si="282"/>
        <v>1673480</v>
      </c>
      <c r="AV325" s="425">
        <f t="shared" si="283"/>
        <v>17</v>
      </c>
      <c r="AW325" s="425">
        <f t="array" ref="AW325">MAX((IF(MNU_CODIGO_ALIMENTO_ENTREGA=CONCATENATE($E325,"_","P_"),MNU_GRAMAJE_REQUERIDO_TIPOH,"")))</f>
        <v>80</v>
      </c>
      <c r="AX325" s="257">
        <f t="shared" si="284"/>
        <v>290</v>
      </c>
      <c r="AY325" s="257">
        <f t="shared" si="285"/>
        <v>4930</v>
      </c>
      <c r="AZ325" s="446">
        <f t="shared" si="286"/>
        <v>815</v>
      </c>
      <c r="BA325" s="446">
        <f t="shared" si="287"/>
        <v>39.772000000000006</v>
      </c>
      <c r="BB325" s="446">
        <f t="shared" si="288"/>
        <v>0.7009130400000001</v>
      </c>
      <c r="BC325" s="446">
        <f t="shared" si="289"/>
        <v>855</v>
      </c>
      <c r="BD325" s="258">
        <f t="shared" si="290"/>
        <v>4017950</v>
      </c>
      <c r="BE325" s="258">
        <f t="shared" si="291"/>
        <v>4215150</v>
      </c>
      <c r="BF325" s="391">
        <f t="shared" si="292"/>
        <v>182568525</v>
      </c>
      <c r="BG325" s="391">
        <f t="shared" si="293"/>
        <v>191524465</v>
      </c>
    </row>
    <row r="326" spans="1:59" ht="15.75">
      <c r="A326" s="333">
        <v>26</v>
      </c>
      <c r="B326" s="333" t="str">
        <f t="shared" si="245"/>
        <v>CEREAL EMPACADO_26</v>
      </c>
      <c r="C326" s="333" t="str">
        <f t="shared" si="246"/>
        <v>61_26</v>
      </c>
      <c r="D326" s="333" t="s">
        <v>1607</v>
      </c>
      <c r="E326" s="256">
        <v>61</v>
      </c>
      <c r="F326" s="322" t="s">
        <v>13</v>
      </c>
      <c r="G326" s="256" t="s">
        <v>9</v>
      </c>
      <c r="H326" s="425">
        <f t="shared" si="247"/>
        <v>16</v>
      </c>
      <c r="I326" s="425">
        <f t="array" ref="I326">MAX((IF(MNU_CODIGO_ALIMENTO_ENTREGA=CONCATENATE($E326,"_","P_"),MNU_GRAMAJE_REQUERIDO_TIPOA,"")))</f>
        <v>20</v>
      </c>
      <c r="J326" s="257">
        <f t="shared" si="248"/>
        <v>4940</v>
      </c>
      <c r="K326" s="257">
        <f t="shared" si="249"/>
        <v>79040</v>
      </c>
      <c r="L326" s="446">
        <f t="shared" si="250"/>
        <v>222</v>
      </c>
      <c r="M326" s="446">
        <f t="shared" si="251"/>
        <v>10.833600000000001</v>
      </c>
      <c r="N326" s="446">
        <f t="shared" si="252"/>
        <v>0.190923552</v>
      </c>
      <c r="O326" s="446">
        <f t="shared" si="253"/>
        <v>233</v>
      </c>
      <c r="P326" s="258">
        <f t="shared" si="254"/>
        <v>17546880</v>
      </c>
      <c r="Q326" s="258">
        <f t="shared" si="255"/>
        <v>18416320</v>
      </c>
      <c r="R326" s="426">
        <f t="shared" si="256"/>
        <v>16</v>
      </c>
      <c r="S326" s="426">
        <f t="array" ref="S326">MAX((IF(MNU_CODIGO_ALIMENTO_ENTREGA=CONCATENATE($E326,"_","P_"),MNU_GRAMAJE_REQUERIDO_TIPOB,"")))</f>
        <v>30</v>
      </c>
      <c r="T326" s="259">
        <f t="shared" si="257"/>
        <v>6800</v>
      </c>
      <c r="U326" s="259">
        <f t="shared" si="258"/>
        <v>108800</v>
      </c>
      <c r="V326" s="446">
        <f t="shared" si="259"/>
        <v>334</v>
      </c>
      <c r="W326" s="446">
        <f t="shared" si="260"/>
        <v>16.299199999999999</v>
      </c>
      <c r="X326" s="446">
        <f t="shared" si="261"/>
        <v>0.28724534400000001</v>
      </c>
      <c r="Y326" s="446">
        <f t="shared" si="262"/>
        <v>351</v>
      </c>
      <c r="Z326" s="260">
        <f t="shared" si="263"/>
        <v>36339200</v>
      </c>
      <c r="AA326" s="260">
        <f t="shared" si="264"/>
        <v>38188800</v>
      </c>
      <c r="AB326" s="425">
        <f t="shared" si="265"/>
        <v>16</v>
      </c>
      <c r="AC326" s="425">
        <f t="array" ref="AC326">MAX((IF(MNU_CODIGO_ALIMENTO_ENTREGA=CONCATENATE($E326,"_","P_"),MNU_GRAMAJE_REQUERIDO_TIPOC,"")))</f>
        <v>70</v>
      </c>
      <c r="AD326" s="257">
        <f t="shared" si="266"/>
        <v>7513</v>
      </c>
      <c r="AE326" s="257">
        <f t="shared" si="267"/>
        <v>120208</v>
      </c>
      <c r="AF326" s="446">
        <f t="shared" si="268"/>
        <v>779</v>
      </c>
      <c r="AG326" s="446">
        <f t="shared" si="269"/>
        <v>38.0152</v>
      </c>
      <c r="AH326" s="446">
        <f t="shared" si="270"/>
        <v>0.66995246400000008</v>
      </c>
      <c r="AI326" s="446">
        <f t="shared" si="271"/>
        <v>818</v>
      </c>
      <c r="AJ326" s="258">
        <f t="shared" si="272"/>
        <v>93642032</v>
      </c>
      <c r="AK326" s="258">
        <f t="shared" si="273"/>
        <v>98330144</v>
      </c>
      <c r="AL326" s="426">
        <f t="shared" si="274"/>
        <v>16</v>
      </c>
      <c r="AM326" s="426">
        <f t="array" ref="AM326">MAX((IF(MNU_CODIGO_ALIMENTO_ENTREGA=CONCATENATE($E326,"_","P_"),MNU_GRAMAJE_REQUERIDO_TIPOM,"")))</f>
        <v>30</v>
      </c>
      <c r="AN326" s="259">
        <f t="shared" si="275"/>
        <v>230</v>
      </c>
      <c r="AO326" s="259">
        <f t="shared" si="276"/>
        <v>3680</v>
      </c>
      <c r="AP326" s="446">
        <f t="shared" si="277"/>
        <v>334</v>
      </c>
      <c r="AQ326" s="446">
        <f t="shared" si="278"/>
        <v>16.299199999999999</v>
      </c>
      <c r="AR326" s="446">
        <f t="shared" si="279"/>
        <v>0.28724534400000001</v>
      </c>
      <c r="AS326" s="446">
        <f t="shared" si="280"/>
        <v>351</v>
      </c>
      <c r="AT326" s="260">
        <f t="shared" si="281"/>
        <v>1229120</v>
      </c>
      <c r="AU326" s="260">
        <f t="shared" si="282"/>
        <v>1291680</v>
      </c>
      <c r="AV326" s="425">
        <f t="shared" si="283"/>
        <v>16</v>
      </c>
      <c r="AW326" s="425">
        <f t="array" ref="AW326">MAX((IF(MNU_CODIGO_ALIMENTO_ENTREGA=CONCATENATE($E326,"_","P_"),MNU_GRAMAJE_REQUERIDO_TIPOH,"")))</f>
        <v>70</v>
      </c>
      <c r="AX326" s="257">
        <f t="shared" si="284"/>
        <v>290</v>
      </c>
      <c r="AY326" s="257">
        <f t="shared" si="285"/>
        <v>4640</v>
      </c>
      <c r="AZ326" s="446">
        <f t="shared" si="286"/>
        <v>779</v>
      </c>
      <c r="BA326" s="446">
        <f t="shared" si="287"/>
        <v>38.0152</v>
      </c>
      <c r="BB326" s="446">
        <f t="shared" si="288"/>
        <v>0.66995246400000008</v>
      </c>
      <c r="BC326" s="446">
        <f t="shared" si="289"/>
        <v>818</v>
      </c>
      <c r="BD326" s="258">
        <f t="shared" si="290"/>
        <v>3614560</v>
      </c>
      <c r="BE326" s="258">
        <f t="shared" si="291"/>
        <v>3795520</v>
      </c>
      <c r="BF326" s="391">
        <f t="shared" si="292"/>
        <v>152371792</v>
      </c>
      <c r="BG326" s="391">
        <f t="shared" si="293"/>
        <v>160022464</v>
      </c>
    </row>
    <row r="327" spans="1:59" ht="15.75">
      <c r="A327" s="333">
        <v>26</v>
      </c>
      <c r="B327" s="333" t="str">
        <f t="shared" si="245"/>
        <v>CEREAL EMPACADO_26</v>
      </c>
      <c r="C327" s="333" t="str">
        <f t="shared" si="246"/>
        <v>62_26</v>
      </c>
      <c r="D327" s="333" t="s">
        <v>1607</v>
      </c>
      <c r="E327" s="256">
        <v>62</v>
      </c>
      <c r="F327" s="322" t="s">
        <v>68</v>
      </c>
      <c r="G327" s="256" t="s">
        <v>9</v>
      </c>
      <c r="H327" s="425">
        <f t="shared" si="247"/>
        <v>5</v>
      </c>
      <c r="I327" s="425">
        <f t="array" ref="I327">MAX((IF(MNU_CODIGO_ALIMENTO_ENTREGA=CONCATENATE($E327,"_","P_"),MNU_GRAMAJE_REQUERIDO_TIPOA,"")))</f>
        <v>50</v>
      </c>
      <c r="J327" s="257">
        <f t="shared" si="248"/>
        <v>4940</v>
      </c>
      <c r="K327" s="257">
        <f t="shared" si="249"/>
        <v>24700</v>
      </c>
      <c r="L327" s="446">
        <f t="shared" si="250"/>
        <v>595</v>
      </c>
      <c r="M327" s="446">
        <f t="shared" si="251"/>
        <v>29.036000000000001</v>
      </c>
      <c r="N327" s="446">
        <f t="shared" si="252"/>
        <v>0.51170952000000014</v>
      </c>
      <c r="O327" s="446">
        <f t="shared" si="253"/>
        <v>625</v>
      </c>
      <c r="P327" s="258">
        <f t="shared" si="254"/>
        <v>14696500</v>
      </c>
      <c r="Q327" s="258">
        <f t="shared" si="255"/>
        <v>15437500</v>
      </c>
      <c r="R327" s="426">
        <f t="shared" si="256"/>
        <v>5</v>
      </c>
      <c r="S327" s="426">
        <f t="array" ref="S327">MAX((IF(MNU_CODIGO_ALIMENTO_ENTREGA=CONCATENATE($E327,"_","P_"),MNU_GRAMAJE_REQUERIDO_TIPOB,"")))</f>
        <v>50</v>
      </c>
      <c r="T327" s="259">
        <f t="shared" si="257"/>
        <v>6800</v>
      </c>
      <c r="U327" s="259">
        <f t="shared" si="258"/>
        <v>34000</v>
      </c>
      <c r="V327" s="446">
        <f t="shared" si="259"/>
        <v>595</v>
      </c>
      <c r="W327" s="446">
        <f t="shared" si="260"/>
        <v>29.036000000000001</v>
      </c>
      <c r="X327" s="446">
        <f t="shared" si="261"/>
        <v>0.51170952000000014</v>
      </c>
      <c r="Y327" s="446">
        <f t="shared" si="262"/>
        <v>625</v>
      </c>
      <c r="Z327" s="260">
        <f t="shared" si="263"/>
        <v>20230000</v>
      </c>
      <c r="AA327" s="260">
        <f t="shared" si="264"/>
        <v>21250000</v>
      </c>
      <c r="AB327" s="425">
        <f t="shared" si="265"/>
        <v>5</v>
      </c>
      <c r="AC327" s="425">
        <f t="array" ref="AC327">MAX((IF(MNU_CODIGO_ALIMENTO_ENTREGA=CONCATENATE($E327,"_","P_"),MNU_GRAMAJE_REQUERIDO_TIPOC,"")))</f>
        <v>50</v>
      </c>
      <c r="AD327" s="257">
        <f t="shared" si="266"/>
        <v>7513</v>
      </c>
      <c r="AE327" s="257">
        <f t="shared" si="267"/>
        <v>37565</v>
      </c>
      <c r="AF327" s="446">
        <f t="shared" si="268"/>
        <v>595</v>
      </c>
      <c r="AG327" s="446">
        <f t="shared" si="269"/>
        <v>29.036000000000001</v>
      </c>
      <c r="AH327" s="446">
        <f t="shared" si="270"/>
        <v>0.51170952000000014</v>
      </c>
      <c r="AI327" s="446">
        <f t="shared" si="271"/>
        <v>625</v>
      </c>
      <c r="AJ327" s="258">
        <f t="shared" si="272"/>
        <v>22351175</v>
      </c>
      <c r="AK327" s="258">
        <f t="shared" si="273"/>
        <v>23478125</v>
      </c>
      <c r="AL327" s="426">
        <f t="shared" si="274"/>
        <v>5</v>
      </c>
      <c r="AM327" s="426">
        <f t="array" ref="AM327">MAX((IF(MNU_CODIGO_ALIMENTO_ENTREGA=CONCATENATE($E327,"_","P_"),MNU_GRAMAJE_REQUERIDO_TIPOM,"")))</f>
        <v>50</v>
      </c>
      <c r="AN327" s="259">
        <f t="shared" si="275"/>
        <v>230</v>
      </c>
      <c r="AO327" s="259">
        <f t="shared" si="276"/>
        <v>1150</v>
      </c>
      <c r="AP327" s="446">
        <f t="shared" si="277"/>
        <v>595</v>
      </c>
      <c r="AQ327" s="446">
        <f t="shared" si="278"/>
        <v>29.036000000000001</v>
      </c>
      <c r="AR327" s="446">
        <f t="shared" si="279"/>
        <v>0.51170952000000014</v>
      </c>
      <c r="AS327" s="446">
        <f t="shared" si="280"/>
        <v>625</v>
      </c>
      <c r="AT327" s="260">
        <f t="shared" si="281"/>
        <v>684250</v>
      </c>
      <c r="AU327" s="260">
        <f t="shared" si="282"/>
        <v>718750</v>
      </c>
      <c r="AV327" s="425">
        <f t="shared" si="283"/>
        <v>5</v>
      </c>
      <c r="AW327" s="425">
        <f t="array" ref="AW327">MAX((IF(MNU_CODIGO_ALIMENTO_ENTREGA=CONCATENATE($E327,"_","P_"),MNU_GRAMAJE_REQUERIDO_TIPOH,"")))</f>
        <v>50</v>
      </c>
      <c r="AX327" s="257">
        <f t="shared" si="284"/>
        <v>290</v>
      </c>
      <c r="AY327" s="257">
        <f t="shared" si="285"/>
        <v>1450</v>
      </c>
      <c r="AZ327" s="446">
        <f t="shared" si="286"/>
        <v>595</v>
      </c>
      <c r="BA327" s="446">
        <f t="shared" si="287"/>
        <v>29.036000000000001</v>
      </c>
      <c r="BB327" s="446">
        <f t="shared" si="288"/>
        <v>0.51170952000000014</v>
      </c>
      <c r="BC327" s="446">
        <f t="shared" si="289"/>
        <v>625</v>
      </c>
      <c r="BD327" s="258">
        <f t="shared" si="290"/>
        <v>862750</v>
      </c>
      <c r="BE327" s="258">
        <f t="shared" si="291"/>
        <v>906250</v>
      </c>
      <c r="BF327" s="391">
        <f t="shared" si="292"/>
        <v>58824675</v>
      </c>
      <c r="BG327" s="391">
        <f t="shared" si="293"/>
        <v>61790625</v>
      </c>
    </row>
    <row r="328" spans="1:59" ht="15.75">
      <c r="A328" s="333">
        <v>27</v>
      </c>
      <c r="B328" s="333" t="str">
        <f t="shared" si="245"/>
        <v>CEREAL EMPACADO_27</v>
      </c>
      <c r="C328" s="333" t="str">
        <f t="shared" si="246"/>
        <v>1_27</v>
      </c>
      <c r="D328" s="333" t="s">
        <v>1607</v>
      </c>
      <c r="E328" s="256">
        <v>1</v>
      </c>
      <c r="F328" s="322" t="s">
        <v>16</v>
      </c>
      <c r="G328" s="256" t="s">
        <v>9</v>
      </c>
      <c r="H328" s="425">
        <f t="shared" si="247"/>
        <v>15</v>
      </c>
      <c r="I328" s="425">
        <f t="array" ref="I328">MAX((IF(MNU_CODIGO_ALIMENTO_ENTREGA=CONCATENATE($E328,"_","P_"),MNU_GRAMAJE_REQUERIDO_TIPOA,"")))</f>
        <v>30</v>
      </c>
      <c r="J328" s="257">
        <f t="shared" si="248"/>
        <v>4741</v>
      </c>
      <c r="K328" s="257">
        <f t="shared" si="249"/>
        <v>71115</v>
      </c>
      <c r="L328" s="446">
        <f t="shared" si="250"/>
        <v>770</v>
      </c>
      <c r="M328" s="446">
        <f t="shared" si="251"/>
        <v>37.576000000000008</v>
      </c>
      <c r="N328" s="446">
        <f t="shared" si="252"/>
        <v>0.66221231999999997</v>
      </c>
      <c r="O328" s="446">
        <f t="shared" si="253"/>
        <v>808</v>
      </c>
      <c r="P328" s="258">
        <f t="shared" si="254"/>
        <v>54758550</v>
      </c>
      <c r="Q328" s="258">
        <f t="shared" si="255"/>
        <v>57460920</v>
      </c>
      <c r="R328" s="426">
        <f t="shared" si="256"/>
        <v>15</v>
      </c>
      <c r="S328" s="426">
        <f t="array" ref="S328">MAX((IF(MNU_CODIGO_ALIMENTO_ENTREGA=CONCATENATE($E328,"_","P_"),MNU_GRAMAJE_REQUERIDO_TIPOB,"")))</f>
        <v>40</v>
      </c>
      <c r="T328" s="259">
        <f t="shared" si="257"/>
        <v>6349</v>
      </c>
      <c r="U328" s="259">
        <f t="shared" si="258"/>
        <v>95235</v>
      </c>
      <c r="V328" s="446">
        <f t="shared" si="259"/>
        <v>1027</v>
      </c>
      <c r="W328" s="446">
        <f t="shared" si="260"/>
        <v>50.117600000000003</v>
      </c>
      <c r="X328" s="446">
        <f t="shared" si="261"/>
        <v>0.88323643200000013</v>
      </c>
      <c r="Y328" s="446">
        <f t="shared" si="262"/>
        <v>1078</v>
      </c>
      <c r="Z328" s="260">
        <f t="shared" si="263"/>
        <v>97806345</v>
      </c>
      <c r="AA328" s="260">
        <f t="shared" si="264"/>
        <v>102663330</v>
      </c>
      <c r="AB328" s="425">
        <f t="shared" si="265"/>
        <v>15</v>
      </c>
      <c r="AC328" s="425">
        <f t="array" ref="AC328">MAX((IF(MNU_CODIGO_ALIMENTO_ENTREGA=CONCATENATE($E328,"_","P_"),MNU_GRAMAJE_REQUERIDO_TIPOC,"")))</f>
        <v>60</v>
      </c>
      <c r="AD328" s="257">
        <f t="shared" si="266"/>
        <v>4836</v>
      </c>
      <c r="AE328" s="257">
        <f t="shared" si="267"/>
        <v>72540</v>
      </c>
      <c r="AF328" s="446">
        <f t="shared" si="268"/>
        <v>1540</v>
      </c>
      <c r="AG328" s="446">
        <f t="shared" si="269"/>
        <v>75.152000000000015</v>
      </c>
      <c r="AH328" s="446">
        <f t="shared" si="270"/>
        <v>1.3244246399999999</v>
      </c>
      <c r="AI328" s="446">
        <f t="shared" si="271"/>
        <v>1616</v>
      </c>
      <c r="AJ328" s="258">
        <f t="shared" si="272"/>
        <v>111711600</v>
      </c>
      <c r="AK328" s="258">
        <f t="shared" si="273"/>
        <v>117224640</v>
      </c>
      <c r="AL328" s="426">
        <f t="shared" si="274"/>
        <v>15</v>
      </c>
      <c r="AM328" s="426">
        <f t="array" ref="AM328">MAX((IF(MNU_CODIGO_ALIMENTO_ENTREGA=CONCATENATE($E328,"_","P_"),MNU_GRAMAJE_REQUERIDO_TIPOM,"")))</f>
        <v>40</v>
      </c>
      <c r="AN328" s="259">
        <f t="shared" si="275"/>
        <v>229</v>
      </c>
      <c r="AO328" s="259">
        <f t="shared" si="276"/>
        <v>3435</v>
      </c>
      <c r="AP328" s="446">
        <f t="shared" si="277"/>
        <v>1027</v>
      </c>
      <c r="AQ328" s="446">
        <f t="shared" si="278"/>
        <v>50.117600000000003</v>
      </c>
      <c r="AR328" s="446">
        <f t="shared" si="279"/>
        <v>0.88323643200000013</v>
      </c>
      <c r="AS328" s="446">
        <f t="shared" si="280"/>
        <v>1078</v>
      </c>
      <c r="AT328" s="260">
        <f t="shared" si="281"/>
        <v>3527745</v>
      </c>
      <c r="AU328" s="260">
        <f t="shared" si="282"/>
        <v>3702930</v>
      </c>
      <c r="AV328" s="425">
        <f t="shared" si="283"/>
        <v>15</v>
      </c>
      <c r="AW328" s="425">
        <f t="array" ref="AW328">MAX((IF(MNU_CODIGO_ALIMENTO_ENTREGA=CONCATENATE($E328,"_","P_"),MNU_GRAMAJE_REQUERIDO_TIPOH,"")))</f>
        <v>60</v>
      </c>
      <c r="AX328" s="257">
        <f t="shared" si="284"/>
        <v>252</v>
      </c>
      <c r="AY328" s="257">
        <f t="shared" si="285"/>
        <v>3780</v>
      </c>
      <c r="AZ328" s="446">
        <f t="shared" si="286"/>
        <v>1540</v>
      </c>
      <c r="BA328" s="446">
        <f t="shared" si="287"/>
        <v>75.152000000000015</v>
      </c>
      <c r="BB328" s="446">
        <f t="shared" si="288"/>
        <v>1.3244246399999999</v>
      </c>
      <c r="BC328" s="446">
        <f t="shared" si="289"/>
        <v>1616</v>
      </c>
      <c r="BD328" s="258">
        <f t="shared" si="290"/>
        <v>5821200</v>
      </c>
      <c r="BE328" s="258">
        <f t="shared" si="291"/>
        <v>6108480</v>
      </c>
      <c r="BF328" s="391">
        <f t="shared" si="292"/>
        <v>273625440</v>
      </c>
      <c r="BG328" s="391">
        <f t="shared" si="293"/>
        <v>287160300</v>
      </c>
    </row>
    <row r="329" spans="1:59" ht="15.75">
      <c r="A329" s="333">
        <v>27</v>
      </c>
      <c r="B329" s="333" t="str">
        <f t="shared" si="245"/>
        <v>CEREAL EMPACADO_27</v>
      </c>
      <c r="C329" s="333" t="str">
        <f t="shared" si="246"/>
        <v>3_27</v>
      </c>
      <c r="D329" s="333" t="s">
        <v>1607</v>
      </c>
      <c r="E329" s="256">
        <v>3</v>
      </c>
      <c r="F329" s="322" t="s">
        <v>12</v>
      </c>
      <c r="G329" s="256" t="s">
        <v>9</v>
      </c>
      <c r="H329" s="425">
        <f t="shared" si="247"/>
        <v>17</v>
      </c>
      <c r="I329" s="425">
        <f t="array" ref="I329">MAX((IF(MNU_CODIGO_ALIMENTO_ENTREGA=CONCATENATE($E329,"_","P_"),MNU_GRAMAJE_REQUERIDO_TIPOA,"")))</f>
        <v>50</v>
      </c>
      <c r="J329" s="257">
        <f t="shared" si="248"/>
        <v>4741</v>
      </c>
      <c r="K329" s="257">
        <f t="shared" si="249"/>
        <v>80597</v>
      </c>
      <c r="L329" s="446">
        <f t="shared" si="250"/>
        <v>481</v>
      </c>
      <c r="M329" s="446">
        <f t="shared" si="251"/>
        <v>23.472799999999999</v>
      </c>
      <c r="N329" s="446">
        <f t="shared" si="252"/>
        <v>0.41366769599999997</v>
      </c>
      <c r="O329" s="446">
        <f t="shared" si="253"/>
        <v>505</v>
      </c>
      <c r="P329" s="258">
        <f t="shared" si="254"/>
        <v>38767157</v>
      </c>
      <c r="Q329" s="258">
        <f t="shared" si="255"/>
        <v>40701485</v>
      </c>
      <c r="R329" s="426">
        <f t="shared" si="256"/>
        <v>17</v>
      </c>
      <c r="S329" s="426">
        <f t="array" ref="S329">MAX((IF(MNU_CODIGO_ALIMENTO_ENTREGA=CONCATENATE($E329,"_","P_"),MNU_GRAMAJE_REQUERIDO_TIPOB,"")))</f>
        <v>50</v>
      </c>
      <c r="T329" s="259">
        <f t="shared" si="257"/>
        <v>6349</v>
      </c>
      <c r="U329" s="259">
        <f t="shared" si="258"/>
        <v>107933</v>
      </c>
      <c r="V329" s="446">
        <f t="shared" si="259"/>
        <v>481</v>
      </c>
      <c r="W329" s="446">
        <f t="shared" si="260"/>
        <v>23.472799999999999</v>
      </c>
      <c r="X329" s="446">
        <f t="shared" si="261"/>
        <v>0.41366769599999997</v>
      </c>
      <c r="Y329" s="446">
        <f t="shared" si="262"/>
        <v>505</v>
      </c>
      <c r="Z329" s="260">
        <f t="shared" si="263"/>
        <v>51915773</v>
      </c>
      <c r="AA329" s="260">
        <f t="shared" si="264"/>
        <v>54506165</v>
      </c>
      <c r="AB329" s="425">
        <f t="shared" si="265"/>
        <v>17</v>
      </c>
      <c r="AC329" s="425">
        <f t="array" ref="AC329">MAX((IF(MNU_CODIGO_ALIMENTO_ENTREGA=CONCATENATE($E329,"_","P_"),MNU_GRAMAJE_REQUERIDO_TIPOC,"")))</f>
        <v>80</v>
      </c>
      <c r="AD329" s="257">
        <f t="shared" si="266"/>
        <v>4836</v>
      </c>
      <c r="AE329" s="257">
        <f t="shared" si="267"/>
        <v>82212</v>
      </c>
      <c r="AF329" s="446">
        <f t="shared" si="268"/>
        <v>727</v>
      </c>
      <c r="AG329" s="446">
        <f t="shared" si="269"/>
        <v>35.477600000000002</v>
      </c>
      <c r="AH329" s="446">
        <f t="shared" si="270"/>
        <v>0.62523163200000009</v>
      </c>
      <c r="AI329" s="446">
        <f t="shared" si="271"/>
        <v>763</v>
      </c>
      <c r="AJ329" s="258">
        <f t="shared" si="272"/>
        <v>59768124</v>
      </c>
      <c r="AK329" s="258">
        <f t="shared" si="273"/>
        <v>62727756</v>
      </c>
      <c r="AL329" s="426">
        <f t="shared" si="274"/>
        <v>17</v>
      </c>
      <c r="AM329" s="426">
        <f t="array" ref="AM329">MAX((IF(MNU_CODIGO_ALIMENTO_ENTREGA=CONCATENATE($E329,"_","P_"),MNU_GRAMAJE_REQUERIDO_TIPOM,"")))</f>
        <v>50</v>
      </c>
      <c r="AN329" s="259">
        <f t="shared" si="275"/>
        <v>229</v>
      </c>
      <c r="AO329" s="259">
        <f t="shared" si="276"/>
        <v>3893</v>
      </c>
      <c r="AP329" s="446">
        <f t="shared" si="277"/>
        <v>481</v>
      </c>
      <c r="AQ329" s="446">
        <f t="shared" si="278"/>
        <v>23.472799999999999</v>
      </c>
      <c r="AR329" s="446">
        <f t="shared" si="279"/>
        <v>0.41366769599999997</v>
      </c>
      <c r="AS329" s="446">
        <f t="shared" si="280"/>
        <v>505</v>
      </c>
      <c r="AT329" s="260">
        <f t="shared" si="281"/>
        <v>1872533</v>
      </c>
      <c r="AU329" s="260">
        <f t="shared" si="282"/>
        <v>1965965</v>
      </c>
      <c r="AV329" s="425">
        <f t="shared" si="283"/>
        <v>17</v>
      </c>
      <c r="AW329" s="425">
        <f t="array" ref="AW329">MAX((IF(MNU_CODIGO_ALIMENTO_ENTREGA=CONCATENATE($E329,"_","P_"),MNU_GRAMAJE_REQUERIDO_TIPOH,"")))</f>
        <v>80</v>
      </c>
      <c r="AX329" s="257">
        <f t="shared" si="284"/>
        <v>252</v>
      </c>
      <c r="AY329" s="257">
        <f t="shared" si="285"/>
        <v>4284</v>
      </c>
      <c r="AZ329" s="446">
        <f t="shared" si="286"/>
        <v>727</v>
      </c>
      <c r="BA329" s="446">
        <f t="shared" si="287"/>
        <v>35.477600000000002</v>
      </c>
      <c r="BB329" s="446">
        <f t="shared" si="288"/>
        <v>0.62523163200000009</v>
      </c>
      <c r="BC329" s="446">
        <f t="shared" si="289"/>
        <v>763</v>
      </c>
      <c r="BD329" s="258">
        <f t="shared" si="290"/>
        <v>3114468</v>
      </c>
      <c r="BE329" s="258">
        <f t="shared" si="291"/>
        <v>3268692</v>
      </c>
      <c r="BF329" s="391">
        <f t="shared" si="292"/>
        <v>155438055</v>
      </c>
      <c r="BG329" s="391">
        <f t="shared" si="293"/>
        <v>163170063</v>
      </c>
    </row>
    <row r="330" spans="1:59" ht="15.75">
      <c r="A330" s="333">
        <v>27</v>
      </c>
      <c r="B330" s="333" t="str">
        <f t="shared" si="245"/>
        <v>CEREAL EMPACADO_27</v>
      </c>
      <c r="C330" s="333" t="str">
        <f t="shared" si="246"/>
        <v>15_27</v>
      </c>
      <c r="D330" s="333" t="s">
        <v>1607</v>
      </c>
      <c r="E330" s="256">
        <v>15</v>
      </c>
      <c r="F330" s="322" t="s">
        <v>66</v>
      </c>
      <c r="G330" s="256" t="s">
        <v>9</v>
      </c>
      <c r="H330" s="425">
        <f t="shared" si="247"/>
        <v>17</v>
      </c>
      <c r="I330" s="425">
        <f t="array" ref="I330">MAX((IF(MNU_CODIGO_ALIMENTO_ENTREGA=CONCATENATE($E330,"_","P_"),MNU_GRAMAJE_REQUERIDO_TIPOA,"")))</f>
        <v>50</v>
      </c>
      <c r="J330" s="257">
        <f t="shared" si="248"/>
        <v>4741</v>
      </c>
      <c r="K330" s="257">
        <f t="shared" si="249"/>
        <v>80597</v>
      </c>
      <c r="L330" s="446">
        <f t="shared" si="250"/>
        <v>641</v>
      </c>
      <c r="M330" s="446">
        <f t="shared" si="251"/>
        <v>31.280800000000003</v>
      </c>
      <c r="N330" s="446">
        <f t="shared" si="252"/>
        <v>0.55127025600000001</v>
      </c>
      <c r="O330" s="446">
        <f t="shared" si="253"/>
        <v>673</v>
      </c>
      <c r="P330" s="258">
        <f t="shared" si="254"/>
        <v>51662677</v>
      </c>
      <c r="Q330" s="258">
        <f t="shared" si="255"/>
        <v>54241781</v>
      </c>
      <c r="R330" s="426">
        <f t="shared" si="256"/>
        <v>17</v>
      </c>
      <c r="S330" s="426">
        <f t="array" ref="S330">MAX((IF(MNU_CODIGO_ALIMENTO_ENTREGA=CONCATENATE($E330,"_","P_"),MNU_GRAMAJE_REQUERIDO_TIPOB,"")))</f>
        <v>50</v>
      </c>
      <c r="T330" s="259">
        <f t="shared" si="257"/>
        <v>6349</v>
      </c>
      <c r="U330" s="259">
        <f t="shared" si="258"/>
        <v>107933</v>
      </c>
      <c r="V330" s="446">
        <f t="shared" si="259"/>
        <v>641</v>
      </c>
      <c r="W330" s="446">
        <f t="shared" si="260"/>
        <v>31.280800000000003</v>
      </c>
      <c r="X330" s="446">
        <f t="shared" si="261"/>
        <v>0.55127025600000001</v>
      </c>
      <c r="Y330" s="446">
        <f t="shared" si="262"/>
        <v>673</v>
      </c>
      <c r="Z330" s="260">
        <f t="shared" si="263"/>
        <v>69185053</v>
      </c>
      <c r="AA330" s="260">
        <f t="shared" si="264"/>
        <v>72638909</v>
      </c>
      <c r="AB330" s="425">
        <f t="shared" si="265"/>
        <v>17</v>
      </c>
      <c r="AC330" s="425">
        <f t="array" ref="AC330">MAX((IF(MNU_CODIGO_ALIMENTO_ENTREGA=CONCATENATE($E330,"_","P_"),MNU_GRAMAJE_REQUERIDO_TIPOC,"")))</f>
        <v>80</v>
      </c>
      <c r="AD330" s="257">
        <f t="shared" si="266"/>
        <v>4836</v>
      </c>
      <c r="AE330" s="257">
        <f t="shared" si="267"/>
        <v>82212</v>
      </c>
      <c r="AF330" s="446">
        <f t="shared" si="268"/>
        <v>1025</v>
      </c>
      <c r="AG330" s="446">
        <f t="shared" si="269"/>
        <v>50.02</v>
      </c>
      <c r="AH330" s="446">
        <f t="shared" si="270"/>
        <v>0.88151640000000009</v>
      </c>
      <c r="AI330" s="446">
        <f t="shared" si="271"/>
        <v>1076</v>
      </c>
      <c r="AJ330" s="258">
        <f t="shared" si="272"/>
        <v>84267300</v>
      </c>
      <c r="AK330" s="258">
        <f t="shared" si="273"/>
        <v>88460112</v>
      </c>
      <c r="AL330" s="426">
        <f t="shared" si="274"/>
        <v>17</v>
      </c>
      <c r="AM330" s="426">
        <f t="array" ref="AM330">MAX((IF(MNU_CODIGO_ALIMENTO_ENTREGA=CONCATENATE($E330,"_","P_"),MNU_GRAMAJE_REQUERIDO_TIPOM,"")))</f>
        <v>50</v>
      </c>
      <c r="AN330" s="259">
        <f t="shared" si="275"/>
        <v>229</v>
      </c>
      <c r="AO330" s="259">
        <f t="shared" si="276"/>
        <v>3893</v>
      </c>
      <c r="AP330" s="446">
        <f t="shared" si="277"/>
        <v>641</v>
      </c>
      <c r="AQ330" s="446">
        <f t="shared" si="278"/>
        <v>31.280800000000003</v>
      </c>
      <c r="AR330" s="446">
        <f t="shared" si="279"/>
        <v>0.55127025600000001</v>
      </c>
      <c r="AS330" s="446">
        <f t="shared" si="280"/>
        <v>673</v>
      </c>
      <c r="AT330" s="260">
        <f t="shared" si="281"/>
        <v>2495413</v>
      </c>
      <c r="AU330" s="260">
        <f t="shared" si="282"/>
        <v>2619989</v>
      </c>
      <c r="AV330" s="425">
        <f t="shared" si="283"/>
        <v>17</v>
      </c>
      <c r="AW330" s="425">
        <f t="array" ref="AW330">MAX((IF(MNU_CODIGO_ALIMENTO_ENTREGA=CONCATENATE($E330,"_","P_"),MNU_GRAMAJE_REQUERIDO_TIPOH,"")))</f>
        <v>80</v>
      </c>
      <c r="AX330" s="257">
        <f t="shared" si="284"/>
        <v>252</v>
      </c>
      <c r="AY330" s="257">
        <f t="shared" si="285"/>
        <v>4284</v>
      </c>
      <c r="AZ330" s="446">
        <f t="shared" si="286"/>
        <v>1025</v>
      </c>
      <c r="BA330" s="446">
        <f t="shared" si="287"/>
        <v>50.02</v>
      </c>
      <c r="BB330" s="446">
        <f t="shared" si="288"/>
        <v>0.88151640000000009</v>
      </c>
      <c r="BC330" s="446">
        <f t="shared" si="289"/>
        <v>1076</v>
      </c>
      <c r="BD330" s="258">
        <f t="shared" si="290"/>
        <v>4391100</v>
      </c>
      <c r="BE330" s="258">
        <f t="shared" si="291"/>
        <v>4609584</v>
      </c>
      <c r="BF330" s="391">
        <f t="shared" si="292"/>
        <v>212001543</v>
      </c>
      <c r="BG330" s="391">
        <f t="shared" si="293"/>
        <v>222570375</v>
      </c>
    </row>
    <row r="331" spans="1:59" ht="15.75">
      <c r="A331" s="333">
        <v>27</v>
      </c>
      <c r="B331" s="333" t="str">
        <f t="shared" si="245"/>
        <v>CEREAL EMPACADO_27</v>
      </c>
      <c r="C331" s="333" t="str">
        <f t="shared" si="246"/>
        <v>24_27</v>
      </c>
      <c r="D331" s="333" t="s">
        <v>1607</v>
      </c>
      <c r="E331" s="256">
        <v>24</v>
      </c>
      <c r="F331" s="322" t="s">
        <v>61</v>
      </c>
      <c r="G331" s="256" t="s">
        <v>9</v>
      </c>
      <c r="H331" s="425">
        <f t="shared" si="247"/>
        <v>17</v>
      </c>
      <c r="I331" s="425">
        <f t="array" ref="I331">MAX((IF(MNU_CODIGO_ALIMENTO_ENTREGA=CONCATENATE($E331,"_","P_"),MNU_GRAMAJE_REQUERIDO_TIPOA,"")))</f>
        <v>20</v>
      </c>
      <c r="J331" s="257">
        <f t="shared" si="248"/>
        <v>4741</v>
      </c>
      <c r="K331" s="257">
        <f t="shared" si="249"/>
        <v>80597</v>
      </c>
      <c r="L331" s="446">
        <f t="shared" si="250"/>
        <v>122</v>
      </c>
      <c r="M331" s="446">
        <f t="shared" si="251"/>
        <v>5.9535999999999998</v>
      </c>
      <c r="N331" s="446">
        <f t="shared" si="252"/>
        <v>0.104921952</v>
      </c>
      <c r="O331" s="446">
        <f t="shared" si="253"/>
        <v>128</v>
      </c>
      <c r="P331" s="258">
        <f t="shared" si="254"/>
        <v>9832834</v>
      </c>
      <c r="Q331" s="258">
        <f t="shared" si="255"/>
        <v>10316416</v>
      </c>
      <c r="R331" s="426">
        <f t="shared" si="256"/>
        <v>17</v>
      </c>
      <c r="S331" s="426">
        <f t="array" ref="S331">MAX((IF(MNU_CODIGO_ALIMENTO_ENTREGA=CONCATENATE($E331,"_","P_"),MNU_GRAMAJE_REQUERIDO_TIPOB,"")))</f>
        <v>30</v>
      </c>
      <c r="T331" s="259">
        <f t="shared" si="257"/>
        <v>6349</v>
      </c>
      <c r="U331" s="259">
        <f t="shared" si="258"/>
        <v>107933</v>
      </c>
      <c r="V331" s="446">
        <f t="shared" si="259"/>
        <v>191</v>
      </c>
      <c r="W331" s="446">
        <f t="shared" si="260"/>
        <v>9.3208000000000002</v>
      </c>
      <c r="X331" s="446">
        <f t="shared" si="261"/>
        <v>0.16426305600000002</v>
      </c>
      <c r="Y331" s="446">
        <f t="shared" si="262"/>
        <v>200</v>
      </c>
      <c r="Z331" s="260">
        <f t="shared" si="263"/>
        <v>20615203</v>
      </c>
      <c r="AA331" s="260">
        <f t="shared" si="264"/>
        <v>21586600</v>
      </c>
      <c r="AB331" s="425">
        <f t="shared" si="265"/>
        <v>17</v>
      </c>
      <c r="AC331" s="425">
        <f t="array" ref="AC331">MAX((IF(MNU_CODIGO_ALIMENTO_ENTREGA=CONCATENATE($E331,"_","P_"),MNU_GRAMAJE_REQUERIDO_TIPOC,"")))</f>
        <v>60</v>
      </c>
      <c r="AD331" s="257">
        <f t="shared" si="266"/>
        <v>4836</v>
      </c>
      <c r="AE331" s="257">
        <f t="shared" si="267"/>
        <v>82212</v>
      </c>
      <c r="AF331" s="446">
        <f t="shared" si="268"/>
        <v>367</v>
      </c>
      <c r="AG331" s="446">
        <f t="shared" si="269"/>
        <v>17.909599999999998</v>
      </c>
      <c r="AH331" s="446">
        <f t="shared" si="270"/>
        <v>0.31562587200000003</v>
      </c>
      <c r="AI331" s="446">
        <f t="shared" si="271"/>
        <v>385</v>
      </c>
      <c r="AJ331" s="258">
        <f t="shared" si="272"/>
        <v>30171804</v>
      </c>
      <c r="AK331" s="258">
        <f t="shared" si="273"/>
        <v>31651620</v>
      </c>
      <c r="AL331" s="426">
        <f t="shared" si="274"/>
        <v>17</v>
      </c>
      <c r="AM331" s="426">
        <f t="array" ref="AM331">MAX((IF(MNU_CODIGO_ALIMENTO_ENTREGA=CONCATENATE($E331,"_","P_"),MNU_GRAMAJE_REQUERIDO_TIPOM,"")))</f>
        <v>30</v>
      </c>
      <c r="AN331" s="259">
        <f t="shared" si="275"/>
        <v>229</v>
      </c>
      <c r="AO331" s="259">
        <f t="shared" si="276"/>
        <v>3893</v>
      </c>
      <c r="AP331" s="446">
        <f t="shared" si="277"/>
        <v>191</v>
      </c>
      <c r="AQ331" s="446">
        <f t="shared" si="278"/>
        <v>9.3208000000000002</v>
      </c>
      <c r="AR331" s="446">
        <f t="shared" si="279"/>
        <v>0.16426305600000002</v>
      </c>
      <c r="AS331" s="446">
        <f t="shared" si="280"/>
        <v>200</v>
      </c>
      <c r="AT331" s="260">
        <f t="shared" si="281"/>
        <v>743563</v>
      </c>
      <c r="AU331" s="260">
        <f t="shared" si="282"/>
        <v>778600</v>
      </c>
      <c r="AV331" s="425">
        <f t="shared" si="283"/>
        <v>17</v>
      </c>
      <c r="AW331" s="425">
        <f t="array" ref="AW331">MAX((IF(MNU_CODIGO_ALIMENTO_ENTREGA=CONCATENATE($E331,"_","P_"),MNU_GRAMAJE_REQUERIDO_TIPOH,"")))</f>
        <v>60</v>
      </c>
      <c r="AX331" s="257">
        <f t="shared" si="284"/>
        <v>252</v>
      </c>
      <c r="AY331" s="257">
        <f t="shared" si="285"/>
        <v>4284</v>
      </c>
      <c r="AZ331" s="446">
        <f t="shared" si="286"/>
        <v>367</v>
      </c>
      <c r="BA331" s="446">
        <f t="shared" si="287"/>
        <v>17.909599999999998</v>
      </c>
      <c r="BB331" s="446">
        <f t="shared" si="288"/>
        <v>0.31562587200000003</v>
      </c>
      <c r="BC331" s="446">
        <f t="shared" si="289"/>
        <v>385</v>
      </c>
      <c r="BD331" s="258">
        <f t="shared" si="290"/>
        <v>1572228</v>
      </c>
      <c r="BE331" s="258">
        <f t="shared" si="291"/>
        <v>1649340</v>
      </c>
      <c r="BF331" s="391">
        <f t="shared" si="292"/>
        <v>62935632</v>
      </c>
      <c r="BG331" s="391">
        <f t="shared" si="293"/>
        <v>65982576</v>
      </c>
    </row>
    <row r="332" spans="1:59" ht="15.75">
      <c r="A332" s="333">
        <v>27</v>
      </c>
      <c r="B332" s="333" t="str">
        <f t="shared" si="245"/>
        <v>CEREAL EMPACADO_27</v>
      </c>
      <c r="C332" s="333" t="str">
        <f t="shared" si="246"/>
        <v>25_27</v>
      </c>
      <c r="D332" s="333" t="s">
        <v>1607</v>
      </c>
      <c r="E332" s="256">
        <v>25</v>
      </c>
      <c r="F332" s="322" t="s">
        <v>64</v>
      </c>
      <c r="G332" s="256" t="s">
        <v>9</v>
      </c>
      <c r="H332" s="425">
        <f t="shared" si="247"/>
        <v>17</v>
      </c>
      <c r="I332" s="425">
        <f t="array" ref="I332">MAX((IF(MNU_CODIGO_ALIMENTO_ENTREGA=CONCATENATE($E332,"_","P_"),MNU_GRAMAJE_REQUERIDO_TIPOA,"")))</f>
        <v>40</v>
      </c>
      <c r="J332" s="257">
        <f t="shared" si="248"/>
        <v>4741</v>
      </c>
      <c r="K332" s="257">
        <f t="shared" si="249"/>
        <v>80597</v>
      </c>
      <c r="L332" s="446">
        <f t="shared" si="250"/>
        <v>244</v>
      </c>
      <c r="M332" s="446">
        <f t="shared" si="251"/>
        <v>11.9072</v>
      </c>
      <c r="N332" s="446">
        <f t="shared" si="252"/>
        <v>0.209843904</v>
      </c>
      <c r="O332" s="446">
        <f t="shared" si="253"/>
        <v>256</v>
      </c>
      <c r="P332" s="258">
        <f t="shared" si="254"/>
        <v>19665668</v>
      </c>
      <c r="Q332" s="258">
        <f t="shared" si="255"/>
        <v>20632832</v>
      </c>
      <c r="R332" s="426">
        <f t="shared" si="256"/>
        <v>17</v>
      </c>
      <c r="S332" s="426">
        <f t="array" ref="S332">MAX((IF(MNU_CODIGO_ALIMENTO_ENTREGA=CONCATENATE($E332,"_","P_"),MNU_GRAMAJE_REQUERIDO_TIPOB,"")))</f>
        <v>40</v>
      </c>
      <c r="T332" s="259">
        <f t="shared" si="257"/>
        <v>6349</v>
      </c>
      <c r="U332" s="259">
        <f t="shared" si="258"/>
        <v>107933</v>
      </c>
      <c r="V332" s="446">
        <f t="shared" si="259"/>
        <v>244</v>
      </c>
      <c r="W332" s="446">
        <f t="shared" si="260"/>
        <v>11.9072</v>
      </c>
      <c r="X332" s="446">
        <f t="shared" si="261"/>
        <v>0.209843904</v>
      </c>
      <c r="Y332" s="446">
        <f t="shared" si="262"/>
        <v>256</v>
      </c>
      <c r="Z332" s="260">
        <f t="shared" si="263"/>
        <v>26335652</v>
      </c>
      <c r="AA332" s="260">
        <f t="shared" si="264"/>
        <v>27630848</v>
      </c>
      <c r="AB332" s="425">
        <f t="shared" si="265"/>
        <v>17</v>
      </c>
      <c r="AC332" s="425">
        <f t="array" ref="AC332">MAX((IF(MNU_CODIGO_ALIMENTO_ENTREGA=CONCATENATE($E332,"_","P_"),MNU_GRAMAJE_REQUERIDO_TIPOC,"")))</f>
        <v>60</v>
      </c>
      <c r="AD332" s="257">
        <f t="shared" si="266"/>
        <v>4836</v>
      </c>
      <c r="AE332" s="257">
        <f t="shared" si="267"/>
        <v>82212</v>
      </c>
      <c r="AF332" s="446">
        <f t="shared" si="268"/>
        <v>366</v>
      </c>
      <c r="AG332" s="446">
        <f t="shared" si="269"/>
        <v>17.860800000000001</v>
      </c>
      <c r="AH332" s="446">
        <f t="shared" si="270"/>
        <v>0.31476585600000001</v>
      </c>
      <c r="AI332" s="446">
        <f t="shared" si="271"/>
        <v>384</v>
      </c>
      <c r="AJ332" s="258">
        <f t="shared" si="272"/>
        <v>30089592</v>
      </c>
      <c r="AK332" s="258">
        <f t="shared" si="273"/>
        <v>31569408</v>
      </c>
      <c r="AL332" s="426">
        <f t="shared" si="274"/>
        <v>17</v>
      </c>
      <c r="AM332" s="426">
        <f t="array" ref="AM332">MAX((IF(MNU_CODIGO_ALIMENTO_ENTREGA=CONCATENATE($E332,"_","P_"),MNU_GRAMAJE_REQUERIDO_TIPOM,"")))</f>
        <v>40</v>
      </c>
      <c r="AN332" s="259">
        <f t="shared" si="275"/>
        <v>229</v>
      </c>
      <c r="AO332" s="259">
        <f t="shared" si="276"/>
        <v>3893</v>
      </c>
      <c r="AP332" s="446">
        <f t="shared" si="277"/>
        <v>244</v>
      </c>
      <c r="AQ332" s="446">
        <f t="shared" si="278"/>
        <v>11.9072</v>
      </c>
      <c r="AR332" s="446">
        <f t="shared" si="279"/>
        <v>0.209843904</v>
      </c>
      <c r="AS332" s="446">
        <f t="shared" si="280"/>
        <v>256</v>
      </c>
      <c r="AT332" s="260">
        <f t="shared" si="281"/>
        <v>949892</v>
      </c>
      <c r="AU332" s="260">
        <f t="shared" si="282"/>
        <v>996608</v>
      </c>
      <c r="AV332" s="425">
        <f t="shared" si="283"/>
        <v>17</v>
      </c>
      <c r="AW332" s="425">
        <f t="array" ref="AW332">MAX((IF(MNU_CODIGO_ALIMENTO_ENTREGA=CONCATENATE($E332,"_","P_"),MNU_GRAMAJE_REQUERIDO_TIPOH,"")))</f>
        <v>60</v>
      </c>
      <c r="AX332" s="257">
        <f t="shared" si="284"/>
        <v>252</v>
      </c>
      <c r="AY332" s="257">
        <f t="shared" si="285"/>
        <v>4284</v>
      </c>
      <c r="AZ332" s="446">
        <f t="shared" si="286"/>
        <v>366</v>
      </c>
      <c r="BA332" s="446">
        <f t="shared" si="287"/>
        <v>17.860800000000001</v>
      </c>
      <c r="BB332" s="446">
        <f t="shared" si="288"/>
        <v>0.31476585600000001</v>
      </c>
      <c r="BC332" s="446">
        <f t="shared" si="289"/>
        <v>384</v>
      </c>
      <c r="BD332" s="258">
        <f t="shared" si="290"/>
        <v>1567944</v>
      </c>
      <c r="BE332" s="258">
        <f t="shared" si="291"/>
        <v>1645056</v>
      </c>
      <c r="BF332" s="391">
        <f t="shared" si="292"/>
        <v>78608748</v>
      </c>
      <c r="BG332" s="391">
        <f t="shared" si="293"/>
        <v>82474752</v>
      </c>
    </row>
    <row r="333" spans="1:59" ht="15.75">
      <c r="A333" s="333">
        <v>27</v>
      </c>
      <c r="B333" s="333" t="str">
        <f t="shared" si="245"/>
        <v>CEREAL EMPACADO_27</v>
      </c>
      <c r="C333" s="333" t="str">
        <f t="shared" si="246"/>
        <v>26_27</v>
      </c>
      <c r="D333" s="333" t="s">
        <v>1607</v>
      </c>
      <c r="E333" s="256">
        <v>26</v>
      </c>
      <c r="F333" s="322" t="s">
        <v>69</v>
      </c>
      <c r="G333" s="256" t="s">
        <v>9</v>
      </c>
      <c r="H333" s="425">
        <f t="shared" si="247"/>
        <v>6</v>
      </c>
      <c r="I333" s="425">
        <f t="array" ref="I333">MAX((IF(MNU_CODIGO_ALIMENTO_ENTREGA=CONCATENATE($E333,"_","P_"),MNU_GRAMAJE_REQUERIDO_TIPOA,"")))</f>
        <v>30</v>
      </c>
      <c r="J333" s="257">
        <f t="shared" si="248"/>
        <v>4741</v>
      </c>
      <c r="K333" s="257">
        <f t="shared" si="249"/>
        <v>28446</v>
      </c>
      <c r="L333" s="446">
        <f t="shared" si="250"/>
        <v>163</v>
      </c>
      <c r="M333" s="446">
        <f t="shared" si="251"/>
        <v>7.9543999999999997</v>
      </c>
      <c r="N333" s="446">
        <f t="shared" si="252"/>
        <v>0.14018260800000001</v>
      </c>
      <c r="O333" s="446">
        <f t="shared" si="253"/>
        <v>171</v>
      </c>
      <c r="P333" s="258">
        <f t="shared" si="254"/>
        <v>4636698</v>
      </c>
      <c r="Q333" s="258">
        <f t="shared" si="255"/>
        <v>4864266</v>
      </c>
      <c r="R333" s="426">
        <f t="shared" si="256"/>
        <v>6</v>
      </c>
      <c r="S333" s="426">
        <f t="array" ref="S333">MAX((IF(MNU_CODIGO_ALIMENTO_ENTREGA=CONCATENATE($E333,"_","P_"),MNU_GRAMAJE_REQUERIDO_TIPOB,"")))</f>
        <v>30</v>
      </c>
      <c r="T333" s="259">
        <f t="shared" si="257"/>
        <v>6349</v>
      </c>
      <c r="U333" s="259">
        <f t="shared" si="258"/>
        <v>38094</v>
      </c>
      <c r="V333" s="446">
        <f t="shared" si="259"/>
        <v>163</v>
      </c>
      <c r="W333" s="446">
        <f t="shared" si="260"/>
        <v>7.9543999999999997</v>
      </c>
      <c r="X333" s="446">
        <f t="shared" si="261"/>
        <v>0.14018260800000001</v>
      </c>
      <c r="Y333" s="446">
        <f t="shared" si="262"/>
        <v>171</v>
      </c>
      <c r="Z333" s="260">
        <f t="shared" si="263"/>
        <v>6209322</v>
      </c>
      <c r="AA333" s="260">
        <f t="shared" si="264"/>
        <v>6514074</v>
      </c>
      <c r="AB333" s="425">
        <f t="shared" si="265"/>
        <v>6</v>
      </c>
      <c r="AC333" s="425">
        <f t="array" ref="AC333">MAX((IF(MNU_CODIGO_ALIMENTO_ENTREGA=CONCATENATE($E333,"_","P_"),MNU_GRAMAJE_REQUERIDO_TIPOC,"")))</f>
        <v>30</v>
      </c>
      <c r="AD333" s="257">
        <f t="shared" si="266"/>
        <v>4836</v>
      </c>
      <c r="AE333" s="257">
        <f t="shared" si="267"/>
        <v>29016</v>
      </c>
      <c r="AF333" s="446">
        <f t="shared" si="268"/>
        <v>163</v>
      </c>
      <c r="AG333" s="446">
        <f t="shared" si="269"/>
        <v>7.9543999999999997</v>
      </c>
      <c r="AH333" s="446">
        <f t="shared" si="270"/>
        <v>0.14018260800000001</v>
      </c>
      <c r="AI333" s="446">
        <f t="shared" si="271"/>
        <v>171</v>
      </c>
      <c r="AJ333" s="258">
        <f t="shared" si="272"/>
        <v>4729608</v>
      </c>
      <c r="AK333" s="258">
        <f t="shared" si="273"/>
        <v>4961736</v>
      </c>
      <c r="AL333" s="426">
        <f t="shared" si="274"/>
        <v>6</v>
      </c>
      <c r="AM333" s="426">
        <f t="array" ref="AM333">MAX((IF(MNU_CODIGO_ALIMENTO_ENTREGA=CONCATENATE($E333,"_","P_"),MNU_GRAMAJE_REQUERIDO_TIPOM,"")))</f>
        <v>30</v>
      </c>
      <c r="AN333" s="259">
        <f t="shared" si="275"/>
        <v>229</v>
      </c>
      <c r="AO333" s="259">
        <f t="shared" si="276"/>
        <v>1374</v>
      </c>
      <c r="AP333" s="446">
        <f t="shared" si="277"/>
        <v>163</v>
      </c>
      <c r="AQ333" s="446">
        <f t="shared" si="278"/>
        <v>7.9543999999999997</v>
      </c>
      <c r="AR333" s="446">
        <f t="shared" si="279"/>
        <v>0.14018260800000001</v>
      </c>
      <c r="AS333" s="446">
        <f t="shared" si="280"/>
        <v>171</v>
      </c>
      <c r="AT333" s="260">
        <f t="shared" si="281"/>
        <v>223962</v>
      </c>
      <c r="AU333" s="260">
        <f t="shared" si="282"/>
        <v>234954</v>
      </c>
      <c r="AV333" s="425">
        <f t="shared" si="283"/>
        <v>6</v>
      </c>
      <c r="AW333" s="425">
        <f t="array" ref="AW333">MAX((IF(MNU_CODIGO_ALIMENTO_ENTREGA=CONCATENATE($E333,"_","P_"),MNU_GRAMAJE_REQUERIDO_TIPOH,"")))</f>
        <v>30</v>
      </c>
      <c r="AX333" s="257">
        <f t="shared" si="284"/>
        <v>252</v>
      </c>
      <c r="AY333" s="257">
        <f t="shared" si="285"/>
        <v>1512</v>
      </c>
      <c r="AZ333" s="446">
        <f t="shared" si="286"/>
        <v>163</v>
      </c>
      <c r="BA333" s="446">
        <f t="shared" si="287"/>
        <v>7.9543999999999997</v>
      </c>
      <c r="BB333" s="446">
        <f t="shared" si="288"/>
        <v>0.14018260800000001</v>
      </c>
      <c r="BC333" s="446">
        <f t="shared" si="289"/>
        <v>171</v>
      </c>
      <c r="BD333" s="258">
        <f t="shared" si="290"/>
        <v>246456</v>
      </c>
      <c r="BE333" s="258">
        <f t="shared" si="291"/>
        <v>258552</v>
      </c>
      <c r="BF333" s="391">
        <f t="shared" si="292"/>
        <v>16046046</v>
      </c>
      <c r="BG333" s="391">
        <f t="shared" si="293"/>
        <v>16833582</v>
      </c>
    </row>
    <row r="334" spans="1:59" ht="27">
      <c r="A334" s="333">
        <v>27</v>
      </c>
      <c r="B334" s="333" t="str">
        <f t="shared" si="245"/>
        <v>CEREAL EMPACADO_27</v>
      </c>
      <c r="C334" s="333" t="str">
        <f t="shared" si="246"/>
        <v>28_27</v>
      </c>
      <c r="D334" s="333" t="s">
        <v>1607</v>
      </c>
      <c r="E334" s="256">
        <v>28</v>
      </c>
      <c r="F334" s="322" t="s">
        <v>67</v>
      </c>
      <c r="G334" s="256" t="s">
        <v>9</v>
      </c>
      <c r="H334" s="425">
        <f t="shared" si="247"/>
        <v>6</v>
      </c>
      <c r="I334" s="425">
        <f t="array" ref="I334">MAX((IF(MNU_CODIGO_ALIMENTO_ENTREGA=CONCATENATE($E334,"_","P_"),MNU_GRAMAJE_REQUERIDO_TIPOA,"")))</f>
        <v>30</v>
      </c>
      <c r="J334" s="257">
        <f t="shared" si="248"/>
        <v>4741</v>
      </c>
      <c r="K334" s="257">
        <f t="shared" si="249"/>
        <v>28446</v>
      </c>
      <c r="L334" s="446">
        <f t="shared" si="250"/>
        <v>215</v>
      </c>
      <c r="M334" s="446">
        <f t="shared" si="251"/>
        <v>10.492000000000001</v>
      </c>
      <c r="N334" s="446">
        <f t="shared" si="252"/>
        <v>0.18490343999999997</v>
      </c>
      <c r="O334" s="446">
        <f t="shared" si="253"/>
        <v>226</v>
      </c>
      <c r="P334" s="258">
        <f t="shared" si="254"/>
        <v>6115890</v>
      </c>
      <c r="Q334" s="258">
        <f t="shared" si="255"/>
        <v>6428796</v>
      </c>
      <c r="R334" s="426">
        <f t="shared" si="256"/>
        <v>6</v>
      </c>
      <c r="S334" s="426">
        <f t="array" ref="S334">MAX((IF(MNU_CODIGO_ALIMENTO_ENTREGA=CONCATENATE($E334,"_","P_"),MNU_GRAMAJE_REQUERIDO_TIPOB,"")))</f>
        <v>40</v>
      </c>
      <c r="T334" s="259">
        <f t="shared" si="257"/>
        <v>6349</v>
      </c>
      <c r="U334" s="259">
        <f t="shared" si="258"/>
        <v>38094</v>
      </c>
      <c r="V334" s="446">
        <f t="shared" si="259"/>
        <v>287</v>
      </c>
      <c r="W334" s="446">
        <f t="shared" si="260"/>
        <v>14.005600000000001</v>
      </c>
      <c r="X334" s="446">
        <f t="shared" si="261"/>
        <v>0.24682459200000004</v>
      </c>
      <c r="Y334" s="446">
        <f t="shared" si="262"/>
        <v>301</v>
      </c>
      <c r="Z334" s="260">
        <f t="shared" si="263"/>
        <v>10932978</v>
      </c>
      <c r="AA334" s="260">
        <f t="shared" si="264"/>
        <v>11466294</v>
      </c>
      <c r="AB334" s="425">
        <f t="shared" si="265"/>
        <v>6</v>
      </c>
      <c r="AC334" s="425">
        <f t="array" ref="AC334">MAX((IF(MNU_CODIGO_ALIMENTO_ENTREGA=CONCATENATE($E334,"_","P_"),MNU_GRAMAJE_REQUERIDO_TIPOC,"")))</f>
        <v>60</v>
      </c>
      <c r="AD334" s="257">
        <f t="shared" si="266"/>
        <v>4836</v>
      </c>
      <c r="AE334" s="257">
        <f t="shared" si="267"/>
        <v>29016</v>
      </c>
      <c r="AF334" s="446">
        <f t="shared" si="268"/>
        <v>430</v>
      </c>
      <c r="AG334" s="446">
        <f t="shared" si="269"/>
        <v>20.984000000000002</v>
      </c>
      <c r="AH334" s="446">
        <f t="shared" si="270"/>
        <v>0.36980687999999995</v>
      </c>
      <c r="AI334" s="446">
        <f t="shared" si="271"/>
        <v>451</v>
      </c>
      <c r="AJ334" s="258">
        <f t="shared" si="272"/>
        <v>12476880</v>
      </c>
      <c r="AK334" s="258">
        <f t="shared" si="273"/>
        <v>13086216</v>
      </c>
      <c r="AL334" s="426">
        <f t="shared" si="274"/>
        <v>6</v>
      </c>
      <c r="AM334" s="426">
        <f t="array" ref="AM334">MAX((IF(MNU_CODIGO_ALIMENTO_ENTREGA=CONCATENATE($E334,"_","P_"),MNU_GRAMAJE_REQUERIDO_TIPOM,"")))</f>
        <v>40</v>
      </c>
      <c r="AN334" s="259">
        <f t="shared" si="275"/>
        <v>229</v>
      </c>
      <c r="AO334" s="259">
        <f t="shared" si="276"/>
        <v>1374</v>
      </c>
      <c r="AP334" s="446">
        <f t="shared" si="277"/>
        <v>287</v>
      </c>
      <c r="AQ334" s="446">
        <f t="shared" si="278"/>
        <v>14.005600000000001</v>
      </c>
      <c r="AR334" s="446">
        <f t="shared" si="279"/>
        <v>0.24682459200000004</v>
      </c>
      <c r="AS334" s="446">
        <f t="shared" si="280"/>
        <v>301</v>
      </c>
      <c r="AT334" s="260">
        <f t="shared" si="281"/>
        <v>394338</v>
      </c>
      <c r="AU334" s="260">
        <f t="shared" si="282"/>
        <v>413574</v>
      </c>
      <c r="AV334" s="425">
        <f t="shared" si="283"/>
        <v>6</v>
      </c>
      <c r="AW334" s="425">
        <f t="array" ref="AW334">MAX((IF(MNU_CODIGO_ALIMENTO_ENTREGA=CONCATENATE($E334,"_","P_"),MNU_GRAMAJE_REQUERIDO_TIPOH,"")))</f>
        <v>60</v>
      </c>
      <c r="AX334" s="257">
        <f t="shared" si="284"/>
        <v>252</v>
      </c>
      <c r="AY334" s="257">
        <f t="shared" si="285"/>
        <v>1512</v>
      </c>
      <c r="AZ334" s="446">
        <f t="shared" si="286"/>
        <v>430</v>
      </c>
      <c r="BA334" s="446">
        <f t="shared" si="287"/>
        <v>20.984000000000002</v>
      </c>
      <c r="BB334" s="446">
        <f t="shared" si="288"/>
        <v>0.36980687999999995</v>
      </c>
      <c r="BC334" s="446">
        <f t="shared" si="289"/>
        <v>451</v>
      </c>
      <c r="BD334" s="258">
        <f t="shared" si="290"/>
        <v>650160</v>
      </c>
      <c r="BE334" s="258">
        <f t="shared" si="291"/>
        <v>681912</v>
      </c>
      <c r="BF334" s="391">
        <f t="shared" si="292"/>
        <v>30570246</v>
      </c>
      <c r="BG334" s="391">
        <f t="shared" si="293"/>
        <v>32076792</v>
      </c>
    </row>
    <row r="335" spans="1:59" ht="15.75">
      <c r="A335" s="333">
        <v>27</v>
      </c>
      <c r="B335" s="333" t="str">
        <f t="shared" si="245"/>
        <v>CEREAL EMPACADO_27</v>
      </c>
      <c r="C335" s="333" t="str">
        <f t="shared" si="246"/>
        <v>30_27</v>
      </c>
      <c r="D335" s="333" t="s">
        <v>1607</v>
      </c>
      <c r="E335" s="256">
        <v>30</v>
      </c>
      <c r="F335" s="322" t="s">
        <v>63</v>
      </c>
      <c r="G335" s="256" t="s">
        <v>9</v>
      </c>
      <c r="H335" s="425">
        <f t="shared" si="247"/>
        <v>16</v>
      </c>
      <c r="I335" s="425">
        <f t="array" ref="I335">MAX((IF(MNU_CODIGO_ALIMENTO_ENTREGA=CONCATENATE($E335,"_","P_"),MNU_GRAMAJE_REQUERIDO_TIPOA,"")))</f>
        <v>30</v>
      </c>
      <c r="J335" s="257">
        <f t="shared" si="248"/>
        <v>4741</v>
      </c>
      <c r="K335" s="257">
        <f t="shared" si="249"/>
        <v>75856</v>
      </c>
      <c r="L335" s="446">
        <f t="shared" si="250"/>
        <v>316</v>
      </c>
      <c r="M335" s="446">
        <f t="shared" si="251"/>
        <v>15.4208</v>
      </c>
      <c r="N335" s="446">
        <f t="shared" si="252"/>
        <v>0.271765056</v>
      </c>
      <c r="O335" s="446">
        <f t="shared" si="253"/>
        <v>332</v>
      </c>
      <c r="P335" s="258">
        <f t="shared" si="254"/>
        <v>23970496</v>
      </c>
      <c r="Q335" s="258">
        <f t="shared" si="255"/>
        <v>25184192</v>
      </c>
      <c r="R335" s="426">
        <f t="shared" si="256"/>
        <v>16</v>
      </c>
      <c r="S335" s="426">
        <f t="array" ref="S335">MAX((IF(MNU_CODIGO_ALIMENTO_ENTREGA=CONCATENATE($E335,"_","P_"),MNU_GRAMAJE_REQUERIDO_TIPOB,"")))</f>
        <v>30</v>
      </c>
      <c r="T335" s="259">
        <f t="shared" si="257"/>
        <v>6349</v>
      </c>
      <c r="U335" s="259">
        <f t="shared" si="258"/>
        <v>101584</v>
      </c>
      <c r="V335" s="446">
        <f t="shared" si="259"/>
        <v>316</v>
      </c>
      <c r="W335" s="446">
        <f t="shared" si="260"/>
        <v>15.4208</v>
      </c>
      <c r="X335" s="446">
        <f t="shared" si="261"/>
        <v>0.271765056</v>
      </c>
      <c r="Y335" s="446">
        <f t="shared" si="262"/>
        <v>332</v>
      </c>
      <c r="Z335" s="260">
        <f t="shared" si="263"/>
        <v>32100544</v>
      </c>
      <c r="AA335" s="260">
        <f t="shared" si="264"/>
        <v>33725888</v>
      </c>
      <c r="AB335" s="425">
        <f t="shared" si="265"/>
        <v>16</v>
      </c>
      <c r="AC335" s="425">
        <f t="array" ref="AC335">MAX((IF(MNU_CODIGO_ALIMENTO_ENTREGA=CONCATENATE($E335,"_","P_"),MNU_GRAMAJE_REQUERIDO_TIPOC,"")))</f>
        <v>30</v>
      </c>
      <c r="AD335" s="257">
        <f t="shared" si="266"/>
        <v>4836</v>
      </c>
      <c r="AE335" s="257">
        <f t="shared" si="267"/>
        <v>77376</v>
      </c>
      <c r="AF335" s="446">
        <f t="shared" si="268"/>
        <v>316</v>
      </c>
      <c r="AG335" s="446">
        <f t="shared" si="269"/>
        <v>15.4208</v>
      </c>
      <c r="AH335" s="446">
        <f t="shared" si="270"/>
        <v>0.271765056</v>
      </c>
      <c r="AI335" s="446">
        <f t="shared" si="271"/>
        <v>332</v>
      </c>
      <c r="AJ335" s="258">
        <f t="shared" si="272"/>
        <v>24450816</v>
      </c>
      <c r="AK335" s="258">
        <f t="shared" si="273"/>
        <v>25688832</v>
      </c>
      <c r="AL335" s="426">
        <f t="shared" si="274"/>
        <v>16</v>
      </c>
      <c r="AM335" s="426">
        <f t="array" ref="AM335">MAX((IF(MNU_CODIGO_ALIMENTO_ENTREGA=CONCATENATE($E335,"_","P_"),MNU_GRAMAJE_REQUERIDO_TIPOM,"")))</f>
        <v>30</v>
      </c>
      <c r="AN335" s="259">
        <f t="shared" si="275"/>
        <v>229</v>
      </c>
      <c r="AO335" s="259">
        <f t="shared" si="276"/>
        <v>3664</v>
      </c>
      <c r="AP335" s="446">
        <f t="shared" si="277"/>
        <v>316</v>
      </c>
      <c r="AQ335" s="446">
        <f t="shared" si="278"/>
        <v>15.4208</v>
      </c>
      <c r="AR335" s="446">
        <f t="shared" si="279"/>
        <v>0.271765056</v>
      </c>
      <c r="AS335" s="446">
        <f t="shared" si="280"/>
        <v>332</v>
      </c>
      <c r="AT335" s="260">
        <f t="shared" si="281"/>
        <v>1157824</v>
      </c>
      <c r="AU335" s="260">
        <f t="shared" si="282"/>
        <v>1216448</v>
      </c>
      <c r="AV335" s="425">
        <f t="shared" si="283"/>
        <v>16</v>
      </c>
      <c r="AW335" s="425">
        <f t="array" ref="AW335">MAX((IF(MNU_CODIGO_ALIMENTO_ENTREGA=CONCATENATE($E335,"_","P_"),MNU_GRAMAJE_REQUERIDO_TIPOH,"")))</f>
        <v>30</v>
      </c>
      <c r="AX335" s="257">
        <f t="shared" si="284"/>
        <v>252</v>
      </c>
      <c r="AY335" s="257">
        <f t="shared" si="285"/>
        <v>4032</v>
      </c>
      <c r="AZ335" s="446">
        <f t="shared" si="286"/>
        <v>316</v>
      </c>
      <c r="BA335" s="446">
        <f t="shared" si="287"/>
        <v>15.4208</v>
      </c>
      <c r="BB335" s="446">
        <f t="shared" si="288"/>
        <v>0.271765056</v>
      </c>
      <c r="BC335" s="446">
        <f t="shared" si="289"/>
        <v>332</v>
      </c>
      <c r="BD335" s="258">
        <f t="shared" si="290"/>
        <v>1274112</v>
      </c>
      <c r="BE335" s="258">
        <f t="shared" si="291"/>
        <v>1338624</v>
      </c>
      <c r="BF335" s="391">
        <f t="shared" si="292"/>
        <v>82953792</v>
      </c>
      <c r="BG335" s="391">
        <f t="shared" si="293"/>
        <v>87153984</v>
      </c>
    </row>
    <row r="336" spans="1:59" ht="15.75">
      <c r="A336" s="333">
        <v>27</v>
      </c>
      <c r="B336" s="333" t="str">
        <f t="shared" si="245"/>
        <v>CEREAL EMPACADO_27</v>
      </c>
      <c r="C336" s="333" t="str">
        <f t="shared" si="246"/>
        <v>45_27</v>
      </c>
      <c r="D336" s="333" t="s">
        <v>1607</v>
      </c>
      <c r="E336" s="256">
        <v>45</v>
      </c>
      <c r="F336" s="322" t="s">
        <v>10</v>
      </c>
      <c r="G336" s="256" t="s">
        <v>9</v>
      </c>
      <c r="H336" s="425">
        <f t="shared" si="247"/>
        <v>16</v>
      </c>
      <c r="I336" s="425">
        <f t="array" ref="I336">MAX((IF(MNU_CODIGO_ALIMENTO_ENTREGA=CONCATENATE($E336,"_","P_"),MNU_GRAMAJE_REQUERIDO_TIPOA,"")))</f>
        <v>20</v>
      </c>
      <c r="J336" s="257">
        <f t="shared" si="248"/>
        <v>4741</v>
      </c>
      <c r="K336" s="257">
        <f t="shared" si="249"/>
        <v>75856</v>
      </c>
      <c r="L336" s="446">
        <f t="shared" si="250"/>
        <v>190</v>
      </c>
      <c r="M336" s="446">
        <f t="shared" si="251"/>
        <v>9.2720000000000002</v>
      </c>
      <c r="N336" s="446">
        <f t="shared" si="252"/>
        <v>0.16340304</v>
      </c>
      <c r="O336" s="446">
        <f t="shared" si="253"/>
        <v>199</v>
      </c>
      <c r="P336" s="258">
        <f t="shared" si="254"/>
        <v>14412640</v>
      </c>
      <c r="Q336" s="258">
        <f t="shared" si="255"/>
        <v>15095344</v>
      </c>
      <c r="R336" s="426">
        <f t="shared" si="256"/>
        <v>16</v>
      </c>
      <c r="S336" s="426">
        <f t="array" ref="S336">MAX((IF(MNU_CODIGO_ALIMENTO_ENTREGA=CONCATENATE($E336,"_","P_"),MNU_GRAMAJE_REQUERIDO_TIPOB,"")))</f>
        <v>30</v>
      </c>
      <c r="T336" s="259">
        <f t="shared" si="257"/>
        <v>6349</v>
      </c>
      <c r="U336" s="259">
        <f t="shared" si="258"/>
        <v>101584</v>
      </c>
      <c r="V336" s="446">
        <f t="shared" si="259"/>
        <v>284</v>
      </c>
      <c r="W336" s="446">
        <f t="shared" si="260"/>
        <v>13.8592</v>
      </c>
      <c r="X336" s="446">
        <f t="shared" si="261"/>
        <v>0.24424454399999998</v>
      </c>
      <c r="Y336" s="446">
        <f t="shared" si="262"/>
        <v>298</v>
      </c>
      <c r="Z336" s="260">
        <f t="shared" si="263"/>
        <v>28849856</v>
      </c>
      <c r="AA336" s="260">
        <f t="shared" si="264"/>
        <v>30272032</v>
      </c>
      <c r="AB336" s="425">
        <f t="shared" si="265"/>
        <v>16</v>
      </c>
      <c r="AC336" s="425">
        <f t="array" ref="AC336">MAX((IF(MNU_CODIGO_ALIMENTO_ENTREGA=CONCATENATE($E336,"_","P_"),MNU_GRAMAJE_REQUERIDO_TIPOC,"")))</f>
        <v>60</v>
      </c>
      <c r="AD336" s="257">
        <f t="shared" si="266"/>
        <v>4836</v>
      </c>
      <c r="AE336" s="257">
        <f t="shared" si="267"/>
        <v>77376</v>
      </c>
      <c r="AF336" s="446">
        <f t="shared" si="268"/>
        <v>569</v>
      </c>
      <c r="AG336" s="446">
        <f t="shared" si="269"/>
        <v>27.767199999999999</v>
      </c>
      <c r="AH336" s="446">
        <f t="shared" si="270"/>
        <v>0.48934910400000003</v>
      </c>
      <c r="AI336" s="446">
        <f t="shared" si="271"/>
        <v>597</v>
      </c>
      <c r="AJ336" s="258">
        <f t="shared" si="272"/>
        <v>44026944</v>
      </c>
      <c r="AK336" s="258">
        <f t="shared" si="273"/>
        <v>46193472</v>
      </c>
      <c r="AL336" s="426">
        <f t="shared" si="274"/>
        <v>16</v>
      </c>
      <c r="AM336" s="426">
        <f t="array" ref="AM336">MAX((IF(MNU_CODIGO_ALIMENTO_ENTREGA=CONCATENATE($E336,"_","P_"),MNU_GRAMAJE_REQUERIDO_TIPOM,"")))</f>
        <v>30</v>
      </c>
      <c r="AN336" s="259">
        <f t="shared" si="275"/>
        <v>229</v>
      </c>
      <c r="AO336" s="259">
        <f t="shared" si="276"/>
        <v>3664</v>
      </c>
      <c r="AP336" s="446">
        <f t="shared" si="277"/>
        <v>284</v>
      </c>
      <c r="AQ336" s="446">
        <f t="shared" si="278"/>
        <v>13.8592</v>
      </c>
      <c r="AR336" s="446">
        <f t="shared" si="279"/>
        <v>0.24424454399999998</v>
      </c>
      <c r="AS336" s="446">
        <f t="shared" si="280"/>
        <v>298</v>
      </c>
      <c r="AT336" s="260">
        <f t="shared" si="281"/>
        <v>1040576</v>
      </c>
      <c r="AU336" s="260">
        <f t="shared" si="282"/>
        <v>1091872</v>
      </c>
      <c r="AV336" s="425">
        <f t="shared" si="283"/>
        <v>16</v>
      </c>
      <c r="AW336" s="425">
        <f t="array" ref="AW336">MAX((IF(MNU_CODIGO_ALIMENTO_ENTREGA=CONCATENATE($E336,"_","P_"),MNU_GRAMAJE_REQUERIDO_TIPOH,"")))</f>
        <v>60</v>
      </c>
      <c r="AX336" s="257">
        <f t="shared" si="284"/>
        <v>252</v>
      </c>
      <c r="AY336" s="257">
        <f t="shared" si="285"/>
        <v>4032</v>
      </c>
      <c r="AZ336" s="446">
        <f t="shared" si="286"/>
        <v>569</v>
      </c>
      <c r="BA336" s="446">
        <f t="shared" si="287"/>
        <v>27.767199999999999</v>
      </c>
      <c r="BB336" s="446">
        <f t="shared" si="288"/>
        <v>0.48934910400000003</v>
      </c>
      <c r="BC336" s="446">
        <f t="shared" si="289"/>
        <v>597</v>
      </c>
      <c r="BD336" s="258">
        <f t="shared" si="290"/>
        <v>2294208</v>
      </c>
      <c r="BE336" s="258">
        <f t="shared" si="291"/>
        <v>2407104</v>
      </c>
      <c r="BF336" s="391">
        <f t="shared" si="292"/>
        <v>90624224</v>
      </c>
      <c r="BG336" s="391">
        <f t="shared" si="293"/>
        <v>95059824</v>
      </c>
    </row>
    <row r="337" spans="1:59" ht="15.75">
      <c r="A337" s="333">
        <v>27</v>
      </c>
      <c r="B337" s="333" t="str">
        <f t="shared" si="245"/>
        <v>CEREAL EMPACADO_27</v>
      </c>
      <c r="C337" s="333" t="str">
        <f t="shared" si="246"/>
        <v>50_27</v>
      </c>
      <c r="D337" s="333" t="s">
        <v>1607</v>
      </c>
      <c r="E337" s="256">
        <v>50</v>
      </c>
      <c r="F337" s="322" t="s">
        <v>65</v>
      </c>
      <c r="G337" s="256" t="s">
        <v>9</v>
      </c>
      <c r="H337" s="425">
        <f t="shared" si="247"/>
        <v>17</v>
      </c>
      <c r="I337" s="425">
        <f t="array" ref="I337">MAX((IF(MNU_CODIGO_ALIMENTO_ENTREGA=CONCATENATE($E337,"_","P_"),MNU_GRAMAJE_REQUERIDO_TIPOA,"")))</f>
        <v>30</v>
      </c>
      <c r="J337" s="257">
        <f t="shared" si="248"/>
        <v>4741</v>
      </c>
      <c r="K337" s="257">
        <f t="shared" si="249"/>
        <v>80597</v>
      </c>
      <c r="L337" s="446">
        <f t="shared" si="250"/>
        <v>306</v>
      </c>
      <c r="M337" s="446">
        <f t="shared" si="251"/>
        <v>14.9328</v>
      </c>
      <c r="N337" s="446">
        <f t="shared" si="252"/>
        <v>0.26316489599999998</v>
      </c>
      <c r="O337" s="446">
        <f t="shared" si="253"/>
        <v>321</v>
      </c>
      <c r="P337" s="258">
        <f t="shared" si="254"/>
        <v>24662682</v>
      </c>
      <c r="Q337" s="258">
        <f t="shared" si="255"/>
        <v>25871637</v>
      </c>
      <c r="R337" s="426">
        <f t="shared" si="256"/>
        <v>17</v>
      </c>
      <c r="S337" s="426">
        <f t="array" ref="S337">MAX((IF(MNU_CODIGO_ALIMENTO_ENTREGA=CONCATENATE($E337,"_","P_"),MNU_GRAMAJE_REQUERIDO_TIPOB,"")))</f>
        <v>40</v>
      </c>
      <c r="T337" s="259">
        <f t="shared" si="257"/>
        <v>6349</v>
      </c>
      <c r="U337" s="259">
        <f t="shared" si="258"/>
        <v>107933</v>
      </c>
      <c r="V337" s="446">
        <f t="shared" si="259"/>
        <v>408</v>
      </c>
      <c r="W337" s="446">
        <f t="shared" si="260"/>
        <v>19.910400000000003</v>
      </c>
      <c r="X337" s="446">
        <f t="shared" si="261"/>
        <v>0.35088652799999998</v>
      </c>
      <c r="Y337" s="446">
        <f t="shared" si="262"/>
        <v>428</v>
      </c>
      <c r="Z337" s="260">
        <f t="shared" si="263"/>
        <v>44036664</v>
      </c>
      <c r="AA337" s="260">
        <f t="shared" si="264"/>
        <v>46195324</v>
      </c>
      <c r="AB337" s="425">
        <f t="shared" si="265"/>
        <v>17</v>
      </c>
      <c r="AC337" s="425">
        <f t="array" ref="AC337">MAX((IF(MNU_CODIGO_ALIMENTO_ENTREGA=CONCATENATE($E337,"_","P_"),MNU_GRAMAJE_REQUERIDO_TIPOC,"")))</f>
        <v>80</v>
      </c>
      <c r="AD337" s="257">
        <f t="shared" si="266"/>
        <v>4836</v>
      </c>
      <c r="AE337" s="257">
        <f t="shared" si="267"/>
        <v>82212</v>
      </c>
      <c r="AF337" s="446">
        <f t="shared" si="268"/>
        <v>815</v>
      </c>
      <c r="AG337" s="446">
        <f t="shared" si="269"/>
        <v>39.772000000000006</v>
      </c>
      <c r="AH337" s="446">
        <f t="shared" si="270"/>
        <v>0.7009130400000001</v>
      </c>
      <c r="AI337" s="446">
        <f t="shared" si="271"/>
        <v>855</v>
      </c>
      <c r="AJ337" s="258">
        <f t="shared" si="272"/>
        <v>67002780</v>
      </c>
      <c r="AK337" s="258">
        <f t="shared" si="273"/>
        <v>70291260</v>
      </c>
      <c r="AL337" s="426">
        <f t="shared" si="274"/>
        <v>17</v>
      </c>
      <c r="AM337" s="426">
        <f t="array" ref="AM337">MAX((IF(MNU_CODIGO_ALIMENTO_ENTREGA=CONCATENATE($E337,"_","P_"),MNU_GRAMAJE_REQUERIDO_TIPOM,"")))</f>
        <v>40</v>
      </c>
      <c r="AN337" s="259">
        <f t="shared" si="275"/>
        <v>229</v>
      </c>
      <c r="AO337" s="259">
        <f t="shared" si="276"/>
        <v>3893</v>
      </c>
      <c r="AP337" s="446">
        <f t="shared" si="277"/>
        <v>408</v>
      </c>
      <c r="AQ337" s="446">
        <f t="shared" si="278"/>
        <v>19.910400000000003</v>
      </c>
      <c r="AR337" s="446">
        <f t="shared" si="279"/>
        <v>0.35088652799999998</v>
      </c>
      <c r="AS337" s="446">
        <f t="shared" si="280"/>
        <v>428</v>
      </c>
      <c r="AT337" s="260">
        <f t="shared" si="281"/>
        <v>1588344</v>
      </c>
      <c r="AU337" s="260">
        <f t="shared" si="282"/>
        <v>1666204</v>
      </c>
      <c r="AV337" s="425">
        <f t="shared" si="283"/>
        <v>17</v>
      </c>
      <c r="AW337" s="425">
        <f t="array" ref="AW337">MAX((IF(MNU_CODIGO_ALIMENTO_ENTREGA=CONCATENATE($E337,"_","P_"),MNU_GRAMAJE_REQUERIDO_TIPOH,"")))</f>
        <v>80</v>
      </c>
      <c r="AX337" s="257">
        <f t="shared" si="284"/>
        <v>252</v>
      </c>
      <c r="AY337" s="257">
        <f t="shared" si="285"/>
        <v>4284</v>
      </c>
      <c r="AZ337" s="446">
        <f t="shared" si="286"/>
        <v>815</v>
      </c>
      <c r="BA337" s="446">
        <f t="shared" si="287"/>
        <v>39.772000000000006</v>
      </c>
      <c r="BB337" s="446">
        <f t="shared" si="288"/>
        <v>0.7009130400000001</v>
      </c>
      <c r="BC337" s="446">
        <f t="shared" si="289"/>
        <v>855</v>
      </c>
      <c r="BD337" s="258">
        <f t="shared" si="290"/>
        <v>3491460</v>
      </c>
      <c r="BE337" s="258">
        <f t="shared" si="291"/>
        <v>3662820</v>
      </c>
      <c r="BF337" s="391">
        <f t="shared" si="292"/>
        <v>140781930</v>
      </c>
      <c r="BG337" s="391">
        <f t="shared" si="293"/>
        <v>147687245</v>
      </c>
    </row>
    <row r="338" spans="1:59" ht="15.75">
      <c r="A338" s="333">
        <v>27</v>
      </c>
      <c r="B338" s="333" t="str">
        <f t="shared" si="245"/>
        <v>CEREAL EMPACADO_27</v>
      </c>
      <c r="C338" s="333" t="str">
        <f t="shared" si="246"/>
        <v>61_27</v>
      </c>
      <c r="D338" s="333" t="s">
        <v>1607</v>
      </c>
      <c r="E338" s="256">
        <v>61</v>
      </c>
      <c r="F338" s="322" t="s">
        <v>13</v>
      </c>
      <c r="G338" s="256" t="s">
        <v>9</v>
      </c>
      <c r="H338" s="425">
        <f t="shared" si="247"/>
        <v>16</v>
      </c>
      <c r="I338" s="425">
        <f t="array" ref="I338">MAX((IF(MNU_CODIGO_ALIMENTO_ENTREGA=CONCATENATE($E338,"_","P_"),MNU_GRAMAJE_REQUERIDO_TIPOA,"")))</f>
        <v>20</v>
      </c>
      <c r="J338" s="257">
        <f t="shared" si="248"/>
        <v>4741</v>
      </c>
      <c r="K338" s="257">
        <f t="shared" si="249"/>
        <v>75856</v>
      </c>
      <c r="L338" s="446">
        <f t="shared" si="250"/>
        <v>222</v>
      </c>
      <c r="M338" s="446">
        <f t="shared" si="251"/>
        <v>10.833600000000001</v>
      </c>
      <c r="N338" s="446">
        <f t="shared" si="252"/>
        <v>0.190923552</v>
      </c>
      <c r="O338" s="446">
        <f t="shared" si="253"/>
        <v>233</v>
      </c>
      <c r="P338" s="258">
        <f t="shared" si="254"/>
        <v>16840032</v>
      </c>
      <c r="Q338" s="258">
        <f t="shared" si="255"/>
        <v>17674448</v>
      </c>
      <c r="R338" s="426">
        <f t="shared" si="256"/>
        <v>16</v>
      </c>
      <c r="S338" s="426">
        <f t="array" ref="S338">MAX((IF(MNU_CODIGO_ALIMENTO_ENTREGA=CONCATENATE($E338,"_","P_"),MNU_GRAMAJE_REQUERIDO_TIPOB,"")))</f>
        <v>30</v>
      </c>
      <c r="T338" s="259">
        <f t="shared" si="257"/>
        <v>6349</v>
      </c>
      <c r="U338" s="259">
        <f t="shared" si="258"/>
        <v>101584</v>
      </c>
      <c r="V338" s="446">
        <f t="shared" si="259"/>
        <v>334</v>
      </c>
      <c r="W338" s="446">
        <f t="shared" si="260"/>
        <v>16.299199999999999</v>
      </c>
      <c r="X338" s="446">
        <f t="shared" si="261"/>
        <v>0.28724534400000001</v>
      </c>
      <c r="Y338" s="446">
        <f t="shared" si="262"/>
        <v>351</v>
      </c>
      <c r="Z338" s="260">
        <f t="shared" si="263"/>
        <v>33929056</v>
      </c>
      <c r="AA338" s="260">
        <f t="shared" si="264"/>
        <v>35655984</v>
      </c>
      <c r="AB338" s="425">
        <f t="shared" si="265"/>
        <v>16</v>
      </c>
      <c r="AC338" s="425">
        <f t="array" ref="AC338">MAX((IF(MNU_CODIGO_ALIMENTO_ENTREGA=CONCATENATE($E338,"_","P_"),MNU_GRAMAJE_REQUERIDO_TIPOC,"")))</f>
        <v>70</v>
      </c>
      <c r="AD338" s="257">
        <f t="shared" si="266"/>
        <v>4836</v>
      </c>
      <c r="AE338" s="257">
        <f t="shared" si="267"/>
        <v>77376</v>
      </c>
      <c r="AF338" s="446">
        <f t="shared" si="268"/>
        <v>779</v>
      </c>
      <c r="AG338" s="446">
        <f t="shared" si="269"/>
        <v>38.0152</v>
      </c>
      <c r="AH338" s="446">
        <f t="shared" si="270"/>
        <v>0.66995246400000008</v>
      </c>
      <c r="AI338" s="446">
        <f t="shared" si="271"/>
        <v>818</v>
      </c>
      <c r="AJ338" s="258">
        <f t="shared" si="272"/>
        <v>60275904</v>
      </c>
      <c r="AK338" s="258">
        <f t="shared" si="273"/>
        <v>63293568</v>
      </c>
      <c r="AL338" s="426">
        <f t="shared" si="274"/>
        <v>16</v>
      </c>
      <c r="AM338" s="426">
        <f t="array" ref="AM338">MAX((IF(MNU_CODIGO_ALIMENTO_ENTREGA=CONCATENATE($E338,"_","P_"),MNU_GRAMAJE_REQUERIDO_TIPOM,"")))</f>
        <v>30</v>
      </c>
      <c r="AN338" s="259">
        <f t="shared" si="275"/>
        <v>229</v>
      </c>
      <c r="AO338" s="259">
        <f t="shared" si="276"/>
        <v>3664</v>
      </c>
      <c r="AP338" s="446">
        <f t="shared" si="277"/>
        <v>334</v>
      </c>
      <c r="AQ338" s="446">
        <f t="shared" si="278"/>
        <v>16.299199999999999</v>
      </c>
      <c r="AR338" s="446">
        <f t="shared" si="279"/>
        <v>0.28724534400000001</v>
      </c>
      <c r="AS338" s="446">
        <f t="shared" si="280"/>
        <v>351</v>
      </c>
      <c r="AT338" s="260">
        <f t="shared" si="281"/>
        <v>1223776</v>
      </c>
      <c r="AU338" s="260">
        <f t="shared" si="282"/>
        <v>1286064</v>
      </c>
      <c r="AV338" s="425">
        <f t="shared" si="283"/>
        <v>16</v>
      </c>
      <c r="AW338" s="425">
        <f t="array" ref="AW338">MAX((IF(MNU_CODIGO_ALIMENTO_ENTREGA=CONCATENATE($E338,"_","P_"),MNU_GRAMAJE_REQUERIDO_TIPOH,"")))</f>
        <v>70</v>
      </c>
      <c r="AX338" s="257">
        <f t="shared" si="284"/>
        <v>252</v>
      </c>
      <c r="AY338" s="257">
        <f t="shared" si="285"/>
        <v>4032</v>
      </c>
      <c r="AZ338" s="446">
        <f t="shared" si="286"/>
        <v>779</v>
      </c>
      <c r="BA338" s="446">
        <f t="shared" si="287"/>
        <v>38.0152</v>
      </c>
      <c r="BB338" s="446">
        <f t="shared" si="288"/>
        <v>0.66995246400000008</v>
      </c>
      <c r="BC338" s="446">
        <f t="shared" si="289"/>
        <v>818</v>
      </c>
      <c r="BD338" s="258">
        <f t="shared" si="290"/>
        <v>3140928</v>
      </c>
      <c r="BE338" s="258">
        <f t="shared" si="291"/>
        <v>3298176</v>
      </c>
      <c r="BF338" s="391">
        <f t="shared" si="292"/>
        <v>115409696</v>
      </c>
      <c r="BG338" s="391">
        <f t="shared" si="293"/>
        <v>121208240</v>
      </c>
    </row>
    <row r="339" spans="1:59" ht="15.75">
      <c r="A339" s="333">
        <v>27</v>
      </c>
      <c r="B339" s="333" t="str">
        <f t="shared" si="245"/>
        <v>CEREAL EMPACADO_27</v>
      </c>
      <c r="C339" s="333" t="str">
        <f t="shared" si="246"/>
        <v>62_27</v>
      </c>
      <c r="D339" s="333" t="s">
        <v>1607</v>
      </c>
      <c r="E339" s="256">
        <v>62</v>
      </c>
      <c r="F339" s="322" t="s">
        <v>68</v>
      </c>
      <c r="G339" s="256" t="s">
        <v>9</v>
      </c>
      <c r="H339" s="425">
        <f t="shared" si="247"/>
        <v>5</v>
      </c>
      <c r="I339" s="425">
        <f t="array" ref="I339">MAX((IF(MNU_CODIGO_ALIMENTO_ENTREGA=CONCATENATE($E339,"_","P_"),MNU_GRAMAJE_REQUERIDO_TIPOA,"")))</f>
        <v>50</v>
      </c>
      <c r="J339" s="257">
        <f t="shared" si="248"/>
        <v>4741</v>
      </c>
      <c r="K339" s="257">
        <f t="shared" si="249"/>
        <v>23705</v>
      </c>
      <c r="L339" s="446">
        <f t="shared" si="250"/>
        <v>595</v>
      </c>
      <c r="M339" s="446">
        <f t="shared" si="251"/>
        <v>29.036000000000001</v>
      </c>
      <c r="N339" s="446">
        <f t="shared" si="252"/>
        <v>0.51170952000000014</v>
      </c>
      <c r="O339" s="446">
        <f t="shared" si="253"/>
        <v>625</v>
      </c>
      <c r="P339" s="258">
        <f t="shared" si="254"/>
        <v>14104475</v>
      </c>
      <c r="Q339" s="258">
        <f t="shared" si="255"/>
        <v>14815625</v>
      </c>
      <c r="R339" s="426">
        <f t="shared" si="256"/>
        <v>5</v>
      </c>
      <c r="S339" s="426">
        <f t="array" ref="S339">MAX((IF(MNU_CODIGO_ALIMENTO_ENTREGA=CONCATENATE($E339,"_","P_"),MNU_GRAMAJE_REQUERIDO_TIPOB,"")))</f>
        <v>50</v>
      </c>
      <c r="T339" s="259">
        <f t="shared" si="257"/>
        <v>6349</v>
      </c>
      <c r="U339" s="259">
        <f t="shared" si="258"/>
        <v>31745</v>
      </c>
      <c r="V339" s="446">
        <f t="shared" si="259"/>
        <v>595</v>
      </c>
      <c r="W339" s="446">
        <f t="shared" si="260"/>
        <v>29.036000000000001</v>
      </c>
      <c r="X339" s="446">
        <f t="shared" si="261"/>
        <v>0.51170952000000014</v>
      </c>
      <c r="Y339" s="446">
        <f t="shared" si="262"/>
        <v>625</v>
      </c>
      <c r="Z339" s="260">
        <f t="shared" si="263"/>
        <v>18888275</v>
      </c>
      <c r="AA339" s="260">
        <f t="shared" si="264"/>
        <v>19840625</v>
      </c>
      <c r="AB339" s="425">
        <f t="shared" si="265"/>
        <v>5</v>
      </c>
      <c r="AC339" s="425">
        <f t="array" ref="AC339">MAX((IF(MNU_CODIGO_ALIMENTO_ENTREGA=CONCATENATE($E339,"_","P_"),MNU_GRAMAJE_REQUERIDO_TIPOC,"")))</f>
        <v>50</v>
      </c>
      <c r="AD339" s="257">
        <f t="shared" si="266"/>
        <v>4836</v>
      </c>
      <c r="AE339" s="257">
        <f t="shared" si="267"/>
        <v>24180</v>
      </c>
      <c r="AF339" s="446">
        <f t="shared" si="268"/>
        <v>595</v>
      </c>
      <c r="AG339" s="446">
        <f t="shared" si="269"/>
        <v>29.036000000000001</v>
      </c>
      <c r="AH339" s="446">
        <f t="shared" si="270"/>
        <v>0.51170952000000014</v>
      </c>
      <c r="AI339" s="446">
        <f t="shared" si="271"/>
        <v>625</v>
      </c>
      <c r="AJ339" s="258">
        <f t="shared" si="272"/>
        <v>14387100</v>
      </c>
      <c r="AK339" s="258">
        <f t="shared" si="273"/>
        <v>15112500</v>
      </c>
      <c r="AL339" s="426">
        <f t="shared" si="274"/>
        <v>5</v>
      </c>
      <c r="AM339" s="426">
        <f t="array" ref="AM339">MAX((IF(MNU_CODIGO_ALIMENTO_ENTREGA=CONCATENATE($E339,"_","P_"),MNU_GRAMAJE_REQUERIDO_TIPOM,"")))</f>
        <v>50</v>
      </c>
      <c r="AN339" s="259">
        <f t="shared" si="275"/>
        <v>229</v>
      </c>
      <c r="AO339" s="259">
        <f t="shared" si="276"/>
        <v>1145</v>
      </c>
      <c r="AP339" s="446">
        <f t="shared" si="277"/>
        <v>595</v>
      </c>
      <c r="AQ339" s="446">
        <f t="shared" si="278"/>
        <v>29.036000000000001</v>
      </c>
      <c r="AR339" s="446">
        <f t="shared" si="279"/>
        <v>0.51170952000000014</v>
      </c>
      <c r="AS339" s="446">
        <f t="shared" si="280"/>
        <v>625</v>
      </c>
      <c r="AT339" s="260">
        <f t="shared" si="281"/>
        <v>681275</v>
      </c>
      <c r="AU339" s="260">
        <f t="shared" si="282"/>
        <v>715625</v>
      </c>
      <c r="AV339" s="425">
        <f t="shared" si="283"/>
        <v>5</v>
      </c>
      <c r="AW339" s="425">
        <f t="array" ref="AW339">MAX((IF(MNU_CODIGO_ALIMENTO_ENTREGA=CONCATENATE($E339,"_","P_"),MNU_GRAMAJE_REQUERIDO_TIPOH,"")))</f>
        <v>50</v>
      </c>
      <c r="AX339" s="257">
        <f t="shared" si="284"/>
        <v>252</v>
      </c>
      <c r="AY339" s="257">
        <f t="shared" si="285"/>
        <v>1260</v>
      </c>
      <c r="AZ339" s="446">
        <f t="shared" si="286"/>
        <v>595</v>
      </c>
      <c r="BA339" s="446">
        <f t="shared" si="287"/>
        <v>29.036000000000001</v>
      </c>
      <c r="BB339" s="446">
        <f t="shared" si="288"/>
        <v>0.51170952000000014</v>
      </c>
      <c r="BC339" s="446">
        <f t="shared" si="289"/>
        <v>625</v>
      </c>
      <c r="BD339" s="258">
        <f t="shared" si="290"/>
        <v>749700</v>
      </c>
      <c r="BE339" s="258">
        <f t="shared" si="291"/>
        <v>787500</v>
      </c>
      <c r="BF339" s="391">
        <f t="shared" si="292"/>
        <v>48810825</v>
      </c>
      <c r="BG339" s="391">
        <f t="shared" si="293"/>
        <v>51271875</v>
      </c>
    </row>
    <row r="340" spans="1:59" ht="15.75">
      <c r="A340" s="333">
        <v>28</v>
      </c>
      <c r="B340" s="333" t="str">
        <f t="shared" si="245"/>
        <v>CEREAL EMPACADO_28</v>
      </c>
      <c r="C340" s="333" t="str">
        <f t="shared" si="246"/>
        <v>1_28</v>
      </c>
      <c r="D340" s="333" t="s">
        <v>1607</v>
      </c>
      <c r="E340" s="256">
        <v>1</v>
      </c>
      <c r="F340" s="322" t="s">
        <v>16</v>
      </c>
      <c r="G340" s="256" t="s">
        <v>9</v>
      </c>
      <c r="H340" s="425">
        <f t="shared" si="247"/>
        <v>15</v>
      </c>
      <c r="I340" s="425">
        <f t="array" ref="I340">MAX((IF(MNU_CODIGO_ALIMENTO_ENTREGA=CONCATENATE($E340,"_","P_"),MNU_GRAMAJE_REQUERIDO_TIPOA,"")))</f>
        <v>30</v>
      </c>
      <c r="J340" s="257">
        <f t="shared" si="248"/>
        <v>5484</v>
      </c>
      <c r="K340" s="257">
        <f t="shared" si="249"/>
        <v>82260</v>
      </c>
      <c r="L340" s="446">
        <f t="shared" si="250"/>
        <v>770</v>
      </c>
      <c r="M340" s="446">
        <f t="shared" si="251"/>
        <v>37.576000000000008</v>
      </c>
      <c r="N340" s="446">
        <f t="shared" si="252"/>
        <v>0.66221231999999997</v>
      </c>
      <c r="O340" s="446">
        <f t="shared" si="253"/>
        <v>808</v>
      </c>
      <c r="P340" s="258">
        <f t="shared" si="254"/>
        <v>63340200</v>
      </c>
      <c r="Q340" s="258">
        <f t="shared" si="255"/>
        <v>66466080</v>
      </c>
      <c r="R340" s="426">
        <f t="shared" si="256"/>
        <v>15</v>
      </c>
      <c r="S340" s="426">
        <f t="array" ref="S340">MAX((IF(MNU_CODIGO_ALIMENTO_ENTREGA=CONCATENATE($E340,"_","P_"),MNU_GRAMAJE_REQUERIDO_TIPOB,"")))</f>
        <v>40</v>
      </c>
      <c r="T340" s="259">
        <f t="shared" si="257"/>
        <v>6365</v>
      </c>
      <c r="U340" s="259">
        <f t="shared" si="258"/>
        <v>95475</v>
      </c>
      <c r="V340" s="446">
        <f t="shared" si="259"/>
        <v>1027</v>
      </c>
      <c r="W340" s="446">
        <f t="shared" si="260"/>
        <v>50.117600000000003</v>
      </c>
      <c r="X340" s="446">
        <f t="shared" si="261"/>
        <v>0.88323643200000013</v>
      </c>
      <c r="Y340" s="446">
        <f t="shared" si="262"/>
        <v>1078</v>
      </c>
      <c r="Z340" s="260">
        <f t="shared" si="263"/>
        <v>98052825</v>
      </c>
      <c r="AA340" s="260">
        <f t="shared" si="264"/>
        <v>102922050</v>
      </c>
      <c r="AB340" s="425">
        <f t="shared" si="265"/>
        <v>15</v>
      </c>
      <c r="AC340" s="425">
        <f t="array" ref="AC340">MAX((IF(MNU_CODIGO_ALIMENTO_ENTREGA=CONCATENATE($E340,"_","P_"),MNU_GRAMAJE_REQUERIDO_TIPOC,"")))</f>
        <v>60</v>
      </c>
      <c r="AD340" s="257">
        <f t="shared" si="266"/>
        <v>5683</v>
      </c>
      <c r="AE340" s="257">
        <f t="shared" si="267"/>
        <v>85245</v>
      </c>
      <c r="AF340" s="446">
        <f t="shared" si="268"/>
        <v>1540</v>
      </c>
      <c r="AG340" s="446">
        <f t="shared" si="269"/>
        <v>75.152000000000015</v>
      </c>
      <c r="AH340" s="446">
        <f t="shared" si="270"/>
        <v>1.3244246399999999</v>
      </c>
      <c r="AI340" s="446">
        <f t="shared" si="271"/>
        <v>1616</v>
      </c>
      <c r="AJ340" s="258">
        <f t="shared" si="272"/>
        <v>131277300</v>
      </c>
      <c r="AK340" s="258">
        <f t="shared" si="273"/>
        <v>137755920</v>
      </c>
      <c r="AL340" s="426">
        <f t="shared" si="274"/>
        <v>15</v>
      </c>
      <c r="AM340" s="426">
        <f t="array" ref="AM340">MAX((IF(MNU_CODIGO_ALIMENTO_ENTREGA=CONCATENATE($E340,"_","P_"),MNU_GRAMAJE_REQUERIDO_TIPOM,"")))</f>
        <v>40</v>
      </c>
      <c r="AN340" s="259">
        <f t="shared" si="275"/>
        <v>311</v>
      </c>
      <c r="AO340" s="259">
        <f t="shared" si="276"/>
        <v>4665</v>
      </c>
      <c r="AP340" s="446">
        <f t="shared" si="277"/>
        <v>1027</v>
      </c>
      <c r="AQ340" s="446">
        <f t="shared" si="278"/>
        <v>50.117600000000003</v>
      </c>
      <c r="AR340" s="446">
        <f t="shared" si="279"/>
        <v>0.88323643200000013</v>
      </c>
      <c r="AS340" s="446">
        <f t="shared" si="280"/>
        <v>1078</v>
      </c>
      <c r="AT340" s="260">
        <f t="shared" si="281"/>
        <v>4790955</v>
      </c>
      <c r="AU340" s="260">
        <f t="shared" si="282"/>
        <v>5028870</v>
      </c>
      <c r="AV340" s="425">
        <f t="shared" si="283"/>
        <v>15</v>
      </c>
      <c r="AW340" s="425">
        <f t="array" ref="AW340">MAX((IF(MNU_CODIGO_ALIMENTO_ENTREGA=CONCATENATE($E340,"_","P_"),MNU_GRAMAJE_REQUERIDO_TIPOH,"")))</f>
        <v>60</v>
      </c>
      <c r="AX340" s="257">
        <f t="shared" si="284"/>
        <v>322</v>
      </c>
      <c r="AY340" s="257">
        <f t="shared" si="285"/>
        <v>4830</v>
      </c>
      <c r="AZ340" s="446">
        <f t="shared" si="286"/>
        <v>1540</v>
      </c>
      <c r="BA340" s="446">
        <f t="shared" si="287"/>
        <v>75.152000000000015</v>
      </c>
      <c r="BB340" s="446">
        <f t="shared" si="288"/>
        <v>1.3244246399999999</v>
      </c>
      <c r="BC340" s="446">
        <f t="shared" si="289"/>
        <v>1616</v>
      </c>
      <c r="BD340" s="258">
        <f t="shared" si="290"/>
        <v>7438200</v>
      </c>
      <c r="BE340" s="258">
        <f t="shared" si="291"/>
        <v>7805280</v>
      </c>
      <c r="BF340" s="391">
        <f t="shared" si="292"/>
        <v>304899480</v>
      </c>
      <c r="BG340" s="391">
        <f t="shared" si="293"/>
        <v>319978200</v>
      </c>
    </row>
    <row r="341" spans="1:59" ht="15.75">
      <c r="A341" s="333">
        <v>28</v>
      </c>
      <c r="B341" s="333" t="str">
        <f t="shared" si="245"/>
        <v>CEREAL EMPACADO_28</v>
      </c>
      <c r="C341" s="333" t="str">
        <f t="shared" si="246"/>
        <v>3_28</v>
      </c>
      <c r="D341" s="333" t="s">
        <v>1607</v>
      </c>
      <c r="E341" s="256">
        <v>3</v>
      </c>
      <c r="F341" s="322" t="s">
        <v>12</v>
      </c>
      <c r="G341" s="256" t="s">
        <v>9</v>
      </c>
      <c r="H341" s="425">
        <f t="shared" si="247"/>
        <v>17</v>
      </c>
      <c r="I341" s="425">
        <f t="array" ref="I341">MAX((IF(MNU_CODIGO_ALIMENTO_ENTREGA=CONCATENATE($E341,"_","P_"),MNU_GRAMAJE_REQUERIDO_TIPOA,"")))</f>
        <v>50</v>
      </c>
      <c r="J341" s="257">
        <f t="shared" si="248"/>
        <v>5484</v>
      </c>
      <c r="K341" s="257">
        <f t="shared" si="249"/>
        <v>93228</v>
      </c>
      <c r="L341" s="446">
        <f t="shared" si="250"/>
        <v>481</v>
      </c>
      <c r="M341" s="446">
        <f t="shared" si="251"/>
        <v>23.472799999999999</v>
      </c>
      <c r="N341" s="446">
        <f t="shared" si="252"/>
        <v>0.41366769599999997</v>
      </c>
      <c r="O341" s="446">
        <f t="shared" si="253"/>
        <v>505</v>
      </c>
      <c r="P341" s="258">
        <f t="shared" si="254"/>
        <v>44842668</v>
      </c>
      <c r="Q341" s="258">
        <f t="shared" si="255"/>
        <v>47080140</v>
      </c>
      <c r="R341" s="426">
        <f t="shared" si="256"/>
        <v>17</v>
      </c>
      <c r="S341" s="426">
        <f t="array" ref="S341">MAX((IF(MNU_CODIGO_ALIMENTO_ENTREGA=CONCATENATE($E341,"_","P_"),MNU_GRAMAJE_REQUERIDO_TIPOB,"")))</f>
        <v>50</v>
      </c>
      <c r="T341" s="259">
        <f t="shared" si="257"/>
        <v>6365</v>
      </c>
      <c r="U341" s="259">
        <f t="shared" si="258"/>
        <v>108205</v>
      </c>
      <c r="V341" s="446">
        <f t="shared" si="259"/>
        <v>481</v>
      </c>
      <c r="W341" s="446">
        <f t="shared" si="260"/>
        <v>23.472799999999999</v>
      </c>
      <c r="X341" s="446">
        <f t="shared" si="261"/>
        <v>0.41366769599999997</v>
      </c>
      <c r="Y341" s="446">
        <f t="shared" si="262"/>
        <v>505</v>
      </c>
      <c r="Z341" s="260">
        <f t="shared" si="263"/>
        <v>52046605</v>
      </c>
      <c r="AA341" s="260">
        <f t="shared" si="264"/>
        <v>54643525</v>
      </c>
      <c r="AB341" s="425">
        <f t="shared" si="265"/>
        <v>17</v>
      </c>
      <c r="AC341" s="425">
        <f t="array" ref="AC341">MAX((IF(MNU_CODIGO_ALIMENTO_ENTREGA=CONCATENATE($E341,"_","P_"),MNU_GRAMAJE_REQUERIDO_TIPOC,"")))</f>
        <v>80</v>
      </c>
      <c r="AD341" s="257">
        <f t="shared" si="266"/>
        <v>5683</v>
      </c>
      <c r="AE341" s="257">
        <f t="shared" si="267"/>
        <v>96611</v>
      </c>
      <c r="AF341" s="446">
        <f t="shared" si="268"/>
        <v>727</v>
      </c>
      <c r="AG341" s="446">
        <f t="shared" si="269"/>
        <v>35.477600000000002</v>
      </c>
      <c r="AH341" s="446">
        <f t="shared" si="270"/>
        <v>0.62523163200000009</v>
      </c>
      <c r="AI341" s="446">
        <f t="shared" si="271"/>
        <v>763</v>
      </c>
      <c r="AJ341" s="258">
        <f t="shared" si="272"/>
        <v>70236197</v>
      </c>
      <c r="AK341" s="258">
        <f t="shared" si="273"/>
        <v>73714193</v>
      </c>
      <c r="AL341" s="426">
        <f t="shared" si="274"/>
        <v>17</v>
      </c>
      <c r="AM341" s="426">
        <f t="array" ref="AM341">MAX((IF(MNU_CODIGO_ALIMENTO_ENTREGA=CONCATENATE($E341,"_","P_"),MNU_GRAMAJE_REQUERIDO_TIPOM,"")))</f>
        <v>50</v>
      </c>
      <c r="AN341" s="259">
        <f t="shared" si="275"/>
        <v>311</v>
      </c>
      <c r="AO341" s="259">
        <f t="shared" si="276"/>
        <v>5287</v>
      </c>
      <c r="AP341" s="446">
        <f t="shared" si="277"/>
        <v>481</v>
      </c>
      <c r="AQ341" s="446">
        <f t="shared" si="278"/>
        <v>23.472799999999999</v>
      </c>
      <c r="AR341" s="446">
        <f t="shared" si="279"/>
        <v>0.41366769599999997</v>
      </c>
      <c r="AS341" s="446">
        <f t="shared" si="280"/>
        <v>505</v>
      </c>
      <c r="AT341" s="260">
        <f t="shared" si="281"/>
        <v>2543047</v>
      </c>
      <c r="AU341" s="260">
        <f t="shared" si="282"/>
        <v>2669935</v>
      </c>
      <c r="AV341" s="425">
        <f t="shared" si="283"/>
        <v>17</v>
      </c>
      <c r="AW341" s="425">
        <f t="array" ref="AW341">MAX((IF(MNU_CODIGO_ALIMENTO_ENTREGA=CONCATENATE($E341,"_","P_"),MNU_GRAMAJE_REQUERIDO_TIPOH,"")))</f>
        <v>80</v>
      </c>
      <c r="AX341" s="257">
        <f t="shared" si="284"/>
        <v>322</v>
      </c>
      <c r="AY341" s="257">
        <f t="shared" si="285"/>
        <v>5474</v>
      </c>
      <c r="AZ341" s="446">
        <f t="shared" si="286"/>
        <v>727</v>
      </c>
      <c r="BA341" s="446">
        <f t="shared" si="287"/>
        <v>35.477600000000002</v>
      </c>
      <c r="BB341" s="446">
        <f t="shared" si="288"/>
        <v>0.62523163200000009</v>
      </c>
      <c r="BC341" s="446">
        <f t="shared" si="289"/>
        <v>763</v>
      </c>
      <c r="BD341" s="258">
        <f t="shared" si="290"/>
        <v>3979598</v>
      </c>
      <c r="BE341" s="258">
        <f t="shared" si="291"/>
        <v>4176662</v>
      </c>
      <c r="BF341" s="391">
        <f t="shared" si="292"/>
        <v>173648115</v>
      </c>
      <c r="BG341" s="391">
        <f t="shared" si="293"/>
        <v>182284455</v>
      </c>
    </row>
    <row r="342" spans="1:59" ht="15.75">
      <c r="A342" s="333">
        <v>28</v>
      </c>
      <c r="B342" s="333" t="str">
        <f t="shared" si="245"/>
        <v>CEREAL EMPACADO_28</v>
      </c>
      <c r="C342" s="333" t="str">
        <f t="shared" si="246"/>
        <v>15_28</v>
      </c>
      <c r="D342" s="333" t="s">
        <v>1607</v>
      </c>
      <c r="E342" s="256">
        <v>15</v>
      </c>
      <c r="F342" s="322" t="s">
        <v>66</v>
      </c>
      <c r="G342" s="256" t="s">
        <v>9</v>
      </c>
      <c r="H342" s="425">
        <f t="shared" si="247"/>
        <v>17</v>
      </c>
      <c r="I342" s="425">
        <f t="array" ref="I342">MAX((IF(MNU_CODIGO_ALIMENTO_ENTREGA=CONCATENATE($E342,"_","P_"),MNU_GRAMAJE_REQUERIDO_TIPOA,"")))</f>
        <v>50</v>
      </c>
      <c r="J342" s="257">
        <f t="shared" si="248"/>
        <v>5484</v>
      </c>
      <c r="K342" s="257">
        <f t="shared" si="249"/>
        <v>93228</v>
      </c>
      <c r="L342" s="446">
        <f t="shared" si="250"/>
        <v>641</v>
      </c>
      <c r="M342" s="446">
        <f t="shared" si="251"/>
        <v>31.280800000000003</v>
      </c>
      <c r="N342" s="446">
        <f t="shared" si="252"/>
        <v>0.55127025600000001</v>
      </c>
      <c r="O342" s="446">
        <f t="shared" si="253"/>
        <v>673</v>
      </c>
      <c r="P342" s="258">
        <f t="shared" si="254"/>
        <v>59759148</v>
      </c>
      <c r="Q342" s="258">
        <f t="shared" si="255"/>
        <v>62742444</v>
      </c>
      <c r="R342" s="426">
        <f t="shared" si="256"/>
        <v>17</v>
      </c>
      <c r="S342" s="426">
        <f t="array" ref="S342">MAX((IF(MNU_CODIGO_ALIMENTO_ENTREGA=CONCATENATE($E342,"_","P_"),MNU_GRAMAJE_REQUERIDO_TIPOB,"")))</f>
        <v>50</v>
      </c>
      <c r="T342" s="259">
        <f t="shared" si="257"/>
        <v>6365</v>
      </c>
      <c r="U342" s="259">
        <f t="shared" si="258"/>
        <v>108205</v>
      </c>
      <c r="V342" s="446">
        <f t="shared" si="259"/>
        <v>641</v>
      </c>
      <c r="W342" s="446">
        <f t="shared" si="260"/>
        <v>31.280800000000003</v>
      </c>
      <c r="X342" s="446">
        <f t="shared" si="261"/>
        <v>0.55127025600000001</v>
      </c>
      <c r="Y342" s="446">
        <f t="shared" si="262"/>
        <v>673</v>
      </c>
      <c r="Z342" s="260">
        <f t="shared" si="263"/>
        <v>69359405</v>
      </c>
      <c r="AA342" s="260">
        <f t="shared" si="264"/>
        <v>72821965</v>
      </c>
      <c r="AB342" s="425">
        <f t="shared" si="265"/>
        <v>17</v>
      </c>
      <c r="AC342" s="425">
        <f t="array" ref="AC342">MAX((IF(MNU_CODIGO_ALIMENTO_ENTREGA=CONCATENATE($E342,"_","P_"),MNU_GRAMAJE_REQUERIDO_TIPOC,"")))</f>
        <v>80</v>
      </c>
      <c r="AD342" s="257">
        <f t="shared" si="266"/>
        <v>5683</v>
      </c>
      <c r="AE342" s="257">
        <f t="shared" si="267"/>
        <v>96611</v>
      </c>
      <c r="AF342" s="446">
        <f t="shared" si="268"/>
        <v>1025</v>
      </c>
      <c r="AG342" s="446">
        <f t="shared" si="269"/>
        <v>50.02</v>
      </c>
      <c r="AH342" s="446">
        <f t="shared" si="270"/>
        <v>0.88151640000000009</v>
      </c>
      <c r="AI342" s="446">
        <f t="shared" si="271"/>
        <v>1076</v>
      </c>
      <c r="AJ342" s="258">
        <f t="shared" si="272"/>
        <v>99026275</v>
      </c>
      <c r="AK342" s="258">
        <f t="shared" si="273"/>
        <v>103953436</v>
      </c>
      <c r="AL342" s="426">
        <f t="shared" si="274"/>
        <v>17</v>
      </c>
      <c r="AM342" s="426">
        <f t="array" ref="AM342">MAX((IF(MNU_CODIGO_ALIMENTO_ENTREGA=CONCATENATE($E342,"_","P_"),MNU_GRAMAJE_REQUERIDO_TIPOM,"")))</f>
        <v>50</v>
      </c>
      <c r="AN342" s="259">
        <f t="shared" si="275"/>
        <v>311</v>
      </c>
      <c r="AO342" s="259">
        <f t="shared" si="276"/>
        <v>5287</v>
      </c>
      <c r="AP342" s="446">
        <f t="shared" si="277"/>
        <v>641</v>
      </c>
      <c r="AQ342" s="446">
        <f t="shared" si="278"/>
        <v>31.280800000000003</v>
      </c>
      <c r="AR342" s="446">
        <f t="shared" si="279"/>
        <v>0.55127025600000001</v>
      </c>
      <c r="AS342" s="446">
        <f t="shared" si="280"/>
        <v>673</v>
      </c>
      <c r="AT342" s="260">
        <f t="shared" si="281"/>
        <v>3388967</v>
      </c>
      <c r="AU342" s="260">
        <f t="shared" si="282"/>
        <v>3558151</v>
      </c>
      <c r="AV342" s="425">
        <f t="shared" si="283"/>
        <v>17</v>
      </c>
      <c r="AW342" s="425">
        <f t="array" ref="AW342">MAX((IF(MNU_CODIGO_ALIMENTO_ENTREGA=CONCATENATE($E342,"_","P_"),MNU_GRAMAJE_REQUERIDO_TIPOH,"")))</f>
        <v>80</v>
      </c>
      <c r="AX342" s="257">
        <f t="shared" si="284"/>
        <v>322</v>
      </c>
      <c r="AY342" s="257">
        <f t="shared" si="285"/>
        <v>5474</v>
      </c>
      <c r="AZ342" s="446">
        <f t="shared" si="286"/>
        <v>1025</v>
      </c>
      <c r="BA342" s="446">
        <f t="shared" si="287"/>
        <v>50.02</v>
      </c>
      <c r="BB342" s="446">
        <f t="shared" si="288"/>
        <v>0.88151640000000009</v>
      </c>
      <c r="BC342" s="446">
        <f t="shared" si="289"/>
        <v>1076</v>
      </c>
      <c r="BD342" s="258">
        <f t="shared" si="290"/>
        <v>5610850</v>
      </c>
      <c r="BE342" s="258">
        <f t="shared" si="291"/>
        <v>5890024</v>
      </c>
      <c r="BF342" s="391">
        <f t="shared" si="292"/>
        <v>237144645</v>
      </c>
      <c r="BG342" s="391">
        <f t="shared" si="293"/>
        <v>248966020</v>
      </c>
    </row>
    <row r="343" spans="1:59" ht="15.75">
      <c r="A343" s="333">
        <v>28</v>
      </c>
      <c r="B343" s="333" t="str">
        <f t="shared" si="245"/>
        <v>CEREAL EMPACADO_28</v>
      </c>
      <c r="C343" s="333" t="str">
        <f t="shared" si="246"/>
        <v>24_28</v>
      </c>
      <c r="D343" s="333" t="s">
        <v>1607</v>
      </c>
      <c r="E343" s="256">
        <v>24</v>
      </c>
      <c r="F343" s="459" t="s">
        <v>61</v>
      </c>
      <c r="G343" s="256" t="s">
        <v>9</v>
      </c>
      <c r="H343" s="425">
        <f t="shared" si="247"/>
        <v>17</v>
      </c>
      <c r="I343" s="425">
        <f t="array" ref="I343">MAX((IF(MNU_CODIGO_ALIMENTO_ENTREGA=CONCATENATE($E343,"_","P_"),MNU_GRAMAJE_REQUERIDO_TIPOA,"")))</f>
        <v>20</v>
      </c>
      <c r="J343" s="257">
        <f t="shared" si="248"/>
        <v>5484</v>
      </c>
      <c r="K343" s="257">
        <f t="shared" si="249"/>
        <v>93228</v>
      </c>
      <c r="L343" s="446">
        <f t="shared" si="250"/>
        <v>122</v>
      </c>
      <c r="M343" s="446">
        <f t="shared" si="251"/>
        <v>5.9535999999999998</v>
      </c>
      <c r="N343" s="446">
        <f t="shared" si="252"/>
        <v>0.104921952</v>
      </c>
      <c r="O343" s="446">
        <f t="shared" si="253"/>
        <v>128</v>
      </c>
      <c r="P343" s="258">
        <f t="shared" si="254"/>
        <v>11373816</v>
      </c>
      <c r="Q343" s="258">
        <f t="shared" si="255"/>
        <v>11933184</v>
      </c>
      <c r="R343" s="426">
        <f t="shared" si="256"/>
        <v>17</v>
      </c>
      <c r="S343" s="426">
        <f t="array" ref="S343">MAX((IF(MNU_CODIGO_ALIMENTO_ENTREGA=CONCATENATE($E343,"_","P_"),MNU_GRAMAJE_REQUERIDO_TIPOB,"")))</f>
        <v>30</v>
      </c>
      <c r="T343" s="259">
        <f t="shared" si="257"/>
        <v>6365</v>
      </c>
      <c r="U343" s="259">
        <f t="shared" si="258"/>
        <v>108205</v>
      </c>
      <c r="V343" s="446">
        <f t="shared" si="259"/>
        <v>191</v>
      </c>
      <c r="W343" s="446">
        <f t="shared" si="260"/>
        <v>9.3208000000000002</v>
      </c>
      <c r="X343" s="446">
        <f t="shared" si="261"/>
        <v>0.16426305600000002</v>
      </c>
      <c r="Y343" s="446">
        <f t="shared" si="262"/>
        <v>200</v>
      </c>
      <c r="Z343" s="260">
        <f t="shared" si="263"/>
        <v>20667155</v>
      </c>
      <c r="AA343" s="260">
        <f t="shared" si="264"/>
        <v>21641000</v>
      </c>
      <c r="AB343" s="425">
        <f t="shared" si="265"/>
        <v>17</v>
      </c>
      <c r="AC343" s="425">
        <f t="array" ref="AC343">MAX((IF(MNU_CODIGO_ALIMENTO_ENTREGA=CONCATENATE($E343,"_","P_"),MNU_GRAMAJE_REQUERIDO_TIPOC,"")))</f>
        <v>60</v>
      </c>
      <c r="AD343" s="257">
        <f t="shared" si="266"/>
        <v>5683</v>
      </c>
      <c r="AE343" s="257">
        <f t="shared" si="267"/>
        <v>96611</v>
      </c>
      <c r="AF343" s="446">
        <f t="shared" si="268"/>
        <v>367</v>
      </c>
      <c r="AG343" s="446">
        <f t="shared" si="269"/>
        <v>17.909599999999998</v>
      </c>
      <c r="AH343" s="446">
        <f t="shared" si="270"/>
        <v>0.31562587200000003</v>
      </c>
      <c r="AI343" s="446">
        <f t="shared" si="271"/>
        <v>385</v>
      </c>
      <c r="AJ343" s="258">
        <f t="shared" si="272"/>
        <v>35456237</v>
      </c>
      <c r="AK343" s="258">
        <f t="shared" si="273"/>
        <v>37195235</v>
      </c>
      <c r="AL343" s="426">
        <f t="shared" si="274"/>
        <v>17</v>
      </c>
      <c r="AM343" s="426">
        <f t="array" ref="AM343">MAX((IF(MNU_CODIGO_ALIMENTO_ENTREGA=CONCATENATE($E343,"_","P_"),MNU_GRAMAJE_REQUERIDO_TIPOM,"")))</f>
        <v>30</v>
      </c>
      <c r="AN343" s="259">
        <f t="shared" si="275"/>
        <v>311</v>
      </c>
      <c r="AO343" s="259">
        <f t="shared" si="276"/>
        <v>5287</v>
      </c>
      <c r="AP343" s="446">
        <f t="shared" si="277"/>
        <v>191</v>
      </c>
      <c r="AQ343" s="446">
        <f t="shared" si="278"/>
        <v>9.3208000000000002</v>
      </c>
      <c r="AR343" s="446">
        <f t="shared" si="279"/>
        <v>0.16426305600000002</v>
      </c>
      <c r="AS343" s="446">
        <f t="shared" si="280"/>
        <v>200</v>
      </c>
      <c r="AT343" s="260">
        <f t="shared" si="281"/>
        <v>1009817</v>
      </c>
      <c r="AU343" s="260">
        <f t="shared" si="282"/>
        <v>1057400</v>
      </c>
      <c r="AV343" s="425">
        <f t="shared" si="283"/>
        <v>17</v>
      </c>
      <c r="AW343" s="425">
        <f t="array" ref="AW343">MAX((IF(MNU_CODIGO_ALIMENTO_ENTREGA=CONCATENATE($E343,"_","P_"),MNU_GRAMAJE_REQUERIDO_TIPOH,"")))</f>
        <v>60</v>
      </c>
      <c r="AX343" s="257">
        <f t="shared" si="284"/>
        <v>322</v>
      </c>
      <c r="AY343" s="257">
        <f t="shared" si="285"/>
        <v>5474</v>
      </c>
      <c r="AZ343" s="446">
        <f t="shared" si="286"/>
        <v>367</v>
      </c>
      <c r="BA343" s="446">
        <f t="shared" si="287"/>
        <v>17.909599999999998</v>
      </c>
      <c r="BB343" s="446">
        <f t="shared" si="288"/>
        <v>0.31562587200000003</v>
      </c>
      <c r="BC343" s="446">
        <f t="shared" si="289"/>
        <v>385</v>
      </c>
      <c r="BD343" s="258">
        <f t="shared" si="290"/>
        <v>2008958</v>
      </c>
      <c r="BE343" s="258">
        <f t="shared" si="291"/>
        <v>2107490</v>
      </c>
      <c r="BF343" s="391">
        <f t="shared" si="292"/>
        <v>70515983</v>
      </c>
      <c r="BG343" s="391">
        <f t="shared" si="293"/>
        <v>73934309</v>
      </c>
    </row>
    <row r="344" spans="1:59" ht="15.75">
      <c r="A344" s="333">
        <v>28</v>
      </c>
      <c r="B344" s="333" t="str">
        <f t="shared" si="245"/>
        <v>CEREAL EMPACADO_28</v>
      </c>
      <c r="C344" s="333" t="str">
        <f t="shared" si="246"/>
        <v>25_28</v>
      </c>
      <c r="D344" s="333" t="s">
        <v>1607</v>
      </c>
      <c r="E344" s="256">
        <v>25</v>
      </c>
      <c r="F344" s="322" t="s">
        <v>64</v>
      </c>
      <c r="G344" s="256" t="s">
        <v>9</v>
      </c>
      <c r="H344" s="425">
        <f t="shared" si="247"/>
        <v>17</v>
      </c>
      <c r="I344" s="425">
        <f t="array" ref="I344">MAX((IF(MNU_CODIGO_ALIMENTO_ENTREGA=CONCATENATE($E344,"_","P_"),MNU_GRAMAJE_REQUERIDO_TIPOA,"")))</f>
        <v>40</v>
      </c>
      <c r="J344" s="257">
        <f t="shared" si="248"/>
        <v>5484</v>
      </c>
      <c r="K344" s="257">
        <f t="shared" si="249"/>
        <v>93228</v>
      </c>
      <c r="L344" s="446">
        <f t="shared" si="250"/>
        <v>244</v>
      </c>
      <c r="M344" s="446">
        <f t="shared" si="251"/>
        <v>11.9072</v>
      </c>
      <c r="N344" s="446">
        <f t="shared" si="252"/>
        <v>0.209843904</v>
      </c>
      <c r="O344" s="446">
        <f t="shared" si="253"/>
        <v>256</v>
      </c>
      <c r="P344" s="258">
        <f t="shared" si="254"/>
        <v>22747632</v>
      </c>
      <c r="Q344" s="258">
        <f t="shared" si="255"/>
        <v>23866368</v>
      </c>
      <c r="R344" s="426">
        <f t="shared" si="256"/>
        <v>17</v>
      </c>
      <c r="S344" s="426">
        <f t="array" ref="S344">MAX((IF(MNU_CODIGO_ALIMENTO_ENTREGA=CONCATENATE($E344,"_","P_"),MNU_GRAMAJE_REQUERIDO_TIPOB,"")))</f>
        <v>40</v>
      </c>
      <c r="T344" s="259">
        <f t="shared" si="257"/>
        <v>6365</v>
      </c>
      <c r="U344" s="259">
        <f t="shared" si="258"/>
        <v>108205</v>
      </c>
      <c r="V344" s="446">
        <f t="shared" si="259"/>
        <v>244</v>
      </c>
      <c r="W344" s="446">
        <f t="shared" si="260"/>
        <v>11.9072</v>
      </c>
      <c r="X344" s="446">
        <f t="shared" si="261"/>
        <v>0.209843904</v>
      </c>
      <c r="Y344" s="446">
        <f t="shared" si="262"/>
        <v>256</v>
      </c>
      <c r="Z344" s="260">
        <f t="shared" si="263"/>
        <v>26402020</v>
      </c>
      <c r="AA344" s="260">
        <f t="shared" si="264"/>
        <v>27700480</v>
      </c>
      <c r="AB344" s="425">
        <f t="shared" si="265"/>
        <v>17</v>
      </c>
      <c r="AC344" s="425">
        <f t="array" ref="AC344">MAX((IF(MNU_CODIGO_ALIMENTO_ENTREGA=CONCATENATE($E344,"_","P_"),MNU_GRAMAJE_REQUERIDO_TIPOC,"")))</f>
        <v>60</v>
      </c>
      <c r="AD344" s="257">
        <f t="shared" si="266"/>
        <v>5683</v>
      </c>
      <c r="AE344" s="257">
        <f t="shared" si="267"/>
        <v>96611</v>
      </c>
      <c r="AF344" s="446">
        <f t="shared" si="268"/>
        <v>366</v>
      </c>
      <c r="AG344" s="446">
        <f t="shared" si="269"/>
        <v>17.860800000000001</v>
      </c>
      <c r="AH344" s="446">
        <f t="shared" si="270"/>
        <v>0.31476585600000001</v>
      </c>
      <c r="AI344" s="446">
        <f t="shared" si="271"/>
        <v>384</v>
      </c>
      <c r="AJ344" s="258">
        <f t="shared" si="272"/>
        <v>35359626</v>
      </c>
      <c r="AK344" s="258">
        <f t="shared" si="273"/>
        <v>37098624</v>
      </c>
      <c r="AL344" s="426">
        <f t="shared" si="274"/>
        <v>17</v>
      </c>
      <c r="AM344" s="426">
        <f t="array" ref="AM344">MAX((IF(MNU_CODIGO_ALIMENTO_ENTREGA=CONCATENATE($E344,"_","P_"),MNU_GRAMAJE_REQUERIDO_TIPOM,"")))</f>
        <v>40</v>
      </c>
      <c r="AN344" s="259">
        <f t="shared" si="275"/>
        <v>311</v>
      </c>
      <c r="AO344" s="259">
        <f t="shared" si="276"/>
        <v>5287</v>
      </c>
      <c r="AP344" s="446">
        <f t="shared" si="277"/>
        <v>244</v>
      </c>
      <c r="AQ344" s="446">
        <f t="shared" si="278"/>
        <v>11.9072</v>
      </c>
      <c r="AR344" s="446">
        <f t="shared" si="279"/>
        <v>0.209843904</v>
      </c>
      <c r="AS344" s="446">
        <f t="shared" si="280"/>
        <v>256</v>
      </c>
      <c r="AT344" s="260">
        <f t="shared" si="281"/>
        <v>1290028</v>
      </c>
      <c r="AU344" s="260">
        <f t="shared" si="282"/>
        <v>1353472</v>
      </c>
      <c r="AV344" s="425">
        <f t="shared" si="283"/>
        <v>17</v>
      </c>
      <c r="AW344" s="425">
        <f t="array" ref="AW344">MAX((IF(MNU_CODIGO_ALIMENTO_ENTREGA=CONCATENATE($E344,"_","P_"),MNU_GRAMAJE_REQUERIDO_TIPOH,"")))</f>
        <v>60</v>
      </c>
      <c r="AX344" s="257">
        <f t="shared" si="284"/>
        <v>322</v>
      </c>
      <c r="AY344" s="257">
        <f t="shared" si="285"/>
        <v>5474</v>
      </c>
      <c r="AZ344" s="446">
        <f t="shared" si="286"/>
        <v>366</v>
      </c>
      <c r="BA344" s="446">
        <f t="shared" si="287"/>
        <v>17.860800000000001</v>
      </c>
      <c r="BB344" s="446">
        <f t="shared" si="288"/>
        <v>0.31476585600000001</v>
      </c>
      <c r="BC344" s="446">
        <f t="shared" si="289"/>
        <v>384</v>
      </c>
      <c r="BD344" s="258">
        <f t="shared" si="290"/>
        <v>2003484</v>
      </c>
      <c r="BE344" s="258">
        <f t="shared" si="291"/>
        <v>2102016</v>
      </c>
      <c r="BF344" s="391">
        <f t="shared" si="292"/>
        <v>87802790</v>
      </c>
      <c r="BG344" s="391">
        <f t="shared" si="293"/>
        <v>92120960</v>
      </c>
    </row>
    <row r="345" spans="1:59" ht="15.75">
      <c r="A345" s="333">
        <v>28</v>
      </c>
      <c r="B345" s="333" t="str">
        <f t="shared" si="245"/>
        <v>CEREAL EMPACADO_28</v>
      </c>
      <c r="C345" s="333" t="str">
        <f t="shared" si="246"/>
        <v>26_28</v>
      </c>
      <c r="D345" s="333" t="s">
        <v>1607</v>
      </c>
      <c r="E345" s="256">
        <v>26</v>
      </c>
      <c r="F345" s="322" t="s">
        <v>69</v>
      </c>
      <c r="G345" s="256" t="s">
        <v>9</v>
      </c>
      <c r="H345" s="425">
        <f t="shared" si="247"/>
        <v>6</v>
      </c>
      <c r="I345" s="425">
        <f t="array" ref="I345">MAX((IF(MNU_CODIGO_ALIMENTO_ENTREGA=CONCATENATE($E345,"_","P_"),MNU_GRAMAJE_REQUERIDO_TIPOA,"")))</f>
        <v>30</v>
      </c>
      <c r="J345" s="257">
        <f t="shared" si="248"/>
        <v>5484</v>
      </c>
      <c r="K345" s="257">
        <f t="shared" si="249"/>
        <v>32904</v>
      </c>
      <c r="L345" s="446">
        <f t="shared" si="250"/>
        <v>163</v>
      </c>
      <c r="M345" s="446">
        <f t="shared" si="251"/>
        <v>7.9543999999999997</v>
      </c>
      <c r="N345" s="446">
        <f t="shared" si="252"/>
        <v>0.14018260800000001</v>
      </c>
      <c r="O345" s="446">
        <f t="shared" si="253"/>
        <v>171</v>
      </c>
      <c r="P345" s="258">
        <f t="shared" si="254"/>
        <v>5363352</v>
      </c>
      <c r="Q345" s="258">
        <f t="shared" si="255"/>
        <v>5626584</v>
      </c>
      <c r="R345" s="426">
        <f t="shared" si="256"/>
        <v>6</v>
      </c>
      <c r="S345" s="426">
        <f t="array" ref="S345">MAX((IF(MNU_CODIGO_ALIMENTO_ENTREGA=CONCATENATE($E345,"_","P_"),MNU_GRAMAJE_REQUERIDO_TIPOB,"")))</f>
        <v>30</v>
      </c>
      <c r="T345" s="259">
        <f t="shared" si="257"/>
        <v>6365</v>
      </c>
      <c r="U345" s="259">
        <f t="shared" si="258"/>
        <v>38190</v>
      </c>
      <c r="V345" s="446">
        <f t="shared" si="259"/>
        <v>163</v>
      </c>
      <c r="W345" s="446">
        <f t="shared" si="260"/>
        <v>7.9543999999999997</v>
      </c>
      <c r="X345" s="446">
        <f t="shared" si="261"/>
        <v>0.14018260800000001</v>
      </c>
      <c r="Y345" s="446">
        <f t="shared" si="262"/>
        <v>171</v>
      </c>
      <c r="Z345" s="260">
        <f t="shared" si="263"/>
        <v>6224970</v>
      </c>
      <c r="AA345" s="260">
        <f t="shared" si="264"/>
        <v>6530490</v>
      </c>
      <c r="AB345" s="425">
        <f t="shared" si="265"/>
        <v>6</v>
      </c>
      <c r="AC345" s="425">
        <f t="array" ref="AC345">MAX((IF(MNU_CODIGO_ALIMENTO_ENTREGA=CONCATENATE($E345,"_","P_"),MNU_GRAMAJE_REQUERIDO_TIPOC,"")))</f>
        <v>30</v>
      </c>
      <c r="AD345" s="257">
        <f t="shared" si="266"/>
        <v>5683</v>
      </c>
      <c r="AE345" s="257">
        <f t="shared" si="267"/>
        <v>34098</v>
      </c>
      <c r="AF345" s="446">
        <f t="shared" si="268"/>
        <v>163</v>
      </c>
      <c r="AG345" s="446">
        <f t="shared" si="269"/>
        <v>7.9543999999999997</v>
      </c>
      <c r="AH345" s="446">
        <f t="shared" si="270"/>
        <v>0.14018260800000001</v>
      </c>
      <c r="AI345" s="446">
        <f t="shared" si="271"/>
        <v>171</v>
      </c>
      <c r="AJ345" s="258">
        <f t="shared" si="272"/>
        <v>5557974</v>
      </c>
      <c r="AK345" s="258">
        <f t="shared" si="273"/>
        <v>5830758</v>
      </c>
      <c r="AL345" s="426">
        <f t="shared" si="274"/>
        <v>6</v>
      </c>
      <c r="AM345" s="426">
        <f t="array" ref="AM345">MAX((IF(MNU_CODIGO_ALIMENTO_ENTREGA=CONCATENATE($E345,"_","P_"),MNU_GRAMAJE_REQUERIDO_TIPOM,"")))</f>
        <v>30</v>
      </c>
      <c r="AN345" s="259">
        <f t="shared" si="275"/>
        <v>311</v>
      </c>
      <c r="AO345" s="259">
        <f t="shared" si="276"/>
        <v>1866</v>
      </c>
      <c r="AP345" s="446">
        <f t="shared" si="277"/>
        <v>163</v>
      </c>
      <c r="AQ345" s="446">
        <f t="shared" si="278"/>
        <v>7.9543999999999997</v>
      </c>
      <c r="AR345" s="446">
        <f t="shared" si="279"/>
        <v>0.14018260800000001</v>
      </c>
      <c r="AS345" s="446">
        <f t="shared" si="280"/>
        <v>171</v>
      </c>
      <c r="AT345" s="260">
        <f t="shared" si="281"/>
        <v>304158</v>
      </c>
      <c r="AU345" s="260">
        <f t="shared" si="282"/>
        <v>319086</v>
      </c>
      <c r="AV345" s="425">
        <f t="shared" si="283"/>
        <v>6</v>
      </c>
      <c r="AW345" s="425">
        <f t="array" ref="AW345">MAX((IF(MNU_CODIGO_ALIMENTO_ENTREGA=CONCATENATE($E345,"_","P_"),MNU_GRAMAJE_REQUERIDO_TIPOH,"")))</f>
        <v>30</v>
      </c>
      <c r="AX345" s="257">
        <f t="shared" si="284"/>
        <v>322</v>
      </c>
      <c r="AY345" s="257">
        <f t="shared" si="285"/>
        <v>1932</v>
      </c>
      <c r="AZ345" s="446">
        <f t="shared" si="286"/>
        <v>163</v>
      </c>
      <c r="BA345" s="446">
        <f t="shared" si="287"/>
        <v>7.9543999999999997</v>
      </c>
      <c r="BB345" s="446">
        <f t="shared" si="288"/>
        <v>0.14018260800000001</v>
      </c>
      <c r="BC345" s="446">
        <f t="shared" si="289"/>
        <v>171</v>
      </c>
      <c r="BD345" s="258">
        <f t="shared" si="290"/>
        <v>314916</v>
      </c>
      <c r="BE345" s="258">
        <f t="shared" si="291"/>
        <v>330372</v>
      </c>
      <c r="BF345" s="391">
        <f t="shared" si="292"/>
        <v>17765370</v>
      </c>
      <c r="BG345" s="391">
        <f t="shared" si="293"/>
        <v>18637290</v>
      </c>
    </row>
    <row r="346" spans="1:59" ht="27">
      <c r="A346" s="333">
        <v>28</v>
      </c>
      <c r="B346" s="333" t="str">
        <f t="shared" si="245"/>
        <v>CEREAL EMPACADO_28</v>
      </c>
      <c r="C346" s="333" t="str">
        <f t="shared" si="246"/>
        <v>28_28</v>
      </c>
      <c r="D346" s="333" t="s">
        <v>1607</v>
      </c>
      <c r="E346" s="256">
        <v>28</v>
      </c>
      <c r="F346" s="322" t="s">
        <v>67</v>
      </c>
      <c r="G346" s="256" t="s">
        <v>9</v>
      </c>
      <c r="H346" s="425">
        <f t="shared" si="247"/>
        <v>6</v>
      </c>
      <c r="I346" s="425">
        <f t="array" ref="I346">MAX((IF(MNU_CODIGO_ALIMENTO_ENTREGA=CONCATENATE($E346,"_","P_"),MNU_GRAMAJE_REQUERIDO_TIPOA,"")))</f>
        <v>30</v>
      </c>
      <c r="J346" s="257">
        <f t="shared" si="248"/>
        <v>5484</v>
      </c>
      <c r="K346" s="257">
        <f t="shared" si="249"/>
        <v>32904</v>
      </c>
      <c r="L346" s="446">
        <f t="shared" si="250"/>
        <v>215</v>
      </c>
      <c r="M346" s="446">
        <f t="shared" si="251"/>
        <v>10.492000000000001</v>
      </c>
      <c r="N346" s="446">
        <f t="shared" si="252"/>
        <v>0.18490343999999997</v>
      </c>
      <c r="O346" s="446">
        <f t="shared" si="253"/>
        <v>226</v>
      </c>
      <c r="P346" s="258">
        <f t="shared" si="254"/>
        <v>7074360</v>
      </c>
      <c r="Q346" s="258">
        <f t="shared" si="255"/>
        <v>7436304</v>
      </c>
      <c r="R346" s="426">
        <f t="shared" si="256"/>
        <v>6</v>
      </c>
      <c r="S346" s="426">
        <f t="array" ref="S346">MAX((IF(MNU_CODIGO_ALIMENTO_ENTREGA=CONCATENATE($E346,"_","P_"),MNU_GRAMAJE_REQUERIDO_TIPOB,"")))</f>
        <v>40</v>
      </c>
      <c r="T346" s="259">
        <f t="shared" si="257"/>
        <v>6365</v>
      </c>
      <c r="U346" s="259">
        <f t="shared" si="258"/>
        <v>38190</v>
      </c>
      <c r="V346" s="446">
        <f t="shared" si="259"/>
        <v>287</v>
      </c>
      <c r="W346" s="446">
        <f t="shared" si="260"/>
        <v>14.005600000000001</v>
      </c>
      <c r="X346" s="446">
        <f t="shared" si="261"/>
        <v>0.24682459200000004</v>
      </c>
      <c r="Y346" s="446">
        <f t="shared" si="262"/>
        <v>301</v>
      </c>
      <c r="Z346" s="260">
        <f t="shared" si="263"/>
        <v>10960530</v>
      </c>
      <c r="AA346" s="260">
        <f t="shared" si="264"/>
        <v>11495190</v>
      </c>
      <c r="AB346" s="425">
        <f t="shared" si="265"/>
        <v>6</v>
      </c>
      <c r="AC346" s="425">
        <f t="array" ref="AC346">MAX((IF(MNU_CODIGO_ALIMENTO_ENTREGA=CONCATENATE($E346,"_","P_"),MNU_GRAMAJE_REQUERIDO_TIPOC,"")))</f>
        <v>60</v>
      </c>
      <c r="AD346" s="257">
        <f t="shared" si="266"/>
        <v>5683</v>
      </c>
      <c r="AE346" s="257">
        <f t="shared" si="267"/>
        <v>34098</v>
      </c>
      <c r="AF346" s="446">
        <f t="shared" si="268"/>
        <v>430</v>
      </c>
      <c r="AG346" s="446">
        <f t="shared" si="269"/>
        <v>20.984000000000002</v>
      </c>
      <c r="AH346" s="446">
        <f t="shared" si="270"/>
        <v>0.36980687999999995</v>
      </c>
      <c r="AI346" s="446">
        <f t="shared" si="271"/>
        <v>451</v>
      </c>
      <c r="AJ346" s="258">
        <f t="shared" si="272"/>
        <v>14662140</v>
      </c>
      <c r="AK346" s="258">
        <f t="shared" si="273"/>
        <v>15378198</v>
      </c>
      <c r="AL346" s="426">
        <f t="shared" si="274"/>
        <v>6</v>
      </c>
      <c r="AM346" s="426">
        <f t="array" ref="AM346">MAX((IF(MNU_CODIGO_ALIMENTO_ENTREGA=CONCATENATE($E346,"_","P_"),MNU_GRAMAJE_REQUERIDO_TIPOM,"")))</f>
        <v>40</v>
      </c>
      <c r="AN346" s="259">
        <f t="shared" si="275"/>
        <v>311</v>
      </c>
      <c r="AO346" s="259">
        <f t="shared" si="276"/>
        <v>1866</v>
      </c>
      <c r="AP346" s="446">
        <f t="shared" si="277"/>
        <v>287</v>
      </c>
      <c r="AQ346" s="446">
        <f t="shared" si="278"/>
        <v>14.005600000000001</v>
      </c>
      <c r="AR346" s="446">
        <f t="shared" si="279"/>
        <v>0.24682459200000004</v>
      </c>
      <c r="AS346" s="446">
        <f t="shared" si="280"/>
        <v>301</v>
      </c>
      <c r="AT346" s="260">
        <f t="shared" si="281"/>
        <v>535542</v>
      </c>
      <c r="AU346" s="260">
        <f t="shared" si="282"/>
        <v>561666</v>
      </c>
      <c r="AV346" s="425">
        <f t="shared" si="283"/>
        <v>6</v>
      </c>
      <c r="AW346" s="425">
        <f t="array" ref="AW346">MAX((IF(MNU_CODIGO_ALIMENTO_ENTREGA=CONCATENATE($E346,"_","P_"),MNU_GRAMAJE_REQUERIDO_TIPOH,"")))</f>
        <v>60</v>
      </c>
      <c r="AX346" s="257">
        <f t="shared" si="284"/>
        <v>322</v>
      </c>
      <c r="AY346" s="257">
        <f t="shared" si="285"/>
        <v>1932</v>
      </c>
      <c r="AZ346" s="446">
        <f t="shared" si="286"/>
        <v>430</v>
      </c>
      <c r="BA346" s="446">
        <f t="shared" si="287"/>
        <v>20.984000000000002</v>
      </c>
      <c r="BB346" s="446">
        <f t="shared" si="288"/>
        <v>0.36980687999999995</v>
      </c>
      <c r="BC346" s="446">
        <f t="shared" si="289"/>
        <v>451</v>
      </c>
      <c r="BD346" s="258">
        <f t="shared" si="290"/>
        <v>830760</v>
      </c>
      <c r="BE346" s="258">
        <f t="shared" si="291"/>
        <v>871332</v>
      </c>
      <c r="BF346" s="391">
        <f t="shared" si="292"/>
        <v>34063332</v>
      </c>
      <c r="BG346" s="391">
        <f t="shared" si="293"/>
        <v>35742690</v>
      </c>
    </row>
    <row r="347" spans="1:59" ht="15.75">
      <c r="A347" s="333">
        <v>28</v>
      </c>
      <c r="B347" s="333" t="str">
        <f t="shared" si="245"/>
        <v>CEREAL EMPACADO_28</v>
      </c>
      <c r="C347" s="333" t="str">
        <f t="shared" si="246"/>
        <v>30_28</v>
      </c>
      <c r="D347" s="333" t="s">
        <v>1607</v>
      </c>
      <c r="E347" s="256">
        <v>30</v>
      </c>
      <c r="F347" s="322" t="s">
        <v>63</v>
      </c>
      <c r="G347" s="256" t="s">
        <v>9</v>
      </c>
      <c r="H347" s="425">
        <f t="shared" si="247"/>
        <v>16</v>
      </c>
      <c r="I347" s="425">
        <f t="array" ref="I347">MAX((IF(MNU_CODIGO_ALIMENTO_ENTREGA=CONCATENATE($E347,"_","P_"),MNU_GRAMAJE_REQUERIDO_TIPOA,"")))</f>
        <v>30</v>
      </c>
      <c r="J347" s="257">
        <f t="shared" si="248"/>
        <v>5484</v>
      </c>
      <c r="K347" s="257">
        <f t="shared" si="249"/>
        <v>87744</v>
      </c>
      <c r="L347" s="446">
        <f t="shared" si="250"/>
        <v>316</v>
      </c>
      <c r="M347" s="446">
        <f t="shared" si="251"/>
        <v>15.4208</v>
      </c>
      <c r="N347" s="446">
        <f t="shared" si="252"/>
        <v>0.271765056</v>
      </c>
      <c r="O347" s="446">
        <f t="shared" si="253"/>
        <v>332</v>
      </c>
      <c r="P347" s="258">
        <f t="shared" si="254"/>
        <v>27727104</v>
      </c>
      <c r="Q347" s="258">
        <f t="shared" si="255"/>
        <v>29131008</v>
      </c>
      <c r="R347" s="426">
        <f t="shared" si="256"/>
        <v>16</v>
      </c>
      <c r="S347" s="426">
        <f t="array" ref="S347">MAX((IF(MNU_CODIGO_ALIMENTO_ENTREGA=CONCATENATE($E347,"_","P_"),MNU_GRAMAJE_REQUERIDO_TIPOB,"")))</f>
        <v>30</v>
      </c>
      <c r="T347" s="259">
        <f t="shared" si="257"/>
        <v>6365</v>
      </c>
      <c r="U347" s="259">
        <f t="shared" si="258"/>
        <v>101840</v>
      </c>
      <c r="V347" s="446">
        <f t="shared" si="259"/>
        <v>316</v>
      </c>
      <c r="W347" s="446">
        <f t="shared" si="260"/>
        <v>15.4208</v>
      </c>
      <c r="X347" s="446">
        <f t="shared" si="261"/>
        <v>0.271765056</v>
      </c>
      <c r="Y347" s="446">
        <f t="shared" si="262"/>
        <v>332</v>
      </c>
      <c r="Z347" s="260">
        <f t="shared" si="263"/>
        <v>32181440</v>
      </c>
      <c r="AA347" s="260">
        <f t="shared" si="264"/>
        <v>33810880</v>
      </c>
      <c r="AB347" s="425">
        <f t="shared" si="265"/>
        <v>16</v>
      </c>
      <c r="AC347" s="425">
        <f t="array" ref="AC347">MAX((IF(MNU_CODIGO_ALIMENTO_ENTREGA=CONCATENATE($E347,"_","P_"),MNU_GRAMAJE_REQUERIDO_TIPOC,"")))</f>
        <v>30</v>
      </c>
      <c r="AD347" s="257">
        <f t="shared" si="266"/>
        <v>5683</v>
      </c>
      <c r="AE347" s="257">
        <f t="shared" si="267"/>
        <v>90928</v>
      </c>
      <c r="AF347" s="446">
        <f t="shared" si="268"/>
        <v>316</v>
      </c>
      <c r="AG347" s="446">
        <f t="shared" si="269"/>
        <v>15.4208</v>
      </c>
      <c r="AH347" s="446">
        <f t="shared" si="270"/>
        <v>0.271765056</v>
      </c>
      <c r="AI347" s="446">
        <f t="shared" si="271"/>
        <v>332</v>
      </c>
      <c r="AJ347" s="258">
        <f t="shared" si="272"/>
        <v>28733248</v>
      </c>
      <c r="AK347" s="258">
        <f t="shared" si="273"/>
        <v>30188096</v>
      </c>
      <c r="AL347" s="426">
        <f t="shared" si="274"/>
        <v>16</v>
      </c>
      <c r="AM347" s="426">
        <f t="array" ref="AM347">MAX((IF(MNU_CODIGO_ALIMENTO_ENTREGA=CONCATENATE($E347,"_","P_"),MNU_GRAMAJE_REQUERIDO_TIPOM,"")))</f>
        <v>30</v>
      </c>
      <c r="AN347" s="259">
        <f t="shared" si="275"/>
        <v>311</v>
      </c>
      <c r="AO347" s="259">
        <f t="shared" si="276"/>
        <v>4976</v>
      </c>
      <c r="AP347" s="446">
        <f t="shared" si="277"/>
        <v>316</v>
      </c>
      <c r="AQ347" s="446">
        <f t="shared" si="278"/>
        <v>15.4208</v>
      </c>
      <c r="AR347" s="446">
        <f t="shared" si="279"/>
        <v>0.271765056</v>
      </c>
      <c r="AS347" s="446">
        <f t="shared" si="280"/>
        <v>332</v>
      </c>
      <c r="AT347" s="260">
        <f t="shared" si="281"/>
        <v>1572416</v>
      </c>
      <c r="AU347" s="260">
        <f t="shared" si="282"/>
        <v>1652032</v>
      </c>
      <c r="AV347" s="425">
        <f t="shared" si="283"/>
        <v>16</v>
      </c>
      <c r="AW347" s="425">
        <f t="array" ref="AW347">MAX((IF(MNU_CODIGO_ALIMENTO_ENTREGA=CONCATENATE($E347,"_","P_"),MNU_GRAMAJE_REQUERIDO_TIPOH,"")))</f>
        <v>30</v>
      </c>
      <c r="AX347" s="257">
        <f t="shared" si="284"/>
        <v>322</v>
      </c>
      <c r="AY347" s="257">
        <f t="shared" si="285"/>
        <v>5152</v>
      </c>
      <c r="AZ347" s="446">
        <f t="shared" si="286"/>
        <v>316</v>
      </c>
      <c r="BA347" s="446">
        <f t="shared" si="287"/>
        <v>15.4208</v>
      </c>
      <c r="BB347" s="446">
        <f t="shared" si="288"/>
        <v>0.271765056</v>
      </c>
      <c r="BC347" s="446">
        <f t="shared" si="289"/>
        <v>332</v>
      </c>
      <c r="BD347" s="258">
        <f t="shared" si="290"/>
        <v>1628032</v>
      </c>
      <c r="BE347" s="258">
        <f t="shared" si="291"/>
        <v>1710464</v>
      </c>
      <c r="BF347" s="391">
        <f t="shared" si="292"/>
        <v>91842240</v>
      </c>
      <c r="BG347" s="391">
        <f t="shared" si="293"/>
        <v>96492480</v>
      </c>
    </row>
    <row r="348" spans="1:59" ht="15.75">
      <c r="A348" s="333">
        <v>28</v>
      </c>
      <c r="B348" s="333" t="str">
        <f t="shared" si="245"/>
        <v>CEREAL EMPACADO_28</v>
      </c>
      <c r="C348" s="333" t="str">
        <f t="shared" si="246"/>
        <v>45_28</v>
      </c>
      <c r="D348" s="333" t="s">
        <v>1607</v>
      </c>
      <c r="E348" s="256">
        <v>45</v>
      </c>
      <c r="F348" s="322" t="s">
        <v>10</v>
      </c>
      <c r="G348" s="256" t="s">
        <v>9</v>
      </c>
      <c r="H348" s="425">
        <f t="shared" si="247"/>
        <v>16</v>
      </c>
      <c r="I348" s="425">
        <f t="array" ref="I348">MAX((IF(MNU_CODIGO_ALIMENTO_ENTREGA=CONCATENATE($E348,"_","P_"),MNU_GRAMAJE_REQUERIDO_TIPOA,"")))</f>
        <v>20</v>
      </c>
      <c r="J348" s="257">
        <f t="shared" si="248"/>
        <v>5484</v>
      </c>
      <c r="K348" s="257">
        <f t="shared" si="249"/>
        <v>87744</v>
      </c>
      <c r="L348" s="446">
        <f t="shared" si="250"/>
        <v>190</v>
      </c>
      <c r="M348" s="446">
        <f t="shared" si="251"/>
        <v>9.2720000000000002</v>
      </c>
      <c r="N348" s="446">
        <f t="shared" si="252"/>
        <v>0.16340304</v>
      </c>
      <c r="O348" s="446">
        <f t="shared" si="253"/>
        <v>199</v>
      </c>
      <c r="P348" s="258">
        <f t="shared" si="254"/>
        <v>16671360</v>
      </c>
      <c r="Q348" s="258">
        <f t="shared" si="255"/>
        <v>17461056</v>
      </c>
      <c r="R348" s="426">
        <f t="shared" si="256"/>
        <v>16</v>
      </c>
      <c r="S348" s="426">
        <f t="array" ref="S348">MAX((IF(MNU_CODIGO_ALIMENTO_ENTREGA=CONCATENATE($E348,"_","P_"),MNU_GRAMAJE_REQUERIDO_TIPOB,"")))</f>
        <v>30</v>
      </c>
      <c r="T348" s="259">
        <f t="shared" si="257"/>
        <v>6365</v>
      </c>
      <c r="U348" s="259">
        <f t="shared" si="258"/>
        <v>101840</v>
      </c>
      <c r="V348" s="446">
        <f t="shared" si="259"/>
        <v>284</v>
      </c>
      <c r="W348" s="446">
        <f t="shared" si="260"/>
        <v>13.8592</v>
      </c>
      <c r="X348" s="446">
        <f t="shared" si="261"/>
        <v>0.24424454399999998</v>
      </c>
      <c r="Y348" s="446">
        <f t="shared" si="262"/>
        <v>298</v>
      </c>
      <c r="Z348" s="260">
        <f t="shared" si="263"/>
        <v>28922560</v>
      </c>
      <c r="AA348" s="260">
        <f t="shared" si="264"/>
        <v>30348320</v>
      </c>
      <c r="AB348" s="425">
        <f t="shared" si="265"/>
        <v>16</v>
      </c>
      <c r="AC348" s="425">
        <f t="array" ref="AC348">MAX((IF(MNU_CODIGO_ALIMENTO_ENTREGA=CONCATENATE($E348,"_","P_"),MNU_GRAMAJE_REQUERIDO_TIPOC,"")))</f>
        <v>60</v>
      </c>
      <c r="AD348" s="257">
        <f t="shared" si="266"/>
        <v>5683</v>
      </c>
      <c r="AE348" s="257">
        <f t="shared" si="267"/>
        <v>90928</v>
      </c>
      <c r="AF348" s="446">
        <f t="shared" si="268"/>
        <v>569</v>
      </c>
      <c r="AG348" s="446">
        <f t="shared" si="269"/>
        <v>27.767199999999999</v>
      </c>
      <c r="AH348" s="446">
        <f t="shared" si="270"/>
        <v>0.48934910400000003</v>
      </c>
      <c r="AI348" s="446">
        <f t="shared" si="271"/>
        <v>597</v>
      </c>
      <c r="AJ348" s="258">
        <f t="shared" si="272"/>
        <v>51738032</v>
      </c>
      <c r="AK348" s="258">
        <f t="shared" si="273"/>
        <v>54284016</v>
      </c>
      <c r="AL348" s="426">
        <f t="shared" si="274"/>
        <v>16</v>
      </c>
      <c r="AM348" s="426">
        <f t="array" ref="AM348">MAX((IF(MNU_CODIGO_ALIMENTO_ENTREGA=CONCATENATE($E348,"_","P_"),MNU_GRAMAJE_REQUERIDO_TIPOM,"")))</f>
        <v>30</v>
      </c>
      <c r="AN348" s="259">
        <f t="shared" si="275"/>
        <v>311</v>
      </c>
      <c r="AO348" s="259">
        <f t="shared" si="276"/>
        <v>4976</v>
      </c>
      <c r="AP348" s="446">
        <f t="shared" si="277"/>
        <v>284</v>
      </c>
      <c r="AQ348" s="446">
        <f t="shared" si="278"/>
        <v>13.8592</v>
      </c>
      <c r="AR348" s="446">
        <f t="shared" si="279"/>
        <v>0.24424454399999998</v>
      </c>
      <c r="AS348" s="446">
        <f t="shared" si="280"/>
        <v>298</v>
      </c>
      <c r="AT348" s="260">
        <f t="shared" si="281"/>
        <v>1413184</v>
      </c>
      <c r="AU348" s="260">
        <f t="shared" si="282"/>
        <v>1482848</v>
      </c>
      <c r="AV348" s="425">
        <f t="shared" si="283"/>
        <v>16</v>
      </c>
      <c r="AW348" s="425">
        <f t="array" ref="AW348">MAX((IF(MNU_CODIGO_ALIMENTO_ENTREGA=CONCATENATE($E348,"_","P_"),MNU_GRAMAJE_REQUERIDO_TIPOH,"")))</f>
        <v>60</v>
      </c>
      <c r="AX348" s="257">
        <f t="shared" si="284"/>
        <v>322</v>
      </c>
      <c r="AY348" s="257">
        <f t="shared" si="285"/>
        <v>5152</v>
      </c>
      <c r="AZ348" s="446">
        <f t="shared" si="286"/>
        <v>569</v>
      </c>
      <c r="BA348" s="446">
        <f t="shared" si="287"/>
        <v>27.767199999999999</v>
      </c>
      <c r="BB348" s="446">
        <f t="shared" si="288"/>
        <v>0.48934910400000003</v>
      </c>
      <c r="BC348" s="446">
        <f t="shared" si="289"/>
        <v>597</v>
      </c>
      <c r="BD348" s="258">
        <f t="shared" si="290"/>
        <v>2931488</v>
      </c>
      <c r="BE348" s="258">
        <f t="shared" si="291"/>
        <v>3075744</v>
      </c>
      <c r="BF348" s="391">
        <f t="shared" si="292"/>
        <v>101676624</v>
      </c>
      <c r="BG348" s="391">
        <f t="shared" si="293"/>
        <v>106651984</v>
      </c>
    </row>
    <row r="349" spans="1:59" ht="15.75">
      <c r="A349" s="333">
        <v>28</v>
      </c>
      <c r="B349" s="333" t="str">
        <f t="shared" si="245"/>
        <v>CEREAL EMPACADO_28</v>
      </c>
      <c r="C349" s="333" t="str">
        <f t="shared" si="246"/>
        <v>50_28</v>
      </c>
      <c r="D349" s="333" t="s">
        <v>1607</v>
      </c>
      <c r="E349" s="256">
        <v>50</v>
      </c>
      <c r="F349" s="322" t="s">
        <v>65</v>
      </c>
      <c r="G349" s="256" t="s">
        <v>9</v>
      </c>
      <c r="H349" s="425">
        <f t="shared" si="247"/>
        <v>17</v>
      </c>
      <c r="I349" s="425">
        <f t="array" ref="I349">MAX((IF(MNU_CODIGO_ALIMENTO_ENTREGA=CONCATENATE($E349,"_","P_"),MNU_GRAMAJE_REQUERIDO_TIPOA,"")))</f>
        <v>30</v>
      </c>
      <c r="J349" s="257">
        <f t="shared" si="248"/>
        <v>5484</v>
      </c>
      <c r="K349" s="257">
        <f t="shared" si="249"/>
        <v>93228</v>
      </c>
      <c r="L349" s="446">
        <f t="shared" si="250"/>
        <v>306</v>
      </c>
      <c r="M349" s="446">
        <f t="shared" si="251"/>
        <v>14.9328</v>
      </c>
      <c r="N349" s="446">
        <f t="shared" si="252"/>
        <v>0.26316489599999998</v>
      </c>
      <c r="O349" s="446">
        <f t="shared" si="253"/>
        <v>321</v>
      </c>
      <c r="P349" s="258">
        <f t="shared" si="254"/>
        <v>28527768</v>
      </c>
      <c r="Q349" s="258">
        <f t="shared" si="255"/>
        <v>29926188</v>
      </c>
      <c r="R349" s="426">
        <f t="shared" si="256"/>
        <v>17</v>
      </c>
      <c r="S349" s="426">
        <f t="array" ref="S349">MAX((IF(MNU_CODIGO_ALIMENTO_ENTREGA=CONCATENATE($E349,"_","P_"),MNU_GRAMAJE_REQUERIDO_TIPOB,"")))</f>
        <v>40</v>
      </c>
      <c r="T349" s="259">
        <f t="shared" si="257"/>
        <v>6365</v>
      </c>
      <c r="U349" s="259">
        <f t="shared" si="258"/>
        <v>108205</v>
      </c>
      <c r="V349" s="446">
        <f t="shared" si="259"/>
        <v>408</v>
      </c>
      <c r="W349" s="446">
        <f t="shared" si="260"/>
        <v>19.910400000000003</v>
      </c>
      <c r="X349" s="446">
        <f t="shared" si="261"/>
        <v>0.35088652799999998</v>
      </c>
      <c r="Y349" s="446">
        <f t="shared" si="262"/>
        <v>428</v>
      </c>
      <c r="Z349" s="260">
        <f t="shared" si="263"/>
        <v>44147640</v>
      </c>
      <c r="AA349" s="260">
        <f t="shared" si="264"/>
        <v>46311740</v>
      </c>
      <c r="AB349" s="425">
        <f t="shared" si="265"/>
        <v>17</v>
      </c>
      <c r="AC349" s="425">
        <f t="array" ref="AC349">MAX((IF(MNU_CODIGO_ALIMENTO_ENTREGA=CONCATENATE($E349,"_","P_"),MNU_GRAMAJE_REQUERIDO_TIPOC,"")))</f>
        <v>80</v>
      </c>
      <c r="AD349" s="257">
        <f t="shared" si="266"/>
        <v>5683</v>
      </c>
      <c r="AE349" s="257">
        <f t="shared" si="267"/>
        <v>96611</v>
      </c>
      <c r="AF349" s="446">
        <f t="shared" si="268"/>
        <v>815</v>
      </c>
      <c r="AG349" s="446">
        <f t="shared" si="269"/>
        <v>39.772000000000006</v>
      </c>
      <c r="AH349" s="446">
        <f t="shared" si="270"/>
        <v>0.7009130400000001</v>
      </c>
      <c r="AI349" s="446">
        <f t="shared" si="271"/>
        <v>855</v>
      </c>
      <c r="AJ349" s="258">
        <f t="shared" si="272"/>
        <v>78737965</v>
      </c>
      <c r="AK349" s="258">
        <f t="shared" si="273"/>
        <v>82602405</v>
      </c>
      <c r="AL349" s="426">
        <f t="shared" si="274"/>
        <v>17</v>
      </c>
      <c r="AM349" s="426">
        <f t="array" ref="AM349">MAX((IF(MNU_CODIGO_ALIMENTO_ENTREGA=CONCATENATE($E349,"_","P_"),MNU_GRAMAJE_REQUERIDO_TIPOM,"")))</f>
        <v>40</v>
      </c>
      <c r="AN349" s="259">
        <f t="shared" si="275"/>
        <v>311</v>
      </c>
      <c r="AO349" s="259">
        <f t="shared" si="276"/>
        <v>5287</v>
      </c>
      <c r="AP349" s="446">
        <f t="shared" si="277"/>
        <v>408</v>
      </c>
      <c r="AQ349" s="446">
        <f t="shared" si="278"/>
        <v>19.910400000000003</v>
      </c>
      <c r="AR349" s="446">
        <f t="shared" si="279"/>
        <v>0.35088652799999998</v>
      </c>
      <c r="AS349" s="446">
        <f t="shared" si="280"/>
        <v>428</v>
      </c>
      <c r="AT349" s="260">
        <f t="shared" si="281"/>
        <v>2157096</v>
      </c>
      <c r="AU349" s="260">
        <f t="shared" si="282"/>
        <v>2262836</v>
      </c>
      <c r="AV349" s="425">
        <f t="shared" si="283"/>
        <v>17</v>
      </c>
      <c r="AW349" s="425">
        <f t="array" ref="AW349">MAX((IF(MNU_CODIGO_ALIMENTO_ENTREGA=CONCATENATE($E349,"_","P_"),MNU_GRAMAJE_REQUERIDO_TIPOH,"")))</f>
        <v>80</v>
      </c>
      <c r="AX349" s="257">
        <f t="shared" si="284"/>
        <v>322</v>
      </c>
      <c r="AY349" s="257">
        <f t="shared" si="285"/>
        <v>5474</v>
      </c>
      <c r="AZ349" s="446">
        <f t="shared" si="286"/>
        <v>815</v>
      </c>
      <c r="BA349" s="446">
        <f t="shared" si="287"/>
        <v>39.772000000000006</v>
      </c>
      <c r="BB349" s="446">
        <f t="shared" si="288"/>
        <v>0.7009130400000001</v>
      </c>
      <c r="BC349" s="446">
        <f t="shared" si="289"/>
        <v>855</v>
      </c>
      <c r="BD349" s="258">
        <f t="shared" si="290"/>
        <v>4461310</v>
      </c>
      <c r="BE349" s="258">
        <f t="shared" si="291"/>
        <v>4680270</v>
      </c>
      <c r="BF349" s="391">
        <f t="shared" si="292"/>
        <v>158031779</v>
      </c>
      <c r="BG349" s="391">
        <f t="shared" si="293"/>
        <v>165783439</v>
      </c>
    </row>
    <row r="350" spans="1:59" ht="15.75">
      <c r="A350" s="333">
        <v>28</v>
      </c>
      <c r="B350" s="333" t="str">
        <f t="shared" si="245"/>
        <v>CEREAL EMPACADO_28</v>
      </c>
      <c r="C350" s="333" t="str">
        <f t="shared" si="246"/>
        <v>61_28</v>
      </c>
      <c r="D350" s="333" t="s">
        <v>1607</v>
      </c>
      <c r="E350" s="256">
        <v>61</v>
      </c>
      <c r="F350" s="322" t="s">
        <v>13</v>
      </c>
      <c r="G350" s="256" t="s">
        <v>9</v>
      </c>
      <c r="H350" s="425">
        <f t="shared" si="247"/>
        <v>16</v>
      </c>
      <c r="I350" s="425">
        <f t="array" ref="I350">MAX((IF(MNU_CODIGO_ALIMENTO_ENTREGA=CONCATENATE($E350,"_","P_"),MNU_GRAMAJE_REQUERIDO_TIPOA,"")))</f>
        <v>20</v>
      </c>
      <c r="J350" s="257">
        <f t="shared" si="248"/>
        <v>5484</v>
      </c>
      <c r="K350" s="257">
        <f t="shared" si="249"/>
        <v>87744</v>
      </c>
      <c r="L350" s="446">
        <f t="shared" si="250"/>
        <v>222</v>
      </c>
      <c r="M350" s="446">
        <f t="shared" si="251"/>
        <v>10.833600000000001</v>
      </c>
      <c r="N350" s="446">
        <f t="shared" si="252"/>
        <v>0.190923552</v>
      </c>
      <c r="O350" s="446">
        <f t="shared" si="253"/>
        <v>233</v>
      </c>
      <c r="P350" s="258">
        <f t="shared" si="254"/>
        <v>19479168</v>
      </c>
      <c r="Q350" s="258">
        <f t="shared" si="255"/>
        <v>20444352</v>
      </c>
      <c r="R350" s="426">
        <f t="shared" si="256"/>
        <v>16</v>
      </c>
      <c r="S350" s="426">
        <f t="array" ref="S350">MAX((IF(MNU_CODIGO_ALIMENTO_ENTREGA=CONCATENATE($E350,"_","P_"),MNU_GRAMAJE_REQUERIDO_TIPOB,"")))</f>
        <v>30</v>
      </c>
      <c r="T350" s="259">
        <f t="shared" si="257"/>
        <v>6365</v>
      </c>
      <c r="U350" s="259">
        <f t="shared" si="258"/>
        <v>101840</v>
      </c>
      <c r="V350" s="446">
        <f t="shared" si="259"/>
        <v>334</v>
      </c>
      <c r="W350" s="446">
        <f t="shared" si="260"/>
        <v>16.299199999999999</v>
      </c>
      <c r="X350" s="446">
        <f t="shared" si="261"/>
        <v>0.28724534400000001</v>
      </c>
      <c r="Y350" s="446">
        <f t="shared" si="262"/>
        <v>351</v>
      </c>
      <c r="Z350" s="260">
        <f t="shared" si="263"/>
        <v>34014560</v>
      </c>
      <c r="AA350" s="260">
        <f t="shared" si="264"/>
        <v>35745840</v>
      </c>
      <c r="AB350" s="425">
        <f t="shared" si="265"/>
        <v>16</v>
      </c>
      <c r="AC350" s="425">
        <f t="array" ref="AC350">MAX((IF(MNU_CODIGO_ALIMENTO_ENTREGA=CONCATENATE($E350,"_","P_"),MNU_GRAMAJE_REQUERIDO_TIPOC,"")))</f>
        <v>70</v>
      </c>
      <c r="AD350" s="257">
        <f t="shared" si="266"/>
        <v>5683</v>
      </c>
      <c r="AE350" s="257">
        <f t="shared" si="267"/>
        <v>90928</v>
      </c>
      <c r="AF350" s="446">
        <f t="shared" si="268"/>
        <v>779</v>
      </c>
      <c r="AG350" s="446">
        <f t="shared" si="269"/>
        <v>38.0152</v>
      </c>
      <c r="AH350" s="446">
        <f t="shared" si="270"/>
        <v>0.66995246400000008</v>
      </c>
      <c r="AI350" s="446">
        <f t="shared" si="271"/>
        <v>818</v>
      </c>
      <c r="AJ350" s="258">
        <f t="shared" si="272"/>
        <v>70832912</v>
      </c>
      <c r="AK350" s="258">
        <f t="shared" si="273"/>
        <v>74379104</v>
      </c>
      <c r="AL350" s="426">
        <f t="shared" si="274"/>
        <v>16</v>
      </c>
      <c r="AM350" s="426">
        <f t="array" ref="AM350">MAX((IF(MNU_CODIGO_ALIMENTO_ENTREGA=CONCATENATE($E350,"_","P_"),MNU_GRAMAJE_REQUERIDO_TIPOM,"")))</f>
        <v>30</v>
      </c>
      <c r="AN350" s="259">
        <f t="shared" si="275"/>
        <v>311</v>
      </c>
      <c r="AO350" s="259">
        <f t="shared" si="276"/>
        <v>4976</v>
      </c>
      <c r="AP350" s="446">
        <f t="shared" si="277"/>
        <v>334</v>
      </c>
      <c r="AQ350" s="446">
        <f t="shared" si="278"/>
        <v>16.299199999999999</v>
      </c>
      <c r="AR350" s="446">
        <f t="shared" si="279"/>
        <v>0.28724534400000001</v>
      </c>
      <c r="AS350" s="446">
        <f t="shared" si="280"/>
        <v>351</v>
      </c>
      <c r="AT350" s="260">
        <f t="shared" si="281"/>
        <v>1661984</v>
      </c>
      <c r="AU350" s="260">
        <f t="shared" si="282"/>
        <v>1746576</v>
      </c>
      <c r="AV350" s="425">
        <f t="shared" si="283"/>
        <v>16</v>
      </c>
      <c r="AW350" s="425">
        <f t="array" ref="AW350">MAX((IF(MNU_CODIGO_ALIMENTO_ENTREGA=CONCATENATE($E350,"_","P_"),MNU_GRAMAJE_REQUERIDO_TIPOH,"")))</f>
        <v>70</v>
      </c>
      <c r="AX350" s="257">
        <f t="shared" si="284"/>
        <v>322</v>
      </c>
      <c r="AY350" s="257">
        <f t="shared" si="285"/>
        <v>5152</v>
      </c>
      <c r="AZ350" s="446">
        <f t="shared" si="286"/>
        <v>779</v>
      </c>
      <c r="BA350" s="446">
        <f t="shared" si="287"/>
        <v>38.0152</v>
      </c>
      <c r="BB350" s="446">
        <f t="shared" si="288"/>
        <v>0.66995246400000008</v>
      </c>
      <c r="BC350" s="446">
        <f t="shared" si="289"/>
        <v>818</v>
      </c>
      <c r="BD350" s="258">
        <f t="shared" si="290"/>
        <v>4013408</v>
      </c>
      <c r="BE350" s="258">
        <f t="shared" si="291"/>
        <v>4214336</v>
      </c>
      <c r="BF350" s="391">
        <f t="shared" si="292"/>
        <v>130002032</v>
      </c>
      <c r="BG350" s="391">
        <f t="shared" si="293"/>
        <v>136530208</v>
      </c>
    </row>
    <row r="351" spans="1:59" ht="15.75">
      <c r="A351" s="333">
        <v>28</v>
      </c>
      <c r="B351" s="333" t="str">
        <f t="shared" si="245"/>
        <v>CEREAL EMPACADO_28</v>
      </c>
      <c r="C351" s="333" t="str">
        <f t="shared" si="246"/>
        <v>62_28</v>
      </c>
      <c r="D351" s="333" t="s">
        <v>1607</v>
      </c>
      <c r="E351" s="256">
        <v>62</v>
      </c>
      <c r="F351" s="322" t="s">
        <v>68</v>
      </c>
      <c r="G351" s="256" t="s">
        <v>9</v>
      </c>
      <c r="H351" s="425">
        <f t="shared" si="247"/>
        <v>5</v>
      </c>
      <c r="I351" s="425">
        <f t="array" ref="I351">MAX((IF(MNU_CODIGO_ALIMENTO_ENTREGA=CONCATENATE($E351,"_","P_"),MNU_GRAMAJE_REQUERIDO_TIPOA,"")))</f>
        <v>50</v>
      </c>
      <c r="J351" s="257">
        <f t="shared" si="248"/>
        <v>5484</v>
      </c>
      <c r="K351" s="257">
        <f t="shared" si="249"/>
        <v>27420</v>
      </c>
      <c r="L351" s="446">
        <f t="shared" si="250"/>
        <v>595</v>
      </c>
      <c r="M351" s="446">
        <f t="shared" si="251"/>
        <v>29.036000000000001</v>
      </c>
      <c r="N351" s="446">
        <f t="shared" si="252"/>
        <v>0.51170952000000014</v>
      </c>
      <c r="O351" s="446">
        <f t="shared" si="253"/>
        <v>625</v>
      </c>
      <c r="P351" s="258">
        <f t="shared" si="254"/>
        <v>16314900</v>
      </c>
      <c r="Q351" s="258">
        <f t="shared" si="255"/>
        <v>17137500</v>
      </c>
      <c r="R351" s="426">
        <f t="shared" si="256"/>
        <v>5</v>
      </c>
      <c r="S351" s="426">
        <f t="array" ref="S351">MAX((IF(MNU_CODIGO_ALIMENTO_ENTREGA=CONCATENATE($E351,"_","P_"),MNU_GRAMAJE_REQUERIDO_TIPOB,"")))</f>
        <v>50</v>
      </c>
      <c r="T351" s="259">
        <f t="shared" si="257"/>
        <v>6365</v>
      </c>
      <c r="U351" s="259">
        <f t="shared" si="258"/>
        <v>31825</v>
      </c>
      <c r="V351" s="446">
        <f t="shared" si="259"/>
        <v>595</v>
      </c>
      <c r="W351" s="446">
        <f t="shared" si="260"/>
        <v>29.036000000000001</v>
      </c>
      <c r="X351" s="446">
        <f t="shared" si="261"/>
        <v>0.51170952000000014</v>
      </c>
      <c r="Y351" s="446">
        <f t="shared" si="262"/>
        <v>625</v>
      </c>
      <c r="Z351" s="260">
        <f t="shared" si="263"/>
        <v>18935875</v>
      </c>
      <c r="AA351" s="260">
        <f t="shared" si="264"/>
        <v>19890625</v>
      </c>
      <c r="AB351" s="425">
        <f t="shared" si="265"/>
        <v>5</v>
      </c>
      <c r="AC351" s="425">
        <f t="array" ref="AC351">MAX((IF(MNU_CODIGO_ALIMENTO_ENTREGA=CONCATENATE($E351,"_","P_"),MNU_GRAMAJE_REQUERIDO_TIPOC,"")))</f>
        <v>50</v>
      </c>
      <c r="AD351" s="257">
        <f t="shared" si="266"/>
        <v>5683</v>
      </c>
      <c r="AE351" s="257">
        <f t="shared" si="267"/>
        <v>28415</v>
      </c>
      <c r="AF351" s="446">
        <f t="shared" si="268"/>
        <v>595</v>
      </c>
      <c r="AG351" s="446">
        <f t="shared" si="269"/>
        <v>29.036000000000001</v>
      </c>
      <c r="AH351" s="446">
        <f t="shared" si="270"/>
        <v>0.51170952000000014</v>
      </c>
      <c r="AI351" s="446">
        <f t="shared" si="271"/>
        <v>625</v>
      </c>
      <c r="AJ351" s="258">
        <f t="shared" si="272"/>
        <v>16906925</v>
      </c>
      <c r="AK351" s="258">
        <f t="shared" si="273"/>
        <v>17759375</v>
      </c>
      <c r="AL351" s="426">
        <f t="shared" si="274"/>
        <v>5</v>
      </c>
      <c r="AM351" s="426">
        <f t="array" ref="AM351">MAX((IF(MNU_CODIGO_ALIMENTO_ENTREGA=CONCATENATE($E351,"_","P_"),MNU_GRAMAJE_REQUERIDO_TIPOM,"")))</f>
        <v>50</v>
      </c>
      <c r="AN351" s="259">
        <f t="shared" si="275"/>
        <v>311</v>
      </c>
      <c r="AO351" s="259">
        <f t="shared" si="276"/>
        <v>1555</v>
      </c>
      <c r="AP351" s="446">
        <f t="shared" si="277"/>
        <v>595</v>
      </c>
      <c r="AQ351" s="446">
        <f t="shared" si="278"/>
        <v>29.036000000000001</v>
      </c>
      <c r="AR351" s="446">
        <f t="shared" si="279"/>
        <v>0.51170952000000014</v>
      </c>
      <c r="AS351" s="446">
        <f t="shared" si="280"/>
        <v>625</v>
      </c>
      <c r="AT351" s="260">
        <f t="shared" si="281"/>
        <v>925225</v>
      </c>
      <c r="AU351" s="260">
        <f t="shared" si="282"/>
        <v>971875</v>
      </c>
      <c r="AV351" s="425">
        <f t="shared" si="283"/>
        <v>5</v>
      </c>
      <c r="AW351" s="425">
        <f t="array" ref="AW351">MAX((IF(MNU_CODIGO_ALIMENTO_ENTREGA=CONCATENATE($E351,"_","P_"),MNU_GRAMAJE_REQUERIDO_TIPOH,"")))</f>
        <v>50</v>
      </c>
      <c r="AX351" s="257">
        <f t="shared" si="284"/>
        <v>322</v>
      </c>
      <c r="AY351" s="257">
        <f t="shared" si="285"/>
        <v>1610</v>
      </c>
      <c r="AZ351" s="446">
        <f t="shared" si="286"/>
        <v>595</v>
      </c>
      <c r="BA351" s="446">
        <f t="shared" si="287"/>
        <v>29.036000000000001</v>
      </c>
      <c r="BB351" s="446">
        <f t="shared" si="288"/>
        <v>0.51170952000000014</v>
      </c>
      <c r="BC351" s="446">
        <f t="shared" si="289"/>
        <v>625</v>
      </c>
      <c r="BD351" s="258">
        <f t="shared" si="290"/>
        <v>957950</v>
      </c>
      <c r="BE351" s="258">
        <f t="shared" si="291"/>
        <v>1006250</v>
      </c>
      <c r="BF351" s="391">
        <f t="shared" si="292"/>
        <v>54040875</v>
      </c>
      <c r="BG351" s="391">
        <f t="shared" si="293"/>
        <v>56765625</v>
      </c>
    </row>
    <row r="352" spans="1:59" ht="15.75">
      <c r="A352" s="333">
        <v>29</v>
      </c>
      <c r="B352" s="333" t="str">
        <f t="shared" si="245"/>
        <v>CEREAL EMPACADO_29</v>
      </c>
      <c r="C352" s="333" t="str">
        <f t="shared" si="246"/>
        <v>1_29</v>
      </c>
      <c r="D352" s="333" t="s">
        <v>1607</v>
      </c>
      <c r="E352" s="256">
        <v>1</v>
      </c>
      <c r="F352" s="322" t="s">
        <v>16</v>
      </c>
      <c r="G352" s="256" t="s">
        <v>9</v>
      </c>
      <c r="H352" s="425">
        <f t="shared" si="247"/>
        <v>15</v>
      </c>
      <c r="I352" s="425">
        <f t="array" ref="I352">MAX((IF(MNU_CODIGO_ALIMENTO_ENTREGA=CONCATENATE($E352,"_","P_"),MNU_GRAMAJE_REQUERIDO_TIPOA,"")))</f>
        <v>30</v>
      </c>
      <c r="J352" s="257">
        <f t="shared" si="248"/>
        <v>5992</v>
      </c>
      <c r="K352" s="257">
        <f t="shared" si="249"/>
        <v>89880</v>
      </c>
      <c r="L352" s="446">
        <f t="shared" si="250"/>
        <v>770</v>
      </c>
      <c r="M352" s="446">
        <f t="shared" si="251"/>
        <v>37.576000000000008</v>
      </c>
      <c r="N352" s="446">
        <f t="shared" si="252"/>
        <v>0.66221231999999997</v>
      </c>
      <c r="O352" s="446">
        <f t="shared" si="253"/>
        <v>808</v>
      </c>
      <c r="P352" s="258">
        <f t="shared" si="254"/>
        <v>69207600</v>
      </c>
      <c r="Q352" s="258">
        <f t="shared" si="255"/>
        <v>72623040</v>
      </c>
      <c r="R352" s="426">
        <f t="shared" si="256"/>
        <v>15</v>
      </c>
      <c r="S352" s="426">
        <f t="array" ref="S352">MAX((IF(MNU_CODIGO_ALIMENTO_ENTREGA=CONCATENATE($E352,"_","P_"),MNU_GRAMAJE_REQUERIDO_TIPOB,"")))</f>
        <v>40</v>
      </c>
      <c r="T352" s="259">
        <f t="shared" si="257"/>
        <v>7665</v>
      </c>
      <c r="U352" s="259">
        <f t="shared" si="258"/>
        <v>114975</v>
      </c>
      <c r="V352" s="446">
        <f t="shared" si="259"/>
        <v>1027</v>
      </c>
      <c r="W352" s="446">
        <f t="shared" si="260"/>
        <v>50.117600000000003</v>
      </c>
      <c r="X352" s="446">
        <f t="shared" si="261"/>
        <v>0.88323643200000013</v>
      </c>
      <c r="Y352" s="446">
        <f t="shared" si="262"/>
        <v>1078</v>
      </c>
      <c r="Z352" s="260">
        <f t="shared" si="263"/>
        <v>118079325</v>
      </c>
      <c r="AA352" s="260">
        <f t="shared" si="264"/>
        <v>123943050</v>
      </c>
      <c r="AB352" s="425">
        <f t="shared" si="265"/>
        <v>15</v>
      </c>
      <c r="AC352" s="425">
        <f t="array" ref="AC352">MAX((IF(MNU_CODIGO_ALIMENTO_ENTREGA=CONCATENATE($E352,"_","P_"),MNU_GRAMAJE_REQUERIDO_TIPOC,"")))</f>
        <v>60</v>
      </c>
      <c r="AD352" s="257">
        <f t="shared" si="266"/>
        <v>9331</v>
      </c>
      <c r="AE352" s="257">
        <f t="shared" si="267"/>
        <v>139965</v>
      </c>
      <c r="AF352" s="446">
        <f t="shared" si="268"/>
        <v>1540</v>
      </c>
      <c r="AG352" s="446">
        <f t="shared" si="269"/>
        <v>75.152000000000015</v>
      </c>
      <c r="AH352" s="446">
        <f t="shared" si="270"/>
        <v>1.3244246399999999</v>
      </c>
      <c r="AI352" s="446">
        <f t="shared" si="271"/>
        <v>1616</v>
      </c>
      <c r="AJ352" s="258">
        <f t="shared" si="272"/>
        <v>215546100</v>
      </c>
      <c r="AK352" s="258">
        <f t="shared" si="273"/>
        <v>226183440</v>
      </c>
      <c r="AL352" s="426">
        <f t="shared" si="274"/>
        <v>15</v>
      </c>
      <c r="AM352" s="426">
        <f t="array" ref="AM352">MAX((IF(MNU_CODIGO_ALIMENTO_ENTREGA=CONCATENATE($E352,"_","P_"),MNU_GRAMAJE_REQUERIDO_TIPOM,"")))</f>
        <v>40</v>
      </c>
      <c r="AN352" s="259">
        <f t="shared" si="275"/>
        <v>251</v>
      </c>
      <c r="AO352" s="259">
        <f t="shared" si="276"/>
        <v>3765</v>
      </c>
      <c r="AP352" s="446">
        <f t="shared" si="277"/>
        <v>1027</v>
      </c>
      <c r="AQ352" s="446">
        <f t="shared" si="278"/>
        <v>50.117600000000003</v>
      </c>
      <c r="AR352" s="446">
        <f t="shared" si="279"/>
        <v>0.88323643200000013</v>
      </c>
      <c r="AS352" s="446">
        <f t="shared" si="280"/>
        <v>1078</v>
      </c>
      <c r="AT352" s="260">
        <f t="shared" si="281"/>
        <v>3866655</v>
      </c>
      <c r="AU352" s="260">
        <f t="shared" si="282"/>
        <v>4058670</v>
      </c>
      <c r="AV352" s="425">
        <f t="shared" si="283"/>
        <v>15</v>
      </c>
      <c r="AW352" s="425">
        <f t="array" ref="AW352">MAX((IF(MNU_CODIGO_ALIMENTO_ENTREGA=CONCATENATE($E352,"_","P_"),MNU_GRAMAJE_REQUERIDO_TIPOH,"")))</f>
        <v>60</v>
      </c>
      <c r="AX352" s="257">
        <f t="shared" si="284"/>
        <v>297</v>
      </c>
      <c r="AY352" s="257">
        <f t="shared" si="285"/>
        <v>4455</v>
      </c>
      <c r="AZ352" s="446">
        <f t="shared" si="286"/>
        <v>1540</v>
      </c>
      <c r="BA352" s="446">
        <f t="shared" si="287"/>
        <v>75.152000000000015</v>
      </c>
      <c r="BB352" s="446">
        <f t="shared" si="288"/>
        <v>1.3244246399999999</v>
      </c>
      <c r="BC352" s="446">
        <f t="shared" si="289"/>
        <v>1616</v>
      </c>
      <c r="BD352" s="258">
        <f t="shared" si="290"/>
        <v>6860700</v>
      </c>
      <c r="BE352" s="258">
        <f t="shared" si="291"/>
        <v>7199280</v>
      </c>
      <c r="BF352" s="391">
        <f t="shared" si="292"/>
        <v>413560380</v>
      </c>
      <c r="BG352" s="391">
        <f t="shared" si="293"/>
        <v>434007480</v>
      </c>
    </row>
    <row r="353" spans="1:59" ht="15.75">
      <c r="A353" s="333">
        <v>29</v>
      </c>
      <c r="B353" s="333" t="str">
        <f t="shared" si="245"/>
        <v>CEREAL EMPACADO_29</v>
      </c>
      <c r="C353" s="333" t="str">
        <f t="shared" si="246"/>
        <v>3_29</v>
      </c>
      <c r="D353" s="333" t="s">
        <v>1607</v>
      </c>
      <c r="E353" s="256">
        <v>3</v>
      </c>
      <c r="F353" s="322" t="s">
        <v>12</v>
      </c>
      <c r="G353" s="256" t="s">
        <v>9</v>
      </c>
      <c r="H353" s="425">
        <f t="shared" si="247"/>
        <v>17</v>
      </c>
      <c r="I353" s="425">
        <f t="array" ref="I353">MAX((IF(MNU_CODIGO_ALIMENTO_ENTREGA=CONCATENATE($E353,"_","P_"),MNU_GRAMAJE_REQUERIDO_TIPOA,"")))</f>
        <v>50</v>
      </c>
      <c r="J353" s="257">
        <f t="shared" si="248"/>
        <v>5992</v>
      </c>
      <c r="K353" s="257">
        <f t="shared" si="249"/>
        <v>101864</v>
      </c>
      <c r="L353" s="446">
        <f t="shared" si="250"/>
        <v>481</v>
      </c>
      <c r="M353" s="446">
        <f t="shared" si="251"/>
        <v>23.472799999999999</v>
      </c>
      <c r="N353" s="446">
        <f t="shared" si="252"/>
        <v>0.41366769599999997</v>
      </c>
      <c r="O353" s="446">
        <f t="shared" si="253"/>
        <v>505</v>
      </c>
      <c r="P353" s="258">
        <f t="shared" si="254"/>
        <v>48996584</v>
      </c>
      <c r="Q353" s="258">
        <f t="shared" si="255"/>
        <v>51441320</v>
      </c>
      <c r="R353" s="426">
        <f t="shared" si="256"/>
        <v>17</v>
      </c>
      <c r="S353" s="426">
        <f t="array" ref="S353">MAX((IF(MNU_CODIGO_ALIMENTO_ENTREGA=CONCATENATE($E353,"_","P_"),MNU_GRAMAJE_REQUERIDO_TIPOB,"")))</f>
        <v>50</v>
      </c>
      <c r="T353" s="259">
        <f t="shared" si="257"/>
        <v>7665</v>
      </c>
      <c r="U353" s="259">
        <f t="shared" si="258"/>
        <v>130305</v>
      </c>
      <c r="V353" s="446">
        <f t="shared" si="259"/>
        <v>481</v>
      </c>
      <c r="W353" s="446">
        <f t="shared" si="260"/>
        <v>23.472799999999999</v>
      </c>
      <c r="X353" s="446">
        <f t="shared" si="261"/>
        <v>0.41366769599999997</v>
      </c>
      <c r="Y353" s="446">
        <f t="shared" si="262"/>
        <v>505</v>
      </c>
      <c r="Z353" s="260">
        <f t="shared" si="263"/>
        <v>62676705</v>
      </c>
      <c r="AA353" s="260">
        <f t="shared" si="264"/>
        <v>65804025</v>
      </c>
      <c r="AB353" s="425">
        <f t="shared" si="265"/>
        <v>17</v>
      </c>
      <c r="AC353" s="425">
        <f t="array" ref="AC353">MAX((IF(MNU_CODIGO_ALIMENTO_ENTREGA=CONCATENATE($E353,"_","P_"),MNU_GRAMAJE_REQUERIDO_TIPOC,"")))</f>
        <v>80</v>
      </c>
      <c r="AD353" s="257">
        <f t="shared" si="266"/>
        <v>9331</v>
      </c>
      <c r="AE353" s="257">
        <f t="shared" si="267"/>
        <v>158627</v>
      </c>
      <c r="AF353" s="446">
        <f t="shared" si="268"/>
        <v>727</v>
      </c>
      <c r="AG353" s="446">
        <f t="shared" si="269"/>
        <v>35.477600000000002</v>
      </c>
      <c r="AH353" s="446">
        <f t="shared" si="270"/>
        <v>0.62523163200000009</v>
      </c>
      <c r="AI353" s="446">
        <f t="shared" si="271"/>
        <v>763</v>
      </c>
      <c r="AJ353" s="258">
        <f t="shared" si="272"/>
        <v>115321829</v>
      </c>
      <c r="AK353" s="258">
        <f t="shared" si="273"/>
        <v>121032401</v>
      </c>
      <c r="AL353" s="426">
        <f t="shared" si="274"/>
        <v>17</v>
      </c>
      <c r="AM353" s="426">
        <f t="array" ref="AM353">MAX((IF(MNU_CODIGO_ALIMENTO_ENTREGA=CONCATENATE($E353,"_","P_"),MNU_GRAMAJE_REQUERIDO_TIPOM,"")))</f>
        <v>50</v>
      </c>
      <c r="AN353" s="259">
        <f t="shared" si="275"/>
        <v>251</v>
      </c>
      <c r="AO353" s="259">
        <f t="shared" si="276"/>
        <v>4267</v>
      </c>
      <c r="AP353" s="446">
        <f t="shared" si="277"/>
        <v>481</v>
      </c>
      <c r="AQ353" s="446">
        <f t="shared" si="278"/>
        <v>23.472799999999999</v>
      </c>
      <c r="AR353" s="446">
        <f t="shared" si="279"/>
        <v>0.41366769599999997</v>
      </c>
      <c r="AS353" s="446">
        <f t="shared" si="280"/>
        <v>505</v>
      </c>
      <c r="AT353" s="260">
        <f t="shared" si="281"/>
        <v>2052427</v>
      </c>
      <c r="AU353" s="260">
        <f t="shared" si="282"/>
        <v>2154835</v>
      </c>
      <c r="AV353" s="425">
        <f t="shared" si="283"/>
        <v>17</v>
      </c>
      <c r="AW353" s="425">
        <f t="array" ref="AW353">MAX((IF(MNU_CODIGO_ALIMENTO_ENTREGA=CONCATENATE($E353,"_","P_"),MNU_GRAMAJE_REQUERIDO_TIPOH,"")))</f>
        <v>80</v>
      </c>
      <c r="AX353" s="257">
        <f t="shared" si="284"/>
        <v>297</v>
      </c>
      <c r="AY353" s="257">
        <f t="shared" si="285"/>
        <v>5049</v>
      </c>
      <c r="AZ353" s="446">
        <f t="shared" si="286"/>
        <v>727</v>
      </c>
      <c r="BA353" s="446">
        <f t="shared" si="287"/>
        <v>35.477600000000002</v>
      </c>
      <c r="BB353" s="446">
        <f t="shared" si="288"/>
        <v>0.62523163200000009</v>
      </c>
      <c r="BC353" s="446">
        <f t="shared" si="289"/>
        <v>763</v>
      </c>
      <c r="BD353" s="258">
        <f t="shared" si="290"/>
        <v>3670623</v>
      </c>
      <c r="BE353" s="258">
        <f t="shared" si="291"/>
        <v>3852387</v>
      </c>
      <c r="BF353" s="391">
        <f t="shared" si="292"/>
        <v>232718168</v>
      </c>
      <c r="BG353" s="391">
        <f t="shared" si="293"/>
        <v>244284968</v>
      </c>
    </row>
    <row r="354" spans="1:59" ht="15.75">
      <c r="A354" s="333">
        <v>29</v>
      </c>
      <c r="B354" s="333" t="str">
        <f t="shared" si="245"/>
        <v>CEREAL EMPACADO_29</v>
      </c>
      <c r="C354" s="333" t="str">
        <f t="shared" si="246"/>
        <v>15_29</v>
      </c>
      <c r="D354" s="333" t="s">
        <v>1607</v>
      </c>
      <c r="E354" s="256">
        <v>15</v>
      </c>
      <c r="F354" s="322" t="s">
        <v>66</v>
      </c>
      <c r="G354" s="256" t="s">
        <v>9</v>
      </c>
      <c r="H354" s="425">
        <f t="shared" si="247"/>
        <v>17</v>
      </c>
      <c r="I354" s="425">
        <f t="array" ref="I354">MAX((IF(MNU_CODIGO_ALIMENTO_ENTREGA=CONCATENATE($E354,"_","P_"),MNU_GRAMAJE_REQUERIDO_TIPOA,"")))</f>
        <v>50</v>
      </c>
      <c r="J354" s="257">
        <f t="shared" si="248"/>
        <v>5992</v>
      </c>
      <c r="K354" s="257">
        <f t="shared" si="249"/>
        <v>101864</v>
      </c>
      <c r="L354" s="446">
        <f t="shared" si="250"/>
        <v>641</v>
      </c>
      <c r="M354" s="446">
        <f t="shared" si="251"/>
        <v>31.280800000000003</v>
      </c>
      <c r="N354" s="446">
        <f t="shared" si="252"/>
        <v>0.55127025600000001</v>
      </c>
      <c r="O354" s="446">
        <f t="shared" si="253"/>
        <v>673</v>
      </c>
      <c r="P354" s="258">
        <f t="shared" si="254"/>
        <v>65294824</v>
      </c>
      <c r="Q354" s="258">
        <f t="shared" si="255"/>
        <v>68554472</v>
      </c>
      <c r="R354" s="426">
        <f t="shared" si="256"/>
        <v>17</v>
      </c>
      <c r="S354" s="426">
        <f t="array" ref="S354">MAX((IF(MNU_CODIGO_ALIMENTO_ENTREGA=CONCATENATE($E354,"_","P_"),MNU_GRAMAJE_REQUERIDO_TIPOB,"")))</f>
        <v>50</v>
      </c>
      <c r="T354" s="259">
        <f t="shared" si="257"/>
        <v>7665</v>
      </c>
      <c r="U354" s="259">
        <f t="shared" si="258"/>
        <v>130305</v>
      </c>
      <c r="V354" s="446">
        <f t="shared" si="259"/>
        <v>641</v>
      </c>
      <c r="W354" s="446">
        <f t="shared" si="260"/>
        <v>31.280800000000003</v>
      </c>
      <c r="X354" s="446">
        <f t="shared" si="261"/>
        <v>0.55127025600000001</v>
      </c>
      <c r="Y354" s="446">
        <f t="shared" si="262"/>
        <v>673</v>
      </c>
      <c r="Z354" s="260">
        <f t="shared" si="263"/>
        <v>83525505</v>
      </c>
      <c r="AA354" s="260">
        <f t="shared" si="264"/>
        <v>87695265</v>
      </c>
      <c r="AB354" s="425">
        <f t="shared" si="265"/>
        <v>17</v>
      </c>
      <c r="AC354" s="425">
        <f t="array" ref="AC354">MAX((IF(MNU_CODIGO_ALIMENTO_ENTREGA=CONCATENATE($E354,"_","P_"),MNU_GRAMAJE_REQUERIDO_TIPOC,"")))</f>
        <v>80</v>
      </c>
      <c r="AD354" s="257">
        <f t="shared" si="266"/>
        <v>9331</v>
      </c>
      <c r="AE354" s="257">
        <f t="shared" si="267"/>
        <v>158627</v>
      </c>
      <c r="AF354" s="446">
        <f t="shared" si="268"/>
        <v>1025</v>
      </c>
      <c r="AG354" s="446">
        <f t="shared" si="269"/>
        <v>50.02</v>
      </c>
      <c r="AH354" s="446">
        <f t="shared" si="270"/>
        <v>0.88151640000000009</v>
      </c>
      <c r="AI354" s="446">
        <f t="shared" si="271"/>
        <v>1076</v>
      </c>
      <c r="AJ354" s="258">
        <f t="shared" si="272"/>
        <v>162592675</v>
      </c>
      <c r="AK354" s="258">
        <f t="shared" si="273"/>
        <v>170682652</v>
      </c>
      <c r="AL354" s="426">
        <f t="shared" si="274"/>
        <v>17</v>
      </c>
      <c r="AM354" s="426">
        <f t="array" ref="AM354">MAX((IF(MNU_CODIGO_ALIMENTO_ENTREGA=CONCATENATE($E354,"_","P_"),MNU_GRAMAJE_REQUERIDO_TIPOM,"")))</f>
        <v>50</v>
      </c>
      <c r="AN354" s="259">
        <f t="shared" si="275"/>
        <v>251</v>
      </c>
      <c r="AO354" s="259">
        <f t="shared" si="276"/>
        <v>4267</v>
      </c>
      <c r="AP354" s="446">
        <f t="shared" si="277"/>
        <v>641</v>
      </c>
      <c r="AQ354" s="446">
        <f t="shared" si="278"/>
        <v>31.280800000000003</v>
      </c>
      <c r="AR354" s="446">
        <f t="shared" si="279"/>
        <v>0.55127025600000001</v>
      </c>
      <c r="AS354" s="446">
        <f t="shared" si="280"/>
        <v>673</v>
      </c>
      <c r="AT354" s="260">
        <f t="shared" si="281"/>
        <v>2735147</v>
      </c>
      <c r="AU354" s="260">
        <f t="shared" si="282"/>
        <v>2871691</v>
      </c>
      <c r="AV354" s="425">
        <f t="shared" si="283"/>
        <v>17</v>
      </c>
      <c r="AW354" s="425">
        <f t="array" ref="AW354">MAX((IF(MNU_CODIGO_ALIMENTO_ENTREGA=CONCATENATE($E354,"_","P_"),MNU_GRAMAJE_REQUERIDO_TIPOH,"")))</f>
        <v>80</v>
      </c>
      <c r="AX354" s="257">
        <f t="shared" si="284"/>
        <v>297</v>
      </c>
      <c r="AY354" s="257">
        <f t="shared" si="285"/>
        <v>5049</v>
      </c>
      <c r="AZ354" s="446">
        <f t="shared" si="286"/>
        <v>1025</v>
      </c>
      <c r="BA354" s="446">
        <f t="shared" si="287"/>
        <v>50.02</v>
      </c>
      <c r="BB354" s="446">
        <f t="shared" si="288"/>
        <v>0.88151640000000009</v>
      </c>
      <c r="BC354" s="446">
        <f t="shared" si="289"/>
        <v>1076</v>
      </c>
      <c r="BD354" s="258">
        <f t="shared" si="290"/>
        <v>5175225</v>
      </c>
      <c r="BE354" s="258">
        <f t="shared" si="291"/>
        <v>5432724</v>
      </c>
      <c r="BF354" s="391">
        <f t="shared" si="292"/>
        <v>319323376</v>
      </c>
      <c r="BG354" s="391">
        <f t="shared" si="293"/>
        <v>335236804</v>
      </c>
    </row>
    <row r="355" spans="1:59" ht="15.75">
      <c r="A355" s="333">
        <v>29</v>
      </c>
      <c r="B355" s="333" t="str">
        <f t="shared" si="245"/>
        <v>CEREAL EMPACADO_29</v>
      </c>
      <c r="C355" s="333" t="str">
        <f t="shared" si="246"/>
        <v>24_29</v>
      </c>
      <c r="D355" s="333" t="s">
        <v>1607</v>
      </c>
      <c r="E355" s="256">
        <v>24</v>
      </c>
      <c r="F355" s="322" t="s">
        <v>61</v>
      </c>
      <c r="G355" s="256" t="s">
        <v>9</v>
      </c>
      <c r="H355" s="425">
        <f t="shared" si="247"/>
        <v>17</v>
      </c>
      <c r="I355" s="425">
        <f t="array" ref="I355">MAX((IF(MNU_CODIGO_ALIMENTO_ENTREGA=CONCATENATE($E355,"_","P_"),MNU_GRAMAJE_REQUERIDO_TIPOA,"")))</f>
        <v>20</v>
      </c>
      <c r="J355" s="257">
        <f t="shared" si="248"/>
        <v>5992</v>
      </c>
      <c r="K355" s="257">
        <f t="shared" si="249"/>
        <v>101864</v>
      </c>
      <c r="L355" s="446">
        <f t="shared" si="250"/>
        <v>122</v>
      </c>
      <c r="M355" s="446">
        <f t="shared" si="251"/>
        <v>5.9535999999999998</v>
      </c>
      <c r="N355" s="446">
        <f t="shared" si="252"/>
        <v>0.104921952</v>
      </c>
      <c r="O355" s="446">
        <f t="shared" si="253"/>
        <v>128</v>
      </c>
      <c r="P355" s="258">
        <f t="shared" si="254"/>
        <v>12427408</v>
      </c>
      <c r="Q355" s="258">
        <f t="shared" si="255"/>
        <v>13038592</v>
      </c>
      <c r="R355" s="426">
        <f t="shared" si="256"/>
        <v>17</v>
      </c>
      <c r="S355" s="426">
        <f t="array" ref="S355">MAX((IF(MNU_CODIGO_ALIMENTO_ENTREGA=CONCATENATE($E355,"_","P_"),MNU_GRAMAJE_REQUERIDO_TIPOB,"")))</f>
        <v>30</v>
      </c>
      <c r="T355" s="259">
        <f t="shared" si="257"/>
        <v>7665</v>
      </c>
      <c r="U355" s="259">
        <f t="shared" si="258"/>
        <v>130305</v>
      </c>
      <c r="V355" s="446">
        <f t="shared" si="259"/>
        <v>191</v>
      </c>
      <c r="W355" s="446">
        <f t="shared" si="260"/>
        <v>9.3208000000000002</v>
      </c>
      <c r="X355" s="446">
        <f t="shared" si="261"/>
        <v>0.16426305600000002</v>
      </c>
      <c r="Y355" s="446">
        <f t="shared" si="262"/>
        <v>200</v>
      </c>
      <c r="Z355" s="260">
        <f t="shared" si="263"/>
        <v>24888255</v>
      </c>
      <c r="AA355" s="260">
        <f t="shared" si="264"/>
        <v>26061000</v>
      </c>
      <c r="AB355" s="425">
        <f t="shared" si="265"/>
        <v>17</v>
      </c>
      <c r="AC355" s="425">
        <f t="array" ref="AC355">MAX((IF(MNU_CODIGO_ALIMENTO_ENTREGA=CONCATENATE($E355,"_","P_"),MNU_GRAMAJE_REQUERIDO_TIPOC,"")))</f>
        <v>60</v>
      </c>
      <c r="AD355" s="257">
        <f t="shared" si="266"/>
        <v>9331</v>
      </c>
      <c r="AE355" s="257">
        <f t="shared" si="267"/>
        <v>158627</v>
      </c>
      <c r="AF355" s="446">
        <f t="shared" si="268"/>
        <v>367</v>
      </c>
      <c r="AG355" s="446">
        <f t="shared" si="269"/>
        <v>17.909599999999998</v>
      </c>
      <c r="AH355" s="446">
        <f t="shared" si="270"/>
        <v>0.31562587200000003</v>
      </c>
      <c r="AI355" s="446">
        <f t="shared" si="271"/>
        <v>385</v>
      </c>
      <c r="AJ355" s="258">
        <f t="shared" si="272"/>
        <v>58216109</v>
      </c>
      <c r="AK355" s="258">
        <f t="shared" si="273"/>
        <v>61071395</v>
      </c>
      <c r="AL355" s="426">
        <f t="shared" si="274"/>
        <v>17</v>
      </c>
      <c r="AM355" s="426">
        <f t="array" ref="AM355">MAX((IF(MNU_CODIGO_ALIMENTO_ENTREGA=CONCATENATE($E355,"_","P_"),MNU_GRAMAJE_REQUERIDO_TIPOM,"")))</f>
        <v>30</v>
      </c>
      <c r="AN355" s="259">
        <f t="shared" si="275"/>
        <v>251</v>
      </c>
      <c r="AO355" s="259">
        <f t="shared" si="276"/>
        <v>4267</v>
      </c>
      <c r="AP355" s="446">
        <f t="shared" si="277"/>
        <v>191</v>
      </c>
      <c r="AQ355" s="446">
        <f t="shared" si="278"/>
        <v>9.3208000000000002</v>
      </c>
      <c r="AR355" s="446">
        <f t="shared" si="279"/>
        <v>0.16426305600000002</v>
      </c>
      <c r="AS355" s="446">
        <f t="shared" si="280"/>
        <v>200</v>
      </c>
      <c r="AT355" s="260">
        <f t="shared" si="281"/>
        <v>814997</v>
      </c>
      <c r="AU355" s="260">
        <f t="shared" si="282"/>
        <v>853400</v>
      </c>
      <c r="AV355" s="425">
        <f t="shared" si="283"/>
        <v>17</v>
      </c>
      <c r="AW355" s="425">
        <f t="array" ref="AW355">MAX((IF(MNU_CODIGO_ALIMENTO_ENTREGA=CONCATENATE($E355,"_","P_"),MNU_GRAMAJE_REQUERIDO_TIPOH,"")))</f>
        <v>60</v>
      </c>
      <c r="AX355" s="257">
        <f t="shared" si="284"/>
        <v>297</v>
      </c>
      <c r="AY355" s="257">
        <f t="shared" si="285"/>
        <v>5049</v>
      </c>
      <c r="AZ355" s="446">
        <f t="shared" si="286"/>
        <v>367</v>
      </c>
      <c r="BA355" s="446">
        <f t="shared" si="287"/>
        <v>17.909599999999998</v>
      </c>
      <c r="BB355" s="446">
        <f t="shared" si="288"/>
        <v>0.31562587200000003</v>
      </c>
      <c r="BC355" s="446">
        <f t="shared" si="289"/>
        <v>385</v>
      </c>
      <c r="BD355" s="258">
        <f t="shared" si="290"/>
        <v>1852983</v>
      </c>
      <c r="BE355" s="258">
        <f t="shared" si="291"/>
        <v>1943865</v>
      </c>
      <c r="BF355" s="391">
        <f t="shared" si="292"/>
        <v>98199752</v>
      </c>
      <c r="BG355" s="391">
        <f t="shared" si="293"/>
        <v>102968252</v>
      </c>
    </row>
    <row r="356" spans="1:59" ht="15.75">
      <c r="A356" s="333">
        <v>29</v>
      </c>
      <c r="B356" s="333" t="str">
        <f t="shared" ref="B356:B375" si="294">CONCATENATE(D356,"_",A356)</f>
        <v>CEREAL EMPACADO_29</v>
      </c>
      <c r="C356" s="333" t="str">
        <f t="shared" ref="C356:C375" si="295">CONCATENATE(E356,"_",A356)</f>
        <v>25_29</v>
      </c>
      <c r="D356" s="333" t="s">
        <v>1607</v>
      </c>
      <c r="E356" s="256">
        <v>25</v>
      </c>
      <c r="F356" s="322" t="s">
        <v>64</v>
      </c>
      <c r="G356" s="256" t="s">
        <v>9</v>
      </c>
      <c r="H356" s="425">
        <f t="shared" ref="H356:H375" si="296">SUMIF(MNU_CODIGO_ALIMENTO_ENTREGA,CONCATENATE($E356,"_","P_"),MNU_FRECUENCIAS_LAV_TIPOA)</f>
        <v>17</v>
      </c>
      <c r="I356" s="425">
        <f t="array" ref="I356">MAX((IF(MNU_CODIGO_ALIMENTO_ENTREGA=CONCATENATE($E356,"_","P_"),MNU_GRAMAJE_REQUERIDO_TIPOA,"")))</f>
        <v>40</v>
      </c>
      <c r="J356" s="257">
        <f t="shared" ref="J356:J375" si="297">SUMIF(VOL_GRUPO,CONCATENATE($A356,"1052-1NO"),VOL_TIPOA)</f>
        <v>5992</v>
      </c>
      <c r="K356" s="257">
        <f t="shared" ref="K356:K375" si="298">H356*J356</f>
        <v>101864</v>
      </c>
      <c r="L356" s="446">
        <f t="shared" ref="L356:L375" si="299">IF(ISERROR(AVERAGEIFS(MNU_COSTO_UNITARIO_TIPOA_SELECCIONADO,MNU_CODIGO_ALIMENTO_ENTREGA,CONCATENATE($E356,"_","P_"))),0,AVERAGEIFS(MNU_COSTO_UNITARIO_TIPOA_SELECCIONADO,MNU_CODIGO_ALIMENTO_ENTREGA,CONCATENATE($E356,"_","P_")))</f>
        <v>244</v>
      </c>
      <c r="M356" s="446">
        <f t="shared" ref="M356:M375" si="300">(L356*0.01)+(L356*0.005)+(L356*0.02)+(L356*(13.8/1000))</f>
        <v>11.9072</v>
      </c>
      <c r="N356" s="446">
        <f t="shared" ref="N356:N375" si="301">((L356+M356)*0.00071)+((L356+M356)*0.00011)</f>
        <v>0.209843904</v>
      </c>
      <c r="O356" s="446">
        <f t="shared" ref="O356:O375" si="302">ROUND(L356+M356+N356,0)</f>
        <v>256</v>
      </c>
      <c r="P356" s="258">
        <f t="shared" ref="P356:P375" si="303">H356*J356*L356</f>
        <v>24854816</v>
      </c>
      <c r="Q356" s="258">
        <f t="shared" ref="Q356:Q375" si="304">H356*J356*O356</f>
        <v>26077184</v>
      </c>
      <c r="R356" s="426">
        <f t="shared" ref="R356:R375" si="305">SUMIF(MNU_CODIGO_ALIMENTO_ENTREGA,CONCATENATE($E356,"_","P_"),MNU_FRECUENCIAS_LAV_TIPOB)</f>
        <v>17</v>
      </c>
      <c r="S356" s="426">
        <f t="array" ref="S356">MAX((IF(MNU_CODIGO_ALIMENTO_ENTREGA=CONCATENATE($E356,"_","P_"),MNU_GRAMAJE_REQUERIDO_TIPOB,"")))</f>
        <v>40</v>
      </c>
      <c r="T356" s="259">
        <f t="shared" ref="T356:T375" si="306">SUMIF(VOL_GRUPO,CONCATENATE($A356,"1052-1NO"),VOL_TIPOB)</f>
        <v>7665</v>
      </c>
      <c r="U356" s="259">
        <f t="shared" ref="U356:U375" si="307">R356*T356</f>
        <v>130305</v>
      </c>
      <c r="V356" s="446">
        <f t="shared" ref="V356:V375" si="308">IF(ISERROR(AVERAGEIFS(MNU_COSTO_UNITARIO_TIPOB_SELECCIONADO,MNU_CODIGO_ALIMENTO_ENTREGA,CONCATENATE($E356,"_","P_"))),0,AVERAGEIFS(MNU_COSTO_UNITARIO_TIPOB_SELECCIONADO,MNU_CODIGO_ALIMENTO_ENTREGA,CONCATENATE($E356,"_","P_")))</f>
        <v>244</v>
      </c>
      <c r="W356" s="446">
        <f t="shared" ref="W356:W375" si="309">(V356*0.01)+(V356*0.005)+(V356*0.02)+(V356*(13.8/1000))</f>
        <v>11.9072</v>
      </c>
      <c r="X356" s="446">
        <f t="shared" ref="X356:X375" si="310">((V356+W356)*0.00071)+((V356+W356)*0.00011)</f>
        <v>0.209843904</v>
      </c>
      <c r="Y356" s="446">
        <f t="shared" ref="Y356:Y375" si="311">ROUND(V356+W356+X356,0)</f>
        <v>256</v>
      </c>
      <c r="Z356" s="260">
        <f t="shared" ref="Z356:Z375" si="312">R356*T356*V356</f>
        <v>31794420</v>
      </c>
      <c r="AA356" s="260">
        <f t="shared" ref="AA356:AA375" si="313">R356*T356*Y356</f>
        <v>33358080</v>
      </c>
      <c r="AB356" s="425">
        <f t="shared" ref="AB356:AB375" si="314">SUMIF(MNU_CODIGO_ALIMENTO_ENTREGA,CONCATENATE($E356,"_","P_"),MNU_FRECUENCIAS_LAV_TIPOC)</f>
        <v>17</v>
      </c>
      <c r="AC356" s="425">
        <f t="array" ref="AC356">MAX((IF(MNU_CODIGO_ALIMENTO_ENTREGA=CONCATENATE($E356,"_","P_"),MNU_GRAMAJE_REQUERIDO_TIPOC,"")))</f>
        <v>60</v>
      </c>
      <c r="AD356" s="257">
        <f t="shared" ref="AD356:AD375" si="315">SUMIF(VOL_GRUPO,CONCATENATE($A356,"1052-1NO"),VOL_TIPOC)</f>
        <v>9331</v>
      </c>
      <c r="AE356" s="257">
        <f t="shared" ref="AE356:AE375" si="316">AB356*AD356</f>
        <v>158627</v>
      </c>
      <c r="AF356" s="446">
        <f t="shared" ref="AF356:AF375" si="317">IF(ISERROR(AVERAGEIFS(MNU_COSTO_UNITARIO_TIPOC_SELECCIONADO,MNU_CODIGO_ALIMENTO_ENTREGA,CONCATENATE($E356,"_","P_"))),0,AVERAGEIFS(MNU_COSTO_UNITARIO_TIPOC_SELECCIONADO,MNU_CODIGO_ALIMENTO_ENTREGA,CONCATENATE($E356,"_","P_")))</f>
        <v>366</v>
      </c>
      <c r="AG356" s="446">
        <f t="shared" ref="AG356:AG375" si="318">(AF356*0.01)+(AF356*0.005)+(AF356*0.02)+(AF356*(13.8/1000))</f>
        <v>17.860800000000001</v>
      </c>
      <c r="AH356" s="446">
        <f t="shared" ref="AH356:AH375" si="319">((AF356+AG356)*0.00071)+((AF356+AG356)*0.00011)</f>
        <v>0.31476585600000001</v>
      </c>
      <c r="AI356" s="446">
        <f t="shared" ref="AI356:AI375" si="320">ROUND(AF356+AG356+AH356,0)</f>
        <v>384</v>
      </c>
      <c r="AJ356" s="258">
        <f t="shared" ref="AJ356:AJ375" si="321">AB356*AD356*AF356</f>
        <v>58057482</v>
      </c>
      <c r="AK356" s="258">
        <f t="shared" ref="AK356:AK375" si="322">AB356*AD356*AI356</f>
        <v>60912768</v>
      </c>
      <c r="AL356" s="426">
        <f t="shared" ref="AL356:AL375" si="323">SUMIF(MNU_CODIGO_ALIMENTO_ENTREGA,CONCATENATE($E356,"_","P_"),MNU_FRECUENCIAS_LAV_TIPOM)</f>
        <v>17</v>
      </c>
      <c r="AM356" s="426">
        <f t="array" ref="AM356">MAX((IF(MNU_CODIGO_ALIMENTO_ENTREGA=CONCATENATE($E356,"_","P_"),MNU_GRAMAJE_REQUERIDO_TIPOM,"")))</f>
        <v>40</v>
      </c>
      <c r="AN356" s="259">
        <f t="shared" ref="AN356:AN375" si="324">SUMIF(VOL_GRUPO,CONCATENATE($A356,"1052-1NO"),VOL_TIPOM)</f>
        <v>251</v>
      </c>
      <c r="AO356" s="259">
        <f t="shared" ref="AO356:AO375" si="325">AL356*AN356</f>
        <v>4267</v>
      </c>
      <c r="AP356" s="446">
        <f t="shared" ref="AP356:AP375" si="326">IF(ISERROR(AVERAGEIFS(MNU_COSTO_UNITARIO_TIPOM_SELECCIONADO,MNU_CODIGO_ALIMENTO_ENTREGA,CONCATENATE($E356,"_","P_"))),0,AVERAGEIFS(MNU_COSTO_UNITARIO_TIPOM_SELECCIONADO,MNU_CODIGO_ALIMENTO_ENTREGA,CONCATENATE($E356,"_","P_")))</f>
        <v>244</v>
      </c>
      <c r="AQ356" s="446">
        <f t="shared" ref="AQ356:AQ375" si="327">(AP356*0.01)+(AP356*0.005)+(AP356*0.02)+(AP356*(13.8/1000))</f>
        <v>11.9072</v>
      </c>
      <c r="AR356" s="446">
        <f t="shared" ref="AR356:AR375" si="328">((AP356+AQ356)*0.00071)+((AP356+AQ356)*0.00011)</f>
        <v>0.209843904</v>
      </c>
      <c r="AS356" s="446">
        <f t="shared" ref="AS356:AS375" si="329">ROUND(AP356+AQ356+AR356,0)</f>
        <v>256</v>
      </c>
      <c r="AT356" s="260">
        <f t="shared" ref="AT356:AT375" si="330">AL356*AN356*AP356</f>
        <v>1041148</v>
      </c>
      <c r="AU356" s="260">
        <f t="shared" ref="AU356:AU375" si="331">AL356*AN356*AS356</f>
        <v>1092352</v>
      </c>
      <c r="AV356" s="425">
        <f t="shared" ref="AV356:AV375" si="332">SUMIF(MNU_CODIGO_ALIMENTO_ENTREGA,CONCATENATE($E356,"_","P_"),MNU_FRECUENCIAS_LAV_TIPOH)</f>
        <v>17</v>
      </c>
      <c r="AW356" s="425">
        <f t="array" ref="AW356">MAX((IF(MNU_CODIGO_ALIMENTO_ENTREGA=CONCATENATE($E356,"_","P_"),MNU_GRAMAJE_REQUERIDO_TIPOH,"")))</f>
        <v>60</v>
      </c>
      <c r="AX356" s="257">
        <f t="shared" ref="AX356:AX375" si="333">SUMIF(VOL_GRUPO,CONCATENATE($A356,"1052-1NO"),VOL_TIPOH)</f>
        <v>297</v>
      </c>
      <c r="AY356" s="257">
        <f t="shared" ref="AY356:AY375" si="334">AV356*AX356</f>
        <v>5049</v>
      </c>
      <c r="AZ356" s="446">
        <f t="shared" ref="AZ356:AZ375" si="335">IF(ISERROR(AVERAGEIFS(MNU_COSTO_UNITARIO_TIPOH_SELECCIONADO,MNU_CODIGO_ALIMENTO_ENTREGA,CONCATENATE($E356,"_","P_"))),0,AVERAGEIFS(MNU_COSTO_UNITARIO_TIPOH_SELECCIONADO,MNU_CODIGO_ALIMENTO_ENTREGA,CONCATENATE($E356,"_","P_")))</f>
        <v>366</v>
      </c>
      <c r="BA356" s="446">
        <f t="shared" ref="BA356:BA375" si="336">(AZ356*0.01)+(AZ356*0.005)+(AZ356*0.02)+(AZ356*(13.8/1000))</f>
        <v>17.860800000000001</v>
      </c>
      <c r="BB356" s="446">
        <f t="shared" ref="BB356:BB375" si="337">((AZ356+BA356)*0.00071)+((AZ356+BA356)*0.00011)</f>
        <v>0.31476585600000001</v>
      </c>
      <c r="BC356" s="446">
        <f t="shared" ref="BC356:BC375" si="338">ROUND(AZ356+BA356+BB356,0)</f>
        <v>384</v>
      </c>
      <c r="BD356" s="258">
        <f t="shared" ref="BD356:BD375" si="339">AV356*AX356*AZ356</f>
        <v>1847934</v>
      </c>
      <c r="BE356" s="258">
        <f t="shared" ref="BE356:BE375" si="340">AV356*AX356*BC356</f>
        <v>1938816</v>
      </c>
      <c r="BF356" s="391">
        <f t="shared" ref="BF356:BF375" si="341">BD356+AT356+AJ356+Z356+P356</f>
        <v>117595800</v>
      </c>
      <c r="BG356" s="391">
        <f t="shared" ref="BG356:BG375" si="342">BE356+AU356+AK356+AA356+Q356</f>
        <v>123379200</v>
      </c>
    </row>
    <row r="357" spans="1:59" ht="15.75">
      <c r="A357" s="333">
        <v>29</v>
      </c>
      <c r="B357" s="333" t="str">
        <f t="shared" si="294"/>
        <v>CEREAL EMPACADO_29</v>
      </c>
      <c r="C357" s="333" t="str">
        <f t="shared" si="295"/>
        <v>26_29</v>
      </c>
      <c r="D357" s="333" t="s">
        <v>1607</v>
      </c>
      <c r="E357" s="256">
        <v>26</v>
      </c>
      <c r="F357" s="322" t="s">
        <v>69</v>
      </c>
      <c r="G357" s="256" t="s">
        <v>9</v>
      </c>
      <c r="H357" s="425">
        <f t="shared" si="296"/>
        <v>6</v>
      </c>
      <c r="I357" s="425">
        <f t="array" ref="I357">MAX((IF(MNU_CODIGO_ALIMENTO_ENTREGA=CONCATENATE($E357,"_","P_"),MNU_GRAMAJE_REQUERIDO_TIPOA,"")))</f>
        <v>30</v>
      </c>
      <c r="J357" s="257">
        <f t="shared" si="297"/>
        <v>5992</v>
      </c>
      <c r="K357" s="257">
        <f t="shared" si="298"/>
        <v>35952</v>
      </c>
      <c r="L357" s="446">
        <f t="shared" si="299"/>
        <v>163</v>
      </c>
      <c r="M357" s="446">
        <f t="shared" si="300"/>
        <v>7.9543999999999997</v>
      </c>
      <c r="N357" s="446">
        <f t="shared" si="301"/>
        <v>0.14018260800000001</v>
      </c>
      <c r="O357" s="446">
        <f t="shared" si="302"/>
        <v>171</v>
      </c>
      <c r="P357" s="258">
        <f t="shared" si="303"/>
        <v>5860176</v>
      </c>
      <c r="Q357" s="258">
        <f t="shared" si="304"/>
        <v>6147792</v>
      </c>
      <c r="R357" s="426">
        <f t="shared" si="305"/>
        <v>6</v>
      </c>
      <c r="S357" s="426">
        <f t="array" ref="S357">MAX((IF(MNU_CODIGO_ALIMENTO_ENTREGA=CONCATENATE($E357,"_","P_"),MNU_GRAMAJE_REQUERIDO_TIPOB,"")))</f>
        <v>30</v>
      </c>
      <c r="T357" s="259">
        <f t="shared" si="306"/>
        <v>7665</v>
      </c>
      <c r="U357" s="259">
        <f t="shared" si="307"/>
        <v>45990</v>
      </c>
      <c r="V357" s="446">
        <f t="shared" si="308"/>
        <v>163</v>
      </c>
      <c r="W357" s="446">
        <f t="shared" si="309"/>
        <v>7.9543999999999997</v>
      </c>
      <c r="X357" s="446">
        <f t="shared" si="310"/>
        <v>0.14018260800000001</v>
      </c>
      <c r="Y357" s="446">
        <f t="shared" si="311"/>
        <v>171</v>
      </c>
      <c r="Z357" s="260">
        <f t="shared" si="312"/>
        <v>7496370</v>
      </c>
      <c r="AA357" s="260">
        <f t="shared" si="313"/>
        <v>7864290</v>
      </c>
      <c r="AB357" s="425">
        <f t="shared" si="314"/>
        <v>6</v>
      </c>
      <c r="AC357" s="425">
        <f t="array" ref="AC357">MAX((IF(MNU_CODIGO_ALIMENTO_ENTREGA=CONCATENATE($E357,"_","P_"),MNU_GRAMAJE_REQUERIDO_TIPOC,"")))</f>
        <v>30</v>
      </c>
      <c r="AD357" s="257">
        <f t="shared" si="315"/>
        <v>9331</v>
      </c>
      <c r="AE357" s="257">
        <f t="shared" si="316"/>
        <v>55986</v>
      </c>
      <c r="AF357" s="446">
        <f t="shared" si="317"/>
        <v>163</v>
      </c>
      <c r="AG357" s="446">
        <f t="shared" si="318"/>
        <v>7.9543999999999997</v>
      </c>
      <c r="AH357" s="446">
        <f t="shared" si="319"/>
        <v>0.14018260800000001</v>
      </c>
      <c r="AI357" s="446">
        <f t="shared" si="320"/>
        <v>171</v>
      </c>
      <c r="AJ357" s="258">
        <f t="shared" si="321"/>
        <v>9125718</v>
      </c>
      <c r="AK357" s="258">
        <f t="shared" si="322"/>
        <v>9573606</v>
      </c>
      <c r="AL357" s="426">
        <f t="shared" si="323"/>
        <v>6</v>
      </c>
      <c r="AM357" s="426">
        <f t="array" ref="AM357">MAX((IF(MNU_CODIGO_ALIMENTO_ENTREGA=CONCATENATE($E357,"_","P_"),MNU_GRAMAJE_REQUERIDO_TIPOM,"")))</f>
        <v>30</v>
      </c>
      <c r="AN357" s="259">
        <f t="shared" si="324"/>
        <v>251</v>
      </c>
      <c r="AO357" s="259">
        <f t="shared" si="325"/>
        <v>1506</v>
      </c>
      <c r="AP357" s="446">
        <f t="shared" si="326"/>
        <v>163</v>
      </c>
      <c r="AQ357" s="446">
        <f t="shared" si="327"/>
        <v>7.9543999999999997</v>
      </c>
      <c r="AR357" s="446">
        <f t="shared" si="328"/>
        <v>0.14018260800000001</v>
      </c>
      <c r="AS357" s="446">
        <f t="shared" si="329"/>
        <v>171</v>
      </c>
      <c r="AT357" s="260">
        <f t="shared" si="330"/>
        <v>245478</v>
      </c>
      <c r="AU357" s="260">
        <f t="shared" si="331"/>
        <v>257526</v>
      </c>
      <c r="AV357" s="425">
        <f t="shared" si="332"/>
        <v>6</v>
      </c>
      <c r="AW357" s="425">
        <f t="array" ref="AW357">MAX((IF(MNU_CODIGO_ALIMENTO_ENTREGA=CONCATENATE($E357,"_","P_"),MNU_GRAMAJE_REQUERIDO_TIPOH,"")))</f>
        <v>30</v>
      </c>
      <c r="AX357" s="257">
        <f t="shared" si="333"/>
        <v>297</v>
      </c>
      <c r="AY357" s="257">
        <f t="shared" si="334"/>
        <v>1782</v>
      </c>
      <c r="AZ357" s="446">
        <f t="shared" si="335"/>
        <v>163</v>
      </c>
      <c r="BA357" s="446">
        <f t="shared" si="336"/>
        <v>7.9543999999999997</v>
      </c>
      <c r="BB357" s="446">
        <f t="shared" si="337"/>
        <v>0.14018260800000001</v>
      </c>
      <c r="BC357" s="446">
        <f t="shared" si="338"/>
        <v>171</v>
      </c>
      <c r="BD357" s="258">
        <f t="shared" si="339"/>
        <v>290466</v>
      </c>
      <c r="BE357" s="258">
        <f t="shared" si="340"/>
        <v>304722</v>
      </c>
      <c r="BF357" s="391">
        <f t="shared" si="341"/>
        <v>23018208</v>
      </c>
      <c r="BG357" s="391">
        <f t="shared" si="342"/>
        <v>24147936</v>
      </c>
    </row>
    <row r="358" spans="1:59" ht="27">
      <c r="A358" s="333">
        <v>29</v>
      </c>
      <c r="B358" s="333" t="str">
        <f t="shared" si="294"/>
        <v>CEREAL EMPACADO_29</v>
      </c>
      <c r="C358" s="333" t="str">
        <f t="shared" si="295"/>
        <v>28_29</v>
      </c>
      <c r="D358" s="333" t="s">
        <v>1607</v>
      </c>
      <c r="E358" s="256">
        <v>28</v>
      </c>
      <c r="F358" s="322" t="s">
        <v>67</v>
      </c>
      <c r="G358" s="256" t="s">
        <v>9</v>
      </c>
      <c r="H358" s="425">
        <f t="shared" si="296"/>
        <v>6</v>
      </c>
      <c r="I358" s="425">
        <f t="array" ref="I358">MAX((IF(MNU_CODIGO_ALIMENTO_ENTREGA=CONCATENATE($E358,"_","P_"),MNU_GRAMAJE_REQUERIDO_TIPOA,"")))</f>
        <v>30</v>
      </c>
      <c r="J358" s="257">
        <f t="shared" si="297"/>
        <v>5992</v>
      </c>
      <c r="K358" s="257">
        <f t="shared" si="298"/>
        <v>35952</v>
      </c>
      <c r="L358" s="446">
        <f t="shared" si="299"/>
        <v>215</v>
      </c>
      <c r="M358" s="446">
        <f t="shared" si="300"/>
        <v>10.492000000000001</v>
      </c>
      <c r="N358" s="446">
        <f t="shared" si="301"/>
        <v>0.18490343999999997</v>
      </c>
      <c r="O358" s="446">
        <f t="shared" si="302"/>
        <v>226</v>
      </c>
      <c r="P358" s="258">
        <f t="shared" si="303"/>
        <v>7729680</v>
      </c>
      <c r="Q358" s="258">
        <f t="shared" si="304"/>
        <v>8125152</v>
      </c>
      <c r="R358" s="426">
        <f t="shared" si="305"/>
        <v>6</v>
      </c>
      <c r="S358" s="426">
        <f t="array" ref="S358">MAX((IF(MNU_CODIGO_ALIMENTO_ENTREGA=CONCATENATE($E358,"_","P_"),MNU_GRAMAJE_REQUERIDO_TIPOB,"")))</f>
        <v>40</v>
      </c>
      <c r="T358" s="259">
        <f t="shared" si="306"/>
        <v>7665</v>
      </c>
      <c r="U358" s="259">
        <f t="shared" si="307"/>
        <v>45990</v>
      </c>
      <c r="V358" s="446">
        <f t="shared" si="308"/>
        <v>287</v>
      </c>
      <c r="W358" s="446">
        <f t="shared" si="309"/>
        <v>14.005600000000001</v>
      </c>
      <c r="X358" s="446">
        <f t="shared" si="310"/>
        <v>0.24682459200000004</v>
      </c>
      <c r="Y358" s="446">
        <f t="shared" si="311"/>
        <v>301</v>
      </c>
      <c r="Z358" s="260">
        <f t="shared" si="312"/>
        <v>13199130</v>
      </c>
      <c r="AA358" s="260">
        <f t="shared" si="313"/>
        <v>13842990</v>
      </c>
      <c r="AB358" s="425">
        <f t="shared" si="314"/>
        <v>6</v>
      </c>
      <c r="AC358" s="425">
        <f t="array" ref="AC358">MAX((IF(MNU_CODIGO_ALIMENTO_ENTREGA=CONCATENATE($E358,"_","P_"),MNU_GRAMAJE_REQUERIDO_TIPOC,"")))</f>
        <v>60</v>
      </c>
      <c r="AD358" s="257">
        <f t="shared" si="315"/>
        <v>9331</v>
      </c>
      <c r="AE358" s="257">
        <f t="shared" si="316"/>
        <v>55986</v>
      </c>
      <c r="AF358" s="446">
        <f t="shared" si="317"/>
        <v>430</v>
      </c>
      <c r="AG358" s="446">
        <f t="shared" si="318"/>
        <v>20.984000000000002</v>
      </c>
      <c r="AH358" s="446">
        <f t="shared" si="319"/>
        <v>0.36980687999999995</v>
      </c>
      <c r="AI358" s="446">
        <f t="shared" si="320"/>
        <v>451</v>
      </c>
      <c r="AJ358" s="258">
        <f t="shared" si="321"/>
        <v>24073980</v>
      </c>
      <c r="AK358" s="258">
        <f t="shared" si="322"/>
        <v>25249686</v>
      </c>
      <c r="AL358" s="426">
        <f t="shared" si="323"/>
        <v>6</v>
      </c>
      <c r="AM358" s="426">
        <f t="array" ref="AM358">MAX((IF(MNU_CODIGO_ALIMENTO_ENTREGA=CONCATENATE($E358,"_","P_"),MNU_GRAMAJE_REQUERIDO_TIPOM,"")))</f>
        <v>40</v>
      </c>
      <c r="AN358" s="259">
        <f t="shared" si="324"/>
        <v>251</v>
      </c>
      <c r="AO358" s="259">
        <f t="shared" si="325"/>
        <v>1506</v>
      </c>
      <c r="AP358" s="446">
        <f t="shared" si="326"/>
        <v>287</v>
      </c>
      <c r="AQ358" s="446">
        <f t="shared" si="327"/>
        <v>14.005600000000001</v>
      </c>
      <c r="AR358" s="446">
        <f t="shared" si="328"/>
        <v>0.24682459200000004</v>
      </c>
      <c r="AS358" s="446">
        <f t="shared" si="329"/>
        <v>301</v>
      </c>
      <c r="AT358" s="260">
        <f t="shared" si="330"/>
        <v>432222</v>
      </c>
      <c r="AU358" s="260">
        <f t="shared" si="331"/>
        <v>453306</v>
      </c>
      <c r="AV358" s="425">
        <f t="shared" si="332"/>
        <v>6</v>
      </c>
      <c r="AW358" s="425">
        <f t="array" ref="AW358">MAX((IF(MNU_CODIGO_ALIMENTO_ENTREGA=CONCATENATE($E358,"_","P_"),MNU_GRAMAJE_REQUERIDO_TIPOH,"")))</f>
        <v>60</v>
      </c>
      <c r="AX358" s="257">
        <f t="shared" si="333"/>
        <v>297</v>
      </c>
      <c r="AY358" s="257">
        <f t="shared" si="334"/>
        <v>1782</v>
      </c>
      <c r="AZ358" s="446">
        <f t="shared" si="335"/>
        <v>430</v>
      </c>
      <c r="BA358" s="446">
        <f t="shared" si="336"/>
        <v>20.984000000000002</v>
      </c>
      <c r="BB358" s="446">
        <f t="shared" si="337"/>
        <v>0.36980687999999995</v>
      </c>
      <c r="BC358" s="446">
        <f t="shared" si="338"/>
        <v>451</v>
      </c>
      <c r="BD358" s="258">
        <f t="shared" si="339"/>
        <v>766260</v>
      </c>
      <c r="BE358" s="258">
        <f t="shared" si="340"/>
        <v>803682</v>
      </c>
      <c r="BF358" s="391">
        <f t="shared" si="341"/>
        <v>46201272</v>
      </c>
      <c r="BG358" s="391">
        <f t="shared" si="342"/>
        <v>48474816</v>
      </c>
    </row>
    <row r="359" spans="1:59" ht="15.75">
      <c r="A359" s="333">
        <v>29</v>
      </c>
      <c r="B359" s="333" t="str">
        <f t="shared" si="294"/>
        <v>CEREAL EMPACADO_29</v>
      </c>
      <c r="C359" s="333" t="str">
        <f t="shared" si="295"/>
        <v>30_29</v>
      </c>
      <c r="D359" s="333" t="s">
        <v>1607</v>
      </c>
      <c r="E359" s="256">
        <v>30</v>
      </c>
      <c r="F359" s="322" t="s">
        <v>63</v>
      </c>
      <c r="G359" s="256" t="s">
        <v>9</v>
      </c>
      <c r="H359" s="425">
        <f t="shared" si="296"/>
        <v>16</v>
      </c>
      <c r="I359" s="425">
        <f t="array" ref="I359">MAX((IF(MNU_CODIGO_ALIMENTO_ENTREGA=CONCATENATE($E359,"_","P_"),MNU_GRAMAJE_REQUERIDO_TIPOA,"")))</f>
        <v>30</v>
      </c>
      <c r="J359" s="257">
        <f t="shared" si="297"/>
        <v>5992</v>
      </c>
      <c r="K359" s="257">
        <f t="shared" si="298"/>
        <v>95872</v>
      </c>
      <c r="L359" s="446">
        <f t="shared" si="299"/>
        <v>316</v>
      </c>
      <c r="M359" s="446">
        <f t="shared" si="300"/>
        <v>15.4208</v>
      </c>
      <c r="N359" s="446">
        <f t="shared" si="301"/>
        <v>0.271765056</v>
      </c>
      <c r="O359" s="446">
        <f t="shared" si="302"/>
        <v>332</v>
      </c>
      <c r="P359" s="258">
        <f t="shared" si="303"/>
        <v>30295552</v>
      </c>
      <c r="Q359" s="258">
        <f t="shared" si="304"/>
        <v>31829504</v>
      </c>
      <c r="R359" s="426">
        <f t="shared" si="305"/>
        <v>16</v>
      </c>
      <c r="S359" s="426">
        <f t="array" ref="S359">MAX((IF(MNU_CODIGO_ALIMENTO_ENTREGA=CONCATENATE($E359,"_","P_"),MNU_GRAMAJE_REQUERIDO_TIPOB,"")))</f>
        <v>30</v>
      </c>
      <c r="T359" s="259">
        <f t="shared" si="306"/>
        <v>7665</v>
      </c>
      <c r="U359" s="259">
        <f t="shared" si="307"/>
        <v>122640</v>
      </c>
      <c r="V359" s="446">
        <f t="shared" si="308"/>
        <v>316</v>
      </c>
      <c r="W359" s="446">
        <f t="shared" si="309"/>
        <v>15.4208</v>
      </c>
      <c r="X359" s="446">
        <f t="shared" si="310"/>
        <v>0.271765056</v>
      </c>
      <c r="Y359" s="446">
        <f t="shared" si="311"/>
        <v>332</v>
      </c>
      <c r="Z359" s="260">
        <f t="shared" si="312"/>
        <v>38754240</v>
      </c>
      <c r="AA359" s="260">
        <f t="shared" si="313"/>
        <v>40716480</v>
      </c>
      <c r="AB359" s="425">
        <f t="shared" si="314"/>
        <v>16</v>
      </c>
      <c r="AC359" s="425">
        <f t="array" ref="AC359">MAX((IF(MNU_CODIGO_ALIMENTO_ENTREGA=CONCATENATE($E359,"_","P_"),MNU_GRAMAJE_REQUERIDO_TIPOC,"")))</f>
        <v>30</v>
      </c>
      <c r="AD359" s="257">
        <f t="shared" si="315"/>
        <v>9331</v>
      </c>
      <c r="AE359" s="257">
        <f t="shared" si="316"/>
        <v>149296</v>
      </c>
      <c r="AF359" s="446">
        <f t="shared" si="317"/>
        <v>316</v>
      </c>
      <c r="AG359" s="446">
        <f t="shared" si="318"/>
        <v>15.4208</v>
      </c>
      <c r="AH359" s="446">
        <f t="shared" si="319"/>
        <v>0.271765056</v>
      </c>
      <c r="AI359" s="446">
        <f t="shared" si="320"/>
        <v>332</v>
      </c>
      <c r="AJ359" s="258">
        <f t="shared" si="321"/>
        <v>47177536</v>
      </c>
      <c r="AK359" s="258">
        <f t="shared" si="322"/>
        <v>49566272</v>
      </c>
      <c r="AL359" s="426">
        <f t="shared" si="323"/>
        <v>16</v>
      </c>
      <c r="AM359" s="426">
        <f t="array" ref="AM359">MAX((IF(MNU_CODIGO_ALIMENTO_ENTREGA=CONCATENATE($E359,"_","P_"),MNU_GRAMAJE_REQUERIDO_TIPOM,"")))</f>
        <v>30</v>
      </c>
      <c r="AN359" s="259">
        <f t="shared" si="324"/>
        <v>251</v>
      </c>
      <c r="AO359" s="259">
        <f t="shared" si="325"/>
        <v>4016</v>
      </c>
      <c r="AP359" s="446">
        <f t="shared" si="326"/>
        <v>316</v>
      </c>
      <c r="AQ359" s="446">
        <f t="shared" si="327"/>
        <v>15.4208</v>
      </c>
      <c r="AR359" s="446">
        <f t="shared" si="328"/>
        <v>0.271765056</v>
      </c>
      <c r="AS359" s="446">
        <f t="shared" si="329"/>
        <v>332</v>
      </c>
      <c r="AT359" s="260">
        <f t="shared" si="330"/>
        <v>1269056</v>
      </c>
      <c r="AU359" s="260">
        <f t="shared" si="331"/>
        <v>1333312</v>
      </c>
      <c r="AV359" s="425">
        <f t="shared" si="332"/>
        <v>16</v>
      </c>
      <c r="AW359" s="425">
        <f t="array" ref="AW359">MAX((IF(MNU_CODIGO_ALIMENTO_ENTREGA=CONCATENATE($E359,"_","P_"),MNU_GRAMAJE_REQUERIDO_TIPOH,"")))</f>
        <v>30</v>
      </c>
      <c r="AX359" s="257">
        <f t="shared" si="333"/>
        <v>297</v>
      </c>
      <c r="AY359" s="257">
        <f t="shared" si="334"/>
        <v>4752</v>
      </c>
      <c r="AZ359" s="446">
        <f t="shared" si="335"/>
        <v>316</v>
      </c>
      <c r="BA359" s="446">
        <f t="shared" si="336"/>
        <v>15.4208</v>
      </c>
      <c r="BB359" s="446">
        <f t="shared" si="337"/>
        <v>0.271765056</v>
      </c>
      <c r="BC359" s="446">
        <f t="shared" si="338"/>
        <v>332</v>
      </c>
      <c r="BD359" s="258">
        <f t="shared" si="339"/>
        <v>1501632</v>
      </c>
      <c r="BE359" s="258">
        <f t="shared" si="340"/>
        <v>1577664</v>
      </c>
      <c r="BF359" s="391">
        <f t="shared" si="341"/>
        <v>118998016</v>
      </c>
      <c r="BG359" s="391">
        <f t="shared" si="342"/>
        <v>125023232</v>
      </c>
    </row>
    <row r="360" spans="1:59" ht="15.75">
      <c r="A360" s="333">
        <v>29</v>
      </c>
      <c r="B360" s="333" t="str">
        <f t="shared" si="294"/>
        <v>CEREAL EMPACADO_29</v>
      </c>
      <c r="C360" s="333" t="str">
        <f t="shared" si="295"/>
        <v>45_29</v>
      </c>
      <c r="D360" s="333" t="s">
        <v>1607</v>
      </c>
      <c r="E360" s="256">
        <v>45</v>
      </c>
      <c r="F360" s="322" t="s">
        <v>10</v>
      </c>
      <c r="G360" s="256" t="s">
        <v>9</v>
      </c>
      <c r="H360" s="425">
        <f t="shared" si="296"/>
        <v>16</v>
      </c>
      <c r="I360" s="425">
        <f t="array" ref="I360">MAX((IF(MNU_CODIGO_ALIMENTO_ENTREGA=CONCATENATE($E360,"_","P_"),MNU_GRAMAJE_REQUERIDO_TIPOA,"")))</f>
        <v>20</v>
      </c>
      <c r="J360" s="257">
        <f t="shared" si="297"/>
        <v>5992</v>
      </c>
      <c r="K360" s="257">
        <f t="shared" si="298"/>
        <v>95872</v>
      </c>
      <c r="L360" s="446">
        <f t="shared" si="299"/>
        <v>190</v>
      </c>
      <c r="M360" s="446">
        <f t="shared" si="300"/>
        <v>9.2720000000000002</v>
      </c>
      <c r="N360" s="446">
        <f t="shared" si="301"/>
        <v>0.16340304</v>
      </c>
      <c r="O360" s="446">
        <f t="shared" si="302"/>
        <v>199</v>
      </c>
      <c r="P360" s="258">
        <f t="shared" si="303"/>
        <v>18215680</v>
      </c>
      <c r="Q360" s="258">
        <f t="shared" si="304"/>
        <v>19078528</v>
      </c>
      <c r="R360" s="426">
        <f t="shared" si="305"/>
        <v>16</v>
      </c>
      <c r="S360" s="426">
        <f t="array" ref="S360">MAX((IF(MNU_CODIGO_ALIMENTO_ENTREGA=CONCATENATE($E360,"_","P_"),MNU_GRAMAJE_REQUERIDO_TIPOB,"")))</f>
        <v>30</v>
      </c>
      <c r="T360" s="259">
        <f t="shared" si="306"/>
        <v>7665</v>
      </c>
      <c r="U360" s="259">
        <f t="shared" si="307"/>
        <v>122640</v>
      </c>
      <c r="V360" s="446">
        <f t="shared" si="308"/>
        <v>284</v>
      </c>
      <c r="W360" s="446">
        <f t="shared" si="309"/>
        <v>13.8592</v>
      </c>
      <c r="X360" s="446">
        <f t="shared" si="310"/>
        <v>0.24424454399999998</v>
      </c>
      <c r="Y360" s="446">
        <f t="shared" si="311"/>
        <v>298</v>
      </c>
      <c r="Z360" s="260">
        <f t="shared" si="312"/>
        <v>34829760</v>
      </c>
      <c r="AA360" s="260">
        <f t="shared" si="313"/>
        <v>36546720</v>
      </c>
      <c r="AB360" s="425">
        <f t="shared" si="314"/>
        <v>16</v>
      </c>
      <c r="AC360" s="425">
        <f t="array" ref="AC360">MAX((IF(MNU_CODIGO_ALIMENTO_ENTREGA=CONCATENATE($E360,"_","P_"),MNU_GRAMAJE_REQUERIDO_TIPOC,"")))</f>
        <v>60</v>
      </c>
      <c r="AD360" s="257">
        <f t="shared" si="315"/>
        <v>9331</v>
      </c>
      <c r="AE360" s="257">
        <f t="shared" si="316"/>
        <v>149296</v>
      </c>
      <c r="AF360" s="446">
        <f t="shared" si="317"/>
        <v>569</v>
      </c>
      <c r="AG360" s="446">
        <f t="shared" si="318"/>
        <v>27.767199999999999</v>
      </c>
      <c r="AH360" s="446">
        <f t="shared" si="319"/>
        <v>0.48934910400000003</v>
      </c>
      <c r="AI360" s="446">
        <f t="shared" si="320"/>
        <v>597</v>
      </c>
      <c r="AJ360" s="258">
        <f t="shared" si="321"/>
        <v>84949424</v>
      </c>
      <c r="AK360" s="258">
        <f t="shared" si="322"/>
        <v>89129712</v>
      </c>
      <c r="AL360" s="426">
        <f t="shared" si="323"/>
        <v>16</v>
      </c>
      <c r="AM360" s="426">
        <f t="array" ref="AM360">MAX((IF(MNU_CODIGO_ALIMENTO_ENTREGA=CONCATENATE($E360,"_","P_"),MNU_GRAMAJE_REQUERIDO_TIPOM,"")))</f>
        <v>30</v>
      </c>
      <c r="AN360" s="259">
        <f t="shared" si="324"/>
        <v>251</v>
      </c>
      <c r="AO360" s="259">
        <f t="shared" si="325"/>
        <v>4016</v>
      </c>
      <c r="AP360" s="446">
        <f t="shared" si="326"/>
        <v>284</v>
      </c>
      <c r="AQ360" s="446">
        <f t="shared" si="327"/>
        <v>13.8592</v>
      </c>
      <c r="AR360" s="446">
        <f t="shared" si="328"/>
        <v>0.24424454399999998</v>
      </c>
      <c r="AS360" s="446">
        <f t="shared" si="329"/>
        <v>298</v>
      </c>
      <c r="AT360" s="260">
        <f t="shared" si="330"/>
        <v>1140544</v>
      </c>
      <c r="AU360" s="260">
        <f t="shared" si="331"/>
        <v>1196768</v>
      </c>
      <c r="AV360" s="425">
        <f t="shared" si="332"/>
        <v>16</v>
      </c>
      <c r="AW360" s="425">
        <f t="array" ref="AW360">MAX((IF(MNU_CODIGO_ALIMENTO_ENTREGA=CONCATENATE($E360,"_","P_"),MNU_GRAMAJE_REQUERIDO_TIPOH,"")))</f>
        <v>60</v>
      </c>
      <c r="AX360" s="257">
        <f t="shared" si="333"/>
        <v>297</v>
      </c>
      <c r="AY360" s="257">
        <f t="shared" si="334"/>
        <v>4752</v>
      </c>
      <c r="AZ360" s="446">
        <f t="shared" si="335"/>
        <v>569</v>
      </c>
      <c r="BA360" s="446">
        <f t="shared" si="336"/>
        <v>27.767199999999999</v>
      </c>
      <c r="BB360" s="446">
        <f t="shared" si="337"/>
        <v>0.48934910400000003</v>
      </c>
      <c r="BC360" s="446">
        <f t="shared" si="338"/>
        <v>597</v>
      </c>
      <c r="BD360" s="258">
        <f t="shared" si="339"/>
        <v>2703888</v>
      </c>
      <c r="BE360" s="258">
        <f t="shared" si="340"/>
        <v>2836944</v>
      </c>
      <c r="BF360" s="391">
        <f t="shared" si="341"/>
        <v>141839296</v>
      </c>
      <c r="BG360" s="391">
        <f t="shared" si="342"/>
        <v>148788672</v>
      </c>
    </row>
    <row r="361" spans="1:59" ht="15.75">
      <c r="A361" s="333">
        <v>29</v>
      </c>
      <c r="B361" s="333" t="str">
        <f t="shared" si="294"/>
        <v>CEREAL EMPACADO_29</v>
      </c>
      <c r="C361" s="333" t="str">
        <f t="shared" si="295"/>
        <v>50_29</v>
      </c>
      <c r="D361" s="333" t="s">
        <v>1607</v>
      </c>
      <c r="E361" s="256">
        <v>50</v>
      </c>
      <c r="F361" s="322" t="s">
        <v>65</v>
      </c>
      <c r="G361" s="256" t="s">
        <v>9</v>
      </c>
      <c r="H361" s="425">
        <f t="shared" si="296"/>
        <v>17</v>
      </c>
      <c r="I361" s="425">
        <f t="array" ref="I361">MAX((IF(MNU_CODIGO_ALIMENTO_ENTREGA=CONCATENATE($E361,"_","P_"),MNU_GRAMAJE_REQUERIDO_TIPOA,"")))</f>
        <v>30</v>
      </c>
      <c r="J361" s="257">
        <f t="shared" si="297"/>
        <v>5992</v>
      </c>
      <c r="K361" s="257">
        <f t="shared" si="298"/>
        <v>101864</v>
      </c>
      <c r="L361" s="446">
        <f t="shared" si="299"/>
        <v>306</v>
      </c>
      <c r="M361" s="446">
        <f t="shared" si="300"/>
        <v>14.9328</v>
      </c>
      <c r="N361" s="446">
        <f t="shared" si="301"/>
        <v>0.26316489599999998</v>
      </c>
      <c r="O361" s="446">
        <f t="shared" si="302"/>
        <v>321</v>
      </c>
      <c r="P361" s="258">
        <f t="shared" si="303"/>
        <v>31170384</v>
      </c>
      <c r="Q361" s="258">
        <f t="shared" si="304"/>
        <v>32698344</v>
      </c>
      <c r="R361" s="426">
        <f t="shared" si="305"/>
        <v>17</v>
      </c>
      <c r="S361" s="426">
        <f t="array" ref="S361">MAX((IF(MNU_CODIGO_ALIMENTO_ENTREGA=CONCATENATE($E361,"_","P_"),MNU_GRAMAJE_REQUERIDO_TIPOB,"")))</f>
        <v>40</v>
      </c>
      <c r="T361" s="259">
        <f t="shared" si="306"/>
        <v>7665</v>
      </c>
      <c r="U361" s="259">
        <f t="shared" si="307"/>
        <v>130305</v>
      </c>
      <c r="V361" s="446">
        <f t="shared" si="308"/>
        <v>408</v>
      </c>
      <c r="W361" s="446">
        <f t="shared" si="309"/>
        <v>19.910400000000003</v>
      </c>
      <c r="X361" s="446">
        <f t="shared" si="310"/>
        <v>0.35088652799999998</v>
      </c>
      <c r="Y361" s="446">
        <f t="shared" si="311"/>
        <v>428</v>
      </c>
      <c r="Z361" s="260">
        <f t="shared" si="312"/>
        <v>53164440</v>
      </c>
      <c r="AA361" s="260">
        <f t="shared" si="313"/>
        <v>55770540</v>
      </c>
      <c r="AB361" s="425">
        <f t="shared" si="314"/>
        <v>17</v>
      </c>
      <c r="AC361" s="425">
        <f t="array" ref="AC361">MAX((IF(MNU_CODIGO_ALIMENTO_ENTREGA=CONCATENATE($E361,"_","P_"),MNU_GRAMAJE_REQUERIDO_TIPOC,"")))</f>
        <v>80</v>
      </c>
      <c r="AD361" s="257">
        <f t="shared" si="315"/>
        <v>9331</v>
      </c>
      <c r="AE361" s="257">
        <f t="shared" si="316"/>
        <v>158627</v>
      </c>
      <c r="AF361" s="446">
        <f t="shared" si="317"/>
        <v>815</v>
      </c>
      <c r="AG361" s="446">
        <f t="shared" si="318"/>
        <v>39.772000000000006</v>
      </c>
      <c r="AH361" s="446">
        <f t="shared" si="319"/>
        <v>0.7009130400000001</v>
      </c>
      <c r="AI361" s="446">
        <f t="shared" si="320"/>
        <v>855</v>
      </c>
      <c r="AJ361" s="258">
        <f t="shared" si="321"/>
        <v>129281005</v>
      </c>
      <c r="AK361" s="258">
        <f t="shared" si="322"/>
        <v>135626085</v>
      </c>
      <c r="AL361" s="426">
        <f t="shared" si="323"/>
        <v>17</v>
      </c>
      <c r="AM361" s="426">
        <f t="array" ref="AM361">MAX((IF(MNU_CODIGO_ALIMENTO_ENTREGA=CONCATENATE($E361,"_","P_"),MNU_GRAMAJE_REQUERIDO_TIPOM,"")))</f>
        <v>40</v>
      </c>
      <c r="AN361" s="259">
        <f t="shared" si="324"/>
        <v>251</v>
      </c>
      <c r="AO361" s="259">
        <f t="shared" si="325"/>
        <v>4267</v>
      </c>
      <c r="AP361" s="446">
        <f t="shared" si="326"/>
        <v>408</v>
      </c>
      <c r="AQ361" s="446">
        <f t="shared" si="327"/>
        <v>19.910400000000003</v>
      </c>
      <c r="AR361" s="446">
        <f t="shared" si="328"/>
        <v>0.35088652799999998</v>
      </c>
      <c r="AS361" s="446">
        <f t="shared" si="329"/>
        <v>428</v>
      </c>
      <c r="AT361" s="260">
        <f t="shared" si="330"/>
        <v>1740936</v>
      </c>
      <c r="AU361" s="260">
        <f t="shared" si="331"/>
        <v>1826276</v>
      </c>
      <c r="AV361" s="425">
        <f t="shared" si="332"/>
        <v>17</v>
      </c>
      <c r="AW361" s="425">
        <f t="array" ref="AW361">MAX((IF(MNU_CODIGO_ALIMENTO_ENTREGA=CONCATENATE($E361,"_","P_"),MNU_GRAMAJE_REQUERIDO_TIPOH,"")))</f>
        <v>80</v>
      </c>
      <c r="AX361" s="257">
        <f t="shared" si="333"/>
        <v>297</v>
      </c>
      <c r="AY361" s="257">
        <f t="shared" si="334"/>
        <v>5049</v>
      </c>
      <c r="AZ361" s="446">
        <f t="shared" si="335"/>
        <v>815</v>
      </c>
      <c r="BA361" s="446">
        <f t="shared" si="336"/>
        <v>39.772000000000006</v>
      </c>
      <c r="BB361" s="446">
        <f t="shared" si="337"/>
        <v>0.7009130400000001</v>
      </c>
      <c r="BC361" s="446">
        <f t="shared" si="338"/>
        <v>855</v>
      </c>
      <c r="BD361" s="258">
        <f t="shared" si="339"/>
        <v>4114935</v>
      </c>
      <c r="BE361" s="258">
        <f t="shared" si="340"/>
        <v>4316895</v>
      </c>
      <c r="BF361" s="391">
        <f t="shared" si="341"/>
        <v>219471700</v>
      </c>
      <c r="BG361" s="391">
        <f t="shared" si="342"/>
        <v>230238140</v>
      </c>
    </row>
    <row r="362" spans="1:59" ht="15.75">
      <c r="A362" s="333">
        <v>29</v>
      </c>
      <c r="B362" s="333" t="str">
        <f t="shared" si="294"/>
        <v>CEREAL EMPACADO_29</v>
      </c>
      <c r="C362" s="333" t="str">
        <f t="shared" si="295"/>
        <v>61_29</v>
      </c>
      <c r="D362" s="333" t="s">
        <v>1607</v>
      </c>
      <c r="E362" s="256">
        <v>61</v>
      </c>
      <c r="F362" s="322" t="s">
        <v>13</v>
      </c>
      <c r="G362" s="256" t="s">
        <v>9</v>
      </c>
      <c r="H362" s="425">
        <f t="shared" si="296"/>
        <v>16</v>
      </c>
      <c r="I362" s="425">
        <f t="array" ref="I362">MAX((IF(MNU_CODIGO_ALIMENTO_ENTREGA=CONCATENATE($E362,"_","P_"),MNU_GRAMAJE_REQUERIDO_TIPOA,"")))</f>
        <v>20</v>
      </c>
      <c r="J362" s="257">
        <f t="shared" si="297"/>
        <v>5992</v>
      </c>
      <c r="K362" s="257">
        <f t="shared" si="298"/>
        <v>95872</v>
      </c>
      <c r="L362" s="446">
        <f t="shared" si="299"/>
        <v>222</v>
      </c>
      <c r="M362" s="446">
        <f t="shared" si="300"/>
        <v>10.833600000000001</v>
      </c>
      <c r="N362" s="446">
        <f t="shared" si="301"/>
        <v>0.190923552</v>
      </c>
      <c r="O362" s="446">
        <f t="shared" si="302"/>
        <v>233</v>
      </c>
      <c r="P362" s="258">
        <f t="shared" si="303"/>
        <v>21283584</v>
      </c>
      <c r="Q362" s="258">
        <f t="shared" si="304"/>
        <v>22338176</v>
      </c>
      <c r="R362" s="426">
        <f t="shared" si="305"/>
        <v>16</v>
      </c>
      <c r="S362" s="426">
        <f t="array" ref="S362">MAX((IF(MNU_CODIGO_ALIMENTO_ENTREGA=CONCATENATE($E362,"_","P_"),MNU_GRAMAJE_REQUERIDO_TIPOB,"")))</f>
        <v>30</v>
      </c>
      <c r="T362" s="259">
        <f t="shared" si="306"/>
        <v>7665</v>
      </c>
      <c r="U362" s="259">
        <f t="shared" si="307"/>
        <v>122640</v>
      </c>
      <c r="V362" s="446">
        <f t="shared" si="308"/>
        <v>334</v>
      </c>
      <c r="W362" s="446">
        <f t="shared" si="309"/>
        <v>16.299199999999999</v>
      </c>
      <c r="X362" s="446">
        <f t="shared" si="310"/>
        <v>0.28724534400000001</v>
      </c>
      <c r="Y362" s="446">
        <f t="shared" si="311"/>
        <v>351</v>
      </c>
      <c r="Z362" s="260">
        <f t="shared" si="312"/>
        <v>40961760</v>
      </c>
      <c r="AA362" s="260">
        <f t="shared" si="313"/>
        <v>43046640</v>
      </c>
      <c r="AB362" s="425">
        <f t="shared" si="314"/>
        <v>16</v>
      </c>
      <c r="AC362" s="425">
        <f t="array" ref="AC362">MAX((IF(MNU_CODIGO_ALIMENTO_ENTREGA=CONCATENATE($E362,"_","P_"),MNU_GRAMAJE_REQUERIDO_TIPOC,"")))</f>
        <v>70</v>
      </c>
      <c r="AD362" s="257">
        <f t="shared" si="315"/>
        <v>9331</v>
      </c>
      <c r="AE362" s="257">
        <f t="shared" si="316"/>
        <v>149296</v>
      </c>
      <c r="AF362" s="446">
        <f t="shared" si="317"/>
        <v>779</v>
      </c>
      <c r="AG362" s="446">
        <f t="shared" si="318"/>
        <v>38.0152</v>
      </c>
      <c r="AH362" s="446">
        <f t="shared" si="319"/>
        <v>0.66995246400000008</v>
      </c>
      <c r="AI362" s="446">
        <f t="shared" si="320"/>
        <v>818</v>
      </c>
      <c r="AJ362" s="258">
        <f t="shared" si="321"/>
        <v>116301584</v>
      </c>
      <c r="AK362" s="258">
        <f t="shared" si="322"/>
        <v>122124128</v>
      </c>
      <c r="AL362" s="426">
        <f t="shared" si="323"/>
        <v>16</v>
      </c>
      <c r="AM362" s="426">
        <f t="array" ref="AM362">MAX((IF(MNU_CODIGO_ALIMENTO_ENTREGA=CONCATENATE($E362,"_","P_"),MNU_GRAMAJE_REQUERIDO_TIPOM,"")))</f>
        <v>30</v>
      </c>
      <c r="AN362" s="259">
        <f t="shared" si="324"/>
        <v>251</v>
      </c>
      <c r="AO362" s="259">
        <f t="shared" si="325"/>
        <v>4016</v>
      </c>
      <c r="AP362" s="446">
        <f t="shared" si="326"/>
        <v>334</v>
      </c>
      <c r="AQ362" s="446">
        <f t="shared" si="327"/>
        <v>16.299199999999999</v>
      </c>
      <c r="AR362" s="446">
        <f t="shared" si="328"/>
        <v>0.28724534400000001</v>
      </c>
      <c r="AS362" s="446">
        <f t="shared" si="329"/>
        <v>351</v>
      </c>
      <c r="AT362" s="260">
        <f t="shared" si="330"/>
        <v>1341344</v>
      </c>
      <c r="AU362" s="260">
        <f t="shared" si="331"/>
        <v>1409616</v>
      </c>
      <c r="AV362" s="425">
        <f t="shared" si="332"/>
        <v>16</v>
      </c>
      <c r="AW362" s="425">
        <f t="array" ref="AW362">MAX((IF(MNU_CODIGO_ALIMENTO_ENTREGA=CONCATENATE($E362,"_","P_"),MNU_GRAMAJE_REQUERIDO_TIPOH,"")))</f>
        <v>70</v>
      </c>
      <c r="AX362" s="257">
        <f t="shared" si="333"/>
        <v>297</v>
      </c>
      <c r="AY362" s="257">
        <f t="shared" si="334"/>
        <v>4752</v>
      </c>
      <c r="AZ362" s="446">
        <f t="shared" si="335"/>
        <v>779</v>
      </c>
      <c r="BA362" s="446">
        <f t="shared" si="336"/>
        <v>38.0152</v>
      </c>
      <c r="BB362" s="446">
        <f t="shared" si="337"/>
        <v>0.66995246400000008</v>
      </c>
      <c r="BC362" s="446">
        <f t="shared" si="338"/>
        <v>818</v>
      </c>
      <c r="BD362" s="258">
        <f t="shared" si="339"/>
        <v>3701808</v>
      </c>
      <c r="BE362" s="258">
        <f t="shared" si="340"/>
        <v>3887136</v>
      </c>
      <c r="BF362" s="391">
        <f t="shared" si="341"/>
        <v>183590080</v>
      </c>
      <c r="BG362" s="391">
        <f t="shared" si="342"/>
        <v>192805696</v>
      </c>
    </row>
    <row r="363" spans="1:59" ht="15.75">
      <c r="A363" s="333">
        <v>29</v>
      </c>
      <c r="B363" s="333" t="str">
        <f t="shared" si="294"/>
        <v>CEREAL EMPACADO_29</v>
      </c>
      <c r="C363" s="333" t="str">
        <f t="shared" si="295"/>
        <v>62_29</v>
      </c>
      <c r="D363" s="333" t="s">
        <v>1607</v>
      </c>
      <c r="E363" s="256">
        <v>62</v>
      </c>
      <c r="F363" s="322" t="s">
        <v>68</v>
      </c>
      <c r="G363" s="256" t="s">
        <v>9</v>
      </c>
      <c r="H363" s="425">
        <f t="shared" si="296"/>
        <v>5</v>
      </c>
      <c r="I363" s="425">
        <f t="array" ref="I363">MAX((IF(MNU_CODIGO_ALIMENTO_ENTREGA=CONCATENATE($E363,"_","P_"),MNU_GRAMAJE_REQUERIDO_TIPOA,"")))</f>
        <v>50</v>
      </c>
      <c r="J363" s="257">
        <f t="shared" si="297"/>
        <v>5992</v>
      </c>
      <c r="K363" s="257">
        <f t="shared" si="298"/>
        <v>29960</v>
      </c>
      <c r="L363" s="446">
        <f t="shared" si="299"/>
        <v>595</v>
      </c>
      <c r="M363" s="446">
        <f t="shared" si="300"/>
        <v>29.036000000000001</v>
      </c>
      <c r="N363" s="446">
        <f t="shared" si="301"/>
        <v>0.51170952000000014</v>
      </c>
      <c r="O363" s="446">
        <f t="shared" si="302"/>
        <v>625</v>
      </c>
      <c r="P363" s="258">
        <f t="shared" si="303"/>
        <v>17826200</v>
      </c>
      <c r="Q363" s="258">
        <f t="shared" si="304"/>
        <v>18725000</v>
      </c>
      <c r="R363" s="426">
        <f t="shared" si="305"/>
        <v>5</v>
      </c>
      <c r="S363" s="426">
        <f t="array" ref="S363">MAX((IF(MNU_CODIGO_ALIMENTO_ENTREGA=CONCATENATE($E363,"_","P_"),MNU_GRAMAJE_REQUERIDO_TIPOB,"")))</f>
        <v>50</v>
      </c>
      <c r="T363" s="259">
        <f t="shared" si="306"/>
        <v>7665</v>
      </c>
      <c r="U363" s="259">
        <f t="shared" si="307"/>
        <v>38325</v>
      </c>
      <c r="V363" s="446">
        <f t="shared" si="308"/>
        <v>595</v>
      </c>
      <c r="W363" s="446">
        <f t="shared" si="309"/>
        <v>29.036000000000001</v>
      </c>
      <c r="X363" s="446">
        <f t="shared" si="310"/>
        <v>0.51170952000000014</v>
      </c>
      <c r="Y363" s="446">
        <f t="shared" si="311"/>
        <v>625</v>
      </c>
      <c r="Z363" s="260">
        <f t="shared" si="312"/>
        <v>22803375</v>
      </c>
      <c r="AA363" s="260">
        <f t="shared" si="313"/>
        <v>23953125</v>
      </c>
      <c r="AB363" s="425">
        <f t="shared" si="314"/>
        <v>5</v>
      </c>
      <c r="AC363" s="425">
        <f t="array" ref="AC363">MAX((IF(MNU_CODIGO_ALIMENTO_ENTREGA=CONCATENATE($E363,"_","P_"),MNU_GRAMAJE_REQUERIDO_TIPOC,"")))</f>
        <v>50</v>
      </c>
      <c r="AD363" s="257">
        <f t="shared" si="315"/>
        <v>9331</v>
      </c>
      <c r="AE363" s="257">
        <f t="shared" si="316"/>
        <v>46655</v>
      </c>
      <c r="AF363" s="446">
        <f t="shared" si="317"/>
        <v>595</v>
      </c>
      <c r="AG363" s="446">
        <f t="shared" si="318"/>
        <v>29.036000000000001</v>
      </c>
      <c r="AH363" s="446">
        <f t="shared" si="319"/>
        <v>0.51170952000000014</v>
      </c>
      <c r="AI363" s="446">
        <f t="shared" si="320"/>
        <v>625</v>
      </c>
      <c r="AJ363" s="258">
        <f t="shared" si="321"/>
        <v>27759725</v>
      </c>
      <c r="AK363" s="258">
        <f t="shared" si="322"/>
        <v>29159375</v>
      </c>
      <c r="AL363" s="426">
        <f t="shared" si="323"/>
        <v>5</v>
      </c>
      <c r="AM363" s="426">
        <f t="array" ref="AM363">MAX((IF(MNU_CODIGO_ALIMENTO_ENTREGA=CONCATENATE($E363,"_","P_"),MNU_GRAMAJE_REQUERIDO_TIPOM,"")))</f>
        <v>50</v>
      </c>
      <c r="AN363" s="259">
        <f t="shared" si="324"/>
        <v>251</v>
      </c>
      <c r="AO363" s="259">
        <f t="shared" si="325"/>
        <v>1255</v>
      </c>
      <c r="AP363" s="446">
        <f t="shared" si="326"/>
        <v>595</v>
      </c>
      <c r="AQ363" s="446">
        <f t="shared" si="327"/>
        <v>29.036000000000001</v>
      </c>
      <c r="AR363" s="446">
        <f t="shared" si="328"/>
        <v>0.51170952000000014</v>
      </c>
      <c r="AS363" s="446">
        <f t="shared" si="329"/>
        <v>625</v>
      </c>
      <c r="AT363" s="260">
        <f t="shared" si="330"/>
        <v>746725</v>
      </c>
      <c r="AU363" s="260">
        <f t="shared" si="331"/>
        <v>784375</v>
      </c>
      <c r="AV363" s="425">
        <f t="shared" si="332"/>
        <v>5</v>
      </c>
      <c r="AW363" s="425">
        <f t="array" ref="AW363">MAX((IF(MNU_CODIGO_ALIMENTO_ENTREGA=CONCATENATE($E363,"_","P_"),MNU_GRAMAJE_REQUERIDO_TIPOH,"")))</f>
        <v>50</v>
      </c>
      <c r="AX363" s="257">
        <f t="shared" si="333"/>
        <v>297</v>
      </c>
      <c r="AY363" s="257">
        <f t="shared" si="334"/>
        <v>1485</v>
      </c>
      <c r="AZ363" s="446">
        <f t="shared" si="335"/>
        <v>595</v>
      </c>
      <c r="BA363" s="446">
        <f t="shared" si="336"/>
        <v>29.036000000000001</v>
      </c>
      <c r="BB363" s="446">
        <f t="shared" si="337"/>
        <v>0.51170952000000014</v>
      </c>
      <c r="BC363" s="446">
        <f t="shared" si="338"/>
        <v>625</v>
      </c>
      <c r="BD363" s="258">
        <f t="shared" si="339"/>
        <v>883575</v>
      </c>
      <c r="BE363" s="258">
        <f t="shared" si="340"/>
        <v>928125</v>
      </c>
      <c r="BF363" s="391">
        <f t="shared" si="341"/>
        <v>70019600</v>
      </c>
      <c r="BG363" s="391">
        <f t="shared" si="342"/>
        <v>73550000</v>
      </c>
    </row>
    <row r="364" spans="1:59" ht="15.75">
      <c r="A364" s="333">
        <v>30</v>
      </c>
      <c r="B364" s="333" t="str">
        <f t="shared" si="294"/>
        <v>CEREAL EMPACADO_30</v>
      </c>
      <c r="C364" s="333" t="str">
        <f t="shared" si="295"/>
        <v>1_30</v>
      </c>
      <c r="D364" s="333" t="s">
        <v>1607</v>
      </c>
      <c r="E364" s="256">
        <v>1</v>
      </c>
      <c r="F364" s="322" t="s">
        <v>16</v>
      </c>
      <c r="G364" s="256" t="s">
        <v>9</v>
      </c>
      <c r="H364" s="425">
        <f t="shared" si="296"/>
        <v>15</v>
      </c>
      <c r="I364" s="425">
        <f t="array" ref="I364">MAX((IF(MNU_CODIGO_ALIMENTO_ENTREGA=CONCATENATE($E364,"_","P_"),MNU_GRAMAJE_REQUERIDO_TIPOA,"")))</f>
        <v>30</v>
      </c>
      <c r="J364" s="257">
        <f t="shared" si="297"/>
        <v>4874</v>
      </c>
      <c r="K364" s="257">
        <f t="shared" si="298"/>
        <v>73110</v>
      </c>
      <c r="L364" s="446">
        <f t="shared" si="299"/>
        <v>770</v>
      </c>
      <c r="M364" s="446">
        <f t="shared" si="300"/>
        <v>37.576000000000008</v>
      </c>
      <c r="N364" s="446">
        <f t="shared" si="301"/>
        <v>0.66221231999999997</v>
      </c>
      <c r="O364" s="446">
        <f t="shared" si="302"/>
        <v>808</v>
      </c>
      <c r="P364" s="258">
        <f t="shared" si="303"/>
        <v>56294700</v>
      </c>
      <c r="Q364" s="258">
        <f t="shared" si="304"/>
        <v>59072880</v>
      </c>
      <c r="R364" s="426">
        <f t="shared" si="305"/>
        <v>15</v>
      </c>
      <c r="S364" s="426">
        <f t="array" ref="S364">MAX((IF(MNU_CODIGO_ALIMENTO_ENTREGA=CONCATENATE($E364,"_","P_"),MNU_GRAMAJE_REQUERIDO_TIPOB,"")))</f>
        <v>40</v>
      </c>
      <c r="T364" s="259">
        <f t="shared" si="306"/>
        <v>5933</v>
      </c>
      <c r="U364" s="259">
        <f t="shared" si="307"/>
        <v>88995</v>
      </c>
      <c r="V364" s="446">
        <f t="shared" si="308"/>
        <v>1027</v>
      </c>
      <c r="W364" s="446">
        <f t="shared" si="309"/>
        <v>50.117600000000003</v>
      </c>
      <c r="X364" s="446">
        <f t="shared" si="310"/>
        <v>0.88323643200000013</v>
      </c>
      <c r="Y364" s="446">
        <f t="shared" si="311"/>
        <v>1078</v>
      </c>
      <c r="Z364" s="260">
        <f t="shared" si="312"/>
        <v>91397865</v>
      </c>
      <c r="AA364" s="260">
        <f t="shared" si="313"/>
        <v>95936610</v>
      </c>
      <c r="AB364" s="425">
        <f t="shared" si="314"/>
        <v>15</v>
      </c>
      <c r="AC364" s="425">
        <f t="array" ref="AC364">MAX((IF(MNU_CODIGO_ALIMENTO_ENTREGA=CONCATENATE($E364,"_","P_"),MNU_GRAMAJE_REQUERIDO_TIPOC,"")))</f>
        <v>60</v>
      </c>
      <c r="AD364" s="257">
        <f t="shared" si="315"/>
        <v>6310</v>
      </c>
      <c r="AE364" s="257">
        <f t="shared" si="316"/>
        <v>94650</v>
      </c>
      <c r="AF364" s="446">
        <f t="shared" si="317"/>
        <v>1540</v>
      </c>
      <c r="AG364" s="446">
        <f t="shared" si="318"/>
        <v>75.152000000000015</v>
      </c>
      <c r="AH364" s="446">
        <f t="shared" si="319"/>
        <v>1.3244246399999999</v>
      </c>
      <c r="AI364" s="446">
        <f t="shared" si="320"/>
        <v>1616</v>
      </c>
      <c r="AJ364" s="258">
        <f t="shared" si="321"/>
        <v>145761000</v>
      </c>
      <c r="AK364" s="258">
        <f t="shared" si="322"/>
        <v>152954400</v>
      </c>
      <c r="AL364" s="426">
        <f t="shared" si="323"/>
        <v>15</v>
      </c>
      <c r="AM364" s="426">
        <f t="array" ref="AM364">MAX((IF(MNU_CODIGO_ALIMENTO_ENTREGA=CONCATENATE($E364,"_","P_"),MNU_GRAMAJE_REQUERIDO_TIPOM,"")))</f>
        <v>40</v>
      </c>
      <c r="AN364" s="259">
        <f t="shared" si="324"/>
        <v>283</v>
      </c>
      <c r="AO364" s="259">
        <f t="shared" si="325"/>
        <v>4245</v>
      </c>
      <c r="AP364" s="446">
        <f t="shared" si="326"/>
        <v>1027</v>
      </c>
      <c r="AQ364" s="446">
        <f t="shared" si="327"/>
        <v>50.117600000000003</v>
      </c>
      <c r="AR364" s="446">
        <f t="shared" si="328"/>
        <v>0.88323643200000013</v>
      </c>
      <c r="AS364" s="446">
        <f t="shared" si="329"/>
        <v>1078</v>
      </c>
      <c r="AT364" s="260">
        <f t="shared" si="330"/>
        <v>4359615</v>
      </c>
      <c r="AU364" s="260">
        <f t="shared" si="331"/>
        <v>4576110</v>
      </c>
      <c r="AV364" s="425">
        <f t="shared" si="332"/>
        <v>15</v>
      </c>
      <c r="AW364" s="425">
        <f t="array" ref="AW364">MAX((IF(MNU_CODIGO_ALIMENTO_ENTREGA=CONCATENATE($E364,"_","P_"),MNU_GRAMAJE_REQUERIDO_TIPOH,"")))</f>
        <v>60</v>
      </c>
      <c r="AX364" s="257">
        <f t="shared" si="333"/>
        <v>277</v>
      </c>
      <c r="AY364" s="257">
        <f t="shared" si="334"/>
        <v>4155</v>
      </c>
      <c r="AZ364" s="446">
        <f t="shared" si="335"/>
        <v>1540</v>
      </c>
      <c r="BA364" s="446">
        <f t="shared" si="336"/>
        <v>75.152000000000015</v>
      </c>
      <c r="BB364" s="446">
        <f t="shared" si="337"/>
        <v>1.3244246399999999</v>
      </c>
      <c r="BC364" s="446">
        <f t="shared" si="338"/>
        <v>1616</v>
      </c>
      <c r="BD364" s="258">
        <f t="shared" si="339"/>
        <v>6398700</v>
      </c>
      <c r="BE364" s="258">
        <f t="shared" si="340"/>
        <v>6714480</v>
      </c>
      <c r="BF364" s="391">
        <f t="shared" si="341"/>
        <v>304211880</v>
      </c>
      <c r="BG364" s="391">
        <f t="shared" si="342"/>
        <v>319254480</v>
      </c>
    </row>
    <row r="365" spans="1:59" ht="15.75">
      <c r="A365" s="333">
        <v>30</v>
      </c>
      <c r="B365" s="333" t="str">
        <f t="shared" si="294"/>
        <v>CEREAL EMPACADO_30</v>
      </c>
      <c r="C365" s="333" t="str">
        <f t="shared" si="295"/>
        <v>3_30</v>
      </c>
      <c r="D365" s="333" t="s">
        <v>1607</v>
      </c>
      <c r="E365" s="256">
        <v>3</v>
      </c>
      <c r="F365" s="322" t="s">
        <v>12</v>
      </c>
      <c r="G365" s="256" t="s">
        <v>9</v>
      </c>
      <c r="H365" s="425">
        <f t="shared" si="296"/>
        <v>17</v>
      </c>
      <c r="I365" s="425">
        <f t="array" ref="I365">MAX((IF(MNU_CODIGO_ALIMENTO_ENTREGA=CONCATENATE($E365,"_","P_"),MNU_GRAMAJE_REQUERIDO_TIPOA,"")))</f>
        <v>50</v>
      </c>
      <c r="J365" s="257">
        <f t="shared" si="297"/>
        <v>4874</v>
      </c>
      <c r="K365" s="257">
        <f t="shared" si="298"/>
        <v>82858</v>
      </c>
      <c r="L365" s="446">
        <f t="shared" si="299"/>
        <v>481</v>
      </c>
      <c r="M365" s="446">
        <f t="shared" si="300"/>
        <v>23.472799999999999</v>
      </c>
      <c r="N365" s="446">
        <f t="shared" si="301"/>
        <v>0.41366769599999997</v>
      </c>
      <c r="O365" s="446">
        <f t="shared" si="302"/>
        <v>505</v>
      </c>
      <c r="P365" s="258">
        <f t="shared" si="303"/>
        <v>39854698</v>
      </c>
      <c r="Q365" s="258">
        <f t="shared" si="304"/>
        <v>41843290</v>
      </c>
      <c r="R365" s="426">
        <f t="shared" si="305"/>
        <v>17</v>
      </c>
      <c r="S365" s="426">
        <f t="array" ref="S365">MAX((IF(MNU_CODIGO_ALIMENTO_ENTREGA=CONCATENATE($E365,"_","P_"),MNU_GRAMAJE_REQUERIDO_TIPOB,"")))</f>
        <v>50</v>
      </c>
      <c r="T365" s="259">
        <f t="shared" si="306"/>
        <v>5933</v>
      </c>
      <c r="U365" s="259">
        <f t="shared" si="307"/>
        <v>100861</v>
      </c>
      <c r="V365" s="446">
        <f t="shared" si="308"/>
        <v>481</v>
      </c>
      <c r="W365" s="446">
        <f t="shared" si="309"/>
        <v>23.472799999999999</v>
      </c>
      <c r="X365" s="446">
        <f t="shared" si="310"/>
        <v>0.41366769599999997</v>
      </c>
      <c r="Y365" s="446">
        <f t="shared" si="311"/>
        <v>505</v>
      </c>
      <c r="Z365" s="260">
        <f t="shared" si="312"/>
        <v>48514141</v>
      </c>
      <c r="AA365" s="260">
        <f t="shared" si="313"/>
        <v>50934805</v>
      </c>
      <c r="AB365" s="425">
        <f t="shared" si="314"/>
        <v>17</v>
      </c>
      <c r="AC365" s="425">
        <f t="array" ref="AC365">MAX((IF(MNU_CODIGO_ALIMENTO_ENTREGA=CONCATENATE($E365,"_","P_"),MNU_GRAMAJE_REQUERIDO_TIPOC,"")))</f>
        <v>80</v>
      </c>
      <c r="AD365" s="257">
        <f t="shared" si="315"/>
        <v>6310</v>
      </c>
      <c r="AE365" s="257">
        <f t="shared" si="316"/>
        <v>107270</v>
      </c>
      <c r="AF365" s="446">
        <f t="shared" si="317"/>
        <v>727</v>
      </c>
      <c r="AG365" s="446">
        <f t="shared" si="318"/>
        <v>35.477600000000002</v>
      </c>
      <c r="AH365" s="446">
        <f t="shared" si="319"/>
        <v>0.62523163200000009</v>
      </c>
      <c r="AI365" s="446">
        <f t="shared" si="320"/>
        <v>763</v>
      </c>
      <c r="AJ365" s="258">
        <f t="shared" si="321"/>
        <v>77985290</v>
      </c>
      <c r="AK365" s="258">
        <f t="shared" si="322"/>
        <v>81847010</v>
      </c>
      <c r="AL365" s="426">
        <f t="shared" si="323"/>
        <v>17</v>
      </c>
      <c r="AM365" s="426">
        <f t="array" ref="AM365">MAX((IF(MNU_CODIGO_ALIMENTO_ENTREGA=CONCATENATE($E365,"_","P_"),MNU_GRAMAJE_REQUERIDO_TIPOM,"")))</f>
        <v>50</v>
      </c>
      <c r="AN365" s="259">
        <f t="shared" si="324"/>
        <v>283</v>
      </c>
      <c r="AO365" s="259">
        <f t="shared" si="325"/>
        <v>4811</v>
      </c>
      <c r="AP365" s="446">
        <f t="shared" si="326"/>
        <v>481</v>
      </c>
      <c r="AQ365" s="446">
        <f t="shared" si="327"/>
        <v>23.472799999999999</v>
      </c>
      <c r="AR365" s="446">
        <f t="shared" si="328"/>
        <v>0.41366769599999997</v>
      </c>
      <c r="AS365" s="446">
        <f t="shared" si="329"/>
        <v>505</v>
      </c>
      <c r="AT365" s="260">
        <f t="shared" si="330"/>
        <v>2314091</v>
      </c>
      <c r="AU365" s="260">
        <f t="shared" si="331"/>
        <v>2429555</v>
      </c>
      <c r="AV365" s="425">
        <f t="shared" si="332"/>
        <v>17</v>
      </c>
      <c r="AW365" s="425">
        <f t="array" ref="AW365">MAX((IF(MNU_CODIGO_ALIMENTO_ENTREGA=CONCATENATE($E365,"_","P_"),MNU_GRAMAJE_REQUERIDO_TIPOH,"")))</f>
        <v>80</v>
      </c>
      <c r="AX365" s="257">
        <f t="shared" si="333"/>
        <v>277</v>
      </c>
      <c r="AY365" s="257">
        <f t="shared" si="334"/>
        <v>4709</v>
      </c>
      <c r="AZ365" s="446">
        <f t="shared" si="335"/>
        <v>727</v>
      </c>
      <c r="BA365" s="446">
        <f t="shared" si="336"/>
        <v>35.477600000000002</v>
      </c>
      <c r="BB365" s="446">
        <f t="shared" si="337"/>
        <v>0.62523163200000009</v>
      </c>
      <c r="BC365" s="446">
        <f t="shared" si="338"/>
        <v>763</v>
      </c>
      <c r="BD365" s="258">
        <f t="shared" si="339"/>
        <v>3423443</v>
      </c>
      <c r="BE365" s="258">
        <f t="shared" si="340"/>
        <v>3592967</v>
      </c>
      <c r="BF365" s="391">
        <f t="shared" si="341"/>
        <v>172091663</v>
      </c>
      <c r="BG365" s="391">
        <f t="shared" si="342"/>
        <v>180647627</v>
      </c>
    </row>
    <row r="366" spans="1:59" ht="15.75">
      <c r="A366" s="333">
        <v>30</v>
      </c>
      <c r="B366" s="333" t="str">
        <f t="shared" si="294"/>
        <v>CEREAL EMPACADO_30</v>
      </c>
      <c r="C366" s="333" t="str">
        <f t="shared" si="295"/>
        <v>15_30</v>
      </c>
      <c r="D366" s="333" t="s">
        <v>1607</v>
      </c>
      <c r="E366" s="256">
        <v>15</v>
      </c>
      <c r="F366" s="322" t="s">
        <v>66</v>
      </c>
      <c r="G366" s="256" t="s">
        <v>9</v>
      </c>
      <c r="H366" s="425">
        <f t="shared" si="296"/>
        <v>17</v>
      </c>
      <c r="I366" s="425">
        <f t="array" ref="I366">MAX((IF(MNU_CODIGO_ALIMENTO_ENTREGA=CONCATENATE($E366,"_","P_"),MNU_GRAMAJE_REQUERIDO_TIPOA,"")))</f>
        <v>50</v>
      </c>
      <c r="J366" s="257">
        <f t="shared" si="297"/>
        <v>4874</v>
      </c>
      <c r="K366" s="257">
        <f t="shared" si="298"/>
        <v>82858</v>
      </c>
      <c r="L366" s="446">
        <f t="shared" si="299"/>
        <v>641</v>
      </c>
      <c r="M366" s="446">
        <f t="shared" si="300"/>
        <v>31.280800000000003</v>
      </c>
      <c r="N366" s="446">
        <f t="shared" si="301"/>
        <v>0.55127025600000001</v>
      </c>
      <c r="O366" s="446">
        <f t="shared" si="302"/>
        <v>673</v>
      </c>
      <c r="P366" s="258">
        <f t="shared" si="303"/>
        <v>53111978</v>
      </c>
      <c r="Q366" s="258">
        <f t="shared" si="304"/>
        <v>55763434</v>
      </c>
      <c r="R366" s="426">
        <f t="shared" si="305"/>
        <v>17</v>
      </c>
      <c r="S366" s="426">
        <f t="array" ref="S366">MAX((IF(MNU_CODIGO_ALIMENTO_ENTREGA=CONCATENATE($E366,"_","P_"),MNU_GRAMAJE_REQUERIDO_TIPOB,"")))</f>
        <v>50</v>
      </c>
      <c r="T366" s="259">
        <f t="shared" si="306"/>
        <v>5933</v>
      </c>
      <c r="U366" s="259">
        <f t="shared" si="307"/>
        <v>100861</v>
      </c>
      <c r="V366" s="446">
        <f t="shared" si="308"/>
        <v>641</v>
      </c>
      <c r="W366" s="446">
        <f t="shared" si="309"/>
        <v>31.280800000000003</v>
      </c>
      <c r="X366" s="446">
        <f t="shared" si="310"/>
        <v>0.55127025600000001</v>
      </c>
      <c r="Y366" s="446">
        <f t="shared" si="311"/>
        <v>673</v>
      </c>
      <c r="Z366" s="260">
        <f t="shared" si="312"/>
        <v>64651901</v>
      </c>
      <c r="AA366" s="260">
        <f t="shared" si="313"/>
        <v>67879453</v>
      </c>
      <c r="AB366" s="425">
        <f t="shared" si="314"/>
        <v>17</v>
      </c>
      <c r="AC366" s="425">
        <f t="array" ref="AC366">MAX((IF(MNU_CODIGO_ALIMENTO_ENTREGA=CONCATENATE($E366,"_","P_"),MNU_GRAMAJE_REQUERIDO_TIPOC,"")))</f>
        <v>80</v>
      </c>
      <c r="AD366" s="257">
        <f t="shared" si="315"/>
        <v>6310</v>
      </c>
      <c r="AE366" s="257">
        <f t="shared" si="316"/>
        <v>107270</v>
      </c>
      <c r="AF366" s="446">
        <f t="shared" si="317"/>
        <v>1025</v>
      </c>
      <c r="AG366" s="446">
        <f t="shared" si="318"/>
        <v>50.02</v>
      </c>
      <c r="AH366" s="446">
        <f t="shared" si="319"/>
        <v>0.88151640000000009</v>
      </c>
      <c r="AI366" s="446">
        <f t="shared" si="320"/>
        <v>1076</v>
      </c>
      <c r="AJ366" s="258">
        <f t="shared" si="321"/>
        <v>109951750</v>
      </c>
      <c r="AK366" s="258">
        <f t="shared" si="322"/>
        <v>115422520</v>
      </c>
      <c r="AL366" s="426">
        <f t="shared" si="323"/>
        <v>17</v>
      </c>
      <c r="AM366" s="426">
        <f t="array" ref="AM366">MAX((IF(MNU_CODIGO_ALIMENTO_ENTREGA=CONCATENATE($E366,"_","P_"),MNU_GRAMAJE_REQUERIDO_TIPOM,"")))</f>
        <v>50</v>
      </c>
      <c r="AN366" s="259">
        <f t="shared" si="324"/>
        <v>283</v>
      </c>
      <c r="AO366" s="259">
        <f t="shared" si="325"/>
        <v>4811</v>
      </c>
      <c r="AP366" s="446">
        <f t="shared" si="326"/>
        <v>641</v>
      </c>
      <c r="AQ366" s="446">
        <f t="shared" si="327"/>
        <v>31.280800000000003</v>
      </c>
      <c r="AR366" s="446">
        <f t="shared" si="328"/>
        <v>0.55127025600000001</v>
      </c>
      <c r="AS366" s="446">
        <f t="shared" si="329"/>
        <v>673</v>
      </c>
      <c r="AT366" s="260">
        <f t="shared" si="330"/>
        <v>3083851</v>
      </c>
      <c r="AU366" s="260">
        <f t="shared" si="331"/>
        <v>3237803</v>
      </c>
      <c r="AV366" s="425">
        <f t="shared" si="332"/>
        <v>17</v>
      </c>
      <c r="AW366" s="425">
        <f t="array" ref="AW366">MAX((IF(MNU_CODIGO_ALIMENTO_ENTREGA=CONCATENATE($E366,"_","P_"),MNU_GRAMAJE_REQUERIDO_TIPOH,"")))</f>
        <v>80</v>
      </c>
      <c r="AX366" s="257">
        <f t="shared" si="333"/>
        <v>277</v>
      </c>
      <c r="AY366" s="257">
        <f t="shared" si="334"/>
        <v>4709</v>
      </c>
      <c r="AZ366" s="446">
        <f t="shared" si="335"/>
        <v>1025</v>
      </c>
      <c r="BA366" s="446">
        <f t="shared" si="336"/>
        <v>50.02</v>
      </c>
      <c r="BB366" s="446">
        <f t="shared" si="337"/>
        <v>0.88151640000000009</v>
      </c>
      <c r="BC366" s="446">
        <f t="shared" si="338"/>
        <v>1076</v>
      </c>
      <c r="BD366" s="258">
        <f t="shared" si="339"/>
        <v>4826725</v>
      </c>
      <c r="BE366" s="258">
        <f t="shared" si="340"/>
        <v>5066884</v>
      </c>
      <c r="BF366" s="391">
        <f t="shared" si="341"/>
        <v>235626205</v>
      </c>
      <c r="BG366" s="391">
        <f t="shared" si="342"/>
        <v>247370094</v>
      </c>
    </row>
    <row r="367" spans="1:59" ht="15.75">
      <c r="A367" s="333">
        <v>30</v>
      </c>
      <c r="B367" s="333" t="str">
        <f t="shared" si="294"/>
        <v>CEREAL EMPACADO_30</v>
      </c>
      <c r="C367" s="333" t="str">
        <f t="shared" si="295"/>
        <v>24_30</v>
      </c>
      <c r="D367" s="333" t="s">
        <v>1607</v>
      </c>
      <c r="E367" s="256">
        <v>24</v>
      </c>
      <c r="F367" s="322" t="s">
        <v>61</v>
      </c>
      <c r="G367" s="256" t="s">
        <v>9</v>
      </c>
      <c r="H367" s="425">
        <f t="shared" si="296"/>
        <v>17</v>
      </c>
      <c r="I367" s="425">
        <f t="array" ref="I367">MAX((IF(MNU_CODIGO_ALIMENTO_ENTREGA=CONCATENATE($E367,"_","P_"),MNU_GRAMAJE_REQUERIDO_TIPOA,"")))</f>
        <v>20</v>
      </c>
      <c r="J367" s="257">
        <f t="shared" si="297"/>
        <v>4874</v>
      </c>
      <c r="K367" s="257">
        <f t="shared" si="298"/>
        <v>82858</v>
      </c>
      <c r="L367" s="446">
        <f t="shared" si="299"/>
        <v>122</v>
      </c>
      <c r="M367" s="446">
        <f t="shared" si="300"/>
        <v>5.9535999999999998</v>
      </c>
      <c r="N367" s="446">
        <f t="shared" si="301"/>
        <v>0.104921952</v>
      </c>
      <c r="O367" s="446">
        <f t="shared" si="302"/>
        <v>128</v>
      </c>
      <c r="P367" s="258">
        <f t="shared" si="303"/>
        <v>10108676</v>
      </c>
      <c r="Q367" s="258">
        <f t="shared" si="304"/>
        <v>10605824</v>
      </c>
      <c r="R367" s="426">
        <f t="shared" si="305"/>
        <v>17</v>
      </c>
      <c r="S367" s="426">
        <f t="array" ref="S367">MAX((IF(MNU_CODIGO_ALIMENTO_ENTREGA=CONCATENATE($E367,"_","P_"),MNU_GRAMAJE_REQUERIDO_TIPOB,"")))</f>
        <v>30</v>
      </c>
      <c r="T367" s="259">
        <f t="shared" si="306"/>
        <v>5933</v>
      </c>
      <c r="U367" s="259">
        <f t="shared" si="307"/>
        <v>100861</v>
      </c>
      <c r="V367" s="446">
        <f t="shared" si="308"/>
        <v>191</v>
      </c>
      <c r="W367" s="446">
        <f t="shared" si="309"/>
        <v>9.3208000000000002</v>
      </c>
      <c r="X367" s="446">
        <f t="shared" si="310"/>
        <v>0.16426305600000002</v>
      </c>
      <c r="Y367" s="446">
        <f t="shared" si="311"/>
        <v>200</v>
      </c>
      <c r="Z367" s="260">
        <f t="shared" si="312"/>
        <v>19264451</v>
      </c>
      <c r="AA367" s="260">
        <f t="shared" si="313"/>
        <v>20172200</v>
      </c>
      <c r="AB367" s="425">
        <f t="shared" si="314"/>
        <v>17</v>
      </c>
      <c r="AC367" s="425">
        <f t="array" ref="AC367">MAX((IF(MNU_CODIGO_ALIMENTO_ENTREGA=CONCATENATE($E367,"_","P_"),MNU_GRAMAJE_REQUERIDO_TIPOC,"")))</f>
        <v>60</v>
      </c>
      <c r="AD367" s="257">
        <f t="shared" si="315"/>
        <v>6310</v>
      </c>
      <c r="AE367" s="257">
        <f t="shared" si="316"/>
        <v>107270</v>
      </c>
      <c r="AF367" s="446">
        <f t="shared" si="317"/>
        <v>367</v>
      </c>
      <c r="AG367" s="446">
        <f t="shared" si="318"/>
        <v>17.909599999999998</v>
      </c>
      <c r="AH367" s="446">
        <f t="shared" si="319"/>
        <v>0.31562587200000003</v>
      </c>
      <c r="AI367" s="446">
        <f t="shared" si="320"/>
        <v>385</v>
      </c>
      <c r="AJ367" s="258">
        <f t="shared" si="321"/>
        <v>39368090</v>
      </c>
      <c r="AK367" s="258">
        <f t="shared" si="322"/>
        <v>41298950</v>
      </c>
      <c r="AL367" s="426">
        <f t="shared" si="323"/>
        <v>17</v>
      </c>
      <c r="AM367" s="426">
        <f t="array" ref="AM367">MAX((IF(MNU_CODIGO_ALIMENTO_ENTREGA=CONCATENATE($E367,"_","P_"),MNU_GRAMAJE_REQUERIDO_TIPOM,"")))</f>
        <v>30</v>
      </c>
      <c r="AN367" s="259">
        <f t="shared" si="324"/>
        <v>283</v>
      </c>
      <c r="AO367" s="259">
        <f t="shared" si="325"/>
        <v>4811</v>
      </c>
      <c r="AP367" s="446">
        <f t="shared" si="326"/>
        <v>191</v>
      </c>
      <c r="AQ367" s="446">
        <f t="shared" si="327"/>
        <v>9.3208000000000002</v>
      </c>
      <c r="AR367" s="446">
        <f t="shared" si="328"/>
        <v>0.16426305600000002</v>
      </c>
      <c r="AS367" s="446">
        <f t="shared" si="329"/>
        <v>200</v>
      </c>
      <c r="AT367" s="260">
        <f t="shared" si="330"/>
        <v>918901</v>
      </c>
      <c r="AU367" s="260">
        <f t="shared" si="331"/>
        <v>962200</v>
      </c>
      <c r="AV367" s="425">
        <f t="shared" si="332"/>
        <v>17</v>
      </c>
      <c r="AW367" s="425">
        <f t="array" ref="AW367">MAX((IF(MNU_CODIGO_ALIMENTO_ENTREGA=CONCATENATE($E367,"_","P_"),MNU_GRAMAJE_REQUERIDO_TIPOH,"")))</f>
        <v>60</v>
      </c>
      <c r="AX367" s="257">
        <f t="shared" si="333"/>
        <v>277</v>
      </c>
      <c r="AY367" s="257">
        <f t="shared" si="334"/>
        <v>4709</v>
      </c>
      <c r="AZ367" s="446">
        <f t="shared" si="335"/>
        <v>367</v>
      </c>
      <c r="BA367" s="446">
        <f t="shared" si="336"/>
        <v>17.909599999999998</v>
      </c>
      <c r="BB367" s="446">
        <f t="shared" si="337"/>
        <v>0.31562587200000003</v>
      </c>
      <c r="BC367" s="446">
        <f t="shared" si="338"/>
        <v>385</v>
      </c>
      <c r="BD367" s="258">
        <f t="shared" si="339"/>
        <v>1728203</v>
      </c>
      <c r="BE367" s="258">
        <f t="shared" si="340"/>
        <v>1812965</v>
      </c>
      <c r="BF367" s="391">
        <f t="shared" si="341"/>
        <v>71388321</v>
      </c>
      <c r="BG367" s="391">
        <f t="shared" si="342"/>
        <v>74852139</v>
      </c>
    </row>
    <row r="368" spans="1:59" ht="15.75">
      <c r="A368" s="333">
        <v>30</v>
      </c>
      <c r="B368" s="333" t="str">
        <f t="shared" si="294"/>
        <v>CEREAL EMPACADO_30</v>
      </c>
      <c r="C368" s="333" t="str">
        <f t="shared" si="295"/>
        <v>25_30</v>
      </c>
      <c r="D368" s="333" t="s">
        <v>1607</v>
      </c>
      <c r="E368" s="256">
        <v>25</v>
      </c>
      <c r="F368" s="322" t="s">
        <v>64</v>
      </c>
      <c r="G368" s="256" t="s">
        <v>9</v>
      </c>
      <c r="H368" s="425">
        <f t="shared" si="296"/>
        <v>17</v>
      </c>
      <c r="I368" s="425">
        <f t="array" ref="I368">MAX((IF(MNU_CODIGO_ALIMENTO_ENTREGA=CONCATENATE($E368,"_","P_"),MNU_GRAMAJE_REQUERIDO_TIPOA,"")))</f>
        <v>40</v>
      </c>
      <c r="J368" s="257">
        <f t="shared" si="297"/>
        <v>4874</v>
      </c>
      <c r="K368" s="257">
        <f t="shared" si="298"/>
        <v>82858</v>
      </c>
      <c r="L368" s="446">
        <f t="shared" si="299"/>
        <v>244</v>
      </c>
      <c r="M368" s="446">
        <f t="shared" si="300"/>
        <v>11.9072</v>
      </c>
      <c r="N368" s="446">
        <f t="shared" si="301"/>
        <v>0.209843904</v>
      </c>
      <c r="O368" s="446">
        <f t="shared" si="302"/>
        <v>256</v>
      </c>
      <c r="P368" s="258">
        <f t="shared" si="303"/>
        <v>20217352</v>
      </c>
      <c r="Q368" s="258">
        <f t="shared" si="304"/>
        <v>21211648</v>
      </c>
      <c r="R368" s="426">
        <f t="shared" si="305"/>
        <v>17</v>
      </c>
      <c r="S368" s="426">
        <f t="array" ref="S368">MAX((IF(MNU_CODIGO_ALIMENTO_ENTREGA=CONCATENATE($E368,"_","P_"),MNU_GRAMAJE_REQUERIDO_TIPOB,"")))</f>
        <v>40</v>
      </c>
      <c r="T368" s="259">
        <f t="shared" si="306"/>
        <v>5933</v>
      </c>
      <c r="U368" s="259">
        <f t="shared" si="307"/>
        <v>100861</v>
      </c>
      <c r="V368" s="446">
        <f t="shared" si="308"/>
        <v>244</v>
      </c>
      <c r="W368" s="446">
        <f t="shared" si="309"/>
        <v>11.9072</v>
      </c>
      <c r="X368" s="446">
        <f t="shared" si="310"/>
        <v>0.209843904</v>
      </c>
      <c r="Y368" s="446">
        <f t="shared" si="311"/>
        <v>256</v>
      </c>
      <c r="Z368" s="260">
        <f t="shared" si="312"/>
        <v>24610084</v>
      </c>
      <c r="AA368" s="260">
        <f t="shared" si="313"/>
        <v>25820416</v>
      </c>
      <c r="AB368" s="425">
        <f t="shared" si="314"/>
        <v>17</v>
      </c>
      <c r="AC368" s="425">
        <f t="array" ref="AC368">MAX((IF(MNU_CODIGO_ALIMENTO_ENTREGA=CONCATENATE($E368,"_","P_"),MNU_GRAMAJE_REQUERIDO_TIPOC,"")))</f>
        <v>60</v>
      </c>
      <c r="AD368" s="257">
        <f t="shared" si="315"/>
        <v>6310</v>
      </c>
      <c r="AE368" s="257">
        <f t="shared" si="316"/>
        <v>107270</v>
      </c>
      <c r="AF368" s="446">
        <f t="shared" si="317"/>
        <v>366</v>
      </c>
      <c r="AG368" s="446">
        <f t="shared" si="318"/>
        <v>17.860800000000001</v>
      </c>
      <c r="AH368" s="446">
        <f t="shared" si="319"/>
        <v>0.31476585600000001</v>
      </c>
      <c r="AI368" s="446">
        <f t="shared" si="320"/>
        <v>384</v>
      </c>
      <c r="AJ368" s="258">
        <f t="shared" si="321"/>
        <v>39260820</v>
      </c>
      <c r="AK368" s="258">
        <f t="shared" si="322"/>
        <v>41191680</v>
      </c>
      <c r="AL368" s="426">
        <f t="shared" si="323"/>
        <v>17</v>
      </c>
      <c r="AM368" s="426">
        <f t="array" ref="AM368">MAX((IF(MNU_CODIGO_ALIMENTO_ENTREGA=CONCATENATE($E368,"_","P_"),MNU_GRAMAJE_REQUERIDO_TIPOM,"")))</f>
        <v>40</v>
      </c>
      <c r="AN368" s="259">
        <f t="shared" si="324"/>
        <v>283</v>
      </c>
      <c r="AO368" s="259">
        <f t="shared" si="325"/>
        <v>4811</v>
      </c>
      <c r="AP368" s="446">
        <f t="shared" si="326"/>
        <v>244</v>
      </c>
      <c r="AQ368" s="446">
        <f t="shared" si="327"/>
        <v>11.9072</v>
      </c>
      <c r="AR368" s="446">
        <f t="shared" si="328"/>
        <v>0.209843904</v>
      </c>
      <c r="AS368" s="446">
        <f t="shared" si="329"/>
        <v>256</v>
      </c>
      <c r="AT368" s="260">
        <f t="shared" si="330"/>
        <v>1173884</v>
      </c>
      <c r="AU368" s="260">
        <f t="shared" si="331"/>
        <v>1231616</v>
      </c>
      <c r="AV368" s="425">
        <f t="shared" si="332"/>
        <v>17</v>
      </c>
      <c r="AW368" s="425">
        <f t="array" ref="AW368">MAX((IF(MNU_CODIGO_ALIMENTO_ENTREGA=CONCATENATE($E368,"_","P_"),MNU_GRAMAJE_REQUERIDO_TIPOH,"")))</f>
        <v>60</v>
      </c>
      <c r="AX368" s="257">
        <f t="shared" si="333"/>
        <v>277</v>
      </c>
      <c r="AY368" s="257">
        <f t="shared" si="334"/>
        <v>4709</v>
      </c>
      <c r="AZ368" s="446">
        <f t="shared" si="335"/>
        <v>366</v>
      </c>
      <c r="BA368" s="446">
        <f t="shared" si="336"/>
        <v>17.860800000000001</v>
      </c>
      <c r="BB368" s="446">
        <f t="shared" si="337"/>
        <v>0.31476585600000001</v>
      </c>
      <c r="BC368" s="446">
        <f t="shared" si="338"/>
        <v>384</v>
      </c>
      <c r="BD368" s="258">
        <f t="shared" si="339"/>
        <v>1723494</v>
      </c>
      <c r="BE368" s="258">
        <f t="shared" si="340"/>
        <v>1808256</v>
      </c>
      <c r="BF368" s="391">
        <f t="shared" si="341"/>
        <v>86985634</v>
      </c>
      <c r="BG368" s="391">
        <f t="shared" si="342"/>
        <v>91263616</v>
      </c>
    </row>
    <row r="369" spans="1:59" ht="15.75">
      <c r="A369" s="333">
        <v>30</v>
      </c>
      <c r="B369" s="333" t="str">
        <f t="shared" si="294"/>
        <v>CEREAL EMPACADO_30</v>
      </c>
      <c r="C369" s="333" t="str">
        <f t="shared" si="295"/>
        <v>26_30</v>
      </c>
      <c r="D369" s="333" t="s">
        <v>1607</v>
      </c>
      <c r="E369" s="256">
        <v>26</v>
      </c>
      <c r="F369" s="322" t="s">
        <v>69</v>
      </c>
      <c r="G369" s="256" t="s">
        <v>9</v>
      </c>
      <c r="H369" s="425">
        <f t="shared" si="296"/>
        <v>6</v>
      </c>
      <c r="I369" s="425">
        <f t="array" ref="I369">MAX((IF(MNU_CODIGO_ALIMENTO_ENTREGA=CONCATENATE($E369,"_","P_"),MNU_GRAMAJE_REQUERIDO_TIPOA,"")))</f>
        <v>30</v>
      </c>
      <c r="J369" s="257">
        <f t="shared" si="297"/>
        <v>4874</v>
      </c>
      <c r="K369" s="257">
        <f t="shared" si="298"/>
        <v>29244</v>
      </c>
      <c r="L369" s="446">
        <f t="shared" si="299"/>
        <v>163</v>
      </c>
      <c r="M369" s="446">
        <f t="shared" si="300"/>
        <v>7.9543999999999997</v>
      </c>
      <c r="N369" s="446">
        <f t="shared" si="301"/>
        <v>0.14018260800000001</v>
      </c>
      <c r="O369" s="446">
        <f t="shared" si="302"/>
        <v>171</v>
      </c>
      <c r="P369" s="258">
        <f t="shared" si="303"/>
        <v>4766772</v>
      </c>
      <c r="Q369" s="258">
        <f t="shared" si="304"/>
        <v>5000724</v>
      </c>
      <c r="R369" s="426">
        <f t="shared" si="305"/>
        <v>6</v>
      </c>
      <c r="S369" s="426">
        <f t="array" ref="S369">MAX((IF(MNU_CODIGO_ALIMENTO_ENTREGA=CONCATENATE($E369,"_","P_"),MNU_GRAMAJE_REQUERIDO_TIPOB,"")))</f>
        <v>30</v>
      </c>
      <c r="T369" s="259">
        <f t="shared" si="306"/>
        <v>5933</v>
      </c>
      <c r="U369" s="259">
        <f t="shared" si="307"/>
        <v>35598</v>
      </c>
      <c r="V369" s="446">
        <f t="shared" si="308"/>
        <v>163</v>
      </c>
      <c r="W369" s="446">
        <f t="shared" si="309"/>
        <v>7.9543999999999997</v>
      </c>
      <c r="X369" s="446">
        <f t="shared" si="310"/>
        <v>0.14018260800000001</v>
      </c>
      <c r="Y369" s="446">
        <f t="shared" si="311"/>
        <v>171</v>
      </c>
      <c r="Z369" s="260">
        <f t="shared" si="312"/>
        <v>5802474</v>
      </c>
      <c r="AA369" s="260">
        <f t="shared" si="313"/>
        <v>6087258</v>
      </c>
      <c r="AB369" s="425">
        <f t="shared" si="314"/>
        <v>6</v>
      </c>
      <c r="AC369" s="425">
        <f t="array" ref="AC369">MAX((IF(MNU_CODIGO_ALIMENTO_ENTREGA=CONCATENATE($E369,"_","P_"),MNU_GRAMAJE_REQUERIDO_TIPOC,"")))</f>
        <v>30</v>
      </c>
      <c r="AD369" s="257">
        <f t="shared" si="315"/>
        <v>6310</v>
      </c>
      <c r="AE369" s="257">
        <f t="shared" si="316"/>
        <v>37860</v>
      </c>
      <c r="AF369" s="446">
        <f t="shared" si="317"/>
        <v>163</v>
      </c>
      <c r="AG369" s="446">
        <f t="shared" si="318"/>
        <v>7.9543999999999997</v>
      </c>
      <c r="AH369" s="446">
        <f t="shared" si="319"/>
        <v>0.14018260800000001</v>
      </c>
      <c r="AI369" s="446">
        <f t="shared" si="320"/>
        <v>171</v>
      </c>
      <c r="AJ369" s="258">
        <f t="shared" si="321"/>
        <v>6171180</v>
      </c>
      <c r="AK369" s="258">
        <f t="shared" si="322"/>
        <v>6474060</v>
      </c>
      <c r="AL369" s="426">
        <f t="shared" si="323"/>
        <v>6</v>
      </c>
      <c r="AM369" s="426">
        <f t="array" ref="AM369">MAX((IF(MNU_CODIGO_ALIMENTO_ENTREGA=CONCATENATE($E369,"_","P_"),MNU_GRAMAJE_REQUERIDO_TIPOM,"")))</f>
        <v>30</v>
      </c>
      <c r="AN369" s="259">
        <f t="shared" si="324"/>
        <v>283</v>
      </c>
      <c r="AO369" s="259">
        <f t="shared" si="325"/>
        <v>1698</v>
      </c>
      <c r="AP369" s="446">
        <f t="shared" si="326"/>
        <v>163</v>
      </c>
      <c r="AQ369" s="446">
        <f t="shared" si="327"/>
        <v>7.9543999999999997</v>
      </c>
      <c r="AR369" s="446">
        <f t="shared" si="328"/>
        <v>0.14018260800000001</v>
      </c>
      <c r="AS369" s="446">
        <f t="shared" si="329"/>
        <v>171</v>
      </c>
      <c r="AT369" s="260">
        <f t="shared" si="330"/>
        <v>276774</v>
      </c>
      <c r="AU369" s="260">
        <f t="shared" si="331"/>
        <v>290358</v>
      </c>
      <c r="AV369" s="425">
        <f t="shared" si="332"/>
        <v>6</v>
      </c>
      <c r="AW369" s="425">
        <f t="array" ref="AW369">MAX((IF(MNU_CODIGO_ALIMENTO_ENTREGA=CONCATENATE($E369,"_","P_"),MNU_GRAMAJE_REQUERIDO_TIPOH,"")))</f>
        <v>30</v>
      </c>
      <c r="AX369" s="257">
        <f t="shared" si="333"/>
        <v>277</v>
      </c>
      <c r="AY369" s="257">
        <f t="shared" si="334"/>
        <v>1662</v>
      </c>
      <c r="AZ369" s="446">
        <f t="shared" si="335"/>
        <v>163</v>
      </c>
      <c r="BA369" s="446">
        <f t="shared" si="336"/>
        <v>7.9543999999999997</v>
      </c>
      <c r="BB369" s="446">
        <f t="shared" si="337"/>
        <v>0.14018260800000001</v>
      </c>
      <c r="BC369" s="446">
        <f t="shared" si="338"/>
        <v>171</v>
      </c>
      <c r="BD369" s="258">
        <f t="shared" si="339"/>
        <v>270906</v>
      </c>
      <c r="BE369" s="258">
        <f t="shared" si="340"/>
        <v>284202</v>
      </c>
      <c r="BF369" s="391">
        <f t="shared" si="341"/>
        <v>17288106</v>
      </c>
      <c r="BG369" s="391">
        <f t="shared" si="342"/>
        <v>18136602</v>
      </c>
    </row>
    <row r="370" spans="1:59" ht="27">
      <c r="A370" s="333">
        <v>30</v>
      </c>
      <c r="B370" s="333" t="str">
        <f t="shared" si="294"/>
        <v>CEREAL EMPACADO_30</v>
      </c>
      <c r="C370" s="333" t="str">
        <f t="shared" si="295"/>
        <v>28_30</v>
      </c>
      <c r="D370" s="333" t="s">
        <v>1607</v>
      </c>
      <c r="E370" s="256">
        <v>28</v>
      </c>
      <c r="F370" s="322" t="s">
        <v>67</v>
      </c>
      <c r="G370" s="256" t="s">
        <v>9</v>
      </c>
      <c r="H370" s="425">
        <f t="shared" si="296"/>
        <v>6</v>
      </c>
      <c r="I370" s="425">
        <f t="array" ref="I370">MAX((IF(MNU_CODIGO_ALIMENTO_ENTREGA=CONCATENATE($E370,"_","P_"),MNU_GRAMAJE_REQUERIDO_TIPOA,"")))</f>
        <v>30</v>
      </c>
      <c r="J370" s="257">
        <f t="shared" si="297"/>
        <v>4874</v>
      </c>
      <c r="K370" s="257">
        <f t="shared" si="298"/>
        <v>29244</v>
      </c>
      <c r="L370" s="446">
        <f t="shared" si="299"/>
        <v>215</v>
      </c>
      <c r="M370" s="446">
        <f t="shared" si="300"/>
        <v>10.492000000000001</v>
      </c>
      <c r="N370" s="446">
        <f t="shared" si="301"/>
        <v>0.18490343999999997</v>
      </c>
      <c r="O370" s="446">
        <f t="shared" si="302"/>
        <v>226</v>
      </c>
      <c r="P370" s="258">
        <f t="shared" si="303"/>
        <v>6287460</v>
      </c>
      <c r="Q370" s="258">
        <f t="shared" si="304"/>
        <v>6609144</v>
      </c>
      <c r="R370" s="426">
        <f t="shared" si="305"/>
        <v>6</v>
      </c>
      <c r="S370" s="426">
        <f t="array" ref="S370">MAX((IF(MNU_CODIGO_ALIMENTO_ENTREGA=CONCATENATE($E370,"_","P_"),MNU_GRAMAJE_REQUERIDO_TIPOB,"")))</f>
        <v>40</v>
      </c>
      <c r="T370" s="259">
        <f t="shared" si="306"/>
        <v>5933</v>
      </c>
      <c r="U370" s="259">
        <f t="shared" si="307"/>
        <v>35598</v>
      </c>
      <c r="V370" s="446">
        <f t="shared" si="308"/>
        <v>287</v>
      </c>
      <c r="W370" s="446">
        <f t="shared" si="309"/>
        <v>14.005600000000001</v>
      </c>
      <c r="X370" s="446">
        <f t="shared" si="310"/>
        <v>0.24682459200000004</v>
      </c>
      <c r="Y370" s="446">
        <f t="shared" si="311"/>
        <v>301</v>
      </c>
      <c r="Z370" s="260">
        <f t="shared" si="312"/>
        <v>10216626</v>
      </c>
      <c r="AA370" s="260">
        <f t="shared" si="313"/>
        <v>10714998</v>
      </c>
      <c r="AB370" s="425">
        <f t="shared" si="314"/>
        <v>6</v>
      </c>
      <c r="AC370" s="425">
        <f t="array" ref="AC370">MAX((IF(MNU_CODIGO_ALIMENTO_ENTREGA=CONCATENATE($E370,"_","P_"),MNU_GRAMAJE_REQUERIDO_TIPOC,"")))</f>
        <v>60</v>
      </c>
      <c r="AD370" s="257">
        <f t="shared" si="315"/>
        <v>6310</v>
      </c>
      <c r="AE370" s="257">
        <f t="shared" si="316"/>
        <v>37860</v>
      </c>
      <c r="AF370" s="446">
        <f t="shared" si="317"/>
        <v>430</v>
      </c>
      <c r="AG370" s="446">
        <f t="shared" si="318"/>
        <v>20.984000000000002</v>
      </c>
      <c r="AH370" s="446">
        <f t="shared" si="319"/>
        <v>0.36980687999999995</v>
      </c>
      <c r="AI370" s="446">
        <f t="shared" si="320"/>
        <v>451</v>
      </c>
      <c r="AJ370" s="258">
        <f t="shared" si="321"/>
        <v>16279800</v>
      </c>
      <c r="AK370" s="258">
        <f t="shared" si="322"/>
        <v>17074860</v>
      </c>
      <c r="AL370" s="426">
        <f t="shared" si="323"/>
        <v>6</v>
      </c>
      <c r="AM370" s="426">
        <f t="array" ref="AM370">MAX((IF(MNU_CODIGO_ALIMENTO_ENTREGA=CONCATENATE($E370,"_","P_"),MNU_GRAMAJE_REQUERIDO_TIPOM,"")))</f>
        <v>40</v>
      </c>
      <c r="AN370" s="259">
        <f t="shared" si="324"/>
        <v>283</v>
      </c>
      <c r="AO370" s="259">
        <f t="shared" si="325"/>
        <v>1698</v>
      </c>
      <c r="AP370" s="446">
        <f t="shared" si="326"/>
        <v>287</v>
      </c>
      <c r="AQ370" s="446">
        <f t="shared" si="327"/>
        <v>14.005600000000001</v>
      </c>
      <c r="AR370" s="446">
        <f t="shared" si="328"/>
        <v>0.24682459200000004</v>
      </c>
      <c r="AS370" s="446">
        <f t="shared" si="329"/>
        <v>301</v>
      </c>
      <c r="AT370" s="260">
        <f t="shared" si="330"/>
        <v>487326</v>
      </c>
      <c r="AU370" s="260">
        <f t="shared" si="331"/>
        <v>511098</v>
      </c>
      <c r="AV370" s="425">
        <f t="shared" si="332"/>
        <v>6</v>
      </c>
      <c r="AW370" s="425">
        <f t="array" ref="AW370">MAX((IF(MNU_CODIGO_ALIMENTO_ENTREGA=CONCATENATE($E370,"_","P_"),MNU_GRAMAJE_REQUERIDO_TIPOH,"")))</f>
        <v>60</v>
      </c>
      <c r="AX370" s="257">
        <f t="shared" si="333"/>
        <v>277</v>
      </c>
      <c r="AY370" s="257">
        <f t="shared" si="334"/>
        <v>1662</v>
      </c>
      <c r="AZ370" s="446">
        <f t="shared" si="335"/>
        <v>430</v>
      </c>
      <c r="BA370" s="446">
        <f t="shared" si="336"/>
        <v>20.984000000000002</v>
      </c>
      <c r="BB370" s="446">
        <f t="shared" si="337"/>
        <v>0.36980687999999995</v>
      </c>
      <c r="BC370" s="446">
        <f t="shared" si="338"/>
        <v>451</v>
      </c>
      <c r="BD370" s="258">
        <f t="shared" si="339"/>
        <v>714660</v>
      </c>
      <c r="BE370" s="258">
        <f t="shared" si="340"/>
        <v>749562</v>
      </c>
      <c r="BF370" s="391">
        <f t="shared" si="341"/>
        <v>33985872</v>
      </c>
      <c r="BG370" s="391">
        <f t="shared" si="342"/>
        <v>35659662</v>
      </c>
    </row>
    <row r="371" spans="1:59" ht="15.75">
      <c r="A371" s="333">
        <v>30</v>
      </c>
      <c r="B371" s="333" t="str">
        <f t="shared" si="294"/>
        <v>CEREAL EMPACADO_30</v>
      </c>
      <c r="C371" s="333" t="str">
        <f t="shared" si="295"/>
        <v>30_30</v>
      </c>
      <c r="D371" s="333" t="s">
        <v>1607</v>
      </c>
      <c r="E371" s="256">
        <v>30</v>
      </c>
      <c r="F371" s="322" t="s">
        <v>63</v>
      </c>
      <c r="G371" s="256" t="s">
        <v>9</v>
      </c>
      <c r="H371" s="425">
        <f t="shared" si="296"/>
        <v>16</v>
      </c>
      <c r="I371" s="425">
        <f t="array" ref="I371">MAX((IF(MNU_CODIGO_ALIMENTO_ENTREGA=CONCATENATE($E371,"_","P_"),MNU_GRAMAJE_REQUERIDO_TIPOA,"")))</f>
        <v>30</v>
      </c>
      <c r="J371" s="257">
        <f t="shared" si="297"/>
        <v>4874</v>
      </c>
      <c r="K371" s="257">
        <f t="shared" si="298"/>
        <v>77984</v>
      </c>
      <c r="L371" s="446">
        <f t="shared" si="299"/>
        <v>316</v>
      </c>
      <c r="M371" s="446">
        <f t="shared" si="300"/>
        <v>15.4208</v>
      </c>
      <c r="N371" s="446">
        <f t="shared" si="301"/>
        <v>0.271765056</v>
      </c>
      <c r="O371" s="446">
        <f t="shared" si="302"/>
        <v>332</v>
      </c>
      <c r="P371" s="258">
        <f t="shared" si="303"/>
        <v>24642944</v>
      </c>
      <c r="Q371" s="258">
        <f t="shared" si="304"/>
        <v>25890688</v>
      </c>
      <c r="R371" s="426">
        <f t="shared" si="305"/>
        <v>16</v>
      </c>
      <c r="S371" s="426">
        <f t="array" ref="S371">MAX((IF(MNU_CODIGO_ALIMENTO_ENTREGA=CONCATENATE($E371,"_","P_"),MNU_GRAMAJE_REQUERIDO_TIPOB,"")))</f>
        <v>30</v>
      </c>
      <c r="T371" s="259">
        <f t="shared" si="306"/>
        <v>5933</v>
      </c>
      <c r="U371" s="259">
        <f t="shared" si="307"/>
        <v>94928</v>
      </c>
      <c r="V371" s="446">
        <f t="shared" si="308"/>
        <v>316</v>
      </c>
      <c r="W371" s="446">
        <f t="shared" si="309"/>
        <v>15.4208</v>
      </c>
      <c r="X371" s="446">
        <f t="shared" si="310"/>
        <v>0.271765056</v>
      </c>
      <c r="Y371" s="446">
        <f t="shared" si="311"/>
        <v>332</v>
      </c>
      <c r="Z371" s="260">
        <f t="shared" si="312"/>
        <v>29997248</v>
      </c>
      <c r="AA371" s="260">
        <f t="shared" si="313"/>
        <v>31516096</v>
      </c>
      <c r="AB371" s="425">
        <f t="shared" si="314"/>
        <v>16</v>
      </c>
      <c r="AC371" s="425">
        <f t="array" ref="AC371">MAX((IF(MNU_CODIGO_ALIMENTO_ENTREGA=CONCATENATE($E371,"_","P_"),MNU_GRAMAJE_REQUERIDO_TIPOC,"")))</f>
        <v>30</v>
      </c>
      <c r="AD371" s="257">
        <f t="shared" si="315"/>
        <v>6310</v>
      </c>
      <c r="AE371" s="257">
        <f t="shared" si="316"/>
        <v>100960</v>
      </c>
      <c r="AF371" s="446">
        <f t="shared" si="317"/>
        <v>316</v>
      </c>
      <c r="AG371" s="446">
        <f t="shared" si="318"/>
        <v>15.4208</v>
      </c>
      <c r="AH371" s="446">
        <f t="shared" si="319"/>
        <v>0.271765056</v>
      </c>
      <c r="AI371" s="446">
        <f t="shared" si="320"/>
        <v>332</v>
      </c>
      <c r="AJ371" s="258">
        <f t="shared" si="321"/>
        <v>31903360</v>
      </c>
      <c r="AK371" s="258">
        <f t="shared" si="322"/>
        <v>33518720</v>
      </c>
      <c r="AL371" s="426">
        <f t="shared" si="323"/>
        <v>16</v>
      </c>
      <c r="AM371" s="426">
        <f t="array" ref="AM371">MAX((IF(MNU_CODIGO_ALIMENTO_ENTREGA=CONCATENATE($E371,"_","P_"),MNU_GRAMAJE_REQUERIDO_TIPOM,"")))</f>
        <v>30</v>
      </c>
      <c r="AN371" s="259">
        <f t="shared" si="324"/>
        <v>283</v>
      </c>
      <c r="AO371" s="259">
        <f t="shared" si="325"/>
        <v>4528</v>
      </c>
      <c r="AP371" s="446">
        <f t="shared" si="326"/>
        <v>316</v>
      </c>
      <c r="AQ371" s="446">
        <f t="shared" si="327"/>
        <v>15.4208</v>
      </c>
      <c r="AR371" s="446">
        <f t="shared" si="328"/>
        <v>0.271765056</v>
      </c>
      <c r="AS371" s="446">
        <f t="shared" si="329"/>
        <v>332</v>
      </c>
      <c r="AT371" s="260">
        <f t="shared" si="330"/>
        <v>1430848</v>
      </c>
      <c r="AU371" s="260">
        <f t="shared" si="331"/>
        <v>1503296</v>
      </c>
      <c r="AV371" s="425">
        <f t="shared" si="332"/>
        <v>16</v>
      </c>
      <c r="AW371" s="425">
        <f t="array" ref="AW371">MAX((IF(MNU_CODIGO_ALIMENTO_ENTREGA=CONCATENATE($E371,"_","P_"),MNU_GRAMAJE_REQUERIDO_TIPOH,"")))</f>
        <v>30</v>
      </c>
      <c r="AX371" s="257">
        <f t="shared" si="333"/>
        <v>277</v>
      </c>
      <c r="AY371" s="257">
        <f t="shared" si="334"/>
        <v>4432</v>
      </c>
      <c r="AZ371" s="446">
        <f t="shared" si="335"/>
        <v>316</v>
      </c>
      <c r="BA371" s="446">
        <f t="shared" si="336"/>
        <v>15.4208</v>
      </c>
      <c r="BB371" s="446">
        <f t="shared" si="337"/>
        <v>0.271765056</v>
      </c>
      <c r="BC371" s="446">
        <f t="shared" si="338"/>
        <v>332</v>
      </c>
      <c r="BD371" s="258">
        <f t="shared" si="339"/>
        <v>1400512</v>
      </c>
      <c r="BE371" s="258">
        <f t="shared" si="340"/>
        <v>1471424</v>
      </c>
      <c r="BF371" s="391">
        <f t="shared" si="341"/>
        <v>89374912</v>
      </c>
      <c r="BG371" s="391">
        <f t="shared" si="342"/>
        <v>93900224</v>
      </c>
    </row>
    <row r="372" spans="1:59" ht="15.75">
      <c r="A372" s="333">
        <v>30</v>
      </c>
      <c r="B372" s="333" t="str">
        <f t="shared" si="294"/>
        <v>CEREAL EMPACADO_30</v>
      </c>
      <c r="C372" s="333" t="str">
        <f t="shared" si="295"/>
        <v>45_30</v>
      </c>
      <c r="D372" s="333" t="s">
        <v>1607</v>
      </c>
      <c r="E372" s="256">
        <v>45</v>
      </c>
      <c r="F372" s="322" t="s">
        <v>10</v>
      </c>
      <c r="G372" s="256" t="s">
        <v>9</v>
      </c>
      <c r="H372" s="425">
        <f t="shared" si="296"/>
        <v>16</v>
      </c>
      <c r="I372" s="425">
        <f t="array" ref="I372">MAX((IF(MNU_CODIGO_ALIMENTO_ENTREGA=CONCATENATE($E372,"_","P_"),MNU_GRAMAJE_REQUERIDO_TIPOA,"")))</f>
        <v>20</v>
      </c>
      <c r="J372" s="257">
        <f t="shared" si="297"/>
        <v>4874</v>
      </c>
      <c r="K372" s="257">
        <f t="shared" si="298"/>
        <v>77984</v>
      </c>
      <c r="L372" s="446">
        <f t="shared" si="299"/>
        <v>190</v>
      </c>
      <c r="M372" s="446">
        <f t="shared" si="300"/>
        <v>9.2720000000000002</v>
      </c>
      <c r="N372" s="446">
        <f t="shared" si="301"/>
        <v>0.16340304</v>
      </c>
      <c r="O372" s="446">
        <f t="shared" si="302"/>
        <v>199</v>
      </c>
      <c r="P372" s="258">
        <f t="shared" si="303"/>
        <v>14816960</v>
      </c>
      <c r="Q372" s="258">
        <f t="shared" si="304"/>
        <v>15518816</v>
      </c>
      <c r="R372" s="426">
        <f t="shared" si="305"/>
        <v>16</v>
      </c>
      <c r="S372" s="426">
        <f t="array" ref="S372">MAX((IF(MNU_CODIGO_ALIMENTO_ENTREGA=CONCATENATE($E372,"_","P_"),MNU_GRAMAJE_REQUERIDO_TIPOB,"")))</f>
        <v>30</v>
      </c>
      <c r="T372" s="259">
        <f t="shared" si="306"/>
        <v>5933</v>
      </c>
      <c r="U372" s="259">
        <f t="shared" si="307"/>
        <v>94928</v>
      </c>
      <c r="V372" s="446">
        <f t="shared" si="308"/>
        <v>284</v>
      </c>
      <c r="W372" s="446">
        <f t="shared" si="309"/>
        <v>13.8592</v>
      </c>
      <c r="X372" s="446">
        <f t="shared" si="310"/>
        <v>0.24424454399999998</v>
      </c>
      <c r="Y372" s="446">
        <f t="shared" si="311"/>
        <v>298</v>
      </c>
      <c r="Z372" s="260">
        <f t="shared" si="312"/>
        <v>26959552</v>
      </c>
      <c r="AA372" s="260">
        <f t="shared" si="313"/>
        <v>28288544</v>
      </c>
      <c r="AB372" s="425">
        <f t="shared" si="314"/>
        <v>16</v>
      </c>
      <c r="AC372" s="425">
        <f t="array" ref="AC372">MAX((IF(MNU_CODIGO_ALIMENTO_ENTREGA=CONCATENATE($E372,"_","P_"),MNU_GRAMAJE_REQUERIDO_TIPOC,"")))</f>
        <v>60</v>
      </c>
      <c r="AD372" s="257">
        <f t="shared" si="315"/>
        <v>6310</v>
      </c>
      <c r="AE372" s="257">
        <f t="shared" si="316"/>
        <v>100960</v>
      </c>
      <c r="AF372" s="446">
        <f t="shared" si="317"/>
        <v>569</v>
      </c>
      <c r="AG372" s="446">
        <f t="shared" si="318"/>
        <v>27.767199999999999</v>
      </c>
      <c r="AH372" s="446">
        <f t="shared" si="319"/>
        <v>0.48934910400000003</v>
      </c>
      <c r="AI372" s="446">
        <f t="shared" si="320"/>
        <v>597</v>
      </c>
      <c r="AJ372" s="258">
        <f t="shared" si="321"/>
        <v>57446240</v>
      </c>
      <c r="AK372" s="258">
        <f t="shared" si="322"/>
        <v>60273120</v>
      </c>
      <c r="AL372" s="426">
        <f t="shared" si="323"/>
        <v>16</v>
      </c>
      <c r="AM372" s="426">
        <f t="array" ref="AM372">MAX((IF(MNU_CODIGO_ALIMENTO_ENTREGA=CONCATENATE($E372,"_","P_"),MNU_GRAMAJE_REQUERIDO_TIPOM,"")))</f>
        <v>30</v>
      </c>
      <c r="AN372" s="259">
        <f t="shared" si="324"/>
        <v>283</v>
      </c>
      <c r="AO372" s="259">
        <f t="shared" si="325"/>
        <v>4528</v>
      </c>
      <c r="AP372" s="446">
        <f t="shared" si="326"/>
        <v>284</v>
      </c>
      <c r="AQ372" s="446">
        <f t="shared" si="327"/>
        <v>13.8592</v>
      </c>
      <c r="AR372" s="446">
        <f t="shared" si="328"/>
        <v>0.24424454399999998</v>
      </c>
      <c r="AS372" s="446">
        <f t="shared" si="329"/>
        <v>298</v>
      </c>
      <c r="AT372" s="260">
        <f t="shared" si="330"/>
        <v>1285952</v>
      </c>
      <c r="AU372" s="260">
        <f t="shared" si="331"/>
        <v>1349344</v>
      </c>
      <c r="AV372" s="425">
        <f t="shared" si="332"/>
        <v>16</v>
      </c>
      <c r="AW372" s="425">
        <f t="array" ref="AW372">MAX((IF(MNU_CODIGO_ALIMENTO_ENTREGA=CONCATENATE($E372,"_","P_"),MNU_GRAMAJE_REQUERIDO_TIPOH,"")))</f>
        <v>60</v>
      </c>
      <c r="AX372" s="257">
        <f t="shared" si="333"/>
        <v>277</v>
      </c>
      <c r="AY372" s="257">
        <f t="shared" si="334"/>
        <v>4432</v>
      </c>
      <c r="AZ372" s="446">
        <f t="shared" si="335"/>
        <v>569</v>
      </c>
      <c r="BA372" s="446">
        <f t="shared" si="336"/>
        <v>27.767199999999999</v>
      </c>
      <c r="BB372" s="446">
        <f t="shared" si="337"/>
        <v>0.48934910400000003</v>
      </c>
      <c r="BC372" s="446">
        <f t="shared" si="338"/>
        <v>597</v>
      </c>
      <c r="BD372" s="258">
        <f t="shared" si="339"/>
        <v>2521808</v>
      </c>
      <c r="BE372" s="258">
        <f t="shared" si="340"/>
        <v>2645904</v>
      </c>
      <c r="BF372" s="391">
        <f t="shared" si="341"/>
        <v>103030512</v>
      </c>
      <c r="BG372" s="391">
        <f t="shared" si="342"/>
        <v>108075728</v>
      </c>
    </row>
    <row r="373" spans="1:59" ht="15.75">
      <c r="A373" s="333">
        <v>30</v>
      </c>
      <c r="B373" s="333" t="str">
        <f t="shared" si="294"/>
        <v>CEREAL EMPACADO_30</v>
      </c>
      <c r="C373" s="333" t="str">
        <f t="shared" si="295"/>
        <v>50_30</v>
      </c>
      <c r="D373" s="333" t="s">
        <v>1607</v>
      </c>
      <c r="E373" s="256">
        <v>50</v>
      </c>
      <c r="F373" s="322" t="s">
        <v>65</v>
      </c>
      <c r="G373" s="256" t="s">
        <v>9</v>
      </c>
      <c r="H373" s="425">
        <f t="shared" si="296"/>
        <v>17</v>
      </c>
      <c r="I373" s="425">
        <f t="array" ref="I373">MAX((IF(MNU_CODIGO_ALIMENTO_ENTREGA=CONCATENATE($E373,"_","P_"),MNU_GRAMAJE_REQUERIDO_TIPOA,"")))</f>
        <v>30</v>
      </c>
      <c r="J373" s="257">
        <f t="shared" si="297"/>
        <v>4874</v>
      </c>
      <c r="K373" s="257">
        <f t="shared" si="298"/>
        <v>82858</v>
      </c>
      <c r="L373" s="446">
        <f t="shared" si="299"/>
        <v>306</v>
      </c>
      <c r="M373" s="446">
        <f t="shared" si="300"/>
        <v>14.9328</v>
      </c>
      <c r="N373" s="446">
        <f t="shared" si="301"/>
        <v>0.26316489599999998</v>
      </c>
      <c r="O373" s="446">
        <f t="shared" si="302"/>
        <v>321</v>
      </c>
      <c r="P373" s="258">
        <f t="shared" si="303"/>
        <v>25354548</v>
      </c>
      <c r="Q373" s="258">
        <f t="shared" si="304"/>
        <v>26597418</v>
      </c>
      <c r="R373" s="426">
        <f t="shared" si="305"/>
        <v>17</v>
      </c>
      <c r="S373" s="426">
        <f t="array" ref="S373">MAX((IF(MNU_CODIGO_ALIMENTO_ENTREGA=CONCATENATE($E373,"_","P_"),MNU_GRAMAJE_REQUERIDO_TIPOB,"")))</f>
        <v>40</v>
      </c>
      <c r="T373" s="259">
        <f t="shared" si="306"/>
        <v>5933</v>
      </c>
      <c r="U373" s="259">
        <f t="shared" si="307"/>
        <v>100861</v>
      </c>
      <c r="V373" s="446">
        <f t="shared" si="308"/>
        <v>408</v>
      </c>
      <c r="W373" s="446">
        <f t="shared" si="309"/>
        <v>19.910400000000003</v>
      </c>
      <c r="X373" s="446">
        <f t="shared" si="310"/>
        <v>0.35088652799999998</v>
      </c>
      <c r="Y373" s="446">
        <f t="shared" si="311"/>
        <v>428</v>
      </c>
      <c r="Z373" s="260">
        <f t="shared" si="312"/>
        <v>41151288</v>
      </c>
      <c r="AA373" s="260">
        <f t="shared" si="313"/>
        <v>43168508</v>
      </c>
      <c r="AB373" s="425">
        <f t="shared" si="314"/>
        <v>17</v>
      </c>
      <c r="AC373" s="425">
        <f t="array" ref="AC373">MAX((IF(MNU_CODIGO_ALIMENTO_ENTREGA=CONCATENATE($E373,"_","P_"),MNU_GRAMAJE_REQUERIDO_TIPOC,"")))</f>
        <v>80</v>
      </c>
      <c r="AD373" s="257">
        <f t="shared" si="315"/>
        <v>6310</v>
      </c>
      <c r="AE373" s="257">
        <f t="shared" si="316"/>
        <v>107270</v>
      </c>
      <c r="AF373" s="446">
        <f t="shared" si="317"/>
        <v>815</v>
      </c>
      <c r="AG373" s="446">
        <f t="shared" si="318"/>
        <v>39.772000000000006</v>
      </c>
      <c r="AH373" s="446">
        <f t="shared" si="319"/>
        <v>0.7009130400000001</v>
      </c>
      <c r="AI373" s="446">
        <f t="shared" si="320"/>
        <v>855</v>
      </c>
      <c r="AJ373" s="258">
        <f t="shared" si="321"/>
        <v>87425050</v>
      </c>
      <c r="AK373" s="258">
        <f t="shared" si="322"/>
        <v>91715850</v>
      </c>
      <c r="AL373" s="426">
        <f t="shared" si="323"/>
        <v>17</v>
      </c>
      <c r="AM373" s="426">
        <f t="array" ref="AM373">MAX((IF(MNU_CODIGO_ALIMENTO_ENTREGA=CONCATENATE($E373,"_","P_"),MNU_GRAMAJE_REQUERIDO_TIPOM,"")))</f>
        <v>40</v>
      </c>
      <c r="AN373" s="259">
        <f t="shared" si="324"/>
        <v>283</v>
      </c>
      <c r="AO373" s="259">
        <f t="shared" si="325"/>
        <v>4811</v>
      </c>
      <c r="AP373" s="446">
        <f t="shared" si="326"/>
        <v>408</v>
      </c>
      <c r="AQ373" s="446">
        <f t="shared" si="327"/>
        <v>19.910400000000003</v>
      </c>
      <c r="AR373" s="446">
        <f t="shared" si="328"/>
        <v>0.35088652799999998</v>
      </c>
      <c r="AS373" s="446">
        <f t="shared" si="329"/>
        <v>428</v>
      </c>
      <c r="AT373" s="260">
        <f t="shared" si="330"/>
        <v>1962888</v>
      </c>
      <c r="AU373" s="260">
        <f t="shared" si="331"/>
        <v>2059108</v>
      </c>
      <c r="AV373" s="425">
        <f t="shared" si="332"/>
        <v>17</v>
      </c>
      <c r="AW373" s="425">
        <f t="array" ref="AW373">MAX((IF(MNU_CODIGO_ALIMENTO_ENTREGA=CONCATENATE($E373,"_","P_"),MNU_GRAMAJE_REQUERIDO_TIPOH,"")))</f>
        <v>80</v>
      </c>
      <c r="AX373" s="257">
        <f t="shared" si="333"/>
        <v>277</v>
      </c>
      <c r="AY373" s="257">
        <f t="shared" si="334"/>
        <v>4709</v>
      </c>
      <c r="AZ373" s="446">
        <f t="shared" si="335"/>
        <v>815</v>
      </c>
      <c r="BA373" s="446">
        <f t="shared" si="336"/>
        <v>39.772000000000006</v>
      </c>
      <c r="BB373" s="446">
        <f t="shared" si="337"/>
        <v>0.7009130400000001</v>
      </c>
      <c r="BC373" s="446">
        <f t="shared" si="338"/>
        <v>855</v>
      </c>
      <c r="BD373" s="258">
        <f t="shared" si="339"/>
        <v>3837835</v>
      </c>
      <c r="BE373" s="258">
        <f t="shared" si="340"/>
        <v>4026195</v>
      </c>
      <c r="BF373" s="391">
        <f t="shared" si="341"/>
        <v>159731609</v>
      </c>
      <c r="BG373" s="391">
        <f t="shared" si="342"/>
        <v>167567079</v>
      </c>
    </row>
    <row r="374" spans="1:59" ht="15.75">
      <c r="A374" s="333">
        <v>30</v>
      </c>
      <c r="B374" s="333" t="str">
        <f t="shared" si="294"/>
        <v>CEREAL EMPACADO_30</v>
      </c>
      <c r="C374" s="333" t="str">
        <f t="shared" si="295"/>
        <v>61_30</v>
      </c>
      <c r="D374" s="333" t="s">
        <v>1607</v>
      </c>
      <c r="E374" s="256">
        <v>61</v>
      </c>
      <c r="F374" s="322" t="s">
        <v>13</v>
      </c>
      <c r="G374" s="256" t="s">
        <v>9</v>
      </c>
      <c r="H374" s="425">
        <f t="shared" si="296"/>
        <v>16</v>
      </c>
      <c r="I374" s="425">
        <f t="array" ref="I374">MAX((IF(MNU_CODIGO_ALIMENTO_ENTREGA=CONCATENATE($E374,"_","P_"),MNU_GRAMAJE_REQUERIDO_TIPOA,"")))</f>
        <v>20</v>
      </c>
      <c r="J374" s="257">
        <f t="shared" si="297"/>
        <v>4874</v>
      </c>
      <c r="K374" s="257">
        <f t="shared" si="298"/>
        <v>77984</v>
      </c>
      <c r="L374" s="446">
        <f t="shared" si="299"/>
        <v>222</v>
      </c>
      <c r="M374" s="446">
        <f t="shared" si="300"/>
        <v>10.833600000000001</v>
      </c>
      <c r="N374" s="446">
        <f t="shared" si="301"/>
        <v>0.190923552</v>
      </c>
      <c r="O374" s="446">
        <f t="shared" si="302"/>
        <v>233</v>
      </c>
      <c r="P374" s="258">
        <f t="shared" si="303"/>
        <v>17312448</v>
      </c>
      <c r="Q374" s="258">
        <f t="shared" si="304"/>
        <v>18170272</v>
      </c>
      <c r="R374" s="426">
        <f t="shared" si="305"/>
        <v>16</v>
      </c>
      <c r="S374" s="426">
        <f t="array" ref="S374">MAX((IF(MNU_CODIGO_ALIMENTO_ENTREGA=CONCATENATE($E374,"_","P_"),MNU_GRAMAJE_REQUERIDO_TIPOB,"")))</f>
        <v>30</v>
      </c>
      <c r="T374" s="259">
        <f t="shared" si="306"/>
        <v>5933</v>
      </c>
      <c r="U374" s="259">
        <f t="shared" si="307"/>
        <v>94928</v>
      </c>
      <c r="V374" s="446">
        <f t="shared" si="308"/>
        <v>334</v>
      </c>
      <c r="W374" s="446">
        <f t="shared" si="309"/>
        <v>16.299199999999999</v>
      </c>
      <c r="X374" s="446">
        <f t="shared" si="310"/>
        <v>0.28724534400000001</v>
      </c>
      <c r="Y374" s="446">
        <f t="shared" si="311"/>
        <v>351</v>
      </c>
      <c r="Z374" s="260">
        <f t="shared" si="312"/>
        <v>31705952</v>
      </c>
      <c r="AA374" s="260">
        <f t="shared" si="313"/>
        <v>33319728</v>
      </c>
      <c r="AB374" s="425">
        <f t="shared" si="314"/>
        <v>16</v>
      </c>
      <c r="AC374" s="425">
        <f t="array" ref="AC374">MAX((IF(MNU_CODIGO_ALIMENTO_ENTREGA=CONCATENATE($E374,"_","P_"),MNU_GRAMAJE_REQUERIDO_TIPOC,"")))</f>
        <v>70</v>
      </c>
      <c r="AD374" s="257">
        <f t="shared" si="315"/>
        <v>6310</v>
      </c>
      <c r="AE374" s="257">
        <f t="shared" si="316"/>
        <v>100960</v>
      </c>
      <c r="AF374" s="446">
        <f t="shared" si="317"/>
        <v>779</v>
      </c>
      <c r="AG374" s="446">
        <f t="shared" si="318"/>
        <v>38.0152</v>
      </c>
      <c r="AH374" s="446">
        <f t="shared" si="319"/>
        <v>0.66995246400000008</v>
      </c>
      <c r="AI374" s="446">
        <f t="shared" si="320"/>
        <v>818</v>
      </c>
      <c r="AJ374" s="258">
        <f t="shared" si="321"/>
        <v>78647840</v>
      </c>
      <c r="AK374" s="258">
        <f t="shared" si="322"/>
        <v>82585280</v>
      </c>
      <c r="AL374" s="426">
        <f t="shared" si="323"/>
        <v>16</v>
      </c>
      <c r="AM374" s="426">
        <f t="array" ref="AM374">MAX((IF(MNU_CODIGO_ALIMENTO_ENTREGA=CONCATENATE($E374,"_","P_"),MNU_GRAMAJE_REQUERIDO_TIPOM,"")))</f>
        <v>30</v>
      </c>
      <c r="AN374" s="259">
        <f t="shared" si="324"/>
        <v>283</v>
      </c>
      <c r="AO374" s="259">
        <f t="shared" si="325"/>
        <v>4528</v>
      </c>
      <c r="AP374" s="446">
        <f t="shared" si="326"/>
        <v>334</v>
      </c>
      <c r="AQ374" s="446">
        <f t="shared" si="327"/>
        <v>16.299199999999999</v>
      </c>
      <c r="AR374" s="446">
        <f t="shared" si="328"/>
        <v>0.28724534400000001</v>
      </c>
      <c r="AS374" s="446">
        <f t="shared" si="329"/>
        <v>351</v>
      </c>
      <c r="AT374" s="260">
        <f t="shared" si="330"/>
        <v>1512352</v>
      </c>
      <c r="AU374" s="260">
        <f t="shared" si="331"/>
        <v>1589328</v>
      </c>
      <c r="AV374" s="425">
        <f t="shared" si="332"/>
        <v>16</v>
      </c>
      <c r="AW374" s="425">
        <f t="array" ref="AW374">MAX((IF(MNU_CODIGO_ALIMENTO_ENTREGA=CONCATENATE($E374,"_","P_"),MNU_GRAMAJE_REQUERIDO_TIPOH,"")))</f>
        <v>70</v>
      </c>
      <c r="AX374" s="257">
        <f t="shared" si="333"/>
        <v>277</v>
      </c>
      <c r="AY374" s="257">
        <f t="shared" si="334"/>
        <v>4432</v>
      </c>
      <c r="AZ374" s="446">
        <f t="shared" si="335"/>
        <v>779</v>
      </c>
      <c r="BA374" s="446">
        <f t="shared" si="336"/>
        <v>38.0152</v>
      </c>
      <c r="BB374" s="446">
        <f t="shared" si="337"/>
        <v>0.66995246400000008</v>
      </c>
      <c r="BC374" s="446">
        <f t="shared" si="338"/>
        <v>818</v>
      </c>
      <c r="BD374" s="258">
        <f t="shared" si="339"/>
        <v>3452528</v>
      </c>
      <c r="BE374" s="258">
        <f t="shared" si="340"/>
        <v>3625376</v>
      </c>
      <c r="BF374" s="391">
        <f t="shared" si="341"/>
        <v>132631120</v>
      </c>
      <c r="BG374" s="391">
        <f t="shared" si="342"/>
        <v>139289984</v>
      </c>
    </row>
    <row r="375" spans="1:59" ht="15.75">
      <c r="A375" s="333">
        <v>30</v>
      </c>
      <c r="B375" s="333" t="str">
        <f t="shared" si="294"/>
        <v>CEREAL EMPACADO_30</v>
      </c>
      <c r="C375" s="333" t="str">
        <f t="shared" si="295"/>
        <v>62_30</v>
      </c>
      <c r="D375" s="333" t="s">
        <v>1607</v>
      </c>
      <c r="E375" s="256">
        <v>62</v>
      </c>
      <c r="F375" s="322" t="s">
        <v>68</v>
      </c>
      <c r="G375" s="256" t="s">
        <v>9</v>
      </c>
      <c r="H375" s="425">
        <f t="shared" si="296"/>
        <v>5</v>
      </c>
      <c r="I375" s="425">
        <f t="array" ref="I375">MAX((IF(MNU_CODIGO_ALIMENTO_ENTREGA=CONCATENATE($E375,"_","P_"),MNU_GRAMAJE_REQUERIDO_TIPOA,"")))</f>
        <v>50</v>
      </c>
      <c r="J375" s="257">
        <f t="shared" si="297"/>
        <v>4874</v>
      </c>
      <c r="K375" s="257">
        <f t="shared" si="298"/>
        <v>24370</v>
      </c>
      <c r="L375" s="446">
        <f t="shared" si="299"/>
        <v>595</v>
      </c>
      <c r="M375" s="446">
        <f t="shared" si="300"/>
        <v>29.036000000000001</v>
      </c>
      <c r="N375" s="446">
        <f t="shared" si="301"/>
        <v>0.51170952000000014</v>
      </c>
      <c r="O375" s="446">
        <f t="shared" si="302"/>
        <v>625</v>
      </c>
      <c r="P375" s="258">
        <f t="shared" si="303"/>
        <v>14500150</v>
      </c>
      <c r="Q375" s="258">
        <f t="shared" si="304"/>
        <v>15231250</v>
      </c>
      <c r="R375" s="426">
        <f t="shared" si="305"/>
        <v>5</v>
      </c>
      <c r="S375" s="426">
        <f t="array" ref="S375">MAX((IF(MNU_CODIGO_ALIMENTO_ENTREGA=CONCATENATE($E375,"_","P_"),MNU_GRAMAJE_REQUERIDO_TIPOB,"")))</f>
        <v>50</v>
      </c>
      <c r="T375" s="259">
        <f t="shared" si="306"/>
        <v>5933</v>
      </c>
      <c r="U375" s="259">
        <f t="shared" si="307"/>
        <v>29665</v>
      </c>
      <c r="V375" s="446">
        <f t="shared" si="308"/>
        <v>595</v>
      </c>
      <c r="W375" s="446">
        <f t="shared" si="309"/>
        <v>29.036000000000001</v>
      </c>
      <c r="X375" s="446">
        <f t="shared" si="310"/>
        <v>0.51170952000000014</v>
      </c>
      <c r="Y375" s="446">
        <f t="shared" si="311"/>
        <v>625</v>
      </c>
      <c r="Z375" s="260">
        <f t="shared" si="312"/>
        <v>17650675</v>
      </c>
      <c r="AA375" s="260">
        <f t="shared" si="313"/>
        <v>18540625</v>
      </c>
      <c r="AB375" s="425">
        <f t="shared" si="314"/>
        <v>5</v>
      </c>
      <c r="AC375" s="425">
        <f t="array" ref="AC375">MAX((IF(MNU_CODIGO_ALIMENTO_ENTREGA=CONCATENATE($E375,"_","P_"),MNU_GRAMAJE_REQUERIDO_TIPOC,"")))</f>
        <v>50</v>
      </c>
      <c r="AD375" s="257">
        <f t="shared" si="315"/>
        <v>6310</v>
      </c>
      <c r="AE375" s="257">
        <f t="shared" si="316"/>
        <v>31550</v>
      </c>
      <c r="AF375" s="446">
        <f t="shared" si="317"/>
        <v>595</v>
      </c>
      <c r="AG375" s="446">
        <f t="shared" si="318"/>
        <v>29.036000000000001</v>
      </c>
      <c r="AH375" s="446">
        <f t="shared" si="319"/>
        <v>0.51170952000000014</v>
      </c>
      <c r="AI375" s="446">
        <f t="shared" si="320"/>
        <v>625</v>
      </c>
      <c r="AJ375" s="258">
        <f t="shared" si="321"/>
        <v>18772250</v>
      </c>
      <c r="AK375" s="258">
        <f t="shared" si="322"/>
        <v>19718750</v>
      </c>
      <c r="AL375" s="426">
        <f t="shared" si="323"/>
        <v>5</v>
      </c>
      <c r="AM375" s="426">
        <f t="array" ref="AM375">MAX((IF(MNU_CODIGO_ALIMENTO_ENTREGA=CONCATENATE($E375,"_","P_"),MNU_GRAMAJE_REQUERIDO_TIPOM,"")))</f>
        <v>50</v>
      </c>
      <c r="AN375" s="259">
        <f t="shared" si="324"/>
        <v>283</v>
      </c>
      <c r="AO375" s="259">
        <f t="shared" si="325"/>
        <v>1415</v>
      </c>
      <c r="AP375" s="446">
        <f t="shared" si="326"/>
        <v>595</v>
      </c>
      <c r="AQ375" s="446">
        <f t="shared" si="327"/>
        <v>29.036000000000001</v>
      </c>
      <c r="AR375" s="446">
        <f t="shared" si="328"/>
        <v>0.51170952000000014</v>
      </c>
      <c r="AS375" s="446">
        <f t="shared" si="329"/>
        <v>625</v>
      </c>
      <c r="AT375" s="260">
        <f t="shared" si="330"/>
        <v>841925</v>
      </c>
      <c r="AU375" s="260">
        <f t="shared" si="331"/>
        <v>884375</v>
      </c>
      <c r="AV375" s="425">
        <f t="shared" si="332"/>
        <v>5</v>
      </c>
      <c r="AW375" s="425">
        <f t="array" ref="AW375">MAX((IF(MNU_CODIGO_ALIMENTO_ENTREGA=CONCATENATE($E375,"_","P_"),MNU_GRAMAJE_REQUERIDO_TIPOH,"")))</f>
        <v>50</v>
      </c>
      <c r="AX375" s="257">
        <f t="shared" si="333"/>
        <v>277</v>
      </c>
      <c r="AY375" s="257">
        <f t="shared" si="334"/>
        <v>1385</v>
      </c>
      <c r="AZ375" s="446">
        <f t="shared" si="335"/>
        <v>595</v>
      </c>
      <c r="BA375" s="446">
        <f t="shared" si="336"/>
        <v>29.036000000000001</v>
      </c>
      <c r="BB375" s="446">
        <f t="shared" si="337"/>
        <v>0.51170952000000014</v>
      </c>
      <c r="BC375" s="446">
        <f t="shared" si="338"/>
        <v>625</v>
      </c>
      <c r="BD375" s="258">
        <f t="shared" si="339"/>
        <v>824075</v>
      </c>
      <c r="BE375" s="258">
        <f t="shared" si="340"/>
        <v>865625</v>
      </c>
      <c r="BF375" s="391">
        <f t="shared" si="341"/>
        <v>52589075</v>
      </c>
      <c r="BG375" s="391">
        <f t="shared" si="342"/>
        <v>55240625</v>
      </c>
    </row>
    <row r="376" spans="1:59" ht="15.75" customHeight="1">
      <c r="Q376" s="223"/>
    </row>
    <row r="377" spans="1:59" ht="15.75" customHeight="1"/>
    <row r="378" spans="1:59" ht="15.75" customHeight="1"/>
    <row r="379" spans="1:59" ht="15.75" customHeight="1"/>
    <row r="380" spans="1:59" ht="15.75" hidden="1" customHeight="1"/>
    <row r="381" spans="1:59" ht="15.75" hidden="1" customHeight="1"/>
    <row r="382" spans="1:59" ht="15.75" hidden="1" customHeight="1"/>
    <row r="383" spans="1:59" ht="15.75" hidden="1" customHeight="1"/>
    <row r="384" spans="1:59" ht="15.75" hidden="1" customHeight="1"/>
    <row r="385" ht="15.75" hidden="1" customHeight="1"/>
    <row r="386" ht="15.75" hidden="1" customHeight="1"/>
    <row r="387" ht="15.75" hidden="1" customHeight="1"/>
    <row r="388" ht="15.75" hidden="1" customHeight="1"/>
    <row r="389" ht="15.75" hidden="1" customHeight="1"/>
    <row r="390" ht="15.75" hidden="1" customHeight="1"/>
    <row r="391" ht="15.75" hidden="1" customHeight="1"/>
    <row r="392" ht="15.75" hidden="1" customHeight="1"/>
    <row r="393" ht="15.75" hidden="1" customHeight="1"/>
    <row r="394" ht="15.75" hidden="1" customHeight="1"/>
    <row r="395" ht="15.75" hidden="1" customHeight="1"/>
    <row r="396" ht="15.75" hidden="1" customHeight="1"/>
    <row r="397" ht="15.75" hidden="1" customHeight="1"/>
    <row r="398" ht="15.75" hidden="1" customHeight="1"/>
    <row r="399" ht="15.75" hidden="1" customHeight="1"/>
    <row r="400" ht="15.75" hidden="1" customHeight="1"/>
    <row r="401" ht="15.75" hidden="1" customHeight="1"/>
    <row r="402" ht="15.75" hidden="1" customHeight="1"/>
    <row r="403" ht="15.75" hidden="1" customHeight="1"/>
    <row r="404" ht="15.75" hidden="1" customHeight="1"/>
    <row r="405" ht="15.75" hidden="1" customHeight="1"/>
  </sheetData>
  <sortState ref="A16:BG1785">
    <sortCondition ref="D16:D1785"/>
  </sortState>
  <mergeCells count="6">
    <mergeCell ref="E2:F2"/>
    <mergeCell ref="AV13:BE13"/>
    <mergeCell ref="H13:Q13"/>
    <mergeCell ref="R13:AA13"/>
    <mergeCell ref="AB13:AK13"/>
    <mergeCell ref="AL13:AU13"/>
  </mergeCells>
  <hyperlinks>
    <hyperlink ref="E2:F2" location="'INDICE_ MODELO'!A1" display="Ir a Indice"/>
  </hyperlinks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257"/>
  <sheetViews>
    <sheetView zoomScaleNormal="100" workbookViewId="0"/>
  </sheetViews>
  <sheetFormatPr baseColWidth="10" defaultColWidth="0" defaultRowHeight="0" customHeight="1" zeroHeight="1"/>
  <cols>
    <col min="1" max="1" width="9.42578125" style="350" customWidth="1"/>
    <col min="2" max="3" width="8.140625" style="350" hidden="1" customWidth="1"/>
    <col min="4" max="4" width="28.42578125" style="350" customWidth="1"/>
    <col min="5" max="5" width="8.5703125" style="350" customWidth="1"/>
    <col min="6" max="6" width="54.7109375" style="350" customWidth="1"/>
    <col min="7" max="7" width="8.42578125" style="350" customWidth="1"/>
    <col min="8" max="8" width="11" style="350" customWidth="1"/>
    <col min="9" max="9" width="9.85546875" style="350" customWidth="1"/>
    <col min="10" max="10" width="10.42578125" style="350" customWidth="1"/>
    <col min="11" max="11" width="13.28515625" style="350" customWidth="1"/>
    <col min="12" max="13" width="13.7109375" style="350" customWidth="1"/>
    <col min="14" max="16" width="12" style="350" customWidth="1"/>
    <col min="17" max="17" width="17" style="350" customWidth="1"/>
    <col min="18" max="19" width="17.140625" style="350" customWidth="1"/>
    <col min="20" max="20" width="11" style="350" customWidth="1"/>
    <col min="21" max="21" width="9.85546875" style="350" customWidth="1"/>
    <col min="22" max="22" width="10.42578125" style="350" customWidth="1"/>
    <col min="23" max="23" width="13.28515625" style="350" customWidth="1"/>
    <col min="24" max="25" width="13.7109375" style="350" customWidth="1"/>
    <col min="26" max="28" width="12" style="350" customWidth="1"/>
    <col min="29" max="29" width="17" style="350" customWidth="1"/>
    <col min="30" max="31" width="17.140625" style="350" customWidth="1"/>
    <col min="32" max="32" width="11" style="350" customWidth="1"/>
    <col min="33" max="33" width="9.85546875" style="350" customWidth="1"/>
    <col min="34" max="34" width="10.42578125" style="350" customWidth="1"/>
    <col min="35" max="35" width="13.28515625" style="350" customWidth="1"/>
    <col min="36" max="37" width="13.7109375" style="350" customWidth="1"/>
    <col min="38" max="40" width="12" style="350" customWidth="1"/>
    <col min="41" max="41" width="17" style="350" customWidth="1"/>
    <col min="42" max="44" width="17.140625" style="350" customWidth="1"/>
    <col min="45" max="45" width="16.5703125" style="350" customWidth="1"/>
    <col min="46" max="54" width="0" style="349" hidden="1" customWidth="1"/>
    <col min="55" max="16384" width="11" style="349" hidden="1"/>
  </cols>
  <sheetData>
    <row r="1" spans="1:45" ht="15.75">
      <c r="A1" s="383"/>
      <c r="B1" s="384"/>
      <c r="C1" s="384"/>
      <c r="D1" s="384"/>
      <c r="E1" s="384"/>
      <c r="F1" s="384"/>
      <c r="G1" s="384"/>
      <c r="H1" s="384"/>
      <c r="I1" s="384"/>
      <c r="J1" s="384"/>
      <c r="K1" s="384"/>
      <c r="L1" s="384"/>
      <c r="M1" s="384"/>
      <c r="N1" s="384"/>
      <c r="O1" s="384"/>
      <c r="P1" s="384"/>
      <c r="Q1" s="384"/>
      <c r="R1" s="384"/>
      <c r="S1" s="384"/>
      <c r="T1" s="384"/>
      <c r="U1" s="384"/>
      <c r="V1" s="384"/>
      <c r="W1" s="384"/>
      <c r="X1" s="384"/>
      <c r="Y1" s="384"/>
      <c r="Z1" s="384"/>
      <c r="AA1" s="384"/>
      <c r="AB1" s="384"/>
      <c r="AC1" s="384"/>
      <c r="AD1" s="384"/>
      <c r="AE1" s="384"/>
      <c r="AF1" s="385"/>
      <c r="AG1" s="385"/>
      <c r="AH1" s="385"/>
      <c r="AI1" s="385"/>
      <c r="AJ1" s="385"/>
      <c r="AK1" s="385"/>
      <c r="AL1" s="384"/>
      <c r="AM1" s="384"/>
      <c r="AN1" s="384"/>
      <c r="AO1" s="384"/>
      <c r="AP1" s="384"/>
      <c r="AQ1" s="384"/>
      <c r="AR1" s="384"/>
      <c r="AS1" s="263"/>
    </row>
    <row r="2" spans="1:45" ht="20.25">
      <c r="A2" s="386"/>
      <c r="B2" s="351"/>
      <c r="C2" s="351"/>
      <c r="D2" s="351"/>
      <c r="E2" s="474" t="s">
        <v>1971</v>
      </c>
      <c r="F2" s="474"/>
      <c r="G2" s="369"/>
      <c r="H2" s="351"/>
      <c r="I2" s="351"/>
      <c r="J2" s="351"/>
      <c r="K2" s="351"/>
      <c r="L2" s="351"/>
      <c r="M2" s="351"/>
      <c r="N2" s="351"/>
      <c r="O2" s="351"/>
      <c r="P2" s="351"/>
      <c r="Q2" s="351"/>
      <c r="R2" s="351"/>
      <c r="S2" s="351"/>
      <c r="T2" s="351"/>
      <c r="U2" s="351"/>
      <c r="V2" s="351"/>
      <c r="W2" s="351"/>
      <c r="X2" s="351"/>
      <c r="Y2" s="351"/>
      <c r="Z2" s="351"/>
      <c r="AA2" s="351"/>
      <c r="AB2" s="351"/>
      <c r="AC2" s="351"/>
      <c r="AD2" s="351"/>
      <c r="AE2" s="351"/>
      <c r="AF2" s="356"/>
      <c r="AG2" s="356"/>
      <c r="AH2" s="356"/>
      <c r="AI2" s="356"/>
      <c r="AJ2" s="356"/>
      <c r="AK2" s="356"/>
      <c r="AL2" s="351"/>
      <c r="AM2" s="351"/>
      <c r="AN2" s="351"/>
      <c r="AO2" s="351"/>
      <c r="AP2" s="351"/>
      <c r="AQ2" s="351"/>
      <c r="AR2" s="351"/>
      <c r="AS2" s="264"/>
    </row>
    <row r="3" spans="1:45" ht="18">
      <c r="A3" s="486" t="s">
        <v>1968</v>
      </c>
      <c r="B3" s="487"/>
      <c r="C3" s="487"/>
      <c r="D3" s="487"/>
      <c r="E3" s="487"/>
      <c r="F3" s="487"/>
      <c r="G3" s="487"/>
      <c r="H3" s="487"/>
      <c r="I3" s="487"/>
      <c r="J3" s="487"/>
      <c r="K3" s="487"/>
      <c r="L3" s="487"/>
      <c r="M3" s="487"/>
      <c r="N3" s="487"/>
      <c r="O3" s="487"/>
      <c r="P3" s="487"/>
      <c r="Q3" s="487"/>
      <c r="R3" s="487"/>
      <c r="S3" s="487"/>
      <c r="T3" s="487"/>
      <c r="U3" s="487"/>
      <c r="V3" s="487"/>
      <c r="W3" s="487"/>
      <c r="X3" s="487"/>
      <c r="Y3" s="487"/>
      <c r="Z3" s="487"/>
      <c r="AA3" s="487"/>
      <c r="AB3" s="487"/>
      <c r="AC3" s="487"/>
      <c r="AD3" s="487"/>
      <c r="AE3" s="487"/>
      <c r="AF3" s="487"/>
      <c r="AG3" s="487"/>
      <c r="AH3" s="487"/>
      <c r="AI3" s="487"/>
      <c r="AJ3" s="487"/>
      <c r="AK3" s="487"/>
      <c r="AL3" s="487"/>
      <c r="AM3" s="487"/>
      <c r="AN3" s="487"/>
      <c r="AO3" s="487"/>
      <c r="AP3" s="487"/>
      <c r="AQ3" s="487"/>
      <c r="AR3" s="487"/>
      <c r="AS3" s="488"/>
    </row>
    <row r="4" spans="1:45" ht="18">
      <c r="A4" s="486" t="s">
        <v>1969</v>
      </c>
      <c r="B4" s="487"/>
      <c r="C4" s="487"/>
      <c r="D4" s="487"/>
      <c r="E4" s="487"/>
      <c r="F4" s="487"/>
      <c r="G4" s="487"/>
      <c r="H4" s="487"/>
      <c r="I4" s="487"/>
      <c r="J4" s="487"/>
      <c r="K4" s="487"/>
      <c r="L4" s="487"/>
      <c r="M4" s="487"/>
      <c r="N4" s="487"/>
      <c r="O4" s="487"/>
      <c r="P4" s="487"/>
      <c r="Q4" s="487"/>
      <c r="R4" s="487"/>
      <c r="S4" s="487"/>
      <c r="T4" s="487"/>
      <c r="U4" s="487"/>
      <c r="V4" s="487"/>
      <c r="W4" s="487"/>
      <c r="X4" s="487"/>
      <c r="Y4" s="487"/>
      <c r="Z4" s="487"/>
      <c r="AA4" s="487"/>
      <c r="AB4" s="487"/>
      <c r="AC4" s="487"/>
      <c r="AD4" s="487"/>
      <c r="AE4" s="487"/>
      <c r="AF4" s="487"/>
      <c r="AG4" s="487"/>
      <c r="AH4" s="487"/>
      <c r="AI4" s="487"/>
      <c r="AJ4" s="487"/>
      <c r="AK4" s="487"/>
      <c r="AL4" s="487"/>
      <c r="AM4" s="487"/>
      <c r="AN4" s="487"/>
      <c r="AO4" s="487"/>
      <c r="AP4" s="487"/>
      <c r="AQ4" s="487"/>
      <c r="AR4" s="487"/>
      <c r="AS4" s="488"/>
    </row>
    <row r="5" spans="1:45" ht="18">
      <c r="A5" s="486" t="s">
        <v>1970</v>
      </c>
      <c r="B5" s="487"/>
      <c r="C5" s="487"/>
      <c r="D5" s="487"/>
      <c r="E5" s="487"/>
      <c r="F5" s="487"/>
      <c r="G5" s="487"/>
      <c r="H5" s="487"/>
      <c r="I5" s="487"/>
      <c r="J5" s="487"/>
      <c r="K5" s="487"/>
      <c r="L5" s="487"/>
      <c r="M5" s="487"/>
      <c r="N5" s="487"/>
      <c r="O5" s="487"/>
      <c r="P5" s="487"/>
      <c r="Q5" s="487"/>
      <c r="R5" s="487"/>
      <c r="S5" s="487"/>
      <c r="T5" s="487"/>
      <c r="U5" s="487"/>
      <c r="V5" s="487"/>
      <c r="W5" s="487"/>
      <c r="X5" s="487"/>
      <c r="Y5" s="487"/>
      <c r="Z5" s="487"/>
      <c r="AA5" s="487"/>
      <c r="AB5" s="487"/>
      <c r="AC5" s="487"/>
      <c r="AD5" s="487"/>
      <c r="AE5" s="487"/>
      <c r="AF5" s="487"/>
      <c r="AG5" s="487"/>
      <c r="AH5" s="487"/>
      <c r="AI5" s="487"/>
      <c r="AJ5" s="487"/>
      <c r="AK5" s="487"/>
      <c r="AL5" s="487"/>
      <c r="AM5" s="487"/>
      <c r="AN5" s="487"/>
      <c r="AO5" s="487"/>
      <c r="AP5" s="487"/>
      <c r="AQ5" s="487"/>
      <c r="AR5" s="487"/>
      <c r="AS5" s="488"/>
    </row>
    <row r="6" spans="1:45" ht="18">
      <c r="A6" s="337"/>
      <c r="B6" s="338"/>
      <c r="C6" s="338"/>
      <c r="D6" s="338"/>
      <c r="E6" s="338"/>
      <c r="F6" s="338"/>
      <c r="G6" s="338"/>
      <c r="H6" s="338"/>
      <c r="I6" s="338"/>
      <c r="J6" s="338"/>
      <c r="K6" s="338"/>
      <c r="L6" s="338"/>
      <c r="M6" s="338"/>
      <c r="N6" s="338"/>
      <c r="O6" s="338"/>
      <c r="P6" s="338"/>
      <c r="Q6" s="338"/>
      <c r="R6" s="338"/>
      <c r="S6" s="338"/>
      <c r="T6" s="338"/>
      <c r="U6" s="338"/>
      <c r="V6" s="338"/>
      <c r="W6" s="338"/>
      <c r="X6" s="338"/>
      <c r="Y6" s="338"/>
      <c r="Z6" s="338"/>
      <c r="AA6" s="338"/>
      <c r="AB6" s="338"/>
      <c r="AC6" s="338"/>
      <c r="AD6" s="338"/>
      <c r="AE6" s="338"/>
      <c r="AF6" s="338"/>
      <c r="AG6" s="338"/>
      <c r="AH6" s="338"/>
      <c r="AI6" s="338"/>
      <c r="AJ6" s="338"/>
      <c r="AK6" s="338"/>
      <c r="AL6" s="338"/>
      <c r="AM6" s="338"/>
      <c r="AN6" s="338"/>
      <c r="AO6" s="338"/>
      <c r="AP6" s="338"/>
      <c r="AQ6" s="338"/>
      <c r="AR6" s="338"/>
      <c r="AS6" s="339"/>
    </row>
    <row r="7" spans="1:45" ht="18">
      <c r="A7" s="486" t="s">
        <v>1636</v>
      </c>
      <c r="B7" s="487"/>
      <c r="C7" s="487"/>
      <c r="D7" s="487"/>
      <c r="E7" s="487"/>
      <c r="F7" s="487"/>
      <c r="G7" s="487"/>
      <c r="H7" s="487"/>
      <c r="I7" s="487"/>
      <c r="J7" s="487"/>
      <c r="K7" s="487"/>
      <c r="L7" s="487"/>
      <c r="M7" s="487"/>
      <c r="N7" s="487"/>
      <c r="O7" s="487"/>
      <c r="P7" s="487"/>
      <c r="Q7" s="487"/>
      <c r="R7" s="487"/>
      <c r="S7" s="487"/>
      <c r="T7" s="487"/>
      <c r="U7" s="487"/>
      <c r="V7" s="487"/>
      <c r="W7" s="487"/>
      <c r="X7" s="487"/>
      <c r="Y7" s="487"/>
      <c r="Z7" s="487"/>
      <c r="AA7" s="487"/>
      <c r="AB7" s="487"/>
      <c r="AC7" s="487"/>
      <c r="AD7" s="487"/>
      <c r="AE7" s="487"/>
      <c r="AF7" s="487"/>
      <c r="AG7" s="487"/>
      <c r="AH7" s="487"/>
      <c r="AI7" s="487"/>
      <c r="AJ7" s="487"/>
      <c r="AK7" s="487"/>
      <c r="AL7" s="487"/>
      <c r="AM7" s="487"/>
      <c r="AN7" s="487"/>
      <c r="AO7" s="487"/>
      <c r="AP7" s="487"/>
      <c r="AQ7" s="487"/>
      <c r="AR7" s="487"/>
      <c r="AS7" s="488"/>
    </row>
    <row r="8" spans="1:45" ht="18">
      <c r="A8" s="483" t="str">
        <f>CONCATENATE("VALORES UNITARIOS CALCULADOS :"," ",COT_PRECALCULOS!D24)</f>
        <v>VALORES UNITARIOS CALCULADOS : Precios Base Gravable</v>
      </c>
      <c r="B8" s="484"/>
      <c r="C8" s="484"/>
      <c r="D8" s="484"/>
      <c r="E8" s="484"/>
      <c r="F8" s="484"/>
      <c r="G8" s="484"/>
      <c r="H8" s="484"/>
      <c r="I8" s="484"/>
      <c r="J8" s="484"/>
      <c r="K8" s="484"/>
      <c r="L8" s="484"/>
      <c r="M8" s="484"/>
      <c r="N8" s="484"/>
      <c r="O8" s="484"/>
      <c r="P8" s="484"/>
      <c r="Q8" s="484"/>
      <c r="R8" s="484"/>
      <c r="S8" s="484"/>
      <c r="T8" s="484"/>
      <c r="U8" s="484"/>
      <c r="V8" s="484"/>
      <c r="W8" s="484"/>
      <c r="X8" s="484"/>
      <c r="Y8" s="484"/>
      <c r="Z8" s="484"/>
      <c r="AA8" s="484"/>
      <c r="AB8" s="484"/>
      <c r="AC8" s="484"/>
      <c r="AD8" s="484"/>
      <c r="AE8" s="484"/>
      <c r="AF8" s="484"/>
      <c r="AG8" s="484"/>
      <c r="AH8" s="484"/>
      <c r="AI8" s="484"/>
      <c r="AJ8" s="484"/>
      <c r="AK8" s="484"/>
      <c r="AL8" s="484"/>
      <c r="AM8" s="484"/>
      <c r="AN8" s="484"/>
      <c r="AO8" s="484"/>
      <c r="AP8" s="484"/>
      <c r="AQ8" s="484"/>
      <c r="AR8" s="484"/>
      <c r="AS8" s="485"/>
    </row>
    <row r="9" spans="1:45" ht="15.75" thickBot="1">
      <c r="A9" s="387"/>
      <c r="B9" s="388"/>
      <c r="C9" s="388"/>
      <c r="D9" s="388"/>
      <c r="E9" s="388"/>
      <c r="F9" s="388"/>
      <c r="G9" s="388"/>
      <c r="H9" s="388"/>
      <c r="I9" s="388"/>
      <c r="J9" s="388"/>
      <c r="K9" s="388"/>
      <c r="L9" s="388"/>
      <c r="M9" s="388"/>
      <c r="N9" s="388"/>
      <c r="O9" s="388"/>
      <c r="P9" s="388"/>
      <c r="Q9" s="388"/>
      <c r="R9" s="388"/>
      <c r="S9" s="388"/>
      <c r="T9" s="388"/>
      <c r="U9" s="388"/>
      <c r="V9" s="388"/>
      <c r="W9" s="388"/>
      <c r="X9" s="388"/>
      <c r="Y9" s="388"/>
      <c r="Z9" s="388"/>
      <c r="AA9" s="388"/>
      <c r="AB9" s="388"/>
      <c r="AC9" s="388"/>
      <c r="AD9" s="388"/>
      <c r="AE9" s="388"/>
      <c r="AF9" s="388"/>
      <c r="AG9" s="388"/>
      <c r="AH9" s="388"/>
      <c r="AI9" s="388"/>
      <c r="AJ9" s="388"/>
      <c r="AK9" s="388"/>
      <c r="AL9" s="388"/>
      <c r="AM9" s="388"/>
      <c r="AN9" s="388"/>
      <c r="AO9" s="388"/>
      <c r="AP9" s="388"/>
      <c r="AQ9" s="388"/>
      <c r="AR9" s="388"/>
      <c r="AS9" s="447"/>
    </row>
    <row r="10" spans="1:45" ht="15.75">
      <c r="A10" s="210"/>
      <c r="B10" s="356"/>
      <c r="C10" s="356"/>
      <c r="D10" s="356"/>
      <c r="E10" s="356"/>
      <c r="F10" s="356"/>
      <c r="G10" s="356"/>
      <c r="H10" s="356"/>
      <c r="I10" s="356"/>
      <c r="J10" s="356"/>
      <c r="K10" s="356"/>
      <c r="L10" s="356"/>
      <c r="M10" s="356"/>
      <c r="N10" s="356"/>
      <c r="O10" s="356"/>
      <c r="P10" s="356"/>
      <c r="Q10" s="356"/>
      <c r="R10" s="356"/>
      <c r="S10" s="356"/>
      <c r="T10" s="356"/>
      <c r="U10" s="356"/>
      <c r="V10" s="356"/>
      <c r="W10" s="356"/>
      <c r="X10" s="356"/>
      <c r="Y10" s="356"/>
      <c r="Z10" s="356"/>
      <c r="AA10" s="356"/>
      <c r="AB10" s="356"/>
      <c r="AC10" s="356"/>
      <c r="AD10" s="356"/>
      <c r="AE10" s="356"/>
      <c r="AF10" s="356"/>
      <c r="AG10" s="356"/>
      <c r="AH10" s="356"/>
      <c r="AI10" s="356"/>
      <c r="AJ10" s="356"/>
      <c r="AK10" s="356"/>
      <c r="AL10" s="356"/>
      <c r="AM10" s="356"/>
      <c r="AN10" s="356"/>
      <c r="AO10" s="356"/>
      <c r="AP10" s="356"/>
      <c r="AQ10" s="356"/>
      <c r="AR10" s="356"/>
      <c r="AS10" s="385"/>
    </row>
    <row r="11" spans="1:45" ht="15.75">
      <c r="A11" s="356"/>
      <c r="B11" s="356"/>
      <c r="C11" s="356"/>
      <c r="D11" s="356"/>
      <c r="E11" s="356"/>
      <c r="F11" s="356"/>
      <c r="G11" s="356"/>
      <c r="H11" s="262"/>
      <c r="I11" s="262"/>
      <c r="J11" s="262"/>
      <c r="K11" s="429">
        <f>SUM(K16:K255)</f>
        <v>224424</v>
      </c>
      <c r="L11" s="429">
        <f>SUM(L16:L255)</f>
        <v>592</v>
      </c>
      <c r="M11" s="429">
        <f>SUM(M16:M255)</f>
        <v>4041260</v>
      </c>
      <c r="N11" s="262"/>
      <c r="O11" s="430">
        <f>SUM(O16:O255)</f>
        <v>3766.871999999998</v>
      </c>
      <c r="P11" s="430">
        <f>SUM(P16:P255)</f>
        <v>66.384635039999978</v>
      </c>
      <c r="Q11" s="430">
        <f>SUM(Q16:Q255)</f>
        <v>81030</v>
      </c>
      <c r="R11" s="430">
        <f>SUM(R16:R255)</f>
        <v>1271450035</v>
      </c>
      <c r="S11" s="430">
        <f>SUM(S16:S255)</f>
        <v>1334684376</v>
      </c>
      <c r="T11" s="262"/>
      <c r="U11" s="262"/>
      <c r="V11" s="262"/>
      <c r="W11" s="429">
        <f>SUM(W16:W255)</f>
        <v>250216</v>
      </c>
      <c r="X11" s="429">
        <f>SUM(X16:X255)</f>
        <v>3464</v>
      </c>
      <c r="Y11" s="429">
        <f>SUM(Y16:Y255)</f>
        <v>4513414</v>
      </c>
      <c r="Z11" s="262"/>
      <c r="AA11" s="430">
        <f>SUM(AA16:AA255)</f>
        <v>4274.8799999999974</v>
      </c>
      <c r="AB11" s="430">
        <f>SUM(AB16:AB255)</f>
        <v>75.337401599999964</v>
      </c>
      <c r="AC11" s="430">
        <f>SUM(AC16:AC255)</f>
        <v>91950</v>
      </c>
      <c r="AD11" s="430">
        <f>SUM(AD16:AD255)</f>
        <v>1616229612</v>
      </c>
      <c r="AE11" s="430">
        <f>SUM(AE16:AE255)</f>
        <v>1696587846</v>
      </c>
      <c r="AF11" s="262"/>
      <c r="AG11" s="262"/>
      <c r="AH11" s="262"/>
      <c r="AI11" s="429">
        <f>SUM(AI16:AI255)</f>
        <v>371752</v>
      </c>
      <c r="AJ11" s="429">
        <f>SUM(AJ16:AJ255)</f>
        <v>5464</v>
      </c>
      <c r="AK11" s="429">
        <f>SUM(AK16:AK255)</f>
        <v>6706562</v>
      </c>
      <c r="AL11" s="262"/>
      <c r="AM11" s="430">
        <f t="shared" ref="AM11:AS11" si="0">SUM(AM16:AM255)</f>
        <v>7359.5280000000112</v>
      </c>
      <c r="AN11" s="430">
        <f t="shared" si="0"/>
        <v>129.69901295999972</v>
      </c>
      <c r="AO11" s="430">
        <f t="shared" si="0"/>
        <v>158280</v>
      </c>
      <c r="AP11" s="430">
        <f t="shared" si="0"/>
        <v>4151543031</v>
      </c>
      <c r="AQ11" s="430">
        <f t="shared" si="0"/>
        <v>4357175594</v>
      </c>
      <c r="AR11" s="430">
        <f t="shared" si="0"/>
        <v>7039222678</v>
      </c>
      <c r="AS11" s="430">
        <f t="shared" si="0"/>
        <v>7388447816</v>
      </c>
    </row>
    <row r="12" spans="1:45" ht="6.75" customHeight="1">
      <c r="A12" s="356"/>
      <c r="B12" s="356"/>
      <c r="C12" s="356"/>
      <c r="D12" s="356"/>
      <c r="E12" s="356"/>
      <c r="F12" s="356"/>
      <c r="G12" s="356"/>
      <c r="H12" s="356"/>
      <c r="I12" s="356"/>
      <c r="J12" s="356"/>
      <c r="K12" s="356"/>
      <c r="L12" s="356"/>
      <c r="M12" s="356"/>
      <c r="N12" s="356"/>
      <c r="O12" s="356"/>
      <c r="P12" s="356"/>
      <c r="Q12" s="356"/>
      <c r="R12" s="356"/>
      <c r="S12" s="356"/>
      <c r="T12" s="356"/>
      <c r="U12" s="356"/>
      <c r="V12" s="356"/>
      <c r="W12" s="356"/>
      <c r="X12" s="356"/>
      <c r="Y12" s="356"/>
      <c r="Z12" s="356"/>
      <c r="AA12" s="356"/>
      <c r="AB12" s="356"/>
      <c r="AC12" s="356"/>
      <c r="AD12" s="356"/>
      <c r="AE12" s="356"/>
      <c r="AF12" s="356"/>
      <c r="AG12" s="356"/>
      <c r="AH12" s="356"/>
      <c r="AI12" s="356"/>
      <c r="AJ12" s="356"/>
      <c r="AK12" s="356"/>
      <c r="AL12" s="356"/>
      <c r="AM12" s="356"/>
      <c r="AN12" s="356"/>
      <c r="AO12" s="356"/>
      <c r="AP12" s="356"/>
      <c r="AQ12" s="356"/>
      <c r="AR12" s="356"/>
      <c r="AS12" s="356"/>
    </row>
    <row r="13" spans="1:45" ht="15.75">
      <c r="A13" s="356"/>
      <c r="B13" s="356"/>
      <c r="C13" s="356"/>
      <c r="D13" s="356"/>
      <c r="E13" s="356"/>
      <c r="F13" s="356"/>
      <c r="G13" s="356"/>
      <c r="H13" s="489" t="s">
        <v>1637</v>
      </c>
      <c r="I13" s="489"/>
      <c r="J13" s="489"/>
      <c r="K13" s="489"/>
      <c r="L13" s="489"/>
      <c r="M13" s="489"/>
      <c r="N13" s="489"/>
      <c r="O13" s="489"/>
      <c r="P13" s="489"/>
      <c r="Q13" s="489"/>
      <c r="R13" s="489"/>
      <c r="S13" s="489"/>
      <c r="T13" s="490" t="s">
        <v>1638</v>
      </c>
      <c r="U13" s="490"/>
      <c r="V13" s="490"/>
      <c r="W13" s="490"/>
      <c r="X13" s="490"/>
      <c r="Y13" s="490"/>
      <c r="Z13" s="490"/>
      <c r="AA13" s="490"/>
      <c r="AB13" s="490"/>
      <c r="AC13" s="490"/>
      <c r="AD13" s="490"/>
      <c r="AE13" s="490"/>
      <c r="AF13" s="489" t="s">
        <v>1639</v>
      </c>
      <c r="AG13" s="489"/>
      <c r="AH13" s="489"/>
      <c r="AI13" s="489"/>
      <c r="AJ13" s="489"/>
      <c r="AK13" s="489"/>
      <c r="AL13" s="489"/>
      <c r="AM13" s="489"/>
      <c r="AN13" s="489"/>
      <c r="AO13" s="489"/>
      <c r="AP13" s="489"/>
      <c r="AQ13" s="489"/>
      <c r="AR13" s="356"/>
      <c r="AS13" s="356"/>
    </row>
    <row r="14" spans="1:45" ht="7.5" customHeight="1">
      <c r="A14" s="356"/>
      <c r="B14" s="356"/>
      <c r="C14" s="356"/>
      <c r="D14" s="356"/>
      <c r="E14" s="356"/>
      <c r="F14" s="356"/>
      <c r="G14" s="356"/>
      <c r="H14" s="307"/>
      <c r="I14" s="307"/>
      <c r="J14" s="307"/>
      <c r="K14" s="307"/>
      <c r="L14" s="307"/>
      <c r="M14" s="307"/>
      <c r="N14" s="307"/>
      <c r="O14" s="307"/>
      <c r="P14" s="307"/>
      <c r="Q14" s="307"/>
      <c r="R14" s="307"/>
      <c r="S14" s="307"/>
      <c r="T14" s="308"/>
      <c r="U14" s="308"/>
      <c r="V14" s="336"/>
      <c r="W14" s="336"/>
      <c r="X14" s="336"/>
      <c r="Y14" s="336"/>
      <c r="Z14" s="336"/>
      <c r="AA14" s="308"/>
      <c r="AB14" s="308"/>
      <c r="AC14" s="308"/>
      <c r="AD14" s="308"/>
      <c r="AE14" s="336"/>
      <c r="AF14" s="307"/>
      <c r="AG14" s="307"/>
      <c r="AH14" s="307"/>
      <c r="AI14" s="307"/>
      <c r="AJ14" s="307"/>
      <c r="AK14" s="307"/>
      <c r="AL14" s="307"/>
      <c r="AM14" s="307"/>
      <c r="AN14" s="307"/>
      <c r="AO14" s="307"/>
      <c r="AP14" s="307"/>
      <c r="AQ14" s="307"/>
      <c r="AR14" s="356"/>
      <c r="AS14" s="356"/>
    </row>
    <row r="15" spans="1:45" ht="51">
      <c r="A15" s="378" t="s">
        <v>2520</v>
      </c>
      <c r="B15" s="378" t="s">
        <v>2459</v>
      </c>
      <c r="C15" s="378" t="s">
        <v>1330</v>
      </c>
      <c r="D15" s="378" t="s">
        <v>2521</v>
      </c>
      <c r="E15" s="230" t="s">
        <v>2008</v>
      </c>
      <c r="F15" s="230" t="s">
        <v>1642</v>
      </c>
      <c r="G15" s="230" t="s">
        <v>8</v>
      </c>
      <c r="H15" s="255" t="s">
        <v>2519</v>
      </c>
      <c r="I15" s="255" t="s">
        <v>2524</v>
      </c>
      <c r="J15" s="255" t="s">
        <v>2525</v>
      </c>
      <c r="K15" s="255" t="s">
        <v>2526</v>
      </c>
      <c r="L15" s="255" t="s">
        <v>2527</v>
      </c>
      <c r="M15" s="255" t="s">
        <v>2523</v>
      </c>
      <c r="N15" s="445" t="s">
        <v>2537</v>
      </c>
      <c r="O15" s="445" t="s">
        <v>2535</v>
      </c>
      <c r="P15" s="445" t="s">
        <v>2536</v>
      </c>
      <c r="Q15" s="445" t="s">
        <v>2538</v>
      </c>
      <c r="R15" s="255" t="s">
        <v>2539</v>
      </c>
      <c r="S15" s="255" t="s">
        <v>2540</v>
      </c>
      <c r="T15" s="345" t="s">
        <v>2519</v>
      </c>
      <c r="U15" s="345" t="s">
        <v>2524</v>
      </c>
      <c r="V15" s="230" t="s">
        <v>2525</v>
      </c>
      <c r="W15" s="230" t="s">
        <v>2526</v>
      </c>
      <c r="X15" s="230" t="s">
        <v>2527</v>
      </c>
      <c r="Y15" s="301" t="s">
        <v>2523</v>
      </c>
      <c r="Z15" s="449" t="s">
        <v>2537</v>
      </c>
      <c r="AA15" s="449" t="s">
        <v>2535</v>
      </c>
      <c r="AB15" s="445" t="s">
        <v>2536</v>
      </c>
      <c r="AC15" s="445" t="s">
        <v>2538</v>
      </c>
      <c r="AD15" s="301" t="s">
        <v>2539</v>
      </c>
      <c r="AE15" s="230" t="s">
        <v>2540</v>
      </c>
      <c r="AF15" s="255" t="s">
        <v>2519</v>
      </c>
      <c r="AG15" s="255" t="s">
        <v>2524</v>
      </c>
      <c r="AH15" s="255" t="s">
        <v>2525</v>
      </c>
      <c r="AI15" s="255" t="s">
        <v>2526</v>
      </c>
      <c r="AJ15" s="255" t="s">
        <v>2527</v>
      </c>
      <c r="AK15" s="255" t="s">
        <v>2523</v>
      </c>
      <c r="AL15" s="445" t="s">
        <v>2537</v>
      </c>
      <c r="AM15" s="445" t="s">
        <v>2535</v>
      </c>
      <c r="AN15" s="445" t="s">
        <v>2536</v>
      </c>
      <c r="AO15" s="445" t="s">
        <v>2538</v>
      </c>
      <c r="AP15" s="445" t="s">
        <v>2539</v>
      </c>
      <c r="AQ15" s="255" t="s">
        <v>2540</v>
      </c>
      <c r="AR15" s="301" t="s">
        <v>2541</v>
      </c>
      <c r="AS15" s="301" t="s">
        <v>2540</v>
      </c>
    </row>
    <row r="16" spans="1:45" ht="15.75">
      <c r="A16" s="226">
        <v>1</v>
      </c>
      <c r="B16" s="226" t="str">
        <f t="shared" ref="B16:B35" si="1">CONCATENATE(D16,"_",A16)</f>
        <v>CEREAL EMPACADO_1</v>
      </c>
      <c r="C16" s="333" t="str">
        <f t="shared" ref="C16:C35" si="2">CONCATENATE(E16,"_",A16)</f>
        <v>3_1</v>
      </c>
      <c r="D16" s="392" t="s">
        <v>1607</v>
      </c>
      <c r="E16" s="226">
        <v>3</v>
      </c>
      <c r="F16" s="325" t="s">
        <v>12</v>
      </c>
      <c r="G16" s="226" t="s">
        <v>9</v>
      </c>
      <c r="H16" s="421">
        <f t="shared" ref="H16:H35" si="3">SUMIF(MNU_CODIGO_ALIMENTO_ENTREGA,CONCATENATE($E16,"_","S_"),MNU_FRECUENCIAS_LAV_TIPOA)</f>
        <v>19</v>
      </c>
      <c r="I16" s="421">
        <f t="shared" ref="I16:I35" si="4">SUMIF(MNU_CODIGO_ALIMENTO_ENTREGA,CONCATENATE($E16,"_","S_"),MNU_FRECUENCIAS_FDS_TIPOA)</f>
        <v>0</v>
      </c>
      <c r="J16" s="422">
        <f t="array" ref="J16">MAX((IF(MNU_CODIGO_ALIMENTO_ENTREGA=CONCATENATE($E16,"_","S_"),MNU_GRAMAJE_REQUERIDO_TIPOA,"")))</f>
        <v>50</v>
      </c>
      <c r="K16" s="227">
        <f t="shared" ref="K16:K35" si="5">SUMIF(VOL_GRUPO,CONCATENATE($A16,"1052-2NO"),VOL_TIPOA)</f>
        <v>0</v>
      </c>
      <c r="L16" s="227">
        <f t="shared" ref="L16:L35" si="6">SUMIF(VOL_GRUPO,CONCATENATE($A16,"1052-2SI"),VOL_TIPOA)</f>
        <v>0</v>
      </c>
      <c r="M16" s="227">
        <f t="shared" ref="M16:M35" si="7">(H16*K16)+(I16*L16)</f>
        <v>0</v>
      </c>
      <c r="N16" s="448">
        <f t="shared" ref="N16:N35" si="8">IF(ISERROR(AVERAGEIFS(MNU_COSTO_UNITARIO_TIPOA_SELECCIONADO,MNU_CODIGO_ALIMENTO_ENTREGA,CONCATENATE($E16,"_","S_"))),0,AVERAGEIFS(MNU_COSTO_UNITARIO_TIPOA_SELECCIONADO,MNU_CODIGO_ALIMENTO_ENTREGA,CONCATENATE($E16,"_","S_")))</f>
        <v>481</v>
      </c>
      <c r="O16" s="448">
        <f t="shared" ref="O16:O35" si="9">(N16*0.01)+(N16*0.005)+(N16*0.02)+(N16*(13.8/1000))</f>
        <v>23.472799999999999</v>
      </c>
      <c r="P16" s="448">
        <f t="shared" ref="P16:P35" si="10">((N16+O16)*0.00071)+((N16+O16)*0.00011)</f>
        <v>0.41366769599999997</v>
      </c>
      <c r="Q16" s="448">
        <f t="shared" ref="Q16:Q35" si="11">ROUND(N16+O16+P16,0)</f>
        <v>505</v>
      </c>
      <c r="R16" s="228">
        <f t="shared" ref="R16:R35" si="12">(H16*K16*N16)+(I16*L16*N16)</f>
        <v>0</v>
      </c>
      <c r="S16" s="228">
        <f t="shared" ref="S16:S35" si="13">(H16*K16*Q16)+(I16*L16*Q16)</f>
        <v>0</v>
      </c>
      <c r="T16" s="423">
        <f t="shared" ref="T16:T35" si="14">SUMIF(MNU_CODIGO_ALIMENTO_ENTREGA,CONCATENATE($E16,"_","S_"),MNU_FRECUENCIAS_LAV_TIPOB)</f>
        <v>19</v>
      </c>
      <c r="U16" s="423">
        <f t="shared" ref="U16:U35" si="15">SUMIF(MNU_CODIGO_ALIMENTO_ENTREGA,CONCATENATE($E16,"_","S_"),MNU_FRECUENCIAS_FDS_TIPOB)</f>
        <v>0</v>
      </c>
      <c r="V16" s="424">
        <f t="array" ref="V16">MAX((IF(MNU_CODIGO_ALIMENTO_ENTREGA=CONCATENATE($E16,"_","S_"),MNU_GRAMAJE_REQUERIDO_TIPOB,"")))</f>
        <v>50</v>
      </c>
      <c r="W16" s="391">
        <f t="shared" ref="W16:W35" si="16">SUMIF(VOL_GRUPO,CONCATENATE($A16,"1052-2NO"),VOL_TIPOB)</f>
        <v>0</v>
      </c>
      <c r="X16" s="391">
        <f t="shared" ref="X16:X35" si="17">SUMIF(VOL_GRUPO,CONCATENATE($A16,"1052-2SI"),VOL_TIPOB)</f>
        <v>0</v>
      </c>
      <c r="Y16" s="391">
        <f t="shared" ref="Y16:Y35" si="18">(T16*W16)+(U16*X16)</f>
        <v>0</v>
      </c>
      <c r="Z16" s="448">
        <f t="shared" ref="Z16:Z35" si="19">IF(ISERROR(AVERAGEIFS(MNU_COSTO_UNITARIO_TIPOB_SELECCIONADO,MNU_CODIGO_ALIMENTO_ENTREGA,CONCATENATE($E16,"_","S_"))),0,AVERAGEIFS(MNU_COSTO_UNITARIO_TIPOB_SELECCIONADO,MNU_CODIGO_ALIMENTO_ENTREGA,CONCATENATE($E16,"_","S_")))</f>
        <v>481</v>
      </c>
      <c r="AA16" s="448">
        <f t="shared" ref="AA16:AA35" si="20">(Z16*0.01)+(Z16*0.005)+(Z16*0.02)+(Z16*(13.8/1000))</f>
        <v>23.472799999999999</v>
      </c>
      <c r="AB16" s="448">
        <f t="shared" ref="AB16:AB35" si="21">((Z16+AA16)*0.00071)+((Z16+AA16)*0.00011)</f>
        <v>0.41366769599999997</v>
      </c>
      <c r="AC16" s="448">
        <f t="shared" ref="AC16:AC35" si="22">ROUND(Z16+AA16+AB16,0)</f>
        <v>505</v>
      </c>
      <c r="AD16" s="229">
        <f t="shared" ref="AD16:AD35" si="23">(T16*W16*Z16)+(U16*X16*Z16)</f>
        <v>0</v>
      </c>
      <c r="AE16" s="229">
        <f t="shared" ref="AE16:AE35" si="24">(T16*W16*AC16)+(U16*X16*AC16)</f>
        <v>0</v>
      </c>
      <c r="AF16" s="421">
        <f t="shared" ref="AF16:AF35" si="25">SUMIF(MNU_CODIGO_ALIMENTO_ENTREGA,CONCATENATE($E16,"_","S_"),MNU_FRECUENCIAS_LAV_TIPOC)</f>
        <v>19</v>
      </c>
      <c r="AG16" s="421">
        <f t="shared" ref="AG16:AG35" si="26">SUMIF(MNU_CODIGO_ALIMENTO_ENTREGA,CONCATENATE($E16,"_","S_"),MNU_FRECUENCIAS_FDS_TIPOC)</f>
        <v>0</v>
      </c>
      <c r="AH16" s="422">
        <f t="array" ref="AH16">MAX((IF(MNU_CODIGO_ALIMENTO_ENTREGA=CONCATENATE($E16,"_","S_"),MNU_GRAMAJE_REQUERIDO_TIPOC,"")))</f>
        <v>80</v>
      </c>
      <c r="AI16" s="227">
        <f t="shared" ref="AI16:AI35" si="27">SUMIF(VOL_GRUPO,CONCATENATE($A16,"1052-2NO"),VOL_TIPOC)</f>
        <v>958</v>
      </c>
      <c r="AJ16" s="227">
        <f t="shared" ref="AJ16:AJ35" si="28">SUMIF(VOL_GRUPO,CONCATENATE($A16,"1052-2SI"),VOL_TIPOC)</f>
        <v>0</v>
      </c>
      <c r="AK16" s="227">
        <f t="shared" ref="AK16:AK35" si="29">(AF16*AI16)+(AG16*AJ16)</f>
        <v>18202</v>
      </c>
      <c r="AL16" s="448">
        <f t="shared" ref="AL16:AL35" si="30">IF(ISERROR(AVERAGEIFS(MNU_COSTO_UNITARIO_TIPOC_SELECCIONADO,MNU_CODIGO_ALIMENTO_ENTREGA,CONCATENATE($E16,"_","S_"))),0,AVERAGEIFS(MNU_COSTO_UNITARIO_TIPOC_SELECCIONADO,MNU_CODIGO_ALIMENTO_ENTREGA,CONCATENATE($E16,"_","S_")))</f>
        <v>727</v>
      </c>
      <c r="AM16" s="448">
        <f t="shared" ref="AM16:AM35" si="31">(AL16*0.01)+(AL16*0.005)+(AL16*0.02)+(AL16*(13.8/1000))</f>
        <v>35.477600000000002</v>
      </c>
      <c r="AN16" s="448">
        <f t="shared" ref="AN16:AN35" si="32">((AL16+AM16)*0.00071)+((AL16+AM16)*0.00011)</f>
        <v>0.62523163200000009</v>
      </c>
      <c r="AO16" s="448">
        <f t="shared" ref="AO16:AO35" si="33">ROUND(AL16+AM16+AN16,0)</f>
        <v>763</v>
      </c>
      <c r="AP16" s="448">
        <f t="shared" ref="AP16:AP35" si="34">(AF16*AI16*AL16)+(AG16*AJ16*AL16)</f>
        <v>13232854</v>
      </c>
      <c r="AQ16" s="228">
        <f t="shared" ref="AQ16:AQ35" si="35">(AF16*AI16*AO16)+(AG16*AJ16*AO16)</f>
        <v>13888126</v>
      </c>
      <c r="AR16" s="391">
        <f t="shared" ref="AR16:AR35" si="36">R16+AD16+AP16</f>
        <v>13232854</v>
      </c>
      <c r="AS16" s="391">
        <f t="shared" ref="AS16:AS35" si="37">S16+AE16+AQ16</f>
        <v>13888126</v>
      </c>
    </row>
    <row r="17" spans="1:45" ht="15.75">
      <c r="A17" s="226">
        <v>1</v>
      </c>
      <c r="B17" s="226" t="str">
        <f t="shared" si="1"/>
        <v>CEREAL EMPACADO_1</v>
      </c>
      <c r="C17" s="333" t="str">
        <f t="shared" si="2"/>
        <v>15_1</v>
      </c>
      <c r="D17" s="392" t="s">
        <v>1607</v>
      </c>
      <c r="E17" s="226">
        <v>15</v>
      </c>
      <c r="F17" s="325" t="s">
        <v>66</v>
      </c>
      <c r="G17" s="226" t="s">
        <v>9</v>
      </c>
      <c r="H17" s="421">
        <f t="shared" si="3"/>
        <v>11</v>
      </c>
      <c r="I17" s="421">
        <f t="shared" si="4"/>
        <v>11</v>
      </c>
      <c r="J17" s="422">
        <f t="array" ref="J17">MAX((IF(MNU_CODIGO_ALIMENTO_ENTREGA=CONCATENATE($E17,"_","S_"),MNU_GRAMAJE_REQUERIDO_TIPOA,"")))</f>
        <v>50</v>
      </c>
      <c r="K17" s="227">
        <f t="shared" si="5"/>
        <v>0</v>
      </c>
      <c r="L17" s="227">
        <f t="shared" si="6"/>
        <v>0</v>
      </c>
      <c r="M17" s="227">
        <f t="shared" si="7"/>
        <v>0</v>
      </c>
      <c r="N17" s="448">
        <f t="shared" si="8"/>
        <v>641</v>
      </c>
      <c r="O17" s="448">
        <f t="shared" si="9"/>
        <v>31.280800000000003</v>
      </c>
      <c r="P17" s="448">
        <f t="shared" si="10"/>
        <v>0.55127025600000001</v>
      </c>
      <c r="Q17" s="448">
        <f t="shared" si="11"/>
        <v>673</v>
      </c>
      <c r="R17" s="228">
        <f t="shared" si="12"/>
        <v>0</v>
      </c>
      <c r="S17" s="228">
        <f t="shared" si="13"/>
        <v>0</v>
      </c>
      <c r="T17" s="423">
        <f t="shared" si="14"/>
        <v>11</v>
      </c>
      <c r="U17" s="423">
        <f t="shared" si="15"/>
        <v>11</v>
      </c>
      <c r="V17" s="424">
        <f t="array" ref="V17">MAX((IF(MNU_CODIGO_ALIMENTO_ENTREGA=CONCATENATE($E17,"_","S_"),MNU_GRAMAJE_REQUERIDO_TIPOB,"")))</f>
        <v>50</v>
      </c>
      <c r="W17" s="391">
        <f t="shared" si="16"/>
        <v>0</v>
      </c>
      <c r="X17" s="391">
        <f t="shared" si="17"/>
        <v>0</v>
      </c>
      <c r="Y17" s="391">
        <f t="shared" si="18"/>
        <v>0</v>
      </c>
      <c r="Z17" s="448">
        <f t="shared" si="19"/>
        <v>641</v>
      </c>
      <c r="AA17" s="448">
        <f t="shared" si="20"/>
        <v>31.280800000000003</v>
      </c>
      <c r="AB17" s="448">
        <f t="shared" si="21"/>
        <v>0.55127025600000001</v>
      </c>
      <c r="AC17" s="448">
        <f t="shared" si="22"/>
        <v>673</v>
      </c>
      <c r="AD17" s="229">
        <f t="shared" si="23"/>
        <v>0</v>
      </c>
      <c r="AE17" s="229">
        <f t="shared" si="24"/>
        <v>0</v>
      </c>
      <c r="AF17" s="421">
        <f t="shared" si="25"/>
        <v>11</v>
      </c>
      <c r="AG17" s="421">
        <f t="shared" si="26"/>
        <v>11</v>
      </c>
      <c r="AH17" s="422">
        <f t="array" ref="AH17">MAX((IF(MNU_CODIGO_ALIMENTO_ENTREGA=CONCATENATE($E17,"_","S_"),MNU_GRAMAJE_REQUERIDO_TIPOC,"")))</f>
        <v>80</v>
      </c>
      <c r="AI17" s="227">
        <f t="shared" si="27"/>
        <v>958</v>
      </c>
      <c r="AJ17" s="227">
        <f t="shared" si="28"/>
        <v>0</v>
      </c>
      <c r="AK17" s="227">
        <f t="shared" si="29"/>
        <v>10538</v>
      </c>
      <c r="AL17" s="448">
        <f t="shared" si="30"/>
        <v>1025</v>
      </c>
      <c r="AM17" s="448">
        <f t="shared" si="31"/>
        <v>50.02</v>
      </c>
      <c r="AN17" s="448">
        <f t="shared" si="32"/>
        <v>0.88151640000000009</v>
      </c>
      <c r="AO17" s="448">
        <f t="shared" si="33"/>
        <v>1076</v>
      </c>
      <c r="AP17" s="448">
        <f t="shared" si="34"/>
        <v>10801450</v>
      </c>
      <c r="AQ17" s="228">
        <f t="shared" si="35"/>
        <v>11338888</v>
      </c>
      <c r="AR17" s="391">
        <f t="shared" si="36"/>
        <v>10801450</v>
      </c>
      <c r="AS17" s="391">
        <f t="shared" si="37"/>
        <v>11338888</v>
      </c>
    </row>
    <row r="18" spans="1:45" ht="27">
      <c r="A18" s="226">
        <v>1</v>
      </c>
      <c r="B18" s="226" t="str">
        <f t="shared" si="1"/>
        <v>CEREAL EMPACADO_1</v>
      </c>
      <c r="C18" s="333" t="str">
        <f t="shared" si="2"/>
        <v>21_1</v>
      </c>
      <c r="D18" s="392" t="s">
        <v>1607</v>
      </c>
      <c r="E18" s="226">
        <v>21</v>
      </c>
      <c r="F18" s="325" t="s">
        <v>70</v>
      </c>
      <c r="G18" s="226" t="s">
        <v>9</v>
      </c>
      <c r="H18" s="421">
        <f t="shared" si="3"/>
        <v>22</v>
      </c>
      <c r="I18" s="421">
        <f t="shared" si="4"/>
        <v>0</v>
      </c>
      <c r="J18" s="422">
        <f t="array" ref="J18">MAX((IF(MNU_CODIGO_ALIMENTO_ENTREGA=CONCATENATE($E18,"_","S_"),MNU_GRAMAJE_REQUERIDO_TIPOA,"")))</f>
        <v>30</v>
      </c>
      <c r="K18" s="227">
        <f t="shared" si="5"/>
        <v>0</v>
      </c>
      <c r="L18" s="227">
        <f t="shared" si="6"/>
        <v>0</v>
      </c>
      <c r="M18" s="227">
        <f t="shared" si="7"/>
        <v>0</v>
      </c>
      <c r="N18" s="448">
        <f t="shared" si="8"/>
        <v>458</v>
      </c>
      <c r="O18" s="448">
        <f t="shared" si="9"/>
        <v>22.3504</v>
      </c>
      <c r="P18" s="448">
        <f t="shared" si="10"/>
        <v>0.39388732799999998</v>
      </c>
      <c r="Q18" s="448">
        <f t="shared" si="11"/>
        <v>481</v>
      </c>
      <c r="R18" s="228">
        <f t="shared" si="12"/>
        <v>0</v>
      </c>
      <c r="S18" s="228">
        <f t="shared" si="13"/>
        <v>0</v>
      </c>
      <c r="T18" s="423">
        <f t="shared" si="14"/>
        <v>22</v>
      </c>
      <c r="U18" s="423">
        <f t="shared" si="15"/>
        <v>0</v>
      </c>
      <c r="V18" s="424">
        <f t="array" ref="V18">MAX((IF(MNU_CODIGO_ALIMENTO_ENTREGA=CONCATENATE($E18,"_","S_"),MNU_GRAMAJE_REQUERIDO_TIPOB,"")))</f>
        <v>30</v>
      </c>
      <c r="W18" s="391">
        <f t="shared" si="16"/>
        <v>0</v>
      </c>
      <c r="X18" s="391">
        <f t="shared" si="17"/>
        <v>0</v>
      </c>
      <c r="Y18" s="391">
        <f t="shared" si="18"/>
        <v>0</v>
      </c>
      <c r="Z18" s="448">
        <f t="shared" si="19"/>
        <v>458</v>
      </c>
      <c r="AA18" s="448">
        <f t="shared" si="20"/>
        <v>22.3504</v>
      </c>
      <c r="AB18" s="448">
        <f t="shared" si="21"/>
        <v>0.39388732799999998</v>
      </c>
      <c r="AC18" s="448">
        <f t="shared" si="22"/>
        <v>481</v>
      </c>
      <c r="AD18" s="229">
        <f t="shared" si="23"/>
        <v>0</v>
      </c>
      <c r="AE18" s="229">
        <f t="shared" si="24"/>
        <v>0</v>
      </c>
      <c r="AF18" s="421">
        <f t="shared" si="25"/>
        <v>22</v>
      </c>
      <c r="AG18" s="421">
        <f t="shared" si="26"/>
        <v>0</v>
      </c>
      <c r="AH18" s="422">
        <f t="array" ref="AH18">MAX((IF(MNU_CODIGO_ALIMENTO_ENTREGA=CONCATENATE($E18,"_","S_"),MNU_GRAMAJE_REQUERIDO_TIPOC,"")))</f>
        <v>50</v>
      </c>
      <c r="AI18" s="227">
        <f t="shared" si="27"/>
        <v>958</v>
      </c>
      <c r="AJ18" s="227">
        <f t="shared" si="28"/>
        <v>0</v>
      </c>
      <c r="AK18" s="227">
        <f t="shared" si="29"/>
        <v>21076</v>
      </c>
      <c r="AL18" s="448">
        <f t="shared" si="30"/>
        <v>764</v>
      </c>
      <c r="AM18" s="448">
        <f t="shared" si="31"/>
        <v>37.283200000000001</v>
      </c>
      <c r="AN18" s="448">
        <f t="shared" si="32"/>
        <v>0.65705222400000007</v>
      </c>
      <c r="AO18" s="448">
        <f t="shared" si="33"/>
        <v>802</v>
      </c>
      <c r="AP18" s="448">
        <f t="shared" si="34"/>
        <v>16102064</v>
      </c>
      <c r="AQ18" s="228">
        <f t="shared" si="35"/>
        <v>16902952</v>
      </c>
      <c r="AR18" s="391">
        <f t="shared" si="36"/>
        <v>16102064</v>
      </c>
      <c r="AS18" s="391">
        <f t="shared" si="37"/>
        <v>16902952</v>
      </c>
    </row>
    <row r="19" spans="1:45" ht="15.75">
      <c r="A19" s="226">
        <v>1</v>
      </c>
      <c r="B19" s="226" t="str">
        <f t="shared" si="1"/>
        <v>CEREAL EMPACADO_1</v>
      </c>
      <c r="C19" s="333" t="str">
        <f t="shared" si="2"/>
        <v>24_1</v>
      </c>
      <c r="D19" s="392" t="s">
        <v>1607</v>
      </c>
      <c r="E19" s="226">
        <v>24</v>
      </c>
      <c r="F19" s="325" t="s">
        <v>61</v>
      </c>
      <c r="G19" s="226" t="s">
        <v>9</v>
      </c>
      <c r="H19" s="421">
        <f t="shared" si="3"/>
        <v>11</v>
      </c>
      <c r="I19" s="421">
        <f t="shared" si="4"/>
        <v>11</v>
      </c>
      <c r="J19" s="422">
        <f t="array" ref="J19">MAX((IF(MNU_CODIGO_ALIMENTO_ENTREGA=CONCATENATE($E19,"_","S_"),MNU_GRAMAJE_REQUERIDO_TIPOA,"")))</f>
        <v>20</v>
      </c>
      <c r="K19" s="227">
        <f t="shared" si="5"/>
        <v>0</v>
      </c>
      <c r="L19" s="227">
        <f t="shared" si="6"/>
        <v>0</v>
      </c>
      <c r="M19" s="227">
        <f t="shared" si="7"/>
        <v>0</v>
      </c>
      <c r="N19" s="448">
        <f t="shared" si="8"/>
        <v>122</v>
      </c>
      <c r="O19" s="448">
        <f t="shared" si="9"/>
        <v>5.9535999999999998</v>
      </c>
      <c r="P19" s="448">
        <f t="shared" si="10"/>
        <v>0.104921952</v>
      </c>
      <c r="Q19" s="448">
        <f t="shared" si="11"/>
        <v>128</v>
      </c>
      <c r="R19" s="228">
        <f t="shared" si="12"/>
        <v>0</v>
      </c>
      <c r="S19" s="228">
        <f t="shared" si="13"/>
        <v>0</v>
      </c>
      <c r="T19" s="423">
        <f t="shared" si="14"/>
        <v>11</v>
      </c>
      <c r="U19" s="423">
        <f t="shared" si="15"/>
        <v>11</v>
      </c>
      <c r="V19" s="424">
        <f t="array" ref="V19">MAX((IF(MNU_CODIGO_ALIMENTO_ENTREGA=CONCATENATE($E19,"_","S_"),MNU_GRAMAJE_REQUERIDO_TIPOB,"")))</f>
        <v>30</v>
      </c>
      <c r="W19" s="391">
        <f t="shared" si="16"/>
        <v>0</v>
      </c>
      <c r="X19" s="391">
        <f t="shared" si="17"/>
        <v>0</v>
      </c>
      <c r="Y19" s="391">
        <f t="shared" si="18"/>
        <v>0</v>
      </c>
      <c r="Z19" s="448">
        <f t="shared" si="19"/>
        <v>191</v>
      </c>
      <c r="AA19" s="448">
        <f t="shared" si="20"/>
        <v>9.3208000000000002</v>
      </c>
      <c r="AB19" s="448">
        <f t="shared" si="21"/>
        <v>0.16426305600000002</v>
      </c>
      <c r="AC19" s="448">
        <f t="shared" si="22"/>
        <v>200</v>
      </c>
      <c r="AD19" s="229">
        <f t="shared" si="23"/>
        <v>0</v>
      </c>
      <c r="AE19" s="229">
        <f t="shared" si="24"/>
        <v>0</v>
      </c>
      <c r="AF19" s="421">
        <f t="shared" si="25"/>
        <v>11</v>
      </c>
      <c r="AG19" s="421">
        <f t="shared" si="26"/>
        <v>11</v>
      </c>
      <c r="AH19" s="422">
        <f t="array" ref="AH19">MAX((IF(MNU_CODIGO_ALIMENTO_ENTREGA=CONCATENATE($E19,"_","S_"),MNU_GRAMAJE_REQUERIDO_TIPOC,"")))</f>
        <v>60</v>
      </c>
      <c r="AI19" s="227">
        <f t="shared" si="27"/>
        <v>958</v>
      </c>
      <c r="AJ19" s="227">
        <f t="shared" si="28"/>
        <v>0</v>
      </c>
      <c r="AK19" s="227">
        <f t="shared" si="29"/>
        <v>10538</v>
      </c>
      <c r="AL19" s="448">
        <f t="shared" si="30"/>
        <v>367</v>
      </c>
      <c r="AM19" s="448">
        <f t="shared" si="31"/>
        <v>17.909599999999998</v>
      </c>
      <c r="AN19" s="448">
        <f t="shared" si="32"/>
        <v>0.31562587200000003</v>
      </c>
      <c r="AO19" s="448">
        <f t="shared" si="33"/>
        <v>385</v>
      </c>
      <c r="AP19" s="448">
        <f t="shared" si="34"/>
        <v>3867446</v>
      </c>
      <c r="AQ19" s="228">
        <f t="shared" si="35"/>
        <v>4057130</v>
      </c>
      <c r="AR19" s="391">
        <f t="shared" si="36"/>
        <v>3867446</v>
      </c>
      <c r="AS19" s="391">
        <f t="shared" si="37"/>
        <v>4057130</v>
      </c>
    </row>
    <row r="20" spans="1:45" ht="15.75">
      <c r="A20" s="226">
        <v>1</v>
      </c>
      <c r="B20" s="226" t="str">
        <f t="shared" si="1"/>
        <v>CEREAL EMPACADO_1</v>
      </c>
      <c r="C20" s="333" t="str">
        <f t="shared" si="2"/>
        <v>25_1</v>
      </c>
      <c r="D20" s="392" t="s">
        <v>1607</v>
      </c>
      <c r="E20" s="226">
        <v>25</v>
      </c>
      <c r="F20" s="325" t="s">
        <v>64</v>
      </c>
      <c r="G20" s="226" t="s">
        <v>9</v>
      </c>
      <c r="H20" s="421">
        <f t="shared" si="3"/>
        <v>22</v>
      </c>
      <c r="I20" s="421">
        <f t="shared" si="4"/>
        <v>0</v>
      </c>
      <c r="J20" s="422">
        <f t="array" ref="J20">MAX((IF(MNU_CODIGO_ALIMENTO_ENTREGA=CONCATENATE($E20,"_","S_"),MNU_GRAMAJE_REQUERIDO_TIPOA,"")))</f>
        <v>40</v>
      </c>
      <c r="K20" s="227">
        <f t="shared" si="5"/>
        <v>0</v>
      </c>
      <c r="L20" s="227">
        <f t="shared" si="6"/>
        <v>0</v>
      </c>
      <c r="M20" s="227">
        <f t="shared" si="7"/>
        <v>0</v>
      </c>
      <c r="N20" s="448">
        <f t="shared" si="8"/>
        <v>244</v>
      </c>
      <c r="O20" s="448">
        <f t="shared" si="9"/>
        <v>11.9072</v>
      </c>
      <c r="P20" s="448">
        <f t="shared" si="10"/>
        <v>0.209843904</v>
      </c>
      <c r="Q20" s="448">
        <f t="shared" si="11"/>
        <v>256</v>
      </c>
      <c r="R20" s="228">
        <f t="shared" si="12"/>
        <v>0</v>
      </c>
      <c r="S20" s="228">
        <f t="shared" si="13"/>
        <v>0</v>
      </c>
      <c r="T20" s="423">
        <f t="shared" si="14"/>
        <v>22</v>
      </c>
      <c r="U20" s="423">
        <f t="shared" si="15"/>
        <v>0</v>
      </c>
      <c r="V20" s="424">
        <f t="array" ref="V20">MAX((IF(MNU_CODIGO_ALIMENTO_ENTREGA=CONCATENATE($E20,"_","S_"),MNU_GRAMAJE_REQUERIDO_TIPOB,"")))</f>
        <v>40</v>
      </c>
      <c r="W20" s="391">
        <f t="shared" si="16"/>
        <v>0</v>
      </c>
      <c r="X20" s="391">
        <f t="shared" si="17"/>
        <v>0</v>
      </c>
      <c r="Y20" s="391">
        <f t="shared" si="18"/>
        <v>0</v>
      </c>
      <c r="Z20" s="448">
        <f t="shared" si="19"/>
        <v>244</v>
      </c>
      <c r="AA20" s="448">
        <f t="shared" si="20"/>
        <v>11.9072</v>
      </c>
      <c r="AB20" s="448">
        <f t="shared" si="21"/>
        <v>0.209843904</v>
      </c>
      <c r="AC20" s="448">
        <f t="shared" si="22"/>
        <v>256</v>
      </c>
      <c r="AD20" s="229">
        <f t="shared" si="23"/>
        <v>0</v>
      </c>
      <c r="AE20" s="229">
        <f t="shared" si="24"/>
        <v>0</v>
      </c>
      <c r="AF20" s="421">
        <f t="shared" si="25"/>
        <v>22</v>
      </c>
      <c r="AG20" s="421">
        <f t="shared" si="26"/>
        <v>0</v>
      </c>
      <c r="AH20" s="422">
        <f t="array" ref="AH20">MAX((IF(MNU_CODIGO_ALIMENTO_ENTREGA=CONCATENATE($E20,"_","S_"),MNU_GRAMAJE_REQUERIDO_TIPOC,"")))</f>
        <v>60</v>
      </c>
      <c r="AI20" s="227">
        <f t="shared" si="27"/>
        <v>958</v>
      </c>
      <c r="AJ20" s="227">
        <f t="shared" si="28"/>
        <v>0</v>
      </c>
      <c r="AK20" s="227">
        <f t="shared" si="29"/>
        <v>21076</v>
      </c>
      <c r="AL20" s="448">
        <f t="shared" si="30"/>
        <v>366</v>
      </c>
      <c r="AM20" s="448">
        <f t="shared" si="31"/>
        <v>17.860800000000001</v>
      </c>
      <c r="AN20" s="448">
        <f t="shared" si="32"/>
        <v>0.31476585600000001</v>
      </c>
      <c r="AO20" s="448">
        <f t="shared" si="33"/>
        <v>384</v>
      </c>
      <c r="AP20" s="448">
        <f t="shared" si="34"/>
        <v>7713816</v>
      </c>
      <c r="AQ20" s="228">
        <f t="shared" si="35"/>
        <v>8093184</v>
      </c>
      <c r="AR20" s="391">
        <f t="shared" si="36"/>
        <v>7713816</v>
      </c>
      <c r="AS20" s="391">
        <f t="shared" si="37"/>
        <v>8093184</v>
      </c>
    </row>
    <row r="21" spans="1:45" ht="27">
      <c r="A21" s="226">
        <v>1</v>
      </c>
      <c r="B21" s="226" t="str">
        <f t="shared" si="1"/>
        <v>CEREAL EMPACADO_1</v>
      </c>
      <c r="C21" s="333" t="str">
        <f t="shared" si="2"/>
        <v>28_1</v>
      </c>
      <c r="D21" s="392" t="s">
        <v>1607</v>
      </c>
      <c r="E21" s="226">
        <v>28</v>
      </c>
      <c r="F21" s="325" t="s">
        <v>67</v>
      </c>
      <c r="G21" s="226" t="s">
        <v>9</v>
      </c>
      <c r="H21" s="421">
        <f t="shared" si="3"/>
        <v>19</v>
      </c>
      <c r="I21" s="421">
        <f t="shared" si="4"/>
        <v>0</v>
      </c>
      <c r="J21" s="422">
        <f t="array" ref="J21">MAX((IF(MNU_CODIGO_ALIMENTO_ENTREGA=CONCATENATE($E21,"_","S_"),MNU_GRAMAJE_REQUERIDO_TIPOA,"")))</f>
        <v>30</v>
      </c>
      <c r="K21" s="227">
        <f t="shared" si="5"/>
        <v>0</v>
      </c>
      <c r="L21" s="227">
        <f t="shared" si="6"/>
        <v>0</v>
      </c>
      <c r="M21" s="227">
        <f t="shared" si="7"/>
        <v>0</v>
      </c>
      <c r="N21" s="448">
        <f t="shared" si="8"/>
        <v>215</v>
      </c>
      <c r="O21" s="448">
        <f t="shared" si="9"/>
        <v>10.492000000000001</v>
      </c>
      <c r="P21" s="448">
        <f t="shared" si="10"/>
        <v>0.18490343999999997</v>
      </c>
      <c r="Q21" s="448">
        <f t="shared" si="11"/>
        <v>226</v>
      </c>
      <c r="R21" s="228">
        <f t="shared" si="12"/>
        <v>0</v>
      </c>
      <c r="S21" s="228">
        <f t="shared" si="13"/>
        <v>0</v>
      </c>
      <c r="T21" s="423">
        <f t="shared" si="14"/>
        <v>19</v>
      </c>
      <c r="U21" s="423">
        <f t="shared" si="15"/>
        <v>0</v>
      </c>
      <c r="V21" s="424">
        <f t="array" ref="V21">MAX((IF(MNU_CODIGO_ALIMENTO_ENTREGA=CONCATENATE($E21,"_","S_"),MNU_GRAMAJE_REQUERIDO_TIPOB,"")))</f>
        <v>40</v>
      </c>
      <c r="W21" s="391">
        <f t="shared" si="16"/>
        <v>0</v>
      </c>
      <c r="X21" s="391">
        <f t="shared" si="17"/>
        <v>0</v>
      </c>
      <c r="Y21" s="391">
        <f t="shared" si="18"/>
        <v>0</v>
      </c>
      <c r="Z21" s="448">
        <f t="shared" si="19"/>
        <v>287</v>
      </c>
      <c r="AA21" s="448">
        <f t="shared" si="20"/>
        <v>14.005600000000001</v>
      </c>
      <c r="AB21" s="448">
        <f t="shared" si="21"/>
        <v>0.24682459200000004</v>
      </c>
      <c r="AC21" s="448">
        <f t="shared" si="22"/>
        <v>301</v>
      </c>
      <c r="AD21" s="229">
        <f t="shared" si="23"/>
        <v>0</v>
      </c>
      <c r="AE21" s="229">
        <f t="shared" si="24"/>
        <v>0</v>
      </c>
      <c r="AF21" s="421">
        <f t="shared" si="25"/>
        <v>19</v>
      </c>
      <c r="AG21" s="421">
        <f t="shared" si="26"/>
        <v>0</v>
      </c>
      <c r="AH21" s="422">
        <f t="array" ref="AH21">MAX((IF(MNU_CODIGO_ALIMENTO_ENTREGA=CONCATENATE($E21,"_","S_"),MNU_GRAMAJE_REQUERIDO_TIPOC,"")))</f>
        <v>60</v>
      </c>
      <c r="AI21" s="227">
        <f t="shared" si="27"/>
        <v>958</v>
      </c>
      <c r="AJ21" s="227">
        <f t="shared" si="28"/>
        <v>0</v>
      </c>
      <c r="AK21" s="227">
        <f t="shared" si="29"/>
        <v>18202</v>
      </c>
      <c r="AL21" s="448">
        <f t="shared" si="30"/>
        <v>430</v>
      </c>
      <c r="AM21" s="448">
        <f t="shared" si="31"/>
        <v>20.984000000000002</v>
      </c>
      <c r="AN21" s="448">
        <f t="shared" si="32"/>
        <v>0.36980687999999995</v>
      </c>
      <c r="AO21" s="448">
        <f t="shared" si="33"/>
        <v>451</v>
      </c>
      <c r="AP21" s="448">
        <f t="shared" si="34"/>
        <v>7826860</v>
      </c>
      <c r="AQ21" s="228">
        <f t="shared" si="35"/>
        <v>8209102</v>
      </c>
      <c r="AR21" s="391">
        <f t="shared" si="36"/>
        <v>7826860</v>
      </c>
      <c r="AS21" s="391">
        <f t="shared" si="37"/>
        <v>8209102</v>
      </c>
    </row>
    <row r="22" spans="1:45" ht="15.75">
      <c r="A22" s="226">
        <v>1</v>
      </c>
      <c r="B22" s="226" t="str">
        <f t="shared" si="1"/>
        <v>CEREAL EMPACADO_1</v>
      </c>
      <c r="C22" s="333" t="str">
        <f t="shared" si="2"/>
        <v>45_1</v>
      </c>
      <c r="D22" s="392" t="s">
        <v>1607</v>
      </c>
      <c r="E22" s="226">
        <v>45</v>
      </c>
      <c r="F22" s="325" t="s">
        <v>10</v>
      </c>
      <c r="G22" s="226" t="s">
        <v>9</v>
      </c>
      <c r="H22" s="421">
        <f t="shared" si="3"/>
        <v>20</v>
      </c>
      <c r="I22" s="421">
        <f t="shared" si="4"/>
        <v>0</v>
      </c>
      <c r="J22" s="422">
        <f t="array" ref="J22">MAX((IF(MNU_CODIGO_ALIMENTO_ENTREGA=CONCATENATE($E22,"_","S_"),MNU_GRAMAJE_REQUERIDO_TIPOA,"")))</f>
        <v>20</v>
      </c>
      <c r="K22" s="227">
        <f t="shared" si="5"/>
        <v>0</v>
      </c>
      <c r="L22" s="227">
        <f t="shared" si="6"/>
        <v>0</v>
      </c>
      <c r="M22" s="227">
        <f t="shared" si="7"/>
        <v>0</v>
      </c>
      <c r="N22" s="448">
        <f t="shared" si="8"/>
        <v>190</v>
      </c>
      <c r="O22" s="448">
        <f t="shared" si="9"/>
        <v>9.2720000000000002</v>
      </c>
      <c r="P22" s="448">
        <f t="shared" si="10"/>
        <v>0.16340304</v>
      </c>
      <c r="Q22" s="448">
        <f t="shared" si="11"/>
        <v>199</v>
      </c>
      <c r="R22" s="228">
        <f t="shared" si="12"/>
        <v>0</v>
      </c>
      <c r="S22" s="228">
        <f t="shared" si="13"/>
        <v>0</v>
      </c>
      <c r="T22" s="423">
        <f t="shared" si="14"/>
        <v>20</v>
      </c>
      <c r="U22" s="423">
        <f t="shared" si="15"/>
        <v>0</v>
      </c>
      <c r="V22" s="424">
        <f t="array" ref="V22">MAX((IF(MNU_CODIGO_ALIMENTO_ENTREGA=CONCATENATE($E22,"_","S_"),MNU_GRAMAJE_REQUERIDO_TIPOB,"")))</f>
        <v>30</v>
      </c>
      <c r="W22" s="391">
        <f t="shared" si="16"/>
        <v>0</v>
      </c>
      <c r="X22" s="391">
        <f t="shared" si="17"/>
        <v>0</v>
      </c>
      <c r="Y22" s="391">
        <f t="shared" si="18"/>
        <v>0</v>
      </c>
      <c r="Z22" s="448">
        <f t="shared" si="19"/>
        <v>284</v>
      </c>
      <c r="AA22" s="448">
        <f t="shared" si="20"/>
        <v>13.8592</v>
      </c>
      <c r="AB22" s="448">
        <f t="shared" si="21"/>
        <v>0.24424454399999998</v>
      </c>
      <c r="AC22" s="448">
        <f t="shared" si="22"/>
        <v>298</v>
      </c>
      <c r="AD22" s="229">
        <f t="shared" si="23"/>
        <v>0</v>
      </c>
      <c r="AE22" s="229">
        <f t="shared" si="24"/>
        <v>0</v>
      </c>
      <c r="AF22" s="421">
        <f t="shared" si="25"/>
        <v>20</v>
      </c>
      <c r="AG22" s="421">
        <f t="shared" si="26"/>
        <v>0</v>
      </c>
      <c r="AH22" s="422">
        <f t="array" ref="AH22">MAX((IF(MNU_CODIGO_ALIMENTO_ENTREGA=CONCATENATE($E22,"_","S_"),MNU_GRAMAJE_REQUERIDO_TIPOC,"")))</f>
        <v>60</v>
      </c>
      <c r="AI22" s="227">
        <f t="shared" si="27"/>
        <v>958</v>
      </c>
      <c r="AJ22" s="227">
        <f t="shared" si="28"/>
        <v>0</v>
      </c>
      <c r="AK22" s="227">
        <f t="shared" si="29"/>
        <v>19160</v>
      </c>
      <c r="AL22" s="448">
        <f t="shared" si="30"/>
        <v>569</v>
      </c>
      <c r="AM22" s="448">
        <f t="shared" si="31"/>
        <v>27.767199999999999</v>
      </c>
      <c r="AN22" s="448">
        <f t="shared" si="32"/>
        <v>0.48934910400000003</v>
      </c>
      <c r="AO22" s="448">
        <f t="shared" si="33"/>
        <v>597</v>
      </c>
      <c r="AP22" s="448">
        <f t="shared" si="34"/>
        <v>10902040</v>
      </c>
      <c r="AQ22" s="228">
        <f t="shared" si="35"/>
        <v>11438520</v>
      </c>
      <c r="AR22" s="391">
        <f t="shared" si="36"/>
        <v>10902040</v>
      </c>
      <c r="AS22" s="391">
        <f t="shared" si="37"/>
        <v>11438520</v>
      </c>
    </row>
    <row r="23" spans="1:45" ht="15.75">
      <c r="A23" s="226">
        <v>1</v>
      </c>
      <c r="B23" s="226" t="str">
        <f t="shared" si="1"/>
        <v>CEREAL EMPACADO_1</v>
      </c>
      <c r="C23" s="333" t="str">
        <f t="shared" si="2"/>
        <v>61_1</v>
      </c>
      <c r="D23" s="392" t="s">
        <v>1607</v>
      </c>
      <c r="E23" s="226">
        <v>61</v>
      </c>
      <c r="F23" s="325" t="s">
        <v>13</v>
      </c>
      <c r="G23" s="226" t="s">
        <v>9</v>
      </c>
      <c r="H23" s="421">
        <f t="shared" si="3"/>
        <v>20</v>
      </c>
      <c r="I23" s="421">
        <f t="shared" si="4"/>
        <v>0</v>
      </c>
      <c r="J23" s="422">
        <f t="array" ref="J23">MAX((IF(MNU_CODIGO_ALIMENTO_ENTREGA=CONCATENATE($E23,"_","S_"),MNU_GRAMAJE_REQUERIDO_TIPOA,"")))</f>
        <v>20</v>
      </c>
      <c r="K23" s="227">
        <f t="shared" si="5"/>
        <v>0</v>
      </c>
      <c r="L23" s="227">
        <f t="shared" si="6"/>
        <v>0</v>
      </c>
      <c r="M23" s="227">
        <f t="shared" si="7"/>
        <v>0</v>
      </c>
      <c r="N23" s="448">
        <f t="shared" si="8"/>
        <v>222</v>
      </c>
      <c r="O23" s="448">
        <f t="shared" si="9"/>
        <v>10.833600000000001</v>
      </c>
      <c r="P23" s="448">
        <f t="shared" si="10"/>
        <v>0.190923552</v>
      </c>
      <c r="Q23" s="448">
        <f t="shared" si="11"/>
        <v>233</v>
      </c>
      <c r="R23" s="228">
        <f t="shared" si="12"/>
        <v>0</v>
      </c>
      <c r="S23" s="228">
        <f t="shared" si="13"/>
        <v>0</v>
      </c>
      <c r="T23" s="423">
        <f t="shared" si="14"/>
        <v>20</v>
      </c>
      <c r="U23" s="423">
        <f t="shared" si="15"/>
        <v>0</v>
      </c>
      <c r="V23" s="424">
        <f t="array" ref="V23">MAX((IF(MNU_CODIGO_ALIMENTO_ENTREGA=CONCATENATE($E23,"_","S_"),MNU_GRAMAJE_REQUERIDO_TIPOB,"")))</f>
        <v>30</v>
      </c>
      <c r="W23" s="391">
        <f t="shared" si="16"/>
        <v>0</v>
      </c>
      <c r="X23" s="391">
        <f t="shared" si="17"/>
        <v>0</v>
      </c>
      <c r="Y23" s="391">
        <f t="shared" si="18"/>
        <v>0</v>
      </c>
      <c r="Z23" s="448">
        <f t="shared" si="19"/>
        <v>334</v>
      </c>
      <c r="AA23" s="448">
        <f t="shared" si="20"/>
        <v>16.299199999999999</v>
      </c>
      <c r="AB23" s="448">
        <f t="shared" si="21"/>
        <v>0.28724534400000001</v>
      </c>
      <c r="AC23" s="448">
        <f t="shared" si="22"/>
        <v>351</v>
      </c>
      <c r="AD23" s="229">
        <f t="shared" si="23"/>
        <v>0</v>
      </c>
      <c r="AE23" s="229">
        <f t="shared" si="24"/>
        <v>0</v>
      </c>
      <c r="AF23" s="421">
        <f t="shared" si="25"/>
        <v>20</v>
      </c>
      <c r="AG23" s="421">
        <f t="shared" si="26"/>
        <v>0</v>
      </c>
      <c r="AH23" s="422">
        <f t="array" ref="AH23">MAX((IF(MNU_CODIGO_ALIMENTO_ENTREGA=CONCATENATE($E23,"_","S_"),MNU_GRAMAJE_REQUERIDO_TIPOC,"")))</f>
        <v>70</v>
      </c>
      <c r="AI23" s="227">
        <f t="shared" si="27"/>
        <v>958</v>
      </c>
      <c r="AJ23" s="227">
        <f t="shared" si="28"/>
        <v>0</v>
      </c>
      <c r="AK23" s="227">
        <f t="shared" si="29"/>
        <v>19160</v>
      </c>
      <c r="AL23" s="448">
        <f t="shared" si="30"/>
        <v>779</v>
      </c>
      <c r="AM23" s="448">
        <f t="shared" si="31"/>
        <v>38.0152</v>
      </c>
      <c r="AN23" s="448">
        <f t="shared" si="32"/>
        <v>0.66995246400000008</v>
      </c>
      <c r="AO23" s="448">
        <f t="shared" si="33"/>
        <v>818</v>
      </c>
      <c r="AP23" s="448">
        <f t="shared" si="34"/>
        <v>14925640</v>
      </c>
      <c r="AQ23" s="228">
        <f t="shared" si="35"/>
        <v>15672880</v>
      </c>
      <c r="AR23" s="391">
        <f t="shared" si="36"/>
        <v>14925640</v>
      </c>
      <c r="AS23" s="391">
        <f t="shared" si="37"/>
        <v>15672880</v>
      </c>
    </row>
    <row r="24" spans="1:45" ht="15.75">
      <c r="A24" s="226">
        <v>2</v>
      </c>
      <c r="B24" s="226" t="str">
        <f t="shared" si="1"/>
        <v>CEREAL EMPACADO_2</v>
      </c>
      <c r="C24" s="333" t="str">
        <f t="shared" si="2"/>
        <v>3_2</v>
      </c>
      <c r="D24" s="392" t="s">
        <v>1607</v>
      </c>
      <c r="E24" s="226">
        <v>3</v>
      </c>
      <c r="F24" s="325" t="s">
        <v>12</v>
      </c>
      <c r="G24" s="226" t="s">
        <v>9</v>
      </c>
      <c r="H24" s="421">
        <f t="shared" si="3"/>
        <v>19</v>
      </c>
      <c r="I24" s="421">
        <f t="shared" si="4"/>
        <v>0</v>
      </c>
      <c r="J24" s="422">
        <f t="array" ref="J24">MAX((IF(MNU_CODIGO_ALIMENTO_ENTREGA=CONCATENATE($E24,"_","S_"),MNU_GRAMAJE_REQUERIDO_TIPOA,"")))</f>
        <v>50</v>
      </c>
      <c r="K24" s="227">
        <f t="shared" si="5"/>
        <v>737</v>
      </c>
      <c r="L24" s="227">
        <f t="shared" si="6"/>
        <v>0</v>
      </c>
      <c r="M24" s="227">
        <f t="shared" si="7"/>
        <v>14003</v>
      </c>
      <c r="N24" s="448">
        <f t="shared" si="8"/>
        <v>481</v>
      </c>
      <c r="O24" s="448">
        <f t="shared" si="9"/>
        <v>23.472799999999999</v>
      </c>
      <c r="P24" s="448">
        <f t="shared" si="10"/>
        <v>0.41366769599999997</v>
      </c>
      <c r="Q24" s="448">
        <f t="shared" si="11"/>
        <v>505</v>
      </c>
      <c r="R24" s="228">
        <f t="shared" si="12"/>
        <v>6735443</v>
      </c>
      <c r="S24" s="228">
        <f t="shared" si="13"/>
        <v>7071515</v>
      </c>
      <c r="T24" s="423">
        <f t="shared" si="14"/>
        <v>19</v>
      </c>
      <c r="U24" s="423">
        <f t="shared" si="15"/>
        <v>0</v>
      </c>
      <c r="V24" s="424">
        <f t="array" ref="V24">MAX((IF(MNU_CODIGO_ALIMENTO_ENTREGA=CONCATENATE($E24,"_","S_"),MNU_GRAMAJE_REQUERIDO_TIPOB,"")))</f>
        <v>50</v>
      </c>
      <c r="W24" s="391">
        <f t="shared" si="16"/>
        <v>689</v>
      </c>
      <c r="X24" s="391">
        <f t="shared" si="17"/>
        <v>0</v>
      </c>
      <c r="Y24" s="391">
        <f t="shared" si="18"/>
        <v>13091</v>
      </c>
      <c r="Z24" s="448">
        <f t="shared" si="19"/>
        <v>481</v>
      </c>
      <c r="AA24" s="448">
        <f t="shared" si="20"/>
        <v>23.472799999999999</v>
      </c>
      <c r="AB24" s="448">
        <f t="shared" si="21"/>
        <v>0.41366769599999997</v>
      </c>
      <c r="AC24" s="448">
        <f t="shared" si="22"/>
        <v>505</v>
      </c>
      <c r="AD24" s="229">
        <f t="shared" si="23"/>
        <v>6296771</v>
      </c>
      <c r="AE24" s="229">
        <f t="shared" si="24"/>
        <v>6610955</v>
      </c>
      <c r="AF24" s="421">
        <f t="shared" si="25"/>
        <v>19</v>
      </c>
      <c r="AG24" s="421">
        <f t="shared" si="26"/>
        <v>0</v>
      </c>
      <c r="AH24" s="422">
        <f t="array" ref="AH24">MAX((IF(MNU_CODIGO_ALIMENTO_ENTREGA=CONCATENATE($E24,"_","S_"),MNU_GRAMAJE_REQUERIDO_TIPOC,"")))</f>
        <v>80</v>
      </c>
      <c r="AI24" s="227">
        <f t="shared" si="27"/>
        <v>1686</v>
      </c>
      <c r="AJ24" s="227">
        <f t="shared" si="28"/>
        <v>0</v>
      </c>
      <c r="AK24" s="227">
        <f t="shared" si="29"/>
        <v>32034</v>
      </c>
      <c r="AL24" s="448">
        <f t="shared" si="30"/>
        <v>727</v>
      </c>
      <c r="AM24" s="448">
        <f t="shared" si="31"/>
        <v>35.477600000000002</v>
      </c>
      <c r="AN24" s="448">
        <f t="shared" si="32"/>
        <v>0.62523163200000009</v>
      </c>
      <c r="AO24" s="448">
        <f t="shared" si="33"/>
        <v>763</v>
      </c>
      <c r="AP24" s="448">
        <f t="shared" si="34"/>
        <v>23288718</v>
      </c>
      <c r="AQ24" s="228">
        <f t="shared" si="35"/>
        <v>24441942</v>
      </c>
      <c r="AR24" s="391">
        <f t="shared" si="36"/>
        <v>36320932</v>
      </c>
      <c r="AS24" s="391">
        <f t="shared" si="37"/>
        <v>38124412</v>
      </c>
    </row>
    <row r="25" spans="1:45" ht="15.75">
      <c r="A25" s="226">
        <v>2</v>
      </c>
      <c r="B25" s="226" t="str">
        <f t="shared" si="1"/>
        <v>CEREAL EMPACADO_2</v>
      </c>
      <c r="C25" s="333" t="str">
        <f t="shared" si="2"/>
        <v>15_2</v>
      </c>
      <c r="D25" s="392" t="s">
        <v>1607</v>
      </c>
      <c r="E25" s="226">
        <v>15</v>
      </c>
      <c r="F25" s="325" t="s">
        <v>66</v>
      </c>
      <c r="G25" s="226" t="s">
        <v>9</v>
      </c>
      <c r="H25" s="421">
        <f t="shared" si="3"/>
        <v>11</v>
      </c>
      <c r="I25" s="421">
        <f t="shared" si="4"/>
        <v>11</v>
      </c>
      <c r="J25" s="422">
        <f t="array" ref="J25">MAX((IF(MNU_CODIGO_ALIMENTO_ENTREGA=CONCATENATE($E25,"_","S_"),MNU_GRAMAJE_REQUERIDO_TIPOA,"")))</f>
        <v>50</v>
      </c>
      <c r="K25" s="227">
        <f t="shared" si="5"/>
        <v>737</v>
      </c>
      <c r="L25" s="227">
        <f t="shared" si="6"/>
        <v>0</v>
      </c>
      <c r="M25" s="227">
        <f t="shared" si="7"/>
        <v>8107</v>
      </c>
      <c r="N25" s="448">
        <f t="shared" si="8"/>
        <v>641</v>
      </c>
      <c r="O25" s="448">
        <f t="shared" si="9"/>
        <v>31.280800000000003</v>
      </c>
      <c r="P25" s="448">
        <f t="shared" si="10"/>
        <v>0.55127025600000001</v>
      </c>
      <c r="Q25" s="448">
        <f t="shared" si="11"/>
        <v>673</v>
      </c>
      <c r="R25" s="228">
        <f t="shared" si="12"/>
        <v>5196587</v>
      </c>
      <c r="S25" s="228">
        <f t="shared" si="13"/>
        <v>5456011</v>
      </c>
      <c r="T25" s="423">
        <f t="shared" si="14"/>
        <v>11</v>
      </c>
      <c r="U25" s="423">
        <f t="shared" si="15"/>
        <v>11</v>
      </c>
      <c r="V25" s="424">
        <f t="array" ref="V25">MAX((IF(MNU_CODIGO_ALIMENTO_ENTREGA=CONCATENATE($E25,"_","S_"),MNU_GRAMAJE_REQUERIDO_TIPOB,"")))</f>
        <v>50</v>
      </c>
      <c r="W25" s="391">
        <f t="shared" si="16"/>
        <v>689</v>
      </c>
      <c r="X25" s="391">
        <f t="shared" si="17"/>
        <v>0</v>
      </c>
      <c r="Y25" s="391">
        <f t="shared" si="18"/>
        <v>7579</v>
      </c>
      <c r="Z25" s="448">
        <f t="shared" si="19"/>
        <v>641</v>
      </c>
      <c r="AA25" s="448">
        <f t="shared" si="20"/>
        <v>31.280800000000003</v>
      </c>
      <c r="AB25" s="448">
        <f t="shared" si="21"/>
        <v>0.55127025600000001</v>
      </c>
      <c r="AC25" s="448">
        <f t="shared" si="22"/>
        <v>673</v>
      </c>
      <c r="AD25" s="229">
        <f t="shared" si="23"/>
        <v>4858139</v>
      </c>
      <c r="AE25" s="229">
        <f t="shared" si="24"/>
        <v>5100667</v>
      </c>
      <c r="AF25" s="421">
        <f t="shared" si="25"/>
        <v>11</v>
      </c>
      <c r="AG25" s="421">
        <f t="shared" si="26"/>
        <v>11</v>
      </c>
      <c r="AH25" s="422">
        <f t="array" ref="AH25">MAX((IF(MNU_CODIGO_ALIMENTO_ENTREGA=CONCATENATE($E25,"_","S_"),MNU_GRAMAJE_REQUERIDO_TIPOC,"")))</f>
        <v>80</v>
      </c>
      <c r="AI25" s="227">
        <f t="shared" si="27"/>
        <v>1686</v>
      </c>
      <c r="AJ25" s="227">
        <f t="shared" si="28"/>
        <v>0</v>
      </c>
      <c r="AK25" s="227">
        <f t="shared" si="29"/>
        <v>18546</v>
      </c>
      <c r="AL25" s="448">
        <f t="shared" si="30"/>
        <v>1025</v>
      </c>
      <c r="AM25" s="448">
        <f t="shared" si="31"/>
        <v>50.02</v>
      </c>
      <c r="AN25" s="448">
        <f t="shared" si="32"/>
        <v>0.88151640000000009</v>
      </c>
      <c r="AO25" s="448">
        <f t="shared" si="33"/>
        <v>1076</v>
      </c>
      <c r="AP25" s="448">
        <f t="shared" si="34"/>
        <v>19009650</v>
      </c>
      <c r="AQ25" s="228">
        <f t="shared" si="35"/>
        <v>19955496</v>
      </c>
      <c r="AR25" s="391">
        <f t="shared" si="36"/>
        <v>29064376</v>
      </c>
      <c r="AS25" s="391">
        <f t="shared" si="37"/>
        <v>30512174</v>
      </c>
    </row>
    <row r="26" spans="1:45" ht="27">
      <c r="A26" s="226">
        <v>2</v>
      </c>
      <c r="B26" s="226" t="str">
        <f t="shared" si="1"/>
        <v>CEREAL EMPACADO_2</v>
      </c>
      <c r="C26" s="333" t="str">
        <f t="shared" si="2"/>
        <v>21_2</v>
      </c>
      <c r="D26" s="392" t="s">
        <v>1607</v>
      </c>
      <c r="E26" s="226">
        <v>21</v>
      </c>
      <c r="F26" s="325" t="s">
        <v>70</v>
      </c>
      <c r="G26" s="226" t="s">
        <v>9</v>
      </c>
      <c r="H26" s="421">
        <f t="shared" si="3"/>
        <v>22</v>
      </c>
      <c r="I26" s="421">
        <f t="shared" si="4"/>
        <v>0</v>
      </c>
      <c r="J26" s="422">
        <f t="array" ref="J26">MAX((IF(MNU_CODIGO_ALIMENTO_ENTREGA=CONCATENATE($E26,"_","S_"),MNU_GRAMAJE_REQUERIDO_TIPOA,"")))</f>
        <v>30</v>
      </c>
      <c r="K26" s="227">
        <f t="shared" si="5"/>
        <v>737</v>
      </c>
      <c r="L26" s="227">
        <f t="shared" si="6"/>
        <v>0</v>
      </c>
      <c r="M26" s="227">
        <f t="shared" si="7"/>
        <v>16214</v>
      </c>
      <c r="N26" s="448">
        <f t="shared" si="8"/>
        <v>458</v>
      </c>
      <c r="O26" s="448">
        <f t="shared" si="9"/>
        <v>22.3504</v>
      </c>
      <c r="P26" s="448">
        <f t="shared" si="10"/>
        <v>0.39388732799999998</v>
      </c>
      <c r="Q26" s="448">
        <f t="shared" si="11"/>
        <v>481</v>
      </c>
      <c r="R26" s="228">
        <f t="shared" si="12"/>
        <v>7426012</v>
      </c>
      <c r="S26" s="228">
        <f t="shared" si="13"/>
        <v>7798934</v>
      </c>
      <c r="T26" s="423">
        <f t="shared" si="14"/>
        <v>22</v>
      </c>
      <c r="U26" s="423">
        <f t="shared" si="15"/>
        <v>0</v>
      </c>
      <c r="V26" s="424">
        <f t="array" ref="V26">MAX((IF(MNU_CODIGO_ALIMENTO_ENTREGA=CONCATENATE($E26,"_","S_"),MNU_GRAMAJE_REQUERIDO_TIPOB,"")))</f>
        <v>30</v>
      </c>
      <c r="W26" s="391">
        <f t="shared" si="16"/>
        <v>689</v>
      </c>
      <c r="X26" s="391">
        <f t="shared" si="17"/>
        <v>0</v>
      </c>
      <c r="Y26" s="391">
        <f t="shared" si="18"/>
        <v>15158</v>
      </c>
      <c r="Z26" s="448">
        <f t="shared" si="19"/>
        <v>458</v>
      </c>
      <c r="AA26" s="448">
        <f t="shared" si="20"/>
        <v>22.3504</v>
      </c>
      <c r="AB26" s="448">
        <f t="shared" si="21"/>
        <v>0.39388732799999998</v>
      </c>
      <c r="AC26" s="448">
        <f t="shared" si="22"/>
        <v>481</v>
      </c>
      <c r="AD26" s="229">
        <f t="shared" si="23"/>
        <v>6942364</v>
      </c>
      <c r="AE26" s="229">
        <f t="shared" si="24"/>
        <v>7290998</v>
      </c>
      <c r="AF26" s="421">
        <f t="shared" si="25"/>
        <v>22</v>
      </c>
      <c r="AG26" s="421">
        <f t="shared" si="26"/>
        <v>0</v>
      </c>
      <c r="AH26" s="422">
        <f t="array" ref="AH26">MAX((IF(MNU_CODIGO_ALIMENTO_ENTREGA=CONCATENATE($E26,"_","S_"),MNU_GRAMAJE_REQUERIDO_TIPOC,"")))</f>
        <v>50</v>
      </c>
      <c r="AI26" s="227">
        <f t="shared" si="27"/>
        <v>1686</v>
      </c>
      <c r="AJ26" s="227">
        <f t="shared" si="28"/>
        <v>0</v>
      </c>
      <c r="AK26" s="227">
        <f t="shared" si="29"/>
        <v>37092</v>
      </c>
      <c r="AL26" s="448">
        <f t="shared" si="30"/>
        <v>764</v>
      </c>
      <c r="AM26" s="448">
        <f t="shared" si="31"/>
        <v>37.283200000000001</v>
      </c>
      <c r="AN26" s="448">
        <f t="shared" si="32"/>
        <v>0.65705222400000007</v>
      </c>
      <c r="AO26" s="448">
        <f t="shared" si="33"/>
        <v>802</v>
      </c>
      <c r="AP26" s="448">
        <f t="shared" si="34"/>
        <v>28338288</v>
      </c>
      <c r="AQ26" s="228">
        <f t="shared" si="35"/>
        <v>29747784</v>
      </c>
      <c r="AR26" s="391">
        <f t="shared" si="36"/>
        <v>42706664</v>
      </c>
      <c r="AS26" s="391">
        <f t="shared" si="37"/>
        <v>44837716</v>
      </c>
    </row>
    <row r="27" spans="1:45" ht="15.75">
      <c r="A27" s="226">
        <v>2</v>
      </c>
      <c r="B27" s="226" t="str">
        <f t="shared" si="1"/>
        <v>CEREAL EMPACADO_2</v>
      </c>
      <c r="C27" s="333" t="str">
        <f t="shared" si="2"/>
        <v>24_2</v>
      </c>
      <c r="D27" s="392" t="s">
        <v>1607</v>
      </c>
      <c r="E27" s="226">
        <v>24</v>
      </c>
      <c r="F27" s="325" t="s">
        <v>61</v>
      </c>
      <c r="G27" s="226" t="s">
        <v>9</v>
      </c>
      <c r="H27" s="421">
        <f t="shared" si="3"/>
        <v>11</v>
      </c>
      <c r="I27" s="421">
        <f t="shared" si="4"/>
        <v>11</v>
      </c>
      <c r="J27" s="422">
        <f t="array" ref="J27">MAX((IF(MNU_CODIGO_ALIMENTO_ENTREGA=CONCATENATE($E27,"_","S_"),MNU_GRAMAJE_REQUERIDO_TIPOA,"")))</f>
        <v>20</v>
      </c>
      <c r="K27" s="227">
        <f t="shared" si="5"/>
        <v>737</v>
      </c>
      <c r="L27" s="227">
        <f t="shared" si="6"/>
        <v>0</v>
      </c>
      <c r="M27" s="227">
        <f t="shared" si="7"/>
        <v>8107</v>
      </c>
      <c r="N27" s="448">
        <f t="shared" si="8"/>
        <v>122</v>
      </c>
      <c r="O27" s="448">
        <f t="shared" si="9"/>
        <v>5.9535999999999998</v>
      </c>
      <c r="P27" s="448">
        <f t="shared" si="10"/>
        <v>0.104921952</v>
      </c>
      <c r="Q27" s="448">
        <f t="shared" si="11"/>
        <v>128</v>
      </c>
      <c r="R27" s="228">
        <f t="shared" si="12"/>
        <v>989054</v>
      </c>
      <c r="S27" s="228">
        <f t="shared" si="13"/>
        <v>1037696</v>
      </c>
      <c r="T27" s="423">
        <f t="shared" si="14"/>
        <v>11</v>
      </c>
      <c r="U27" s="423">
        <f t="shared" si="15"/>
        <v>11</v>
      </c>
      <c r="V27" s="424">
        <f t="array" ref="V27">MAX((IF(MNU_CODIGO_ALIMENTO_ENTREGA=CONCATENATE($E27,"_","S_"),MNU_GRAMAJE_REQUERIDO_TIPOB,"")))</f>
        <v>30</v>
      </c>
      <c r="W27" s="391">
        <f t="shared" si="16"/>
        <v>689</v>
      </c>
      <c r="X27" s="391">
        <f t="shared" si="17"/>
        <v>0</v>
      </c>
      <c r="Y27" s="391">
        <f t="shared" si="18"/>
        <v>7579</v>
      </c>
      <c r="Z27" s="448">
        <f t="shared" si="19"/>
        <v>191</v>
      </c>
      <c r="AA27" s="448">
        <f t="shared" si="20"/>
        <v>9.3208000000000002</v>
      </c>
      <c r="AB27" s="448">
        <f t="shared" si="21"/>
        <v>0.16426305600000002</v>
      </c>
      <c r="AC27" s="448">
        <f t="shared" si="22"/>
        <v>200</v>
      </c>
      <c r="AD27" s="229">
        <f t="shared" si="23"/>
        <v>1447589</v>
      </c>
      <c r="AE27" s="229">
        <f t="shared" si="24"/>
        <v>1515800</v>
      </c>
      <c r="AF27" s="421">
        <f t="shared" si="25"/>
        <v>11</v>
      </c>
      <c r="AG27" s="421">
        <f t="shared" si="26"/>
        <v>11</v>
      </c>
      <c r="AH27" s="422">
        <f t="array" ref="AH27">MAX((IF(MNU_CODIGO_ALIMENTO_ENTREGA=CONCATENATE($E27,"_","S_"),MNU_GRAMAJE_REQUERIDO_TIPOC,"")))</f>
        <v>60</v>
      </c>
      <c r="AI27" s="227">
        <f t="shared" si="27"/>
        <v>1686</v>
      </c>
      <c r="AJ27" s="227">
        <f t="shared" si="28"/>
        <v>0</v>
      </c>
      <c r="AK27" s="227">
        <f t="shared" si="29"/>
        <v>18546</v>
      </c>
      <c r="AL27" s="448">
        <f t="shared" si="30"/>
        <v>367</v>
      </c>
      <c r="AM27" s="448">
        <f t="shared" si="31"/>
        <v>17.909599999999998</v>
      </c>
      <c r="AN27" s="448">
        <f t="shared" si="32"/>
        <v>0.31562587200000003</v>
      </c>
      <c r="AO27" s="448">
        <f t="shared" si="33"/>
        <v>385</v>
      </c>
      <c r="AP27" s="448">
        <f t="shared" si="34"/>
        <v>6806382</v>
      </c>
      <c r="AQ27" s="228">
        <f t="shared" si="35"/>
        <v>7140210</v>
      </c>
      <c r="AR27" s="391">
        <f t="shared" si="36"/>
        <v>9243025</v>
      </c>
      <c r="AS27" s="391">
        <f t="shared" si="37"/>
        <v>9693706</v>
      </c>
    </row>
    <row r="28" spans="1:45" ht="15.75">
      <c r="A28" s="226">
        <v>2</v>
      </c>
      <c r="B28" s="226" t="str">
        <f t="shared" si="1"/>
        <v>CEREAL EMPACADO_2</v>
      </c>
      <c r="C28" s="333" t="str">
        <f t="shared" si="2"/>
        <v>25_2</v>
      </c>
      <c r="D28" s="392" t="s">
        <v>1607</v>
      </c>
      <c r="E28" s="226">
        <v>25</v>
      </c>
      <c r="F28" s="325" t="s">
        <v>64</v>
      </c>
      <c r="G28" s="226" t="s">
        <v>9</v>
      </c>
      <c r="H28" s="421">
        <f t="shared" si="3"/>
        <v>22</v>
      </c>
      <c r="I28" s="421">
        <f t="shared" si="4"/>
        <v>0</v>
      </c>
      <c r="J28" s="422">
        <f t="array" ref="J28">MAX((IF(MNU_CODIGO_ALIMENTO_ENTREGA=CONCATENATE($E28,"_","S_"),MNU_GRAMAJE_REQUERIDO_TIPOA,"")))</f>
        <v>40</v>
      </c>
      <c r="K28" s="227">
        <f t="shared" si="5"/>
        <v>737</v>
      </c>
      <c r="L28" s="227">
        <f t="shared" si="6"/>
        <v>0</v>
      </c>
      <c r="M28" s="227">
        <f t="shared" si="7"/>
        <v>16214</v>
      </c>
      <c r="N28" s="448">
        <f t="shared" si="8"/>
        <v>244</v>
      </c>
      <c r="O28" s="448">
        <f t="shared" si="9"/>
        <v>11.9072</v>
      </c>
      <c r="P28" s="448">
        <f t="shared" si="10"/>
        <v>0.209843904</v>
      </c>
      <c r="Q28" s="448">
        <f t="shared" si="11"/>
        <v>256</v>
      </c>
      <c r="R28" s="228">
        <f t="shared" si="12"/>
        <v>3956216</v>
      </c>
      <c r="S28" s="228">
        <f t="shared" si="13"/>
        <v>4150784</v>
      </c>
      <c r="T28" s="423">
        <f t="shared" si="14"/>
        <v>22</v>
      </c>
      <c r="U28" s="423">
        <f t="shared" si="15"/>
        <v>0</v>
      </c>
      <c r="V28" s="424">
        <f t="array" ref="V28">MAX((IF(MNU_CODIGO_ALIMENTO_ENTREGA=CONCATENATE($E28,"_","S_"),MNU_GRAMAJE_REQUERIDO_TIPOB,"")))</f>
        <v>40</v>
      </c>
      <c r="W28" s="391">
        <f t="shared" si="16"/>
        <v>689</v>
      </c>
      <c r="X28" s="391">
        <f t="shared" si="17"/>
        <v>0</v>
      </c>
      <c r="Y28" s="391">
        <f t="shared" si="18"/>
        <v>15158</v>
      </c>
      <c r="Z28" s="448">
        <f t="shared" si="19"/>
        <v>244</v>
      </c>
      <c r="AA28" s="448">
        <f t="shared" si="20"/>
        <v>11.9072</v>
      </c>
      <c r="AB28" s="448">
        <f t="shared" si="21"/>
        <v>0.209843904</v>
      </c>
      <c r="AC28" s="448">
        <f t="shared" si="22"/>
        <v>256</v>
      </c>
      <c r="AD28" s="229">
        <f t="shared" si="23"/>
        <v>3698552</v>
      </c>
      <c r="AE28" s="229">
        <f t="shared" si="24"/>
        <v>3880448</v>
      </c>
      <c r="AF28" s="421">
        <f t="shared" si="25"/>
        <v>22</v>
      </c>
      <c r="AG28" s="421">
        <f t="shared" si="26"/>
        <v>0</v>
      </c>
      <c r="AH28" s="422">
        <f t="array" ref="AH28">MAX((IF(MNU_CODIGO_ALIMENTO_ENTREGA=CONCATENATE($E28,"_","S_"),MNU_GRAMAJE_REQUERIDO_TIPOC,"")))</f>
        <v>60</v>
      </c>
      <c r="AI28" s="227">
        <f t="shared" si="27"/>
        <v>1686</v>
      </c>
      <c r="AJ28" s="227">
        <f t="shared" si="28"/>
        <v>0</v>
      </c>
      <c r="AK28" s="227">
        <f t="shared" si="29"/>
        <v>37092</v>
      </c>
      <c r="AL28" s="448">
        <f t="shared" si="30"/>
        <v>366</v>
      </c>
      <c r="AM28" s="448">
        <f t="shared" si="31"/>
        <v>17.860800000000001</v>
      </c>
      <c r="AN28" s="448">
        <f t="shared" si="32"/>
        <v>0.31476585600000001</v>
      </c>
      <c r="AO28" s="448">
        <f t="shared" si="33"/>
        <v>384</v>
      </c>
      <c r="AP28" s="448">
        <f t="shared" si="34"/>
        <v>13575672</v>
      </c>
      <c r="AQ28" s="228">
        <f t="shared" si="35"/>
        <v>14243328</v>
      </c>
      <c r="AR28" s="391">
        <f t="shared" si="36"/>
        <v>21230440</v>
      </c>
      <c r="AS28" s="391">
        <f t="shared" si="37"/>
        <v>22274560</v>
      </c>
    </row>
    <row r="29" spans="1:45" ht="27">
      <c r="A29" s="226">
        <v>2</v>
      </c>
      <c r="B29" s="226" t="str">
        <f t="shared" si="1"/>
        <v>CEREAL EMPACADO_2</v>
      </c>
      <c r="C29" s="333" t="str">
        <f t="shared" si="2"/>
        <v>28_2</v>
      </c>
      <c r="D29" s="392" t="s">
        <v>1607</v>
      </c>
      <c r="E29" s="226">
        <v>28</v>
      </c>
      <c r="F29" s="325" t="s">
        <v>67</v>
      </c>
      <c r="G29" s="226" t="s">
        <v>9</v>
      </c>
      <c r="H29" s="421">
        <f t="shared" si="3"/>
        <v>19</v>
      </c>
      <c r="I29" s="421">
        <f t="shared" si="4"/>
        <v>0</v>
      </c>
      <c r="J29" s="422">
        <f t="array" ref="J29">MAX((IF(MNU_CODIGO_ALIMENTO_ENTREGA=CONCATENATE($E29,"_","S_"),MNU_GRAMAJE_REQUERIDO_TIPOA,"")))</f>
        <v>30</v>
      </c>
      <c r="K29" s="227">
        <f t="shared" si="5"/>
        <v>737</v>
      </c>
      <c r="L29" s="227">
        <f t="shared" si="6"/>
        <v>0</v>
      </c>
      <c r="M29" s="227">
        <f t="shared" si="7"/>
        <v>14003</v>
      </c>
      <c r="N29" s="448">
        <f t="shared" si="8"/>
        <v>215</v>
      </c>
      <c r="O29" s="448">
        <f t="shared" si="9"/>
        <v>10.492000000000001</v>
      </c>
      <c r="P29" s="448">
        <f t="shared" si="10"/>
        <v>0.18490343999999997</v>
      </c>
      <c r="Q29" s="448">
        <f t="shared" si="11"/>
        <v>226</v>
      </c>
      <c r="R29" s="228">
        <f t="shared" si="12"/>
        <v>3010645</v>
      </c>
      <c r="S29" s="228">
        <f t="shared" si="13"/>
        <v>3164678</v>
      </c>
      <c r="T29" s="423">
        <f t="shared" si="14"/>
        <v>19</v>
      </c>
      <c r="U29" s="423">
        <f t="shared" si="15"/>
        <v>0</v>
      </c>
      <c r="V29" s="424">
        <f t="array" ref="V29">MAX((IF(MNU_CODIGO_ALIMENTO_ENTREGA=CONCATENATE($E29,"_","S_"),MNU_GRAMAJE_REQUERIDO_TIPOB,"")))</f>
        <v>40</v>
      </c>
      <c r="W29" s="391">
        <f t="shared" si="16"/>
        <v>689</v>
      </c>
      <c r="X29" s="391">
        <f t="shared" si="17"/>
        <v>0</v>
      </c>
      <c r="Y29" s="391">
        <f t="shared" si="18"/>
        <v>13091</v>
      </c>
      <c r="Z29" s="448">
        <f t="shared" si="19"/>
        <v>287</v>
      </c>
      <c r="AA29" s="448">
        <f t="shared" si="20"/>
        <v>14.005600000000001</v>
      </c>
      <c r="AB29" s="448">
        <f t="shared" si="21"/>
        <v>0.24682459200000004</v>
      </c>
      <c r="AC29" s="448">
        <f t="shared" si="22"/>
        <v>301</v>
      </c>
      <c r="AD29" s="229">
        <f t="shared" si="23"/>
        <v>3757117</v>
      </c>
      <c r="AE29" s="229">
        <f t="shared" si="24"/>
        <v>3940391</v>
      </c>
      <c r="AF29" s="421">
        <f t="shared" si="25"/>
        <v>19</v>
      </c>
      <c r="AG29" s="421">
        <f t="shared" si="26"/>
        <v>0</v>
      </c>
      <c r="AH29" s="422">
        <f t="array" ref="AH29">MAX((IF(MNU_CODIGO_ALIMENTO_ENTREGA=CONCATENATE($E29,"_","S_"),MNU_GRAMAJE_REQUERIDO_TIPOC,"")))</f>
        <v>60</v>
      </c>
      <c r="AI29" s="227">
        <f t="shared" si="27"/>
        <v>1686</v>
      </c>
      <c r="AJ29" s="227">
        <f t="shared" si="28"/>
        <v>0</v>
      </c>
      <c r="AK29" s="227">
        <f t="shared" si="29"/>
        <v>32034</v>
      </c>
      <c r="AL29" s="448">
        <f t="shared" si="30"/>
        <v>430</v>
      </c>
      <c r="AM29" s="448">
        <f t="shared" si="31"/>
        <v>20.984000000000002</v>
      </c>
      <c r="AN29" s="448">
        <f t="shared" si="32"/>
        <v>0.36980687999999995</v>
      </c>
      <c r="AO29" s="448">
        <f t="shared" si="33"/>
        <v>451</v>
      </c>
      <c r="AP29" s="448">
        <f t="shared" si="34"/>
        <v>13774620</v>
      </c>
      <c r="AQ29" s="228">
        <f t="shared" si="35"/>
        <v>14447334</v>
      </c>
      <c r="AR29" s="391">
        <f t="shared" si="36"/>
        <v>20542382</v>
      </c>
      <c r="AS29" s="391">
        <f t="shared" si="37"/>
        <v>21552403</v>
      </c>
    </row>
    <row r="30" spans="1:45" ht="15.75">
      <c r="A30" s="226">
        <v>2</v>
      </c>
      <c r="B30" s="226" t="str">
        <f t="shared" si="1"/>
        <v>CEREAL EMPACADO_2</v>
      </c>
      <c r="C30" s="333" t="str">
        <f t="shared" si="2"/>
        <v>45_2</v>
      </c>
      <c r="D30" s="392" t="s">
        <v>1607</v>
      </c>
      <c r="E30" s="226">
        <v>45</v>
      </c>
      <c r="F30" s="325" t="s">
        <v>10</v>
      </c>
      <c r="G30" s="226" t="s">
        <v>9</v>
      </c>
      <c r="H30" s="421">
        <f t="shared" si="3"/>
        <v>20</v>
      </c>
      <c r="I30" s="421">
        <f t="shared" si="4"/>
        <v>0</v>
      </c>
      <c r="J30" s="422">
        <f t="array" ref="J30">MAX((IF(MNU_CODIGO_ALIMENTO_ENTREGA=CONCATENATE($E30,"_","S_"),MNU_GRAMAJE_REQUERIDO_TIPOA,"")))</f>
        <v>20</v>
      </c>
      <c r="K30" s="227">
        <f t="shared" si="5"/>
        <v>737</v>
      </c>
      <c r="L30" s="227">
        <f t="shared" si="6"/>
        <v>0</v>
      </c>
      <c r="M30" s="227">
        <f t="shared" si="7"/>
        <v>14740</v>
      </c>
      <c r="N30" s="448">
        <f t="shared" si="8"/>
        <v>190</v>
      </c>
      <c r="O30" s="448">
        <f t="shared" si="9"/>
        <v>9.2720000000000002</v>
      </c>
      <c r="P30" s="448">
        <f t="shared" si="10"/>
        <v>0.16340304</v>
      </c>
      <c r="Q30" s="448">
        <f t="shared" si="11"/>
        <v>199</v>
      </c>
      <c r="R30" s="228">
        <f t="shared" si="12"/>
        <v>2800600</v>
      </c>
      <c r="S30" s="228">
        <f t="shared" si="13"/>
        <v>2933260</v>
      </c>
      <c r="T30" s="423">
        <f t="shared" si="14"/>
        <v>20</v>
      </c>
      <c r="U30" s="423">
        <f t="shared" si="15"/>
        <v>0</v>
      </c>
      <c r="V30" s="424">
        <f t="array" ref="V30">MAX((IF(MNU_CODIGO_ALIMENTO_ENTREGA=CONCATENATE($E30,"_","S_"),MNU_GRAMAJE_REQUERIDO_TIPOB,"")))</f>
        <v>30</v>
      </c>
      <c r="W30" s="391">
        <f t="shared" si="16"/>
        <v>689</v>
      </c>
      <c r="X30" s="391">
        <f t="shared" si="17"/>
        <v>0</v>
      </c>
      <c r="Y30" s="391">
        <f t="shared" si="18"/>
        <v>13780</v>
      </c>
      <c r="Z30" s="448">
        <f t="shared" si="19"/>
        <v>284</v>
      </c>
      <c r="AA30" s="448">
        <f t="shared" si="20"/>
        <v>13.8592</v>
      </c>
      <c r="AB30" s="448">
        <f t="shared" si="21"/>
        <v>0.24424454399999998</v>
      </c>
      <c r="AC30" s="448">
        <f t="shared" si="22"/>
        <v>298</v>
      </c>
      <c r="AD30" s="229">
        <f t="shared" si="23"/>
        <v>3913520</v>
      </c>
      <c r="AE30" s="229">
        <f t="shared" si="24"/>
        <v>4106440</v>
      </c>
      <c r="AF30" s="421">
        <f t="shared" si="25"/>
        <v>20</v>
      </c>
      <c r="AG30" s="421">
        <f t="shared" si="26"/>
        <v>0</v>
      </c>
      <c r="AH30" s="422">
        <f t="array" ref="AH30">MAX((IF(MNU_CODIGO_ALIMENTO_ENTREGA=CONCATENATE($E30,"_","S_"),MNU_GRAMAJE_REQUERIDO_TIPOC,"")))</f>
        <v>60</v>
      </c>
      <c r="AI30" s="227">
        <f t="shared" si="27"/>
        <v>1686</v>
      </c>
      <c r="AJ30" s="227">
        <f t="shared" si="28"/>
        <v>0</v>
      </c>
      <c r="AK30" s="227">
        <f t="shared" si="29"/>
        <v>33720</v>
      </c>
      <c r="AL30" s="448">
        <f t="shared" si="30"/>
        <v>569</v>
      </c>
      <c r="AM30" s="448">
        <f t="shared" si="31"/>
        <v>27.767199999999999</v>
      </c>
      <c r="AN30" s="448">
        <f t="shared" si="32"/>
        <v>0.48934910400000003</v>
      </c>
      <c r="AO30" s="448">
        <f t="shared" si="33"/>
        <v>597</v>
      </c>
      <c r="AP30" s="448">
        <f t="shared" si="34"/>
        <v>19186680</v>
      </c>
      <c r="AQ30" s="228">
        <f t="shared" si="35"/>
        <v>20130840</v>
      </c>
      <c r="AR30" s="391">
        <f t="shared" si="36"/>
        <v>25900800</v>
      </c>
      <c r="AS30" s="391">
        <f t="shared" si="37"/>
        <v>27170540</v>
      </c>
    </row>
    <row r="31" spans="1:45" ht="15.75">
      <c r="A31" s="226">
        <v>2</v>
      </c>
      <c r="B31" s="226" t="str">
        <f t="shared" si="1"/>
        <v>CEREAL EMPACADO_2</v>
      </c>
      <c r="C31" s="333" t="str">
        <f t="shared" si="2"/>
        <v>61_2</v>
      </c>
      <c r="D31" s="392" t="s">
        <v>1607</v>
      </c>
      <c r="E31" s="226">
        <v>61</v>
      </c>
      <c r="F31" s="325" t="s">
        <v>13</v>
      </c>
      <c r="G31" s="226" t="s">
        <v>9</v>
      </c>
      <c r="H31" s="421">
        <f t="shared" si="3"/>
        <v>20</v>
      </c>
      <c r="I31" s="421">
        <f t="shared" si="4"/>
        <v>0</v>
      </c>
      <c r="J31" s="422">
        <f t="array" ref="J31">MAX((IF(MNU_CODIGO_ALIMENTO_ENTREGA=CONCATENATE($E31,"_","S_"),MNU_GRAMAJE_REQUERIDO_TIPOA,"")))</f>
        <v>20</v>
      </c>
      <c r="K31" s="227">
        <f t="shared" si="5"/>
        <v>737</v>
      </c>
      <c r="L31" s="227">
        <f t="shared" si="6"/>
        <v>0</v>
      </c>
      <c r="M31" s="227">
        <f t="shared" si="7"/>
        <v>14740</v>
      </c>
      <c r="N31" s="448">
        <f t="shared" si="8"/>
        <v>222</v>
      </c>
      <c r="O31" s="448">
        <f t="shared" si="9"/>
        <v>10.833600000000001</v>
      </c>
      <c r="P31" s="448">
        <f t="shared" si="10"/>
        <v>0.190923552</v>
      </c>
      <c r="Q31" s="448">
        <f t="shared" si="11"/>
        <v>233</v>
      </c>
      <c r="R31" s="228">
        <f t="shared" si="12"/>
        <v>3272280</v>
      </c>
      <c r="S31" s="228">
        <f t="shared" si="13"/>
        <v>3434420</v>
      </c>
      <c r="T31" s="423">
        <f t="shared" si="14"/>
        <v>20</v>
      </c>
      <c r="U31" s="423">
        <f t="shared" si="15"/>
        <v>0</v>
      </c>
      <c r="V31" s="424">
        <f t="array" ref="V31">MAX((IF(MNU_CODIGO_ALIMENTO_ENTREGA=CONCATENATE($E31,"_","S_"),MNU_GRAMAJE_REQUERIDO_TIPOB,"")))</f>
        <v>30</v>
      </c>
      <c r="W31" s="391">
        <f t="shared" si="16"/>
        <v>689</v>
      </c>
      <c r="X31" s="391">
        <f t="shared" si="17"/>
        <v>0</v>
      </c>
      <c r="Y31" s="391">
        <f t="shared" si="18"/>
        <v>13780</v>
      </c>
      <c r="Z31" s="448">
        <f t="shared" si="19"/>
        <v>334</v>
      </c>
      <c r="AA31" s="448">
        <f t="shared" si="20"/>
        <v>16.299199999999999</v>
      </c>
      <c r="AB31" s="448">
        <f t="shared" si="21"/>
        <v>0.28724534400000001</v>
      </c>
      <c r="AC31" s="448">
        <f t="shared" si="22"/>
        <v>351</v>
      </c>
      <c r="AD31" s="229">
        <f t="shared" si="23"/>
        <v>4602520</v>
      </c>
      <c r="AE31" s="229">
        <f t="shared" si="24"/>
        <v>4836780</v>
      </c>
      <c r="AF31" s="421">
        <f t="shared" si="25"/>
        <v>20</v>
      </c>
      <c r="AG31" s="421">
        <f t="shared" si="26"/>
        <v>0</v>
      </c>
      <c r="AH31" s="422">
        <f t="array" ref="AH31">MAX((IF(MNU_CODIGO_ALIMENTO_ENTREGA=CONCATENATE($E31,"_","S_"),MNU_GRAMAJE_REQUERIDO_TIPOC,"")))</f>
        <v>70</v>
      </c>
      <c r="AI31" s="227">
        <f t="shared" si="27"/>
        <v>1686</v>
      </c>
      <c r="AJ31" s="227">
        <f t="shared" si="28"/>
        <v>0</v>
      </c>
      <c r="AK31" s="227">
        <f t="shared" si="29"/>
        <v>33720</v>
      </c>
      <c r="AL31" s="448">
        <f t="shared" si="30"/>
        <v>779</v>
      </c>
      <c r="AM31" s="448">
        <f t="shared" si="31"/>
        <v>38.0152</v>
      </c>
      <c r="AN31" s="448">
        <f t="shared" si="32"/>
        <v>0.66995246400000008</v>
      </c>
      <c r="AO31" s="448">
        <f t="shared" si="33"/>
        <v>818</v>
      </c>
      <c r="AP31" s="448">
        <f t="shared" si="34"/>
        <v>26267880</v>
      </c>
      <c r="AQ31" s="228">
        <f t="shared" si="35"/>
        <v>27582960</v>
      </c>
      <c r="AR31" s="391">
        <f t="shared" si="36"/>
        <v>34142680</v>
      </c>
      <c r="AS31" s="391">
        <f t="shared" si="37"/>
        <v>35854160</v>
      </c>
    </row>
    <row r="32" spans="1:45" ht="15.75">
      <c r="A32" s="226">
        <v>3</v>
      </c>
      <c r="B32" s="226" t="str">
        <f t="shared" si="1"/>
        <v>CEREAL EMPACADO_3</v>
      </c>
      <c r="C32" s="333" t="str">
        <f t="shared" si="2"/>
        <v>3_3</v>
      </c>
      <c r="D32" s="392" t="s">
        <v>1607</v>
      </c>
      <c r="E32" s="226">
        <v>3</v>
      </c>
      <c r="F32" s="325" t="s">
        <v>12</v>
      </c>
      <c r="G32" s="226" t="s">
        <v>9</v>
      </c>
      <c r="H32" s="421">
        <f t="shared" si="3"/>
        <v>19</v>
      </c>
      <c r="I32" s="421">
        <f t="shared" si="4"/>
        <v>0</v>
      </c>
      <c r="J32" s="422">
        <f t="array" ref="J32">MAX((IF(MNU_CODIGO_ALIMENTO_ENTREGA=CONCATENATE($E32,"_","S_"),MNU_GRAMAJE_REQUERIDO_TIPOA,"")))</f>
        <v>50</v>
      </c>
      <c r="K32" s="227">
        <f t="shared" si="5"/>
        <v>432</v>
      </c>
      <c r="L32" s="227">
        <f t="shared" si="6"/>
        <v>0</v>
      </c>
      <c r="M32" s="227">
        <f t="shared" si="7"/>
        <v>8208</v>
      </c>
      <c r="N32" s="448">
        <f t="shared" si="8"/>
        <v>481</v>
      </c>
      <c r="O32" s="448">
        <f t="shared" si="9"/>
        <v>23.472799999999999</v>
      </c>
      <c r="P32" s="448">
        <f t="shared" si="10"/>
        <v>0.41366769599999997</v>
      </c>
      <c r="Q32" s="448">
        <f t="shared" si="11"/>
        <v>505</v>
      </c>
      <c r="R32" s="228">
        <f t="shared" si="12"/>
        <v>3948048</v>
      </c>
      <c r="S32" s="228">
        <f t="shared" si="13"/>
        <v>4145040</v>
      </c>
      <c r="T32" s="423">
        <f t="shared" si="14"/>
        <v>19</v>
      </c>
      <c r="U32" s="423">
        <f t="shared" si="15"/>
        <v>0</v>
      </c>
      <c r="V32" s="424">
        <f t="array" ref="V32">MAX((IF(MNU_CODIGO_ALIMENTO_ENTREGA=CONCATENATE($E32,"_","S_"),MNU_GRAMAJE_REQUERIDO_TIPOB,"")))</f>
        <v>50</v>
      </c>
      <c r="W32" s="391">
        <f t="shared" si="16"/>
        <v>406</v>
      </c>
      <c r="X32" s="391">
        <f t="shared" si="17"/>
        <v>0</v>
      </c>
      <c r="Y32" s="391">
        <f t="shared" si="18"/>
        <v>7714</v>
      </c>
      <c r="Z32" s="448">
        <f t="shared" si="19"/>
        <v>481</v>
      </c>
      <c r="AA32" s="448">
        <f t="shared" si="20"/>
        <v>23.472799999999999</v>
      </c>
      <c r="AB32" s="448">
        <f t="shared" si="21"/>
        <v>0.41366769599999997</v>
      </c>
      <c r="AC32" s="448">
        <f t="shared" si="22"/>
        <v>505</v>
      </c>
      <c r="AD32" s="229">
        <f t="shared" si="23"/>
        <v>3710434</v>
      </c>
      <c r="AE32" s="229">
        <f t="shared" si="24"/>
        <v>3895570</v>
      </c>
      <c r="AF32" s="421">
        <f t="shared" si="25"/>
        <v>19</v>
      </c>
      <c r="AG32" s="421">
        <f t="shared" si="26"/>
        <v>0</v>
      </c>
      <c r="AH32" s="422">
        <f t="array" ref="AH32">MAX((IF(MNU_CODIGO_ALIMENTO_ENTREGA=CONCATENATE($E32,"_","S_"),MNU_GRAMAJE_REQUERIDO_TIPOC,"")))</f>
        <v>80</v>
      </c>
      <c r="AI32" s="227">
        <f t="shared" si="27"/>
        <v>1013</v>
      </c>
      <c r="AJ32" s="227">
        <f t="shared" si="28"/>
        <v>0</v>
      </c>
      <c r="AK32" s="227">
        <f t="shared" si="29"/>
        <v>19247</v>
      </c>
      <c r="AL32" s="448">
        <f t="shared" si="30"/>
        <v>727</v>
      </c>
      <c r="AM32" s="448">
        <f t="shared" si="31"/>
        <v>35.477600000000002</v>
      </c>
      <c r="AN32" s="448">
        <f t="shared" si="32"/>
        <v>0.62523163200000009</v>
      </c>
      <c r="AO32" s="448">
        <f t="shared" si="33"/>
        <v>763</v>
      </c>
      <c r="AP32" s="448">
        <f t="shared" si="34"/>
        <v>13992569</v>
      </c>
      <c r="AQ32" s="228">
        <f t="shared" si="35"/>
        <v>14685461</v>
      </c>
      <c r="AR32" s="391">
        <f t="shared" si="36"/>
        <v>21651051</v>
      </c>
      <c r="AS32" s="391">
        <f t="shared" si="37"/>
        <v>22726071</v>
      </c>
    </row>
    <row r="33" spans="1:45" ht="15.75">
      <c r="A33" s="226">
        <v>3</v>
      </c>
      <c r="B33" s="226" t="str">
        <f t="shared" si="1"/>
        <v>CEREAL EMPACADO_3</v>
      </c>
      <c r="C33" s="333" t="str">
        <f t="shared" si="2"/>
        <v>15_3</v>
      </c>
      <c r="D33" s="392" t="s">
        <v>1607</v>
      </c>
      <c r="E33" s="256">
        <v>15</v>
      </c>
      <c r="F33" s="322" t="s">
        <v>66</v>
      </c>
      <c r="G33" s="226" t="s">
        <v>9</v>
      </c>
      <c r="H33" s="421">
        <f t="shared" si="3"/>
        <v>11</v>
      </c>
      <c r="I33" s="421">
        <f t="shared" si="4"/>
        <v>11</v>
      </c>
      <c r="J33" s="422">
        <f t="array" ref="J33">MAX((IF(MNU_CODIGO_ALIMENTO_ENTREGA=CONCATENATE($E33,"_","S_"),MNU_GRAMAJE_REQUERIDO_TIPOA,"")))</f>
        <v>50</v>
      </c>
      <c r="K33" s="227">
        <f t="shared" si="5"/>
        <v>432</v>
      </c>
      <c r="L33" s="227">
        <f t="shared" si="6"/>
        <v>0</v>
      </c>
      <c r="M33" s="227">
        <f t="shared" si="7"/>
        <v>4752</v>
      </c>
      <c r="N33" s="448">
        <f t="shared" si="8"/>
        <v>641</v>
      </c>
      <c r="O33" s="448">
        <f t="shared" si="9"/>
        <v>31.280800000000003</v>
      </c>
      <c r="P33" s="448">
        <f t="shared" si="10"/>
        <v>0.55127025600000001</v>
      </c>
      <c r="Q33" s="448">
        <f t="shared" si="11"/>
        <v>673</v>
      </c>
      <c r="R33" s="228">
        <f t="shared" si="12"/>
        <v>3046032</v>
      </c>
      <c r="S33" s="228">
        <f t="shared" si="13"/>
        <v>3198096</v>
      </c>
      <c r="T33" s="423">
        <f t="shared" si="14"/>
        <v>11</v>
      </c>
      <c r="U33" s="423">
        <f t="shared" si="15"/>
        <v>11</v>
      </c>
      <c r="V33" s="424">
        <f t="array" ref="V33">MAX((IF(MNU_CODIGO_ALIMENTO_ENTREGA=CONCATENATE($E33,"_","S_"),MNU_GRAMAJE_REQUERIDO_TIPOB,"")))</f>
        <v>50</v>
      </c>
      <c r="W33" s="391">
        <f t="shared" si="16"/>
        <v>406</v>
      </c>
      <c r="X33" s="391">
        <f t="shared" si="17"/>
        <v>0</v>
      </c>
      <c r="Y33" s="391">
        <f t="shared" si="18"/>
        <v>4466</v>
      </c>
      <c r="Z33" s="448">
        <f t="shared" si="19"/>
        <v>641</v>
      </c>
      <c r="AA33" s="448">
        <f t="shared" si="20"/>
        <v>31.280800000000003</v>
      </c>
      <c r="AB33" s="448">
        <f t="shared" si="21"/>
        <v>0.55127025600000001</v>
      </c>
      <c r="AC33" s="448">
        <f t="shared" si="22"/>
        <v>673</v>
      </c>
      <c r="AD33" s="229">
        <f t="shared" si="23"/>
        <v>2862706</v>
      </c>
      <c r="AE33" s="229">
        <f t="shared" si="24"/>
        <v>3005618</v>
      </c>
      <c r="AF33" s="421">
        <f t="shared" si="25"/>
        <v>11</v>
      </c>
      <c r="AG33" s="421">
        <f t="shared" si="26"/>
        <v>11</v>
      </c>
      <c r="AH33" s="422">
        <f t="array" ref="AH33">MAX((IF(MNU_CODIGO_ALIMENTO_ENTREGA=CONCATENATE($E33,"_","S_"),MNU_GRAMAJE_REQUERIDO_TIPOC,"")))</f>
        <v>80</v>
      </c>
      <c r="AI33" s="227">
        <f t="shared" si="27"/>
        <v>1013</v>
      </c>
      <c r="AJ33" s="227">
        <f t="shared" si="28"/>
        <v>0</v>
      </c>
      <c r="AK33" s="227">
        <f t="shared" si="29"/>
        <v>11143</v>
      </c>
      <c r="AL33" s="448">
        <f t="shared" si="30"/>
        <v>1025</v>
      </c>
      <c r="AM33" s="448">
        <f t="shared" si="31"/>
        <v>50.02</v>
      </c>
      <c r="AN33" s="448">
        <f t="shared" si="32"/>
        <v>0.88151640000000009</v>
      </c>
      <c r="AO33" s="448">
        <f t="shared" si="33"/>
        <v>1076</v>
      </c>
      <c r="AP33" s="448">
        <f t="shared" si="34"/>
        <v>11421575</v>
      </c>
      <c r="AQ33" s="228">
        <f t="shared" si="35"/>
        <v>11989868</v>
      </c>
      <c r="AR33" s="391">
        <f t="shared" si="36"/>
        <v>17330313</v>
      </c>
      <c r="AS33" s="391">
        <f t="shared" si="37"/>
        <v>18193582</v>
      </c>
    </row>
    <row r="34" spans="1:45" ht="27">
      <c r="A34" s="226">
        <v>3</v>
      </c>
      <c r="B34" s="226" t="str">
        <f t="shared" si="1"/>
        <v>CEREAL EMPACADO_3</v>
      </c>
      <c r="C34" s="333" t="str">
        <f t="shared" si="2"/>
        <v>21_3</v>
      </c>
      <c r="D34" s="392" t="s">
        <v>1607</v>
      </c>
      <c r="E34" s="226">
        <v>21</v>
      </c>
      <c r="F34" s="325" t="s">
        <v>70</v>
      </c>
      <c r="G34" s="226" t="s">
        <v>9</v>
      </c>
      <c r="H34" s="421">
        <f t="shared" si="3"/>
        <v>22</v>
      </c>
      <c r="I34" s="421">
        <f t="shared" si="4"/>
        <v>0</v>
      </c>
      <c r="J34" s="422">
        <f t="array" ref="J34">MAX((IF(MNU_CODIGO_ALIMENTO_ENTREGA=CONCATENATE($E34,"_","S_"),MNU_GRAMAJE_REQUERIDO_TIPOA,"")))</f>
        <v>30</v>
      </c>
      <c r="K34" s="227">
        <f t="shared" si="5"/>
        <v>432</v>
      </c>
      <c r="L34" s="227">
        <f t="shared" si="6"/>
        <v>0</v>
      </c>
      <c r="M34" s="227">
        <f t="shared" si="7"/>
        <v>9504</v>
      </c>
      <c r="N34" s="448">
        <f t="shared" si="8"/>
        <v>458</v>
      </c>
      <c r="O34" s="448">
        <f t="shared" si="9"/>
        <v>22.3504</v>
      </c>
      <c r="P34" s="448">
        <f t="shared" si="10"/>
        <v>0.39388732799999998</v>
      </c>
      <c r="Q34" s="448">
        <f t="shared" si="11"/>
        <v>481</v>
      </c>
      <c r="R34" s="228">
        <f t="shared" si="12"/>
        <v>4352832</v>
      </c>
      <c r="S34" s="228">
        <f t="shared" si="13"/>
        <v>4571424</v>
      </c>
      <c r="T34" s="423">
        <f t="shared" si="14"/>
        <v>22</v>
      </c>
      <c r="U34" s="423">
        <f t="shared" si="15"/>
        <v>0</v>
      </c>
      <c r="V34" s="424">
        <f t="array" ref="V34">MAX((IF(MNU_CODIGO_ALIMENTO_ENTREGA=CONCATENATE($E34,"_","S_"),MNU_GRAMAJE_REQUERIDO_TIPOB,"")))</f>
        <v>30</v>
      </c>
      <c r="W34" s="391">
        <f t="shared" si="16"/>
        <v>406</v>
      </c>
      <c r="X34" s="391">
        <f t="shared" si="17"/>
        <v>0</v>
      </c>
      <c r="Y34" s="391">
        <f t="shared" si="18"/>
        <v>8932</v>
      </c>
      <c r="Z34" s="448">
        <f t="shared" si="19"/>
        <v>458</v>
      </c>
      <c r="AA34" s="448">
        <f t="shared" si="20"/>
        <v>22.3504</v>
      </c>
      <c r="AB34" s="448">
        <f t="shared" si="21"/>
        <v>0.39388732799999998</v>
      </c>
      <c r="AC34" s="448">
        <f t="shared" si="22"/>
        <v>481</v>
      </c>
      <c r="AD34" s="229">
        <f t="shared" si="23"/>
        <v>4090856</v>
      </c>
      <c r="AE34" s="229">
        <f t="shared" si="24"/>
        <v>4296292</v>
      </c>
      <c r="AF34" s="421">
        <f t="shared" si="25"/>
        <v>22</v>
      </c>
      <c r="AG34" s="421">
        <f t="shared" si="26"/>
        <v>0</v>
      </c>
      <c r="AH34" s="422">
        <f t="array" ref="AH34">MAX((IF(MNU_CODIGO_ALIMENTO_ENTREGA=CONCATENATE($E34,"_","S_"),MNU_GRAMAJE_REQUERIDO_TIPOC,"")))</f>
        <v>50</v>
      </c>
      <c r="AI34" s="227">
        <f t="shared" si="27"/>
        <v>1013</v>
      </c>
      <c r="AJ34" s="227">
        <f t="shared" si="28"/>
        <v>0</v>
      </c>
      <c r="AK34" s="227">
        <f t="shared" si="29"/>
        <v>22286</v>
      </c>
      <c r="AL34" s="448">
        <f t="shared" si="30"/>
        <v>764</v>
      </c>
      <c r="AM34" s="448">
        <f t="shared" si="31"/>
        <v>37.283200000000001</v>
      </c>
      <c r="AN34" s="448">
        <f t="shared" si="32"/>
        <v>0.65705222400000007</v>
      </c>
      <c r="AO34" s="448">
        <f t="shared" si="33"/>
        <v>802</v>
      </c>
      <c r="AP34" s="448">
        <f t="shared" si="34"/>
        <v>17026504</v>
      </c>
      <c r="AQ34" s="228">
        <f t="shared" si="35"/>
        <v>17873372</v>
      </c>
      <c r="AR34" s="391">
        <f t="shared" si="36"/>
        <v>25470192</v>
      </c>
      <c r="AS34" s="391">
        <f t="shared" si="37"/>
        <v>26741088</v>
      </c>
    </row>
    <row r="35" spans="1:45" ht="15.75">
      <c r="A35" s="226">
        <v>3</v>
      </c>
      <c r="B35" s="226" t="str">
        <f t="shared" si="1"/>
        <v>CEREAL EMPACADO_3</v>
      </c>
      <c r="C35" s="333" t="str">
        <f t="shared" si="2"/>
        <v>24_3</v>
      </c>
      <c r="D35" s="392" t="s">
        <v>1607</v>
      </c>
      <c r="E35" s="226">
        <v>24</v>
      </c>
      <c r="F35" s="325" t="s">
        <v>61</v>
      </c>
      <c r="G35" s="226" t="s">
        <v>9</v>
      </c>
      <c r="H35" s="421">
        <f t="shared" si="3"/>
        <v>11</v>
      </c>
      <c r="I35" s="421">
        <f t="shared" si="4"/>
        <v>11</v>
      </c>
      <c r="J35" s="422">
        <f t="array" ref="J35">MAX((IF(MNU_CODIGO_ALIMENTO_ENTREGA=CONCATENATE($E35,"_","S_"),MNU_GRAMAJE_REQUERIDO_TIPOA,"")))</f>
        <v>20</v>
      </c>
      <c r="K35" s="227">
        <f t="shared" si="5"/>
        <v>432</v>
      </c>
      <c r="L35" s="227">
        <f t="shared" si="6"/>
        <v>0</v>
      </c>
      <c r="M35" s="227">
        <f t="shared" si="7"/>
        <v>4752</v>
      </c>
      <c r="N35" s="448">
        <f t="shared" si="8"/>
        <v>122</v>
      </c>
      <c r="O35" s="448">
        <f t="shared" si="9"/>
        <v>5.9535999999999998</v>
      </c>
      <c r="P35" s="448">
        <f t="shared" si="10"/>
        <v>0.104921952</v>
      </c>
      <c r="Q35" s="448">
        <f t="shared" si="11"/>
        <v>128</v>
      </c>
      <c r="R35" s="228">
        <f t="shared" si="12"/>
        <v>579744</v>
      </c>
      <c r="S35" s="228">
        <f t="shared" si="13"/>
        <v>608256</v>
      </c>
      <c r="T35" s="423">
        <f t="shared" si="14"/>
        <v>11</v>
      </c>
      <c r="U35" s="423">
        <f t="shared" si="15"/>
        <v>11</v>
      </c>
      <c r="V35" s="424">
        <f t="array" ref="V35">MAX((IF(MNU_CODIGO_ALIMENTO_ENTREGA=CONCATENATE($E35,"_","S_"),MNU_GRAMAJE_REQUERIDO_TIPOB,"")))</f>
        <v>30</v>
      </c>
      <c r="W35" s="391">
        <f t="shared" si="16"/>
        <v>406</v>
      </c>
      <c r="X35" s="391">
        <f t="shared" si="17"/>
        <v>0</v>
      </c>
      <c r="Y35" s="391">
        <f t="shared" si="18"/>
        <v>4466</v>
      </c>
      <c r="Z35" s="448">
        <f t="shared" si="19"/>
        <v>191</v>
      </c>
      <c r="AA35" s="448">
        <f t="shared" si="20"/>
        <v>9.3208000000000002</v>
      </c>
      <c r="AB35" s="448">
        <f t="shared" si="21"/>
        <v>0.16426305600000002</v>
      </c>
      <c r="AC35" s="448">
        <f t="shared" si="22"/>
        <v>200</v>
      </c>
      <c r="AD35" s="229">
        <f t="shared" si="23"/>
        <v>853006</v>
      </c>
      <c r="AE35" s="229">
        <f t="shared" si="24"/>
        <v>893200</v>
      </c>
      <c r="AF35" s="421">
        <f t="shared" si="25"/>
        <v>11</v>
      </c>
      <c r="AG35" s="421">
        <f t="shared" si="26"/>
        <v>11</v>
      </c>
      <c r="AH35" s="422">
        <f t="array" ref="AH35">MAX((IF(MNU_CODIGO_ALIMENTO_ENTREGA=CONCATENATE($E35,"_","S_"),MNU_GRAMAJE_REQUERIDO_TIPOC,"")))</f>
        <v>60</v>
      </c>
      <c r="AI35" s="227">
        <f t="shared" si="27"/>
        <v>1013</v>
      </c>
      <c r="AJ35" s="227">
        <f t="shared" si="28"/>
        <v>0</v>
      </c>
      <c r="AK35" s="227">
        <f t="shared" si="29"/>
        <v>11143</v>
      </c>
      <c r="AL35" s="448">
        <f t="shared" si="30"/>
        <v>367</v>
      </c>
      <c r="AM35" s="448">
        <f t="shared" si="31"/>
        <v>17.909599999999998</v>
      </c>
      <c r="AN35" s="448">
        <f t="shared" si="32"/>
        <v>0.31562587200000003</v>
      </c>
      <c r="AO35" s="448">
        <f t="shared" si="33"/>
        <v>385</v>
      </c>
      <c r="AP35" s="448">
        <f t="shared" si="34"/>
        <v>4089481</v>
      </c>
      <c r="AQ35" s="228">
        <f t="shared" si="35"/>
        <v>4290055</v>
      </c>
      <c r="AR35" s="391">
        <f t="shared" si="36"/>
        <v>5522231</v>
      </c>
      <c r="AS35" s="391">
        <f t="shared" si="37"/>
        <v>5791511</v>
      </c>
    </row>
    <row r="36" spans="1:45" ht="15.75">
      <c r="A36" s="226">
        <v>3</v>
      </c>
      <c r="B36" s="226" t="str">
        <f t="shared" ref="B36:B99" si="38">CONCATENATE(D36,"_",A36)</f>
        <v>CEREAL EMPACADO_3</v>
      </c>
      <c r="C36" s="333" t="str">
        <f t="shared" ref="C36:C99" si="39">CONCATENATE(E36,"_",A36)</f>
        <v>25_3</v>
      </c>
      <c r="D36" s="392" t="s">
        <v>1607</v>
      </c>
      <c r="E36" s="226">
        <v>25</v>
      </c>
      <c r="F36" s="325" t="s">
        <v>64</v>
      </c>
      <c r="G36" s="226" t="s">
        <v>9</v>
      </c>
      <c r="H36" s="421">
        <f t="shared" ref="H36:H99" si="40">SUMIF(MNU_CODIGO_ALIMENTO_ENTREGA,CONCATENATE($E36,"_","S_"),MNU_FRECUENCIAS_LAV_TIPOA)</f>
        <v>22</v>
      </c>
      <c r="I36" s="421">
        <f t="shared" ref="I36:I99" si="41">SUMIF(MNU_CODIGO_ALIMENTO_ENTREGA,CONCATENATE($E36,"_","S_"),MNU_FRECUENCIAS_FDS_TIPOA)</f>
        <v>0</v>
      </c>
      <c r="J36" s="422">
        <f t="array" ref="J36">MAX((IF(MNU_CODIGO_ALIMENTO_ENTREGA=CONCATENATE($E36,"_","S_"),MNU_GRAMAJE_REQUERIDO_TIPOA,"")))</f>
        <v>40</v>
      </c>
      <c r="K36" s="227">
        <f t="shared" ref="K36:K99" si="42">SUMIF(VOL_GRUPO,CONCATENATE($A36,"1052-2NO"),VOL_TIPOA)</f>
        <v>432</v>
      </c>
      <c r="L36" s="227">
        <f t="shared" ref="L36:L99" si="43">SUMIF(VOL_GRUPO,CONCATENATE($A36,"1052-2SI"),VOL_TIPOA)</f>
        <v>0</v>
      </c>
      <c r="M36" s="227">
        <f t="shared" ref="M36:M99" si="44">(H36*K36)+(I36*L36)</f>
        <v>9504</v>
      </c>
      <c r="N36" s="448">
        <f t="shared" ref="N36:N99" si="45">IF(ISERROR(AVERAGEIFS(MNU_COSTO_UNITARIO_TIPOA_SELECCIONADO,MNU_CODIGO_ALIMENTO_ENTREGA,CONCATENATE($E36,"_","S_"))),0,AVERAGEIFS(MNU_COSTO_UNITARIO_TIPOA_SELECCIONADO,MNU_CODIGO_ALIMENTO_ENTREGA,CONCATENATE($E36,"_","S_")))</f>
        <v>244</v>
      </c>
      <c r="O36" s="448">
        <f t="shared" ref="O36:O99" si="46">(N36*0.01)+(N36*0.005)+(N36*0.02)+(N36*(13.8/1000))</f>
        <v>11.9072</v>
      </c>
      <c r="P36" s="448">
        <f t="shared" ref="P36:P99" si="47">((N36+O36)*0.00071)+((N36+O36)*0.00011)</f>
        <v>0.209843904</v>
      </c>
      <c r="Q36" s="448">
        <f t="shared" ref="Q36:Q99" si="48">ROUND(N36+O36+P36,0)</f>
        <v>256</v>
      </c>
      <c r="R36" s="228">
        <f t="shared" ref="R36:R99" si="49">(H36*K36*N36)+(I36*L36*N36)</f>
        <v>2318976</v>
      </c>
      <c r="S36" s="228">
        <f t="shared" ref="S36:S99" si="50">(H36*K36*Q36)+(I36*L36*Q36)</f>
        <v>2433024</v>
      </c>
      <c r="T36" s="423">
        <f t="shared" ref="T36:T99" si="51">SUMIF(MNU_CODIGO_ALIMENTO_ENTREGA,CONCATENATE($E36,"_","S_"),MNU_FRECUENCIAS_LAV_TIPOB)</f>
        <v>22</v>
      </c>
      <c r="U36" s="423">
        <f t="shared" ref="U36:U99" si="52">SUMIF(MNU_CODIGO_ALIMENTO_ENTREGA,CONCATENATE($E36,"_","S_"),MNU_FRECUENCIAS_FDS_TIPOB)</f>
        <v>0</v>
      </c>
      <c r="V36" s="424">
        <f t="array" ref="V36">MAX((IF(MNU_CODIGO_ALIMENTO_ENTREGA=CONCATENATE($E36,"_","S_"),MNU_GRAMAJE_REQUERIDO_TIPOB,"")))</f>
        <v>40</v>
      </c>
      <c r="W36" s="391">
        <f t="shared" ref="W36:W99" si="53">SUMIF(VOL_GRUPO,CONCATENATE($A36,"1052-2NO"),VOL_TIPOB)</f>
        <v>406</v>
      </c>
      <c r="X36" s="391">
        <f t="shared" ref="X36:X99" si="54">SUMIF(VOL_GRUPO,CONCATENATE($A36,"1052-2SI"),VOL_TIPOB)</f>
        <v>0</v>
      </c>
      <c r="Y36" s="391">
        <f t="shared" ref="Y36:Y99" si="55">(T36*W36)+(U36*X36)</f>
        <v>8932</v>
      </c>
      <c r="Z36" s="448">
        <f t="shared" ref="Z36:Z99" si="56">IF(ISERROR(AVERAGEIFS(MNU_COSTO_UNITARIO_TIPOB_SELECCIONADO,MNU_CODIGO_ALIMENTO_ENTREGA,CONCATENATE($E36,"_","S_"))),0,AVERAGEIFS(MNU_COSTO_UNITARIO_TIPOB_SELECCIONADO,MNU_CODIGO_ALIMENTO_ENTREGA,CONCATENATE($E36,"_","S_")))</f>
        <v>244</v>
      </c>
      <c r="AA36" s="448">
        <f t="shared" ref="AA36:AA99" si="57">(Z36*0.01)+(Z36*0.005)+(Z36*0.02)+(Z36*(13.8/1000))</f>
        <v>11.9072</v>
      </c>
      <c r="AB36" s="448">
        <f t="shared" ref="AB36:AB99" si="58">((Z36+AA36)*0.00071)+((Z36+AA36)*0.00011)</f>
        <v>0.209843904</v>
      </c>
      <c r="AC36" s="448">
        <f t="shared" ref="AC36:AC99" si="59">ROUND(Z36+AA36+AB36,0)</f>
        <v>256</v>
      </c>
      <c r="AD36" s="229">
        <f t="shared" ref="AD36:AD99" si="60">(T36*W36*Z36)+(U36*X36*Z36)</f>
        <v>2179408</v>
      </c>
      <c r="AE36" s="229">
        <f t="shared" ref="AE36:AE99" si="61">(T36*W36*AC36)+(U36*X36*AC36)</f>
        <v>2286592</v>
      </c>
      <c r="AF36" s="421">
        <f t="shared" ref="AF36:AF99" si="62">SUMIF(MNU_CODIGO_ALIMENTO_ENTREGA,CONCATENATE($E36,"_","S_"),MNU_FRECUENCIAS_LAV_TIPOC)</f>
        <v>22</v>
      </c>
      <c r="AG36" s="421">
        <f t="shared" ref="AG36:AG99" si="63">SUMIF(MNU_CODIGO_ALIMENTO_ENTREGA,CONCATENATE($E36,"_","S_"),MNU_FRECUENCIAS_FDS_TIPOC)</f>
        <v>0</v>
      </c>
      <c r="AH36" s="422">
        <f t="array" ref="AH36">MAX((IF(MNU_CODIGO_ALIMENTO_ENTREGA=CONCATENATE($E36,"_","S_"),MNU_GRAMAJE_REQUERIDO_TIPOC,"")))</f>
        <v>60</v>
      </c>
      <c r="AI36" s="227">
        <f t="shared" ref="AI36:AI99" si="64">SUMIF(VOL_GRUPO,CONCATENATE($A36,"1052-2NO"),VOL_TIPOC)</f>
        <v>1013</v>
      </c>
      <c r="AJ36" s="227">
        <f t="shared" ref="AJ36:AJ99" si="65">SUMIF(VOL_GRUPO,CONCATENATE($A36,"1052-2SI"),VOL_TIPOC)</f>
        <v>0</v>
      </c>
      <c r="AK36" s="227">
        <f t="shared" ref="AK36:AK99" si="66">(AF36*AI36)+(AG36*AJ36)</f>
        <v>22286</v>
      </c>
      <c r="AL36" s="448">
        <f t="shared" ref="AL36:AL99" si="67">IF(ISERROR(AVERAGEIFS(MNU_COSTO_UNITARIO_TIPOC_SELECCIONADO,MNU_CODIGO_ALIMENTO_ENTREGA,CONCATENATE($E36,"_","S_"))),0,AVERAGEIFS(MNU_COSTO_UNITARIO_TIPOC_SELECCIONADO,MNU_CODIGO_ALIMENTO_ENTREGA,CONCATENATE($E36,"_","S_")))</f>
        <v>366</v>
      </c>
      <c r="AM36" s="448">
        <f t="shared" ref="AM36:AM99" si="68">(AL36*0.01)+(AL36*0.005)+(AL36*0.02)+(AL36*(13.8/1000))</f>
        <v>17.860800000000001</v>
      </c>
      <c r="AN36" s="448">
        <f t="shared" ref="AN36:AN99" si="69">((AL36+AM36)*0.00071)+((AL36+AM36)*0.00011)</f>
        <v>0.31476585600000001</v>
      </c>
      <c r="AO36" s="448">
        <f t="shared" ref="AO36:AO99" si="70">ROUND(AL36+AM36+AN36,0)</f>
        <v>384</v>
      </c>
      <c r="AP36" s="448">
        <f t="shared" ref="AP36:AP99" si="71">(AF36*AI36*AL36)+(AG36*AJ36*AL36)</f>
        <v>8156676</v>
      </c>
      <c r="AQ36" s="228">
        <f t="shared" ref="AQ36:AQ99" si="72">(AF36*AI36*AO36)+(AG36*AJ36*AO36)</f>
        <v>8557824</v>
      </c>
      <c r="AR36" s="391">
        <f t="shared" ref="AR36:AR99" si="73">R36+AD36+AP36</f>
        <v>12655060</v>
      </c>
      <c r="AS36" s="391">
        <f t="shared" ref="AS36:AS99" si="74">S36+AE36+AQ36</f>
        <v>13277440</v>
      </c>
    </row>
    <row r="37" spans="1:45" ht="27">
      <c r="A37" s="226">
        <v>3</v>
      </c>
      <c r="B37" s="226" t="str">
        <f t="shared" si="38"/>
        <v>CEREAL EMPACADO_3</v>
      </c>
      <c r="C37" s="333" t="str">
        <f t="shared" si="39"/>
        <v>28_3</v>
      </c>
      <c r="D37" s="392" t="s">
        <v>1607</v>
      </c>
      <c r="E37" s="226">
        <v>28</v>
      </c>
      <c r="F37" s="325" t="s">
        <v>67</v>
      </c>
      <c r="G37" s="226" t="s">
        <v>9</v>
      </c>
      <c r="H37" s="421">
        <f t="shared" si="40"/>
        <v>19</v>
      </c>
      <c r="I37" s="421">
        <f t="shared" si="41"/>
        <v>0</v>
      </c>
      <c r="J37" s="422">
        <f t="array" ref="J37">MAX((IF(MNU_CODIGO_ALIMENTO_ENTREGA=CONCATENATE($E37,"_","S_"),MNU_GRAMAJE_REQUERIDO_TIPOA,"")))</f>
        <v>30</v>
      </c>
      <c r="K37" s="227">
        <f t="shared" si="42"/>
        <v>432</v>
      </c>
      <c r="L37" s="227">
        <f t="shared" si="43"/>
        <v>0</v>
      </c>
      <c r="M37" s="227">
        <f t="shared" si="44"/>
        <v>8208</v>
      </c>
      <c r="N37" s="448">
        <f t="shared" si="45"/>
        <v>215</v>
      </c>
      <c r="O37" s="448">
        <f t="shared" si="46"/>
        <v>10.492000000000001</v>
      </c>
      <c r="P37" s="448">
        <f t="shared" si="47"/>
        <v>0.18490343999999997</v>
      </c>
      <c r="Q37" s="448">
        <f t="shared" si="48"/>
        <v>226</v>
      </c>
      <c r="R37" s="228">
        <f t="shared" si="49"/>
        <v>1764720</v>
      </c>
      <c r="S37" s="228">
        <f t="shared" si="50"/>
        <v>1855008</v>
      </c>
      <c r="T37" s="423">
        <f t="shared" si="51"/>
        <v>19</v>
      </c>
      <c r="U37" s="423">
        <f t="shared" si="52"/>
        <v>0</v>
      </c>
      <c r="V37" s="424">
        <f t="array" ref="V37">MAX((IF(MNU_CODIGO_ALIMENTO_ENTREGA=CONCATENATE($E37,"_","S_"),MNU_GRAMAJE_REQUERIDO_TIPOB,"")))</f>
        <v>40</v>
      </c>
      <c r="W37" s="391">
        <f t="shared" si="53"/>
        <v>406</v>
      </c>
      <c r="X37" s="391">
        <f t="shared" si="54"/>
        <v>0</v>
      </c>
      <c r="Y37" s="391">
        <f t="shared" si="55"/>
        <v>7714</v>
      </c>
      <c r="Z37" s="448">
        <f t="shared" si="56"/>
        <v>287</v>
      </c>
      <c r="AA37" s="448">
        <f t="shared" si="57"/>
        <v>14.005600000000001</v>
      </c>
      <c r="AB37" s="448">
        <f t="shared" si="58"/>
        <v>0.24682459200000004</v>
      </c>
      <c r="AC37" s="448">
        <f t="shared" si="59"/>
        <v>301</v>
      </c>
      <c r="AD37" s="229">
        <f t="shared" si="60"/>
        <v>2213918</v>
      </c>
      <c r="AE37" s="229">
        <f t="shared" si="61"/>
        <v>2321914</v>
      </c>
      <c r="AF37" s="421">
        <f t="shared" si="62"/>
        <v>19</v>
      </c>
      <c r="AG37" s="421">
        <f t="shared" si="63"/>
        <v>0</v>
      </c>
      <c r="AH37" s="422">
        <f t="array" ref="AH37">MAX((IF(MNU_CODIGO_ALIMENTO_ENTREGA=CONCATENATE($E37,"_","S_"),MNU_GRAMAJE_REQUERIDO_TIPOC,"")))</f>
        <v>60</v>
      </c>
      <c r="AI37" s="227">
        <f t="shared" si="64"/>
        <v>1013</v>
      </c>
      <c r="AJ37" s="227">
        <f t="shared" si="65"/>
        <v>0</v>
      </c>
      <c r="AK37" s="227">
        <f t="shared" si="66"/>
        <v>19247</v>
      </c>
      <c r="AL37" s="448">
        <f t="shared" si="67"/>
        <v>430</v>
      </c>
      <c r="AM37" s="448">
        <f t="shared" si="68"/>
        <v>20.984000000000002</v>
      </c>
      <c r="AN37" s="448">
        <f t="shared" si="69"/>
        <v>0.36980687999999995</v>
      </c>
      <c r="AO37" s="448">
        <f t="shared" si="70"/>
        <v>451</v>
      </c>
      <c r="AP37" s="448">
        <f t="shared" si="71"/>
        <v>8276210</v>
      </c>
      <c r="AQ37" s="228">
        <f t="shared" si="72"/>
        <v>8680397</v>
      </c>
      <c r="AR37" s="391">
        <f t="shared" si="73"/>
        <v>12254848</v>
      </c>
      <c r="AS37" s="391">
        <f t="shared" si="74"/>
        <v>12857319</v>
      </c>
    </row>
    <row r="38" spans="1:45" ht="15.75">
      <c r="A38" s="226">
        <v>3</v>
      </c>
      <c r="B38" s="226" t="str">
        <f t="shared" si="38"/>
        <v>CEREAL EMPACADO_3</v>
      </c>
      <c r="C38" s="333" t="str">
        <f t="shared" si="39"/>
        <v>45_3</v>
      </c>
      <c r="D38" s="392" t="s">
        <v>1607</v>
      </c>
      <c r="E38" s="226">
        <v>45</v>
      </c>
      <c r="F38" s="325" t="s">
        <v>10</v>
      </c>
      <c r="G38" s="226" t="s">
        <v>9</v>
      </c>
      <c r="H38" s="421">
        <f t="shared" si="40"/>
        <v>20</v>
      </c>
      <c r="I38" s="421">
        <f t="shared" si="41"/>
        <v>0</v>
      </c>
      <c r="J38" s="422">
        <f t="array" ref="J38">MAX((IF(MNU_CODIGO_ALIMENTO_ENTREGA=CONCATENATE($E38,"_","S_"),MNU_GRAMAJE_REQUERIDO_TIPOA,"")))</f>
        <v>20</v>
      </c>
      <c r="K38" s="227">
        <f t="shared" si="42"/>
        <v>432</v>
      </c>
      <c r="L38" s="227">
        <f t="shared" si="43"/>
        <v>0</v>
      </c>
      <c r="M38" s="227">
        <f t="shared" si="44"/>
        <v>8640</v>
      </c>
      <c r="N38" s="448">
        <f t="shared" si="45"/>
        <v>190</v>
      </c>
      <c r="O38" s="448">
        <f t="shared" si="46"/>
        <v>9.2720000000000002</v>
      </c>
      <c r="P38" s="448">
        <f t="shared" si="47"/>
        <v>0.16340304</v>
      </c>
      <c r="Q38" s="448">
        <f t="shared" si="48"/>
        <v>199</v>
      </c>
      <c r="R38" s="228">
        <f t="shared" si="49"/>
        <v>1641600</v>
      </c>
      <c r="S38" s="228">
        <f t="shared" si="50"/>
        <v>1719360</v>
      </c>
      <c r="T38" s="423">
        <f t="shared" si="51"/>
        <v>20</v>
      </c>
      <c r="U38" s="423">
        <f t="shared" si="52"/>
        <v>0</v>
      </c>
      <c r="V38" s="424">
        <f t="array" ref="V38">MAX((IF(MNU_CODIGO_ALIMENTO_ENTREGA=CONCATENATE($E38,"_","S_"),MNU_GRAMAJE_REQUERIDO_TIPOB,"")))</f>
        <v>30</v>
      </c>
      <c r="W38" s="391">
        <f t="shared" si="53"/>
        <v>406</v>
      </c>
      <c r="X38" s="391">
        <f t="shared" si="54"/>
        <v>0</v>
      </c>
      <c r="Y38" s="391">
        <f t="shared" si="55"/>
        <v>8120</v>
      </c>
      <c r="Z38" s="448">
        <f t="shared" si="56"/>
        <v>284</v>
      </c>
      <c r="AA38" s="448">
        <f t="shared" si="57"/>
        <v>13.8592</v>
      </c>
      <c r="AB38" s="448">
        <f t="shared" si="58"/>
        <v>0.24424454399999998</v>
      </c>
      <c r="AC38" s="448">
        <f t="shared" si="59"/>
        <v>298</v>
      </c>
      <c r="AD38" s="229">
        <f t="shared" si="60"/>
        <v>2306080</v>
      </c>
      <c r="AE38" s="229">
        <f t="shared" si="61"/>
        <v>2419760</v>
      </c>
      <c r="AF38" s="421">
        <f t="shared" si="62"/>
        <v>20</v>
      </c>
      <c r="AG38" s="421">
        <f t="shared" si="63"/>
        <v>0</v>
      </c>
      <c r="AH38" s="422">
        <f t="array" ref="AH38">MAX((IF(MNU_CODIGO_ALIMENTO_ENTREGA=CONCATENATE($E38,"_","S_"),MNU_GRAMAJE_REQUERIDO_TIPOC,"")))</f>
        <v>60</v>
      </c>
      <c r="AI38" s="227">
        <f t="shared" si="64"/>
        <v>1013</v>
      </c>
      <c r="AJ38" s="227">
        <f t="shared" si="65"/>
        <v>0</v>
      </c>
      <c r="AK38" s="227">
        <f t="shared" si="66"/>
        <v>20260</v>
      </c>
      <c r="AL38" s="448">
        <f t="shared" si="67"/>
        <v>569</v>
      </c>
      <c r="AM38" s="448">
        <f t="shared" si="68"/>
        <v>27.767199999999999</v>
      </c>
      <c r="AN38" s="448">
        <f t="shared" si="69"/>
        <v>0.48934910400000003</v>
      </c>
      <c r="AO38" s="448">
        <f t="shared" si="70"/>
        <v>597</v>
      </c>
      <c r="AP38" s="448">
        <f t="shared" si="71"/>
        <v>11527940</v>
      </c>
      <c r="AQ38" s="228">
        <f t="shared" si="72"/>
        <v>12095220</v>
      </c>
      <c r="AR38" s="391">
        <f t="shared" si="73"/>
        <v>15475620</v>
      </c>
      <c r="AS38" s="391">
        <f t="shared" si="74"/>
        <v>16234340</v>
      </c>
    </row>
    <row r="39" spans="1:45" ht="15.75">
      <c r="A39" s="226">
        <v>3</v>
      </c>
      <c r="B39" s="226" t="str">
        <f t="shared" si="38"/>
        <v>CEREAL EMPACADO_3</v>
      </c>
      <c r="C39" s="333" t="str">
        <f t="shared" si="39"/>
        <v>61_3</v>
      </c>
      <c r="D39" s="392" t="s">
        <v>1607</v>
      </c>
      <c r="E39" s="226">
        <v>61</v>
      </c>
      <c r="F39" s="325" t="s">
        <v>13</v>
      </c>
      <c r="G39" s="226" t="s">
        <v>9</v>
      </c>
      <c r="H39" s="421">
        <f t="shared" si="40"/>
        <v>20</v>
      </c>
      <c r="I39" s="421">
        <f t="shared" si="41"/>
        <v>0</v>
      </c>
      <c r="J39" s="422">
        <f t="array" ref="J39">MAX((IF(MNU_CODIGO_ALIMENTO_ENTREGA=CONCATENATE($E39,"_","S_"),MNU_GRAMAJE_REQUERIDO_TIPOA,"")))</f>
        <v>20</v>
      </c>
      <c r="K39" s="227">
        <f t="shared" si="42"/>
        <v>432</v>
      </c>
      <c r="L39" s="227">
        <f t="shared" si="43"/>
        <v>0</v>
      </c>
      <c r="M39" s="227">
        <f t="shared" si="44"/>
        <v>8640</v>
      </c>
      <c r="N39" s="448">
        <f t="shared" si="45"/>
        <v>222</v>
      </c>
      <c r="O39" s="448">
        <f t="shared" si="46"/>
        <v>10.833600000000001</v>
      </c>
      <c r="P39" s="448">
        <f t="shared" si="47"/>
        <v>0.190923552</v>
      </c>
      <c r="Q39" s="448">
        <f t="shared" si="48"/>
        <v>233</v>
      </c>
      <c r="R39" s="228">
        <f t="shared" si="49"/>
        <v>1918080</v>
      </c>
      <c r="S39" s="228">
        <f t="shared" si="50"/>
        <v>2013120</v>
      </c>
      <c r="T39" s="423">
        <f t="shared" si="51"/>
        <v>20</v>
      </c>
      <c r="U39" s="423">
        <f t="shared" si="52"/>
        <v>0</v>
      </c>
      <c r="V39" s="424">
        <f t="array" ref="V39">MAX((IF(MNU_CODIGO_ALIMENTO_ENTREGA=CONCATENATE($E39,"_","S_"),MNU_GRAMAJE_REQUERIDO_TIPOB,"")))</f>
        <v>30</v>
      </c>
      <c r="W39" s="391">
        <f t="shared" si="53"/>
        <v>406</v>
      </c>
      <c r="X39" s="391">
        <f t="shared" si="54"/>
        <v>0</v>
      </c>
      <c r="Y39" s="391">
        <f t="shared" si="55"/>
        <v>8120</v>
      </c>
      <c r="Z39" s="448">
        <f t="shared" si="56"/>
        <v>334</v>
      </c>
      <c r="AA39" s="448">
        <f t="shared" si="57"/>
        <v>16.299199999999999</v>
      </c>
      <c r="AB39" s="448">
        <f t="shared" si="58"/>
        <v>0.28724534400000001</v>
      </c>
      <c r="AC39" s="448">
        <f t="shared" si="59"/>
        <v>351</v>
      </c>
      <c r="AD39" s="229">
        <f t="shared" si="60"/>
        <v>2712080</v>
      </c>
      <c r="AE39" s="229">
        <f t="shared" si="61"/>
        <v>2850120</v>
      </c>
      <c r="AF39" s="421">
        <f t="shared" si="62"/>
        <v>20</v>
      </c>
      <c r="AG39" s="421">
        <f t="shared" si="63"/>
        <v>0</v>
      </c>
      <c r="AH39" s="422">
        <f t="array" ref="AH39">MAX((IF(MNU_CODIGO_ALIMENTO_ENTREGA=CONCATENATE($E39,"_","S_"),MNU_GRAMAJE_REQUERIDO_TIPOC,"")))</f>
        <v>70</v>
      </c>
      <c r="AI39" s="227">
        <f t="shared" si="64"/>
        <v>1013</v>
      </c>
      <c r="AJ39" s="227">
        <f t="shared" si="65"/>
        <v>0</v>
      </c>
      <c r="AK39" s="227">
        <f t="shared" si="66"/>
        <v>20260</v>
      </c>
      <c r="AL39" s="448">
        <f t="shared" si="67"/>
        <v>779</v>
      </c>
      <c r="AM39" s="448">
        <f t="shared" si="68"/>
        <v>38.0152</v>
      </c>
      <c r="AN39" s="448">
        <f t="shared" si="69"/>
        <v>0.66995246400000008</v>
      </c>
      <c r="AO39" s="448">
        <f t="shared" si="70"/>
        <v>818</v>
      </c>
      <c r="AP39" s="448">
        <f t="shared" si="71"/>
        <v>15782540</v>
      </c>
      <c r="AQ39" s="228">
        <f t="shared" si="72"/>
        <v>16572680</v>
      </c>
      <c r="AR39" s="391">
        <f t="shared" si="73"/>
        <v>20412700</v>
      </c>
      <c r="AS39" s="391">
        <f t="shared" si="74"/>
        <v>21435920</v>
      </c>
    </row>
    <row r="40" spans="1:45" ht="15.75">
      <c r="A40" s="226">
        <v>4</v>
      </c>
      <c r="B40" s="226" t="str">
        <f t="shared" si="38"/>
        <v>CEREAL EMPACADO_4</v>
      </c>
      <c r="C40" s="333" t="str">
        <f t="shared" si="39"/>
        <v>3_4</v>
      </c>
      <c r="D40" s="392" t="s">
        <v>1607</v>
      </c>
      <c r="E40" s="226">
        <v>3</v>
      </c>
      <c r="F40" s="325" t="s">
        <v>12</v>
      </c>
      <c r="G40" s="226" t="s">
        <v>9</v>
      </c>
      <c r="H40" s="421">
        <f t="shared" si="40"/>
        <v>19</v>
      </c>
      <c r="I40" s="421">
        <f t="shared" si="41"/>
        <v>0</v>
      </c>
      <c r="J40" s="422">
        <f t="array" ref="J40">MAX((IF(MNU_CODIGO_ALIMENTO_ENTREGA=CONCATENATE($E40,"_","S_"),MNU_GRAMAJE_REQUERIDO_TIPOA,"")))</f>
        <v>50</v>
      </c>
      <c r="K40" s="227">
        <f t="shared" si="42"/>
        <v>452</v>
      </c>
      <c r="L40" s="227">
        <f t="shared" si="43"/>
        <v>0</v>
      </c>
      <c r="M40" s="227">
        <f t="shared" si="44"/>
        <v>8588</v>
      </c>
      <c r="N40" s="448">
        <f t="shared" si="45"/>
        <v>481</v>
      </c>
      <c r="O40" s="448">
        <f t="shared" si="46"/>
        <v>23.472799999999999</v>
      </c>
      <c r="P40" s="448">
        <f t="shared" si="47"/>
        <v>0.41366769599999997</v>
      </c>
      <c r="Q40" s="448">
        <f t="shared" si="48"/>
        <v>505</v>
      </c>
      <c r="R40" s="228">
        <f t="shared" si="49"/>
        <v>4130828</v>
      </c>
      <c r="S40" s="228">
        <f t="shared" si="50"/>
        <v>4336940</v>
      </c>
      <c r="T40" s="423">
        <f t="shared" si="51"/>
        <v>19</v>
      </c>
      <c r="U40" s="423">
        <f t="shared" si="52"/>
        <v>0</v>
      </c>
      <c r="V40" s="424">
        <f t="array" ref="V40">MAX((IF(MNU_CODIGO_ALIMENTO_ENTREGA=CONCATENATE($E40,"_","S_"),MNU_GRAMAJE_REQUERIDO_TIPOB,"")))</f>
        <v>50</v>
      </c>
      <c r="W40" s="391">
        <f t="shared" si="53"/>
        <v>446</v>
      </c>
      <c r="X40" s="391">
        <f t="shared" si="54"/>
        <v>0</v>
      </c>
      <c r="Y40" s="391">
        <f t="shared" si="55"/>
        <v>8474</v>
      </c>
      <c r="Z40" s="448">
        <f t="shared" si="56"/>
        <v>481</v>
      </c>
      <c r="AA40" s="448">
        <f t="shared" si="57"/>
        <v>23.472799999999999</v>
      </c>
      <c r="AB40" s="448">
        <f t="shared" si="58"/>
        <v>0.41366769599999997</v>
      </c>
      <c r="AC40" s="448">
        <f t="shared" si="59"/>
        <v>505</v>
      </c>
      <c r="AD40" s="229">
        <f t="shared" si="60"/>
        <v>4075994</v>
      </c>
      <c r="AE40" s="229">
        <f t="shared" si="61"/>
        <v>4279370</v>
      </c>
      <c r="AF40" s="421">
        <f t="shared" si="62"/>
        <v>19</v>
      </c>
      <c r="AG40" s="421">
        <f t="shared" si="63"/>
        <v>0</v>
      </c>
      <c r="AH40" s="422">
        <f t="array" ref="AH40">MAX((IF(MNU_CODIGO_ALIMENTO_ENTREGA=CONCATENATE($E40,"_","S_"),MNU_GRAMAJE_REQUERIDO_TIPOC,"")))</f>
        <v>80</v>
      </c>
      <c r="AI40" s="227">
        <f t="shared" si="64"/>
        <v>1525</v>
      </c>
      <c r="AJ40" s="227">
        <f t="shared" si="65"/>
        <v>0</v>
      </c>
      <c r="AK40" s="227">
        <f t="shared" si="66"/>
        <v>28975</v>
      </c>
      <c r="AL40" s="448">
        <f t="shared" si="67"/>
        <v>727</v>
      </c>
      <c r="AM40" s="448">
        <f t="shared" si="68"/>
        <v>35.477600000000002</v>
      </c>
      <c r="AN40" s="448">
        <f t="shared" si="69"/>
        <v>0.62523163200000009</v>
      </c>
      <c r="AO40" s="448">
        <f t="shared" si="70"/>
        <v>763</v>
      </c>
      <c r="AP40" s="448">
        <f t="shared" si="71"/>
        <v>21064825</v>
      </c>
      <c r="AQ40" s="228">
        <f t="shared" si="72"/>
        <v>22107925</v>
      </c>
      <c r="AR40" s="391">
        <f t="shared" si="73"/>
        <v>29271647</v>
      </c>
      <c r="AS40" s="391">
        <f t="shared" si="74"/>
        <v>30724235</v>
      </c>
    </row>
    <row r="41" spans="1:45" ht="15.75">
      <c r="A41" s="226">
        <v>4</v>
      </c>
      <c r="B41" s="226" t="str">
        <f t="shared" si="38"/>
        <v>CEREAL EMPACADO_4</v>
      </c>
      <c r="C41" s="333" t="str">
        <f t="shared" si="39"/>
        <v>15_4</v>
      </c>
      <c r="D41" s="392" t="s">
        <v>1607</v>
      </c>
      <c r="E41" s="226">
        <v>15</v>
      </c>
      <c r="F41" s="325" t="s">
        <v>66</v>
      </c>
      <c r="G41" s="226" t="s">
        <v>9</v>
      </c>
      <c r="H41" s="421">
        <f t="shared" si="40"/>
        <v>11</v>
      </c>
      <c r="I41" s="421">
        <f t="shared" si="41"/>
        <v>11</v>
      </c>
      <c r="J41" s="422">
        <f t="array" ref="J41">MAX((IF(MNU_CODIGO_ALIMENTO_ENTREGA=CONCATENATE($E41,"_","S_"),MNU_GRAMAJE_REQUERIDO_TIPOA,"")))</f>
        <v>50</v>
      </c>
      <c r="K41" s="227">
        <f t="shared" si="42"/>
        <v>452</v>
      </c>
      <c r="L41" s="227">
        <f t="shared" si="43"/>
        <v>0</v>
      </c>
      <c r="M41" s="227">
        <f t="shared" si="44"/>
        <v>4972</v>
      </c>
      <c r="N41" s="448">
        <f t="shared" si="45"/>
        <v>641</v>
      </c>
      <c r="O41" s="448">
        <f t="shared" si="46"/>
        <v>31.280800000000003</v>
      </c>
      <c r="P41" s="448">
        <f t="shared" si="47"/>
        <v>0.55127025600000001</v>
      </c>
      <c r="Q41" s="448">
        <f t="shared" si="48"/>
        <v>673</v>
      </c>
      <c r="R41" s="228">
        <f t="shared" si="49"/>
        <v>3187052</v>
      </c>
      <c r="S41" s="228">
        <f t="shared" si="50"/>
        <v>3346156</v>
      </c>
      <c r="T41" s="423">
        <f t="shared" si="51"/>
        <v>11</v>
      </c>
      <c r="U41" s="423">
        <f t="shared" si="52"/>
        <v>11</v>
      </c>
      <c r="V41" s="424">
        <f t="array" ref="V41">MAX((IF(MNU_CODIGO_ALIMENTO_ENTREGA=CONCATENATE($E41,"_","S_"),MNU_GRAMAJE_REQUERIDO_TIPOB,"")))</f>
        <v>50</v>
      </c>
      <c r="W41" s="391">
        <f t="shared" si="53"/>
        <v>446</v>
      </c>
      <c r="X41" s="391">
        <f t="shared" si="54"/>
        <v>0</v>
      </c>
      <c r="Y41" s="391">
        <f t="shared" si="55"/>
        <v>4906</v>
      </c>
      <c r="Z41" s="448">
        <f t="shared" si="56"/>
        <v>641</v>
      </c>
      <c r="AA41" s="448">
        <f t="shared" si="57"/>
        <v>31.280800000000003</v>
      </c>
      <c r="AB41" s="448">
        <f t="shared" si="58"/>
        <v>0.55127025600000001</v>
      </c>
      <c r="AC41" s="448">
        <f t="shared" si="59"/>
        <v>673</v>
      </c>
      <c r="AD41" s="229">
        <f t="shared" si="60"/>
        <v>3144746</v>
      </c>
      <c r="AE41" s="229">
        <f t="shared" si="61"/>
        <v>3301738</v>
      </c>
      <c r="AF41" s="421">
        <f t="shared" si="62"/>
        <v>11</v>
      </c>
      <c r="AG41" s="421">
        <f t="shared" si="63"/>
        <v>11</v>
      </c>
      <c r="AH41" s="422">
        <f t="array" ref="AH41">MAX((IF(MNU_CODIGO_ALIMENTO_ENTREGA=CONCATENATE($E41,"_","S_"),MNU_GRAMAJE_REQUERIDO_TIPOC,"")))</f>
        <v>80</v>
      </c>
      <c r="AI41" s="227">
        <f t="shared" si="64"/>
        <v>1525</v>
      </c>
      <c r="AJ41" s="227">
        <f t="shared" si="65"/>
        <v>0</v>
      </c>
      <c r="AK41" s="227">
        <f t="shared" si="66"/>
        <v>16775</v>
      </c>
      <c r="AL41" s="448">
        <f t="shared" si="67"/>
        <v>1025</v>
      </c>
      <c r="AM41" s="448">
        <f t="shared" si="68"/>
        <v>50.02</v>
      </c>
      <c r="AN41" s="448">
        <f t="shared" si="69"/>
        <v>0.88151640000000009</v>
      </c>
      <c r="AO41" s="448">
        <f t="shared" si="70"/>
        <v>1076</v>
      </c>
      <c r="AP41" s="448">
        <f t="shared" si="71"/>
        <v>17194375</v>
      </c>
      <c r="AQ41" s="228">
        <f t="shared" si="72"/>
        <v>18049900</v>
      </c>
      <c r="AR41" s="391">
        <f t="shared" si="73"/>
        <v>23526173</v>
      </c>
      <c r="AS41" s="391">
        <f t="shared" si="74"/>
        <v>24697794</v>
      </c>
    </row>
    <row r="42" spans="1:45" ht="27">
      <c r="A42" s="226">
        <v>4</v>
      </c>
      <c r="B42" s="226" t="str">
        <f t="shared" si="38"/>
        <v>CEREAL EMPACADO_4</v>
      </c>
      <c r="C42" s="333" t="str">
        <f t="shared" si="39"/>
        <v>21_4</v>
      </c>
      <c r="D42" s="392" t="s">
        <v>1607</v>
      </c>
      <c r="E42" s="226">
        <v>21</v>
      </c>
      <c r="F42" s="325" t="s">
        <v>70</v>
      </c>
      <c r="G42" s="226" t="s">
        <v>9</v>
      </c>
      <c r="H42" s="421">
        <f t="shared" si="40"/>
        <v>22</v>
      </c>
      <c r="I42" s="421">
        <f t="shared" si="41"/>
        <v>0</v>
      </c>
      <c r="J42" s="422">
        <f t="array" ref="J42">MAX((IF(MNU_CODIGO_ALIMENTO_ENTREGA=CONCATENATE($E42,"_","S_"),MNU_GRAMAJE_REQUERIDO_TIPOA,"")))</f>
        <v>30</v>
      </c>
      <c r="K42" s="227">
        <f t="shared" si="42"/>
        <v>452</v>
      </c>
      <c r="L42" s="227">
        <f t="shared" si="43"/>
        <v>0</v>
      </c>
      <c r="M42" s="227">
        <f t="shared" si="44"/>
        <v>9944</v>
      </c>
      <c r="N42" s="448">
        <f t="shared" si="45"/>
        <v>458</v>
      </c>
      <c r="O42" s="448">
        <f t="shared" si="46"/>
        <v>22.3504</v>
      </c>
      <c r="P42" s="448">
        <f t="shared" si="47"/>
        <v>0.39388732799999998</v>
      </c>
      <c r="Q42" s="448">
        <f t="shared" si="48"/>
        <v>481</v>
      </c>
      <c r="R42" s="228">
        <f t="shared" si="49"/>
        <v>4554352</v>
      </c>
      <c r="S42" s="228">
        <f t="shared" si="50"/>
        <v>4783064</v>
      </c>
      <c r="T42" s="423">
        <f t="shared" si="51"/>
        <v>22</v>
      </c>
      <c r="U42" s="423">
        <f t="shared" si="52"/>
        <v>0</v>
      </c>
      <c r="V42" s="424">
        <f t="array" ref="V42">MAX((IF(MNU_CODIGO_ALIMENTO_ENTREGA=CONCATENATE($E42,"_","S_"),MNU_GRAMAJE_REQUERIDO_TIPOB,"")))</f>
        <v>30</v>
      </c>
      <c r="W42" s="391">
        <f t="shared" si="53"/>
        <v>446</v>
      </c>
      <c r="X42" s="391">
        <f t="shared" si="54"/>
        <v>0</v>
      </c>
      <c r="Y42" s="391">
        <f t="shared" si="55"/>
        <v>9812</v>
      </c>
      <c r="Z42" s="448">
        <f t="shared" si="56"/>
        <v>458</v>
      </c>
      <c r="AA42" s="448">
        <f t="shared" si="57"/>
        <v>22.3504</v>
      </c>
      <c r="AB42" s="448">
        <f t="shared" si="58"/>
        <v>0.39388732799999998</v>
      </c>
      <c r="AC42" s="448">
        <f t="shared" si="59"/>
        <v>481</v>
      </c>
      <c r="AD42" s="229">
        <f t="shared" si="60"/>
        <v>4493896</v>
      </c>
      <c r="AE42" s="229">
        <f t="shared" si="61"/>
        <v>4719572</v>
      </c>
      <c r="AF42" s="421">
        <f t="shared" si="62"/>
        <v>22</v>
      </c>
      <c r="AG42" s="421">
        <f t="shared" si="63"/>
        <v>0</v>
      </c>
      <c r="AH42" s="422">
        <f t="array" ref="AH42">MAX((IF(MNU_CODIGO_ALIMENTO_ENTREGA=CONCATENATE($E42,"_","S_"),MNU_GRAMAJE_REQUERIDO_TIPOC,"")))</f>
        <v>50</v>
      </c>
      <c r="AI42" s="227">
        <f t="shared" si="64"/>
        <v>1525</v>
      </c>
      <c r="AJ42" s="227">
        <f t="shared" si="65"/>
        <v>0</v>
      </c>
      <c r="AK42" s="227">
        <f t="shared" si="66"/>
        <v>33550</v>
      </c>
      <c r="AL42" s="448">
        <f t="shared" si="67"/>
        <v>764</v>
      </c>
      <c r="AM42" s="448">
        <f t="shared" si="68"/>
        <v>37.283200000000001</v>
      </c>
      <c r="AN42" s="448">
        <f t="shared" si="69"/>
        <v>0.65705222400000007</v>
      </c>
      <c r="AO42" s="448">
        <f t="shared" si="70"/>
        <v>802</v>
      </c>
      <c r="AP42" s="448">
        <f t="shared" si="71"/>
        <v>25632200</v>
      </c>
      <c r="AQ42" s="228">
        <f t="shared" si="72"/>
        <v>26907100</v>
      </c>
      <c r="AR42" s="391">
        <f t="shared" si="73"/>
        <v>34680448</v>
      </c>
      <c r="AS42" s="391">
        <f t="shared" si="74"/>
        <v>36409736</v>
      </c>
    </row>
    <row r="43" spans="1:45" ht="15.75">
      <c r="A43" s="226">
        <v>4</v>
      </c>
      <c r="B43" s="226" t="str">
        <f t="shared" si="38"/>
        <v>CEREAL EMPACADO_4</v>
      </c>
      <c r="C43" s="333" t="str">
        <f t="shared" si="39"/>
        <v>24_4</v>
      </c>
      <c r="D43" s="392" t="s">
        <v>1607</v>
      </c>
      <c r="E43" s="226">
        <v>24</v>
      </c>
      <c r="F43" s="325" t="s">
        <v>61</v>
      </c>
      <c r="G43" s="226" t="s">
        <v>9</v>
      </c>
      <c r="H43" s="421">
        <f t="shared" si="40"/>
        <v>11</v>
      </c>
      <c r="I43" s="421">
        <f t="shared" si="41"/>
        <v>11</v>
      </c>
      <c r="J43" s="422">
        <f t="array" ref="J43">MAX((IF(MNU_CODIGO_ALIMENTO_ENTREGA=CONCATENATE($E43,"_","S_"),MNU_GRAMAJE_REQUERIDO_TIPOA,"")))</f>
        <v>20</v>
      </c>
      <c r="K43" s="227">
        <f t="shared" si="42"/>
        <v>452</v>
      </c>
      <c r="L43" s="227">
        <f t="shared" si="43"/>
        <v>0</v>
      </c>
      <c r="M43" s="227">
        <f t="shared" si="44"/>
        <v>4972</v>
      </c>
      <c r="N43" s="448">
        <f t="shared" si="45"/>
        <v>122</v>
      </c>
      <c r="O43" s="448">
        <f t="shared" si="46"/>
        <v>5.9535999999999998</v>
      </c>
      <c r="P43" s="448">
        <f t="shared" si="47"/>
        <v>0.104921952</v>
      </c>
      <c r="Q43" s="448">
        <f t="shared" si="48"/>
        <v>128</v>
      </c>
      <c r="R43" s="228">
        <f t="shared" si="49"/>
        <v>606584</v>
      </c>
      <c r="S43" s="228">
        <f t="shared" si="50"/>
        <v>636416</v>
      </c>
      <c r="T43" s="423">
        <f t="shared" si="51"/>
        <v>11</v>
      </c>
      <c r="U43" s="423">
        <f t="shared" si="52"/>
        <v>11</v>
      </c>
      <c r="V43" s="424">
        <f t="array" ref="V43">MAX((IF(MNU_CODIGO_ALIMENTO_ENTREGA=CONCATENATE($E43,"_","S_"),MNU_GRAMAJE_REQUERIDO_TIPOB,"")))</f>
        <v>30</v>
      </c>
      <c r="W43" s="391">
        <f t="shared" si="53"/>
        <v>446</v>
      </c>
      <c r="X43" s="391">
        <f t="shared" si="54"/>
        <v>0</v>
      </c>
      <c r="Y43" s="391">
        <f t="shared" si="55"/>
        <v>4906</v>
      </c>
      <c r="Z43" s="448">
        <f t="shared" si="56"/>
        <v>191</v>
      </c>
      <c r="AA43" s="448">
        <f t="shared" si="57"/>
        <v>9.3208000000000002</v>
      </c>
      <c r="AB43" s="448">
        <f t="shared" si="58"/>
        <v>0.16426305600000002</v>
      </c>
      <c r="AC43" s="448">
        <f t="shared" si="59"/>
        <v>200</v>
      </c>
      <c r="AD43" s="229">
        <f t="shared" si="60"/>
        <v>937046</v>
      </c>
      <c r="AE43" s="229">
        <f t="shared" si="61"/>
        <v>981200</v>
      </c>
      <c r="AF43" s="421">
        <f t="shared" si="62"/>
        <v>11</v>
      </c>
      <c r="AG43" s="421">
        <f t="shared" si="63"/>
        <v>11</v>
      </c>
      <c r="AH43" s="422">
        <f t="array" ref="AH43">MAX((IF(MNU_CODIGO_ALIMENTO_ENTREGA=CONCATENATE($E43,"_","S_"),MNU_GRAMAJE_REQUERIDO_TIPOC,"")))</f>
        <v>60</v>
      </c>
      <c r="AI43" s="227">
        <f t="shared" si="64"/>
        <v>1525</v>
      </c>
      <c r="AJ43" s="227">
        <f t="shared" si="65"/>
        <v>0</v>
      </c>
      <c r="AK43" s="227">
        <f t="shared" si="66"/>
        <v>16775</v>
      </c>
      <c r="AL43" s="448">
        <f t="shared" si="67"/>
        <v>367</v>
      </c>
      <c r="AM43" s="448">
        <f t="shared" si="68"/>
        <v>17.909599999999998</v>
      </c>
      <c r="AN43" s="448">
        <f t="shared" si="69"/>
        <v>0.31562587200000003</v>
      </c>
      <c r="AO43" s="448">
        <f t="shared" si="70"/>
        <v>385</v>
      </c>
      <c r="AP43" s="448">
        <f t="shared" si="71"/>
        <v>6156425</v>
      </c>
      <c r="AQ43" s="228">
        <f t="shared" si="72"/>
        <v>6458375</v>
      </c>
      <c r="AR43" s="391">
        <f t="shared" si="73"/>
        <v>7700055</v>
      </c>
      <c r="AS43" s="391">
        <f t="shared" si="74"/>
        <v>8075991</v>
      </c>
    </row>
    <row r="44" spans="1:45" ht="15.75">
      <c r="A44" s="226">
        <v>4</v>
      </c>
      <c r="B44" s="226" t="str">
        <f t="shared" si="38"/>
        <v>CEREAL EMPACADO_4</v>
      </c>
      <c r="C44" s="333" t="str">
        <f t="shared" si="39"/>
        <v>25_4</v>
      </c>
      <c r="D44" s="392" t="s">
        <v>1607</v>
      </c>
      <c r="E44" s="226">
        <v>25</v>
      </c>
      <c r="F44" s="325" t="s">
        <v>64</v>
      </c>
      <c r="G44" s="226" t="s">
        <v>9</v>
      </c>
      <c r="H44" s="421">
        <f t="shared" si="40"/>
        <v>22</v>
      </c>
      <c r="I44" s="421">
        <f t="shared" si="41"/>
        <v>0</v>
      </c>
      <c r="J44" s="422">
        <f t="array" ref="J44">MAX((IF(MNU_CODIGO_ALIMENTO_ENTREGA=CONCATENATE($E44,"_","S_"),MNU_GRAMAJE_REQUERIDO_TIPOA,"")))</f>
        <v>40</v>
      </c>
      <c r="K44" s="227">
        <f t="shared" si="42"/>
        <v>452</v>
      </c>
      <c r="L44" s="227">
        <f t="shared" si="43"/>
        <v>0</v>
      </c>
      <c r="M44" s="227">
        <f t="shared" si="44"/>
        <v>9944</v>
      </c>
      <c r="N44" s="448">
        <f t="shared" si="45"/>
        <v>244</v>
      </c>
      <c r="O44" s="448">
        <f t="shared" si="46"/>
        <v>11.9072</v>
      </c>
      <c r="P44" s="448">
        <f t="shared" si="47"/>
        <v>0.209843904</v>
      </c>
      <c r="Q44" s="448">
        <f t="shared" si="48"/>
        <v>256</v>
      </c>
      <c r="R44" s="228">
        <f t="shared" si="49"/>
        <v>2426336</v>
      </c>
      <c r="S44" s="228">
        <f t="shared" si="50"/>
        <v>2545664</v>
      </c>
      <c r="T44" s="423">
        <f t="shared" si="51"/>
        <v>22</v>
      </c>
      <c r="U44" s="423">
        <f t="shared" si="52"/>
        <v>0</v>
      </c>
      <c r="V44" s="424">
        <f t="array" ref="V44">MAX((IF(MNU_CODIGO_ALIMENTO_ENTREGA=CONCATENATE($E44,"_","S_"),MNU_GRAMAJE_REQUERIDO_TIPOB,"")))</f>
        <v>40</v>
      </c>
      <c r="W44" s="391">
        <f t="shared" si="53"/>
        <v>446</v>
      </c>
      <c r="X44" s="391">
        <f t="shared" si="54"/>
        <v>0</v>
      </c>
      <c r="Y44" s="391">
        <f t="shared" si="55"/>
        <v>9812</v>
      </c>
      <c r="Z44" s="448">
        <f t="shared" si="56"/>
        <v>244</v>
      </c>
      <c r="AA44" s="448">
        <f t="shared" si="57"/>
        <v>11.9072</v>
      </c>
      <c r="AB44" s="448">
        <f t="shared" si="58"/>
        <v>0.209843904</v>
      </c>
      <c r="AC44" s="448">
        <f t="shared" si="59"/>
        <v>256</v>
      </c>
      <c r="AD44" s="229">
        <f t="shared" si="60"/>
        <v>2394128</v>
      </c>
      <c r="AE44" s="229">
        <f t="shared" si="61"/>
        <v>2511872</v>
      </c>
      <c r="AF44" s="421">
        <f t="shared" si="62"/>
        <v>22</v>
      </c>
      <c r="AG44" s="421">
        <f t="shared" si="63"/>
        <v>0</v>
      </c>
      <c r="AH44" s="422">
        <f t="array" ref="AH44">MAX((IF(MNU_CODIGO_ALIMENTO_ENTREGA=CONCATENATE($E44,"_","S_"),MNU_GRAMAJE_REQUERIDO_TIPOC,"")))</f>
        <v>60</v>
      </c>
      <c r="AI44" s="227">
        <f t="shared" si="64"/>
        <v>1525</v>
      </c>
      <c r="AJ44" s="227">
        <f t="shared" si="65"/>
        <v>0</v>
      </c>
      <c r="AK44" s="227">
        <f t="shared" si="66"/>
        <v>33550</v>
      </c>
      <c r="AL44" s="448">
        <f t="shared" si="67"/>
        <v>366</v>
      </c>
      <c r="AM44" s="448">
        <f t="shared" si="68"/>
        <v>17.860800000000001</v>
      </c>
      <c r="AN44" s="448">
        <f t="shared" si="69"/>
        <v>0.31476585600000001</v>
      </c>
      <c r="AO44" s="448">
        <f t="shared" si="70"/>
        <v>384</v>
      </c>
      <c r="AP44" s="448">
        <f t="shared" si="71"/>
        <v>12279300</v>
      </c>
      <c r="AQ44" s="228">
        <f t="shared" si="72"/>
        <v>12883200</v>
      </c>
      <c r="AR44" s="391">
        <f t="shared" si="73"/>
        <v>17099764</v>
      </c>
      <c r="AS44" s="391">
        <f t="shared" si="74"/>
        <v>17940736</v>
      </c>
    </row>
    <row r="45" spans="1:45" ht="27">
      <c r="A45" s="226">
        <v>4</v>
      </c>
      <c r="B45" s="226" t="str">
        <f t="shared" si="38"/>
        <v>CEREAL EMPACADO_4</v>
      </c>
      <c r="C45" s="333" t="str">
        <f t="shared" si="39"/>
        <v>28_4</v>
      </c>
      <c r="D45" s="392" t="s">
        <v>1607</v>
      </c>
      <c r="E45" s="226">
        <v>28</v>
      </c>
      <c r="F45" s="325" t="s">
        <v>67</v>
      </c>
      <c r="G45" s="226" t="s">
        <v>9</v>
      </c>
      <c r="H45" s="421">
        <f t="shared" si="40"/>
        <v>19</v>
      </c>
      <c r="I45" s="421">
        <f t="shared" si="41"/>
        <v>0</v>
      </c>
      <c r="J45" s="422">
        <f t="array" ref="J45">MAX((IF(MNU_CODIGO_ALIMENTO_ENTREGA=CONCATENATE($E45,"_","S_"),MNU_GRAMAJE_REQUERIDO_TIPOA,"")))</f>
        <v>30</v>
      </c>
      <c r="K45" s="227">
        <f t="shared" si="42"/>
        <v>452</v>
      </c>
      <c r="L45" s="227">
        <f t="shared" si="43"/>
        <v>0</v>
      </c>
      <c r="M45" s="227">
        <f t="shared" si="44"/>
        <v>8588</v>
      </c>
      <c r="N45" s="448">
        <f t="shared" si="45"/>
        <v>215</v>
      </c>
      <c r="O45" s="448">
        <f t="shared" si="46"/>
        <v>10.492000000000001</v>
      </c>
      <c r="P45" s="448">
        <f t="shared" si="47"/>
        <v>0.18490343999999997</v>
      </c>
      <c r="Q45" s="448">
        <f t="shared" si="48"/>
        <v>226</v>
      </c>
      <c r="R45" s="228">
        <f t="shared" si="49"/>
        <v>1846420</v>
      </c>
      <c r="S45" s="228">
        <f t="shared" si="50"/>
        <v>1940888</v>
      </c>
      <c r="T45" s="423">
        <f t="shared" si="51"/>
        <v>19</v>
      </c>
      <c r="U45" s="423">
        <f t="shared" si="52"/>
        <v>0</v>
      </c>
      <c r="V45" s="424">
        <f t="array" ref="V45">MAX((IF(MNU_CODIGO_ALIMENTO_ENTREGA=CONCATENATE($E45,"_","S_"),MNU_GRAMAJE_REQUERIDO_TIPOB,"")))</f>
        <v>40</v>
      </c>
      <c r="W45" s="391">
        <f t="shared" si="53"/>
        <v>446</v>
      </c>
      <c r="X45" s="391">
        <f t="shared" si="54"/>
        <v>0</v>
      </c>
      <c r="Y45" s="391">
        <f t="shared" si="55"/>
        <v>8474</v>
      </c>
      <c r="Z45" s="448">
        <f t="shared" si="56"/>
        <v>287</v>
      </c>
      <c r="AA45" s="448">
        <f t="shared" si="57"/>
        <v>14.005600000000001</v>
      </c>
      <c r="AB45" s="448">
        <f t="shared" si="58"/>
        <v>0.24682459200000004</v>
      </c>
      <c r="AC45" s="448">
        <f t="shared" si="59"/>
        <v>301</v>
      </c>
      <c r="AD45" s="229">
        <f t="shared" si="60"/>
        <v>2432038</v>
      </c>
      <c r="AE45" s="229">
        <f t="shared" si="61"/>
        <v>2550674</v>
      </c>
      <c r="AF45" s="421">
        <f t="shared" si="62"/>
        <v>19</v>
      </c>
      <c r="AG45" s="421">
        <f t="shared" si="63"/>
        <v>0</v>
      </c>
      <c r="AH45" s="422">
        <f t="array" ref="AH45">MAX((IF(MNU_CODIGO_ALIMENTO_ENTREGA=CONCATENATE($E45,"_","S_"),MNU_GRAMAJE_REQUERIDO_TIPOC,"")))</f>
        <v>60</v>
      </c>
      <c r="AI45" s="227">
        <f t="shared" si="64"/>
        <v>1525</v>
      </c>
      <c r="AJ45" s="227">
        <f t="shared" si="65"/>
        <v>0</v>
      </c>
      <c r="AK45" s="227">
        <f t="shared" si="66"/>
        <v>28975</v>
      </c>
      <c r="AL45" s="448">
        <f t="shared" si="67"/>
        <v>430</v>
      </c>
      <c r="AM45" s="448">
        <f t="shared" si="68"/>
        <v>20.984000000000002</v>
      </c>
      <c r="AN45" s="448">
        <f t="shared" si="69"/>
        <v>0.36980687999999995</v>
      </c>
      <c r="AO45" s="448">
        <f t="shared" si="70"/>
        <v>451</v>
      </c>
      <c r="AP45" s="448">
        <f t="shared" si="71"/>
        <v>12459250</v>
      </c>
      <c r="AQ45" s="228">
        <f t="shared" si="72"/>
        <v>13067725</v>
      </c>
      <c r="AR45" s="391">
        <f t="shared" si="73"/>
        <v>16737708</v>
      </c>
      <c r="AS45" s="391">
        <f t="shared" si="74"/>
        <v>17559287</v>
      </c>
    </row>
    <row r="46" spans="1:45" ht="15.75">
      <c r="A46" s="226">
        <v>4</v>
      </c>
      <c r="B46" s="226" t="str">
        <f t="shared" si="38"/>
        <v>CEREAL EMPACADO_4</v>
      </c>
      <c r="C46" s="333" t="str">
        <f t="shared" si="39"/>
        <v>45_4</v>
      </c>
      <c r="D46" s="392" t="s">
        <v>1607</v>
      </c>
      <c r="E46" s="226">
        <v>45</v>
      </c>
      <c r="F46" s="325" t="s">
        <v>10</v>
      </c>
      <c r="G46" s="226" t="s">
        <v>9</v>
      </c>
      <c r="H46" s="421">
        <f t="shared" si="40"/>
        <v>20</v>
      </c>
      <c r="I46" s="421">
        <f t="shared" si="41"/>
        <v>0</v>
      </c>
      <c r="J46" s="422">
        <f t="array" ref="J46">MAX((IF(MNU_CODIGO_ALIMENTO_ENTREGA=CONCATENATE($E46,"_","S_"),MNU_GRAMAJE_REQUERIDO_TIPOA,"")))</f>
        <v>20</v>
      </c>
      <c r="K46" s="227">
        <f t="shared" si="42"/>
        <v>452</v>
      </c>
      <c r="L46" s="227">
        <f t="shared" si="43"/>
        <v>0</v>
      </c>
      <c r="M46" s="227">
        <f t="shared" si="44"/>
        <v>9040</v>
      </c>
      <c r="N46" s="448">
        <f t="shared" si="45"/>
        <v>190</v>
      </c>
      <c r="O46" s="448">
        <f t="shared" si="46"/>
        <v>9.2720000000000002</v>
      </c>
      <c r="P46" s="448">
        <f t="shared" si="47"/>
        <v>0.16340304</v>
      </c>
      <c r="Q46" s="448">
        <f t="shared" si="48"/>
        <v>199</v>
      </c>
      <c r="R46" s="228">
        <f t="shared" si="49"/>
        <v>1717600</v>
      </c>
      <c r="S46" s="228">
        <f t="shared" si="50"/>
        <v>1798960</v>
      </c>
      <c r="T46" s="423">
        <f t="shared" si="51"/>
        <v>20</v>
      </c>
      <c r="U46" s="423">
        <f t="shared" si="52"/>
        <v>0</v>
      </c>
      <c r="V46" s="424">
        <f t="array" ref="V46">MAX((IF(MNU_CODIGO_ALIMENTO_ENTREGA=CONCATENATE($E46,"_","S_"),MNU_GRAMAJE_REQUERIDO_TIPOB,"")))</f>
        <v>30</v>
      </c>
      <c r="W46" s="391">
        <f t="shared" si="53"/>
        <v>446</v>
      </c>
      <c r="X46" s="391">
        <f t="shared" si="54"/>
        <v>0</v>
      </c>
      <c r="Y46" s="391">
        <f t="shared" si="55"/>
        <v>8920</v>
      </c>
      <c r="Z46" s="448">
        <f t="shared" si="56"/>
        <v>284</v>
      </c>
      <c r="AA46" s="448">
        <f t="shared" si="57"/>
        <v>13.8592</v>
      </c>
      <c r="AB46" s="448">
        <f t="shared" si="58"/>
        <v>0.24424454399999998</v>
      </c>
      <c r="AC46" s="448">
        <f t="shared" si="59"/>
        <v>298</v>
      </c>
      <c r="AD46" s="229">
        <f t="shared" si="60"/>
        <v>2533280</v>
      </c>
      <c r="AE46" s="229">
        <f t="shared" si="61"/>
        <v>2658160</v>
      </c>
      <c r="AF46" s="421">
        <f t="shared" si="62"/>
        <v>20</v>
      </c>
      <c r="AG46" s="421">
        <f t="shared" si="63"/>
        <v>0</v>
      </c>
      <c r="AH46" s="422">
        <f t="array" ref="AH46">MAX((IF(MNU_CODIGO_ALIMENTO_ENTREGA=CONCATENATE($E46,"_","S_"),MNU_GRAMAJE_REQUERIDO_TIPOC,"")))</f>
        <v>60</v>
      </c>
      <c r="AI46" s="227">
        <f t="shared" si="64"/>
        <v>1525</v>
      </c>
      <c r="AJ46" s="227">
        <f t="shared" si="65"/>
        <v>0</v>
      </c>
      <c r="AK46" s="227">
        <f t="shared" si="66"/>
        <v>30500</v>
      </c>
      <c r="AL46" s="448">
        <f t="shared" si="67"/>
        <v>569</v>
      </c>
      <c r="AM46" s="448">
        <f t="shared" si="68"/>
        <v>27.767199999999999</v>
      </c>
      <c r="AN46" s="448">
        <f t="shared" si="69"/>
        <v>0.48934910400000003</v>
      </c>
      <c r="AO46" s="448">
        <f t="shared" si="70"/>
        <v>597</v>
      </c>
      <c r="AP46" s="448">
        <f t="shared" si="71"/>
        <v>17354500</v>
      </c>
      <c r="AQ46" s="228">
        <f t="shared" si="72"/>
        <v>18208500</v>
      </c>
      <c r="AR46" s="391">
        <f t="shared" si="73"/>
        <v>21605380</v>
      </c>
      <c r="AS46" s="391">
        <f t="shared" si="74"/>
        <v>22665620</v>
      </c>
    </row>
    <row r="47" spans="1:45" ht="15.75">
      <c r="A47" s="226">
        <v>4</v>
      </c>
      <c r="B47" s="226" t="str">
        <f t="shared" si="38"/>
        <v>CEREAL EMPACADO_4</v>
      </c>
      <c r="C47" s="333" t="str">
        <f t="shared" si="39"/>
        <v>61_4</v>
      </c>
      <c r="D47" s="392" t="s">
        <v>1607</v>
      </c>
      <c r="E47" s="226">
        <v>61</v>
      </c>
      <c r="F47" s="325" t="s">
        <v>13</v>
      </c>
      <c r="G47" s="226" t="s">
        <v>9</v>
      </c>
      <c r="H47" s="421">
        <f t="shared" si="40"/>
        <v>20</v>
      </c>
      <c r="I47" s="421">
        <f t="shared" si="41"/>
        <v>0</v>
      </c>
      <c r="J47" s="422">
        <f t="array" ref="J47">MAX((IF(MNU_CODIGO_ALIMENTO_ENTREGA=CONCATENATE($E47,"_","S_"),MNU_GRAMAJE_REQUERIDO_TIPOA,"")))</f>
        <v>20</v>
      </c>
      <c r="K47" s="227">
        <f t="shared" si="42"/>
        <v>452</v>
      </c>
      <c r="L47" s="227">
        <f t="shared" si="43"/>
        <v>0</v>
      </c>
      <c r="M47" s="227">
        <f t="shared" si="44"/>
        <v>9040</v>
      </c>
      <c r="N47" s="448">
        <f t="shared" si="45"/>
        <v>222</v>
      </c>
      <c r="O47" s="448">
        <f t="shared" si="46"/>
        <v>10.833600000000001</v>
      </c>
      <c r="P47" s="448">
        <f t="shared" si="47"/>
        <v>0.190923552</v>
      </c>
      <c r="Q47" s="448">
        <f t="shared" si="48"/>
        <v>233</v>
      </c>
      <c r="R47" s="228">
        <f t="shared" si="49"/>
        <v>2006880</v>
      </c>
      <c r="S47" s="228">
        <f t="shared" si="50"/>
        <v>2106320</v>
      </c>
      <c r="T47" s="423">
        <f t="shared" si="51"/>
        <v>20</v>
      </c>
      <c r="U47" s="423">
        <f t="shared" si="52"/>
        <v>0</v>
      </c>
      <c r="V47" s="424">
        <f t="array" ref="V47">MAX((IF(MNU_CODIGO_ALIMENTO_ENTREGA=CONCATENATE($E47,"_","S_"),MNU_GRAMAJE_REQUERIDO_TIPOB,"")))</f>
        <v>30</v>
      </c>
      <c r="W47" s="391">
        <f t="shared" si="53"/>
        <v>446</v>
      </c>
      <c r="X47" s="391">
        <f t="shared" si="54"/>
        <v>0</v>
      </c>
      <c r="Y47" s="391">
        <f t="shared" si="55"/>
        <v>8920</v>
      </c>
      <c r="Z47" s="448">
        <f t="shared" si="56"/>
        <v>334</v>
      </c>
      <c r="AA47" s="448">
        <f t="shared" si="57"/>
        <v>16.299199999999999</v>
      </c>
      <c r="AB47" s="448">
        <f t="shared" si="58"/>
        <v>0.28724534400000001</v>
      </c>
      <c r="AC47" s="448">
        <f t="shared" si="59"/>
        <v>351</v>
      </c>
      <c r="AD47" s="229">
        <f t="shared" si="60"/>
        <v>2979280</v>
      </c>
      <c r="AE47" s="229">
        <f t="shared" si="61"/>
        <v>3130920</v>
      </c>
      <c r="AF47" s="421">
        <f t="shared" si="62"/>
        <v>20</v>
      </c>
      <c r="AG47" s="421">
        <f t="shared" si="63"/>
        <v>0</v>
      </c>
      <c r="AH47" s="422">
        <f t="array" ref="AH47">MAX((IF(MNU_CODIGO_ALIMENTO_ENTREGA=CONCATENATE($E47,"_","S_"),MNU_GRAMAJE_REQUERIDO_TIPOC,"")))</f>
        <v>70</v>
      </c>
      <c r="AI47" s="227">
        <f t="shared" si="64"/>
        <v>1525</v>
      </c>
      <c r="AJ47" s="227">
        <f t="shared" si="65"/>
        <v>0</v>
      </c>
      <c r="AK47" s="227">
        <f t="shared" si="66"/>
        <v>30500</v>
      </c>
      <c r="AL47" s="448">
        <f t="shared" si="67"/>
        <v>779</v>
      </c>
      <c r="AM47" s="448">
        <f t="shared" si="68"/>
        <v>38.0152</v>
      </c>
      <c r="AN47" s="448">
        <f t="shared" si="69"/>
        <v>0.66995246400000008</v>
      </c>
      <c r="AO47" s="448">
        <f t="shared" si="70"/>
        <v>818</v>
      </c>
      <c r="AP47" s="448">
        <f t="shared" si="71"/>
        <v>23759500</v>
      </c>
      <c r="AQ47" s="228">
        <f t="shared" si="72"/>
        <v>24949000</v>
      </c>
      <c r="AR47" s="391">
        <f t="shared" si="73"/>
        <v>28745660</v>
      </c>
      <c r="AS47" s="391">
        <f t="shared" si="74"/>
        <v>30186240</v>
      </c>
    </row>
    <row r="48" spans="1:45" ht="15.75">
      <c r="A48" s="226">
        <v>5</v>
      </c>
      <c r="B48" s="226" t="str">
        <f t="shared" si="38"/>
        <v>CEREAL EMPACADO_5</v>
      </c>
      <c r="C48" s="333" t="str">
        <f t="shared" si="39"/>
        <v>3_5</v>
      </c>
      <c r="D48" s="392" t="s">
        <v>1607</v>
      </c>
      <c r="E48" s="226">
        <v>3</v>
      </c>
      <c r="F48" s="325" t="s">
        <v>12</v>
      </c>
      <c r="G48" s="226" t="s">
        <v>9</v>
      </c>
      <c r="H48" s="421">
        <f t="shared" si="40"/>
        <v>19</v>
      </c>
      <c r="I48" s="421">
        <f t="shared" si="41"/>
        <v>0</v>
      </c>
      <c r="J48" s="422">
        <f t="array" ref="J48">MAX((IF(MNU_CODIGO_ALIMENTO_ENTREGA=CONCATENATE($E48,"_","S_"),MNU_GRAMAJE_REQUERIDO_TIPOA,"")))</f>
        <v>50</v>
      </c>
      <c r="K48" s="227">
        <f t="shared" si="42"/>
        <v>710</v>
      </c>
      <c r="L48" s="227">
        <f t="shared" si="43"/>
        <v>0</v>
      </c>
      <c r="M48" s="227">
        <f t="shared" si="44"/>
        <v>13490</v>
      </c>
      <c r="N48" s="448">
        <f t="shared" si="45"/>
        <v>481</v>
      </c>
      <c r="O48" s="448">
        <f t="shared" si="46"/>
        <v>23.472799999999999</v>
      </c>
      <c r="P48" s="448">
        <f t="shared" si="47"/>
        <v>0.41366769599999997</v>
      </c>
      <c r="Q48" s="448">
        <f t="shared" si="48"/>
        <v>505</v>
      </c>
      <c r="R48" s="228">
        <f t="shared" si="49"/>
        <v>6488690</v>
      </c>
      <c r="S48" s="228">
        <f t="shared" si="50"/>
        <v>6812450</v>
      </c>
      <c r="T48" s="423">
        <f t="shared" si="51"/>
        <v>19</v>
      </c>
      <c r="U48" s="423">
        <f t="shared" si="52"/>
        <v>0</v>
      </c>
      <c r="V48" s="424">
        <f t="array" ref="V48">MAX((IF(MNU_CODIGO_ALIMENTO_ENTREGA=CONCATENATE($E48,"_","S_"),MNU_GRAMAJE_REQUERIDO_TIPOB,"")))</f>
        <v>50</v>
      </c>
      <c r="W48" s="391">
        <f t="shared" si="53"/>
        <v>1296</v>
      </c>
      <c r="X48" s="391">
        <f t="shared" si="54"/>
        <v>0</v>
      </c>
      <c r="Y48" s="391">
        <f t="shared" si="55"/>
        <v>24624</v>
      </c>
      <c r="Z48" s="448">
        <f t="shared" si="56"/>
        <v>481</v>
      </c>
      <c r="AA48" s="448">
        <f t="shared" si="57"/>
        <v>23.472799999999999</v>
      </c>
      <c r="AB48" s="448">
        <f t="shared" si="58"/>
        <v>0.41366769599999997</v>
      </c>
      <c r="AC48" s="448">
        <f t="shared" si="59"/>
        <v>505</v>
      </c>
      <c r="AD48" s="229">
        <f t="shared" si="60"/>
        <v>11844144</v>
      </c>
      <c r="AE48" s="229">
        <f t="shared" si="61"/>
        <v>12435120</v>
      </c>
      <c r="AF48" s="421">
        <f t="shared" si="62"/>
        <v>19</v>
      </c>
      <c r="AG48" s="421">
        <f t="shared" si="63"/>
        <v>0</v>
      </c>
      <c r="AH48" s="422">
        <f t="array" ref="AH48">MAX((IF(MNU_CODIGO_ALIMENTO_ENTREGA=CONCATENATE($E48,"_","S_"),MNU_GRAMAJE_REQUERIDO_TIPOC,"")))</f>
        <v>80</v>
      </c>
      <c r="AI48" s="227">
        <f t="shared" si="64"/>
        <v>1707</v>
      </c>
      <c r="AJ48" s="227">
        <f t="shared" si="65"/>
        <v>0</v>
      </c>
      <c r="AK48" s="227">
        <f t="shared" si="66"/>
        <v>32433</v>
      </c>
      <c r="AL48" s="448">
        <f t="shared" si="67"/>
        <v>727</v>
      </c>
      <c r="AM48" s="448">
        <f t="shared" si="68"/>
        <v>35.477600000000002</v>
      </c>
      <c r="AN48" s="448">
        <f t="shared" si="69"/>
        <v>0.62523163200000009</v>
      </c>
      <c r="AO48" s="448">
        <f t="shared" si="70"/>
        <v>763</v>
      </c>
      <c r="AP48" s="448">
        <f t="shared" si="71"/>
        <v>23578791</v>
      </c>
      <c r="AQ48" s="228">
        <f t="shared" si="72"/>
        <v>24746379</v>
      </c>
      <c r="AR48" s="391">
        <f t="shared" si="73"/>
        <v>41911625</v>
      </c>
      <c r="AS48" s="391">
        <f t="shared" si="74"/>
        <v>43993949</v>
      </c>
    </row>
    <row r="49" spans="1:45" ht="15.75">
      <c r="A49" s="226">
        <v>5</v>
      </c>
      <c r="B49" s="226" t="str">
        <f t="shared" si="38"/>
        <v>CEREAL EMPACADO_5</v>
      </c>
      <c r="C49" s="333" t="str">
        <f t="shared" si="39"/>
        <v>15_5</v>
      </c>
      <c r="D49" s="392" t="s">
        <v>1607</v>
      </c>
      <c r="E49" s="226">
        <v>15</v>
      </c>
      <c r="F49" s="325" t="s">
        <v>66</v>
      </c>
      <c r="G49" s="226" t="s">
        <v>9</v>
      </c>
      <c r="H49" s="421">
        <f t="shared" si="40"/>
        <v>11</v>
      </c>
      <c r="I49" s="421">
        <f t="shared" si="41"/>
        <v>11</v>
      </c>
      <c r="J49" s="422">
        <f t="array" ref="J49">MAX((IF(MNU_CODIGO_ALIMENTO_ENTREGA=CONCATENATE($E49,"_","S_"),MNU_GRAMAJE_REQUERIDO_TIPOA,"")))</f>
        <v>50</v>
      </c>
      <c r="K49" s="227">
        <f t="shared" si="42"/>
        <v>710</v>
      </c>
      <c r="L49" s="227">
        <f t="shared" si="43"/>
        <v>0</v>
      </c>
      <c r="M49" s="227">
        <f t="shared" si="44"/>
        <v>7810</v>
      </c>
      <c r="N49" s="448">
        <f t="shared" si="45"/>
        <v>641</v>
      </c>
      <c r="O49" s="448">
        <f t="shared" si="46"/>
        <v>31.280800000000003</v>
      </c>
      <c r="P49" s="448">
        <f t="shared" si="47"/>
        <v>0.55127025600000001</v>
      </c>
      <c r="Q49" s="448">
        <f t="shared" si="48"/>
        <v>673</v>
      </c>
      <c r="R49" s="228">
        <f t="shared" si="49"/>
        <v>5006210</v>
      </c>
      <c r="S49" s="228">
        <f t="shared" si="50"/>
        <v>5256130</v>
      </c>
      <c r="T49" s="423">
        <f t="shared" si="51"/>
        <v>11</v>
      </c>
      <c r="U49" s="423">
        <f t="shared" si="52"/>
        <v>11</v>
      </c>
      <c r="V49" s="424">
        <f t="array" ref="V49">MAX((IF(MNU_CODIGO_ALIMENTO_ENTREGA=CONCATENATE($E49,"_","S_"),MNU_GRAMAJE_REQUERIDO_TIPOB,"")))</f>
        <v>50</v>
      </c>
      <c r="W49" s="391">
        <f t="shared" si="53"/>
        <v>1296</v>
      </c>
      <c r="X49" s="391">
        <f t="shared" si="54"/>
        <v>0</v>
      </c>
      <c r="Y49" s="391">
        <f t="shared" si="55"/>
        <v>14256</v>
      </c>
      <c r="Z49" s="448">
        <f t="shared" si="56"/>
        <v>641</v>
      </c>
      <c r="AA49" s="448">
        <f t="shared" si="57"/>
        <v>31.280800000000003</v>
      </c>
      <c r="AB49" s="448">
        <f t="shared" si="58"/>
        <v>0.55127025600000001</v>
      </c>
      <c r="AC49" s="448">
        <f t="shared" si="59"/>
        <v>673</v>
      </c>
      <c r="AD49" s="229">
        <f t="shared" si="60"/>
        <v>9138096</v>
      </c>
      <c r="AE49" s="229">
        <f t="shared" si="61"/>
        <v>9594288</v>
      </c>
      <c r="AF49" s="421">
        <f t="shared" si="62"/>
        <v>11</v>
      </c>
      <c r="AG49" s="421">
        <f t="shared" si="63"/>
        <v>11</v>
      </c>
      <c r="AH49" s="422">
        <f t="array" ref="AH49">MAX((IF(MNU_CODIGO_ALIMENTO_ENTREGA=CONCATENATE($E49,"_","S_"),MNU_GRAMAJE_REQUERIDO_TIPOC,"")))</f>
        <v>80</v>
      </c>
      <c r="AI49" s="227">
        <f t="shared" si="64"/>
        <v>1707</v>
      </c>
      <c r="AJ49" s="227">
        <f t="shared" si="65"/>
        <v>0</v>
      </c>
      <c r="AK49" s="227">
        <f t="shared" si="66"/>
        <v>18777</v>
      </c>
      <c r="AL49" s="448">
        <f t="shared" si="67"/>
        <v>1025</v>
      </c>
      <c r="AM49" s="448">
        <f t="shared" si="68"/>
        <v>50.02</v>
      </c>
      <c r="AN49" s="448">
        <f t="shared" si="69"/>
        <v>0.88151640000000009</v>
      </c>
      <c r="AO49" s="448">
        <f t="shared" si="70"/>
        <v>1076</v>
      </c>
      <c r="AP49" s="448">
        <f t="shared" si="71"/>
        <v>19246425</v>
      </c>
      <c r="AQ49" s="228">
        <f t="shared" si="72"/>
        <v>20204052</v>
      </c>
      <c r="AR49" s="391">
        <f t="shared" si="73"/>
        <v>33390731</v>
      </c>
      <c r="AS49" s="391">
        <f t="shared" si="74"/>
        <v>35054470</v>
      </c>
    </row>
    <row r="50" spans="1:45" ht="27">
      <c r="A50" s="226">
        <v>5</v>
      </c>
      <c r="B50" s="226" t="str">
        <f t="shared" si="38"/>
        <v>CEREAL EMPACADO_5</v>
      </c>
      <c r="C50" s="333" t="str">
        <f t="shared" si="39"/>
        <v>21_5</v>
      </c>
      <c r="D50" s="392" t="s">
        <v>1607</v>
      </c>
      <c r="E50" s="226">
        <v>21</v>
      </c>
      <c r="F50" s="325" t="s">
        <v>70</v>
      </c>
      <c r="G50" s="226" t="s">
        <v>9</v>
      </c>
      <c r="H50" s="421">
        <f t="shared" si="40"/>
        <v>22</v>
      </c>
      <c r="I50" s="421">
        <f t="shared" si="41"/>
        <v>0</v>
      </c>
      <c r="J50" s="422">
        <f t="array" ref="J50">MAX((IF(MNU_CODIGO_ALIMENTO_ENTREGA=CONCATENATE($E50,"_","S_"),MNU_GRAMAJE_REQUERIDO_TIPOA,"")))</f>
        <v>30</v>
      </c>
      <c r="K50" s="227">
        <f t="shared" si="42"/>
        <v>710</v>
      </c>
      <c r="L50" s="227">
        <f t="shared" si="43"/>
        <v>0</v>
      </c>
      <c r="M50" s="227">
        <f t="shared" si="44"/>
        <v>15620</v>
      </c>
      <c r="N50" s="448">
        <f t="shared" si="45"/>
        <v>458</v>
      </c>
      <c r="O50" s="448">
        <f t="shared" si="46"/>
        <v>22.3504</v>
      </c>
      <c r="P50" s="448">
        <f t="shared" si="47"/>
        <v>0.39388732799999998</v>
      </c>
      <c r="Q50" s="448">
        <f t="shared" si="48"/>
        <v>481</v>
      </c>
      <c r="R50" s="228">
        <f t="shared" si="49"/>
        <v>7153960</v>
      </c>
      <c r="S50" s="228">
        <f t="shared" si="50"/>
        <v>7513220</v>
      </c>
      <c r="T50" s="423">
        <f t="shared" si="51"/>
        <v>22</v>
      </c>
      <c r="U50" s="423">
        <f t="shared" si="52"/>
        <v>0</v>
      </c>
      <c r="V50" s="424">
        <f t="array" ref="V50">MAX((IF(MNU_CODIGO_ALIMENTO_ENTREGA=CONCATENATE($E50,"_","S_"),MNU_GRAMAJE_REQUERIDO_TIPOB,"")))</f>
        <v>30</v>
      </c>
      <c r="W50" s="391">
        <f t="shared" si="53"/>
        <v>1296</v>
      </c>
      <c r="X50" s="391">
        <f t="shared" si="54"/>
        <v>0</v>
      </c>
      <c r="Y50" s="391">
        <f t="shared" si="55"/>
        <v>28512</v>
      </c>
      <c r="Z50" s="448">
        <f t="shared" si="56"/>
        <v>458</v>
      </c>
      <c r="AA50" s="448">
        <f t="shared" si="57"/>
        <v>22.3504</v>
      </c>
      <c r="AB50" s="448">
        <f t="shared" si="58"/>
        <v>0.39388732799999998</v>
      </c>
      <c r="AC50" s="448">
        <f t="shared" si="59"/>
        <v>481</v>
      </c>
      <c r="AD50" s="229">
        <f t="shared" si="60"/>
        <v>13058496</v>
      </c>
      <c r="AE50" s="229">
        <f t="shared" si="61"/>
        <v>13714272</v>
      </c>
      <c r="AF50" s="421">
        <f t="shared" si="62"/>
        <v>22</v>
      </c>
      <c r="AG50" s="421">
        <f t="shared" si="63"/>
        <v>0</v>
      </c>
      <c r="AH50" s="422">
        <f t="array" ref="AH50">MAX((IF(MNU_CODIGO_ALIMENTO_ENTREGA=CONCATENATE($E50,"_","S_"),MNU_GRAMAJE_REQUERIDO_TIPOC,"")))</f>
        <v>50</v>
      </c>
      <c r="AI50" s="227">
        <f t="shared" si="64"/>
        <v>1707</v>
      </c>
      <c r="AJ50" s="227">
        <f t="shared" si="65"/>
        <v>0</v>
      </c>
      <c r="AK50" s="227">
        <f t="shared" si="66"/>
        <v>37554</v>
      </c>
      <c r="AL50" s="448">
        <f t="shared" si="67"/>
        <v>764</v>
      </c>
      <c r="AM50" s="448">
        <f t="shared" si="68"/>
        <v>37.283200000000001</v>
      </c>
      <c r="AN50" s="448">
        <f t="shared" si="69"/>
        <v>0.65705222400000007</v>
      </c>
      <c r="AO50" s="448">
        <f t="shared" si="70"/>
        <v>802</v>
      </c>
      <c r="AP50" s="448">
        <f t="shared" si="71"/>
        <v>28691256</v>
      </c>
      <c r="AQ50" s="228">
        <f t="shared" si="72"/>
        <v>30118308</v>
      </c>
      <c r="AR50" s="391">
        <f t="shared" si="73"/>
        <v>48903712</v>
      </c>
      <c r="AS50" s="391">
        <f t="shared" si="74"/>
        <v>51345800</v>
      </c>
    </row>
    <row r="51" spans="1:45" ht="15.75">
      <c r="A51" s="226">
        <v>5</v>
      </c>
      <c r="B51" s="226" t="str">
        <f t="shared" si="38"/>
        <v>CEREAL EMPACADO_5</v>
      </c>
      <c r="C51" s="333" t="str">
        <f t="shared" si="39"/>
        <v>24_5</v>
      </c>
      <c r="D51" s="392" t="s">
        <v>1607</v>
      </c>
      <c r="E51" s="226">
        <v>24</v>
      </c>
      <c r="F51" s="325" t="s">
        <v>61</v>
      </c>
      <c r="G51" s="226" t="s">
        <v>9</v>
      </c>
      <c r="H51" s="421">
        <f t="shared" si="40"/>
        <v>11</v>
      </c>
      <c r="I51" s="421">
        <f t="shared" si="41"/>
        <v>11</v>
      </c>
      <c r="J51" s="422">
        <f t="array" ref="J51">MAX((IF(MNU_CODIGO_ALIMENTO_ENTREGA=CONCATENATE($E51,"_","S_"),MNU_GRAMAJE_REQUERIDO_TIPOA,"")))</f>
        <v>20</v>
      </c>
      <c r="K51" s="227">
        <f t="shared" si="42"/>
        <v>710</v>
      </c>
      <c r="L51" s="227">
        <f t="shared" si="43"/>
        <v>0</v>
      </c>
      <c r="M51" s="227">
        <f t="shared" si="44"/>
        <v>7810</v>
      </c>
      <c r="N51" s="448">
        <f t="shared" si="45"/>
        <v>122</v>
      </c>
      <c r="O51" s="448">
        <f t="shared" si="46"/>
        <v>5.9535999999999998</v>
      </c>
      <c r="P51" s="448">
        <f t="shared" si="47"/>
        <v>0.104921952</v>
      </c>
      <c r="Q51" s="448">
        <f t="shared" si="48"/>
        <v>128</v>
      </c>
      <c r="R51" s="228">
        <f t="shared" si="49"/>
        <v>952820</v>
      </c>
      <c r="S51" s="228">
        <f t="shared" si="50"/>
        <v>999680</v>
      </c>
      <c r="T51" s="423">
        <f t="shared" si="51"/>
        <v>11</v>
      </c>
      <c r="U51" s="423">
        <f t="shared" si="52"/>
        <v>11</v>
      </c>
      <c r="V51" s="424">
        <f t="array" ref="V51">MAX((IF(MNU_CODIGO_ALIMENTO_ENTREGA=CONCATENATE($E51,"_","S_"),MNU_GRAMAJE_REQUERIDO_TIPOB,"")))</f>
        <v>30</v>
      </c>
      <c r="W51" s="391">
        <f t="shared" si="53"/>
        <v>1296</v>
      </c>
      <c r="X51" s="391">
        <f t="shared" si="54"/>
        <v>0</v>
      </c>
      <c r="Y51" s="391">
        <f t="shared" si="55"/>
        <v>14256</v>
      </c>
      <c r="Z51" s="448">
        <f t="shared" si="56"/>
        <v>191</v>
      </c>
      <c r="AA51" s="448">
        <f t="shared" si="57"/>
        <v>9.3208000000000002</v>
      </c>
      <c r="AB51" s="448">
        <f t="shared" si="58"/>
        <v>0.16426305600000002</v>
      </c>
      <c r="AC51" s="448">
        <f t="shared" si="59"/>
        <v>200</v>
      </c>
      <c r="AD51" s="229">
        <f t="shared" si="60"/>
        <v>2722896</v>
      </c>
      <c r="AE51" s="229">
        <f t="shared" si="61"/>
        <v>2851200</v>
      </c>
      <c r="AF51" s="421">
        <f t="shared" si="62"/>
        <v>11</v>
      </c>
      <c r="AG51" s="421">
        <f t="shared" si="63"/>
        <v>11</v>
      </c>
      <c r="AH51" s="422">
        <f t="array" ref="AH51">MAX((IF(MNU_CODIGO_ALIMENTO_ENTREGA=CONCATENATE($E51,"_","S_"),MNU_GRAMAJE_REQUERIDO_TIPOC,"")))</f>
        <v>60</v>
      </c>
      <c r="AI51" s="227">
        <f t="shared" si="64"/>
        <v>1707</v>
      </c>
      <c r="AJ51" s="227">
        <f t="shared" si="65"/>
        <v>0</v>
      </c>
      <c r="AK51" s="227">
        <f t="shared" si="66"/>
        <v>18777</v>
      </c>
      <c r="AL51" s="448">
        <f t="shared" si="67"/>
        <v>367</v>
      </c>
      <c r="AM51" s="448">
        <f t="shared" si="68"/>
        <v>17.909599999999998</v>
      </c>
      <c r="AN51" s="448">
        <f t="shared" si="69"/>
        <v>0.31562587200000003</v>
      </c>
      <c r="AO51" s="448">
        <f t="shared" si="70"/>
        <v>385</v>
      </c>
      <c r="AP51" s="448">
        <f t="shared" si="71"/>
        <v>6891159</v>
      </c>
      <c r="AQ51" s="228">
        <f t="shared" si="72"/>
        <v>7229145</v>
      </c>
      <c r="AR51" s="391">
        <f t="shared" si="73"/>
        <v>10566875</v>
      </c>
      <c r="AS51" s="391">
        <f t="shared" si="74"/>
        <v>11080025</v>
      </c>
    </row>
    <row r="52" spans="1:45" ht="15.75">
      <c r="A52" s="226">
        <v>5</v>
      </c>
      <c r="B52" s="226" t="str">
        <f t="shared" si="38"/>
        <v>CEREAL EMPACADO_5</v>
      </c>
      <c r="C52" s="333" t="str">
        <f t="shared" si="39"/>
        <v>25_5</v>
      </c>
      <c r="D52" s="392" t="s">
        <v>1607</v>
      </c>
      <c r="E52" s="226">
        <v>25</v>
      </c>
      <c r="F52" s="325" t="s">
        <v>64</v>
      </c>
      <c r="G52" s="226" t="s">
        <v>9</v>
      </c>
      <c r="H52" s="421">
        <f t="shared" si="40"/>
        <v>22</v>
      </c>
      <c r="I52" s="421">
        <f t="shared" si="41"/>
        <v>0</v>
      </c>
      <c r="J52" s="422">
        <f t="array" ref="J52">MAX((IF(MNU_CODIGO_ALIMENTO_ENTREGA=CONCATENATE($E52,"_","S_"),MNU_GRAMAJE_REQUERIDO_TIPOA,"")))</f>
        <v>40</v>
      </c>
      <c r="K52" s="227">
        <f t="shared" si="42"/>
        <v>710</v>
      </c>
      <c r="L52" s="227">
        <f t="shared" si="43"/>
        <v>0</v>
      </c>
      <c r="M52" s="227">
        <f t="shared" si="44"/>
        <v>15620</v>
      </c>
      <c r="N52" s="448">
        <f t="shared" si="45"/>
        <v>244</v>
      </c>
      <c r="O52" s="448">
        <f t="shared" si="46"/>
        <v>11.9072</v>
      </c>
      <c r="P52" s="448">
        <f t="shared" si="47"/>
        <v>0.209843904</v>
      </c>
      <c r="Q52" s="448">
        <f t="shared" si="48"/>
        <v>256</v>
      </c>
      <c r="R52" s="228">
        <f t="shared" si="49"/>
        <v>3811280</v>
      </c>
      <c r="S52" s="228">
        <f t="shared" si="50"/>
        <v>3998720</v>
      </c>
      <c r="T52" s="423">
        <f t="shared" si="51"/>
        <v>22</v>
      </c>
      <c r="U52" s="423">
        <f t="shared" si="52"/>
        <v>0</v>
      </c>
      <c r="V52" s="424">
        <f t="array" ref="V52">MAX((IF(MNU_CODIGO_ALIMENTO_ENTREGA=CONCATENATE($E52,"_","S_"),MNU_GRAMAJE_REQUERIDO_TIPOB,"")))</f>
        <v>40</v>
      </c>
      <c r="W52" s="391">
        <f t="shared" si="53"/>
        <v>1296</v>
      </c>
      <c r="X52" s="391">
        <f t="shared" si="54"/>
        <v>0</v>
      </c>
      <c r="Y52" s="391">
        <f t="shared" si="55"/>
        <v>28512</v>
      </c>
      <c r="Z52" s="448">
        <f t="shared" si="56"/>
        <v>244</v>
      </c>
      <c r="AA52" s="448">
        <f t="shared" si="57"/>
        <v>11.9072</v>
      </c>
      <c r="AB52" s="448">
        <f t="shared" si="58"/>
        <v>0.209843904</v>
      </c>
      <c r="AC52" s="448">
        <f t="shared" si="59"/>
        <v>256</v>
      </c>
      <c r="AD52" s="229">
        <f t="shared" si="60"/>
        <v>6956928</v>
      </c>
      <c r="AE52" s="229">
        <f t="shared" si="61"/>
        <v>7299072</v>
      </c>
      <c r="AF52" s="421">
        <f t="shared" si="62"/>
        <v>22</v>
      </c>
      <c r="AG52" s="421">
        <f t="shared" si="63"/>
        <v>0</v>
      </c>
      <c r="AH52" s="422">
        <f t="array" ref="AH52">MAX((IF(MNU_CODIGO_ALIMENTO_ENTREGA=CONCATENATE($E52,"_","S_"),MNU_GRAMAJE_REQUERIDO_TIPOC,"")))</f>
        <v>60</v>
      </c>
      <c r="AI52" s="227">
        <f t="shared" si="64"/>
        <v>1707</v>
      </c>
      <c r="AJ52" s="227">
        <f t="shared" si="65"/>
        <v>0</v>
      </c>
      <c r="AK52" s="227">
        <f t="shared" si="66"/>
        <v>37554</v>
      </c>
      <c r="AL52" s="448">
        <f t="shared" si="67"/>
        <v>366</v>
      </c>
      <c r="AM52" s="448">
        <f t="shared" si="68"/>
        <v>17.860800000000001</v>
      </c>
      <c r="AN52" s="448">
        <f t="shared" si="69"/>
        <v>0.31476585600000001</v>
      </c>
      <c r="AO52" s="448">
        <f t="shared" si="70"/>
        <v>384</v>
      </c>
      <c r="AP52" s="448">
        <f t="shared" si="71"/>
        <v>13744764</v>
      </c>
      <c r="AQ52" s="228">
        <f t="shared" si="72"/>
        <v>14420736</v>
      </c>
      <c r="AR52" s="391">
        <f t="shared" si="73"/>
        <v>24512972</v>
      </c>
      <c r="AS52" s="391">
        <f t="shared" si="74"/>
        <v>25718528</v>
      </c>
    </row>
    <row r="53" spans="1:45" ht="27">
      <c r="A53" s="226">
        <v>5</v>
      </c>
      <c r="B53" s="226" t="str">
        <f t="shared" si="38"/>
        <v>CEREAL EMPACADO_5</v>
      </c>
      <c r="C53" s="333" t="str">
        <f t="shared" si="39"/>
        <v>28_5</v>
      </c>
      <c r="D53" s="392" t="s">
        <v>1607</v>
      </c>
      <c r="E53" s="226">
        <v>28</v>
      </c>
      <c r="F53" s="325" t="s">
        <v>67</v>
      </c>
      <c r="G53" s="226" t="s">
        <v>9</v>
      </c>
      <c r="H53" s="421">
        <f t="shared" si="40"/>
        <v>19</v>
      </c>
      <c r="I53" s="421">
        <f t="shared" si="41"/>
        <v>0</v>
      </c>
      <c r="J53" s="422">
        <f t="array" ref="J53">MAX((IF(MNU_CODIGO_ALIMENTO_ENTREGA=CONCATENATE($E53,"_","S_"),MNU_GRAMAJE_REQUERIDO_TIPOA,"")))</f>
        <v>30</v>
      </c>
      <c r="K53" s="227">
        <f t="shared" si="42"/>
        <v>710</v>
      </c>
      <c r="L53" s="227">
        <f t="shared" si="43"/>
        <v>0</v>
      </c>
      <c r="M53" s="227">
        <f t="shared" si="44"/>
        <v>13490</v>
      </c>
      <c r="N53" s="448">
        <f t="shared" si="45"/>
        <v>215</v>
      </c>
      <c r="O53" s="448">
        <f t="shared" si="46"/>
        <v>10.492000000000001</v>
      </c>
      <c r="P53" s="448">
        <f t="shared" si="47"/>
        <v>0.18490343999999997</v>
      </c>
      <c r="Q53" s="448">
        <f t="shared" si="48"/>
        <v>226</v>
      </c>
      <c r="R53" s="228">
        <f t="shared" si="49"/>
        <v>2900350</v>
      </c>
      <c r="S53" s="228">
        <f t="shared" si="50"/>
        <v>3048740</v>
      </c>
      <c r="T53" s="423">
        <f t="shared" si="51"/>
        <v>19</v>
      </c>
      <c r="U53" s="423">
        <f t="shared" si="52"/>
        <v>0</v>
      </c>
      <c r="V53" s="424">
        <f t="array" ref="V53">MAX((IF(MNU_CODIGO_ALIMENTO_ENTREGA=CONCATENATE($E53,"_","S_"),MNU_GRAMAJE_REQUERIDO_TIPOB,"")))</f>
        <v>40</v>
      </c>
      <c r="W53" s="391">
        <f t="shared" si="53"/>
        <v>1296</v>
      </c>
      <c r="X53" s="391">
        <f t="shared" si="54"/>
        <v>0</v>
      </c>
      <c r="Y53" s="391">
        <f t="shared" si="55"/>
        <v>24624</v>
      </c>
      <c r="Z53" s="448">
        <f t="shared" si="56"/>
        <v>287</v>
      </c>
      <c r="AA53" s="448">
        <f t="shared" si="57"/>
        <v>14.005600000000001</v>
      </c>
      <c r="AB53" s="448">
        <f t="shared" si="58"/>
        <v>0.24682459200000004</v>
      </c>
      <c r="AC53" s="448">
        <f t="shared" si="59"/>
        <v>301</v>
      </c>
      <c r="AD53" s="229">
        <f t="shared" si="60"/>
        <v>7067088</v>
      </c>
      <c r="AE53" s="229">
        <f t="shared" si="61"/>
        <v>7411824</v>
      </c>
      <c r="AF53" s="421">
        <f t="shared" si="62"/>
        <v>19</v>
      </c>
      <c r="AG53" s="421">
        <f t="shared" si="63"/>
        <v>0</v>
      </c>
      <c r="AH53" s="422">
        <f t="array" ref="AH53">MAX((IF(MNU_CODIGO_ALIMENTO_ENTREGA=CONCATENATE($E53,"_","S_"),MNU_GRAMAJE_REQUERIDO_TIPOC,"")))</f>
        <v>60</v>
      </c>
      <c r="AI53" s="227">
        <f t="shared" si="64"/>
        <v>1707</v>
      </c>
      <c r="AJ53" s="227">
        <f t="shared" si="65"/>
        <v>0</v>
      </c>
      <c r="AK53" s="227">
        <f t="shared" si="66"/>
        <v>32433</v>
      </c>
      <c r="AL53" s="448">
        <f t="shared" si="67"/>
        <v>430</v>
      </c>
      <c r="AM53" s="448">
        <f t="shared" si="68"/>
        <v>20.984000000000002</v>
      </c>
      <c r="AN53" s="448">
        <f t="shared" si="69"/>
        <v>0.36980687999999995</v>
      </c>
      <c r="AO53" s="448">
        <f t="shared" si="70"/>
        <v>451</v>
      </c>
      <c r="AP53" s="448">
        <f t="shared" si="71"/>
        <v>13946190</v>
      </c>
      <c r="AQ53" s="228">
        <f t="shared" si="72"/>
        <v>14627283</v>
      </c>
      <c r="AR53" s="391">
        <f t="shared" si="73"/>
        <v>23913628</v>
      </c>
      <c r="AS53" s="391">
        <f t="shared" si="74"/>
        <v>25087847</v>
      </c>
    </row>
    <row r="54" spans="1:45" ht="15.75">
      <c r="A54" s="226">
        <v>5</v>
      </c>
      <c r="B54" s="226" t="str">
        <f t="shared" si="38"/>
        <v>CEREAL EMPACADO_5</v>
      </c>
      <c r="C54" s="333" t="str">
        <f t="shared" si="39"/>
        <v>45_5</v>
      </c>
      <c r="D54" s="392" t="s">
        <v>1607</v>
      </c>
      <c r="E54" s="226">
        <v>45</v>
      </c>
      <c r="F54" s="325" t="s">
        <v>10</v>
      </c>
      <c r="G54" s="226" t="s">
        <v>9</v>
      </c>
      <c r="H54" s="421">
        <f t="shared" si="40"/>
        <v>20</v>
      </c>
      <c r="I54" s="421">
        <f t="shared" si="41"/>
        <v>0</v>
      </c>
      <c r="J54" s="422">
        <f t="array" ref="J54">MAX((IF(MNU_CODIGO_ALIMENTO_ENTREGA=CONCATENATE($E54,"_","S_"),MNU_GRAMAJE_REQUERIDO_TIPOA,"")))</f>
        <v>20</v>
      </c>
      <c r="K54" s="227">
        <f t="shared" si="42"/>
        <v>710</v>
      </c>
      <c r="L54" s="227">
        <f t="shared" si="43"/>
        <v>0</v>
      </c>
      <c r="M54" s="227">
        <f t="shared" si="44"/>
        <v>14200</v>
      </c>
      <c r="N54" s="448">
        <f t="shared" si="45"/>
        <v>190</v>
      </c>
      <c r="O54" s="448">
        <f t="shared" si="46"/>
        <v>9.2720000000000002</v>
      </c>
      <c r="P54" s="448">
        <f t="shared" si="47"/>
        <v>0.16340304</v>
      </c>
      <c r="Q54" s="448">
        <f t="shared" si="48"/>
        <v>199</v>
      </c>
      <c r="R54" s="228">
        <f t="shared" si="49"/>
        <v>2698000</v>
      </c>
      <c r="S54" s="228">
        <f t="shared" si="50"/>
        <v>2825800</v>
      </c>
      <c r="T54" s="423">
        <f t="shared" si="51"/>
        <v>20</v>
      </c>
      <c r="U54" s="423">
        <f t="shared" si="52"/>
        <v>0</v>
      </c>
      <c r="V54" s="424">
        <f t="array" ref="V54">MAX((IF(MNU_CODIGO_ALIMENTO_ENTREGA=CONCATENATE($E54,"_","S_"),MNU_GRAMAJE_REQUERIDO_TIPOB,"")))</f>
        <v>30</v>
      </c>
      <c r="W54" s="391">
        <f t="shared" si="53"/>
        <v>1296</v>
      </c>
      <c r="X54" s="391">
        <f t="shared" si="54"/>
        <v>0</v>
      </c>
      <c r="Y54" s="391">
        <f t="shared" si="55"/>
        <v>25920</v>
      </c>
      <c r="Z54" s="448">
        <f t="shared" si="56"/>
        <v>284</v>
      </c>
      <c r="AA54" s="448">
        <f t="shared" si="57"/>
        <v>13.8592</v>
      </c>
      <c r="AB54" s="448">
        <f t="shared" si="58"/>
        <v>0.24424454399999998</v>
      </c>
      <c r="AC54" s="448">
        <f t="shared" si="59"/>
        <v>298</v>
      </c>
      <c r="AD54" s="229">
        <f t="shared" si="60"/>
        <v>7361280</v>
      </c>
      <c r="AE54" s="229">
        <f t="shared" si="61"/>
        <v>7724160</v>
      </c>
      <c r="AF54" s="421">
        <f t="shared" si="62"/>
        <v>20</v>
      </c>
      <c r="AG54" s="421">
        <f t="shared" si="63"/>
        <v>0</v>
      </c>
      <c r="AH54" s="422">
        <f t="array" ref="AH54">MAX((IF(MNU_CODIGO_ALIMENTO_ENTREGA=CONCATENATE($E54,"_","S_"),MNU_GRAMAJE_REQUERIDO_TIPOC,"")))</f>
        <v>60</v>
      </c>
      <c r="AI54" s="227">
        <f t="shared" si="64"/>
        <v>1707</v>
      </c>
      <c r="AJ54" s="227">
        <f t="shared" si="65"/>
        <v>0</v>
      </c>
      <c r="AK54" s="227">
        <f t="shared" si="66"/>
        <v>34140</v>
      </c>
      <c r="AL54" s="448">
        <f t="shared" si="67"/>
        <v>569</v>
      </c>
      <c r="AM54" s="448">
        <f t="shared" si="68"/>
        <v>27.767199999999999</v>
      </c>
      <c r="AN54" s="448">
        <f t="shared" si="69"/>
        <v>0.48934910400000003</v>
      </c>
      <c r="AO54" s="448">
        <f t="shared" si="70"/>
        <v>597</v>
      </c>
      <c r="AP54" s="448">
        <f t="shared" si="71"/>
        <v>19425660</v>
      </c>
      <c r="AQ54" s="228">
        <f t="shared" si="72"/>
        <v>20381580</v>
      </c>
      <c r="AR54" s="391">
        <f t="shared" si="73"/>
        <v>29484940</v>
      </c>
      <c r="AS54" s="391">
        <f t="shared" si="74"/>
        <v>30931540</v>
      </c>
    </row>
    <row r="55" spans="1:45" ht="15.75">
      <c r="A55" s="226">
        <v>5</v>
      </c>
      <c r="B55" s="226" t="str">
        <f t="shared" si="38"/>
        <v>CEREAL EMPACADO_5</v>
      </c>
      <c r="C55" s="333" t="str">
        <f t="shared" si="39"/>
        <v>61_5</v>
      </c>
      <c r="D55" s="392" t="s">
        <v>1607</v>
      </c>
      <c r="E55" s="226">
        <v>61</v>
      </c>
      <c r="F55" s="325" t="s">
        <v>13</v>
      </c>
      <c r="G55" s="226" t="s">
        <v>9</v>
      </c>
      <c r="H55" s="421">
        <f t="shared" si="40"/>
        <v>20</v>
      </c>
      <c r="I55" s="421">
        <f t="shared" si="41"/>
        <v>0</v>
      </c>
      <c r="J55" s="422">
        <f t="array" ref="J55">MAX((IF(MNU_CODIGO_ALIMENTO_ENTREGA=CONCATENATE($E55,"_","S_"),MNU_GRAMAJE_REQUERIDO_TIPOA,"")))</f>
        <v>20</v>
      </c>
      <c r="K55" s="227">
        <f t="shared" si="42"/>
        <v>710</v>
      </c>
      <c r="L55" s="227">
        <f t="shared" si="43"/>
        <v>0</v>
      </c>
      <c r="M55" s="227">
        <f t="shared" si="44"/>
        <v>14200</v>
      </c>
      <c r="N55" s="448">
        <f t="shared" si="45"/>
        <v>222</v>
      </c>
      <c r="O55" s="448">
        <f t="shared" si="46"/>
        <v>10.833600000000001</v>
      </c>
      <c r="P55" s="448">
        <f t="shared" si="47"/>
        <v>0.190923552</v>
      </c>
      <c r="Q55" s="448">
        <f t="shared" si="48"/>
        <v>233</v>
      </c>
      <c r="R55" s="228">
        <f t="shared" si="49"/>
        <v>3152400</v>
      </c>
      <c r="S55" s="228">
        <f t="shared" si="50"/>
        <v>3308600</v>
      </c>
      <c r="T55" s="423">
        <f t="shared" si="51"/>
        <v>20</v>
      </c>
      <c r="U55" s="423">
        <f t="shared" si="52"/>
        <v>0</v>
      </c>
      <c r="V55" s="424">
        <f t="array" ref="V55">MAX((IF(MNU_CODIGO_ALIMENTO_ENTREGA=CONCATENATE($E55,"_","S_"),MNU_GRAMAJE_REQUERIDO_TIPOB,"")))</f>
        <v>30</v>
      </c>
      <c r="W55" s="391">
        <f t="shared" si="53"/>
        <v>1296</v>
      </c>
      <c r="X55" s="391">
        <f t="shared" si="54"/>
        <v>0</v>
      </c>
      <c r="Y55" s="391">
        <f t="shared" si="55"/>
        <v>25920</v>
      </c>
      <c r="Z55" s="448">
        <f t="shared" si="56"/>
        <v>334</v>
      </c>
      <c r="AA55" s="448">
        <f t="shared" si="57"/>
        <v>16.299199999999999</v>
      </c>
      <c r="AB55" s="448">
        <f t="shared" si="58"/>
        <v>0.28724534400000001</v>
      </c>
      <c r="AC55" s="448">
        <f t="shared" si="59"/>
        <v>351</v>
      </c>
      <c r="AD55" s="229">
        <f t="shared" si="60"/>
        <v>8657280</v>
      </c>
      <c r="AE55" s="229">
        <f t="shared" si="61"/>
        <v>9097920</v>
      </c>
      <c r="AF55" s="421">
        <f t="shared" si="62"/>
        <v>20</v>
      </c>
      <c r="AG55" s="421">
        <f t="shared" si="63"/>
        <v>0</v>
      </c>
      <c r="AH55" s="422">
        <f t="array" ref="AH55">MAX((IF(MNU_CODIGO_ALIMENTO_ENTREGA=CONCATENATE($E55,"_","S_"),MNU_GRAMAJE_REQUERIDO_TIPOC,"")))</f>
        <v>70</v>
      </c>
      <c r="AI55" s="227">
        <f t="shared" si="64"/>
        <v>1707</v>
      </c>
      <c r="AJ55" s="227">
        <f t="shared" si="65"/>
        <v>0</v>
      </c>
      <c r="AK55" s="227">
        <f t="shared" si="66"/>
        <v>34140</v>
      </c>
      <c r="AL55" s="448">
        <f t="shared" si="67"/>
        <v>779</v>
      </c>
      <c r="AM55" s="448">
        <f t="shared" si="68"/>
        <v>38.0152</v>
      </c>
      <c r="AN55" s="448">
        <f t="shared" si="69"/>
        <v>0.66995246400000008</v>
      </c>
      <c r="AO55" s="448">
        <f t="shared" si="70"/>
        <v>818</v>
      </c>
      <c r="AP55" s="448">
        <f t="shared" si="71"/>
        <v>26595060</v>
      </c>
      <c r="AQ55" s="228">
        <f t="shared" si="72"/>
        <v>27926520</v>
      </c>
      <c r="AR55" s="391">
        <f t="shared" si="73"/>
        <v>38404740</v>
      </c>
      <c r="AS55" s="391">
        <f t="shared" si="74"/>
        <v>40333040</v>
      </c>
    </row>
    <row r="56" spans="1:45" ht="15.75">
      <c r="A56" s="226">
        <v>6</v>
      </c>
      <c r="B56" s="226" t="str">
        <f t="shared" si="38"/>
        <v>CEREAL EMPACADO_6</v>
      </c>
      <c r="C56" s="333" t="str">
        <f t="shared" si="39"/>
        <v>3_6</v>
      </c>
      <c r="D56" s="392" t="s">
        <v>1607</v>
      </c>
      <c r="E56" s="226">
        <v>3</v>
      </c>
      <c r="F56" s="325" t="s">
        <v>12</v>
      </c>
      <c r="G56" s="226" t="s">
        <v>9</v>
      </c>
      <c r="H56" s="421">
        <f t="shared" si="40"/>
        <v>19</v>
      </c>
      <c r="I56" s="421">
        <f t="shared" si="41"/>
        <v>0</v>
      </c>
      <c r="J56" s="422">
        <f t="array" ref="J56">MAX((IF(MNU_CODIGO_ALIMENTO_ENTREGA=CONCATENATE($E56,"_","S_"),MNU_GRAMAJE_REQUERIDO_TIPOA,"")))</f>
        <v>50</v>
      </c>
      <c r="K56" s="227">
        <f t="shared" si="42"/>
        <v>1068</v>
      </c>
      <c r="L56" s="227">
        <f t="shared" si="43"/>
        <v>0</v>
      </c>
      <c r="M56" s="227">
        <f t="shared" si="44"/>
        <v>20292</v>
      </c>
      <c r="N56" s="448">
        <f t="shared" si="45"/>
        <v>481</v>
      </c>
      <c r="O56" s="448">
        <f t="shared" si="46"/>
        <v>23.472799999999999</v>
      </c>
      <c r="P56" s="448">
        <f t="shared" si="47"/>
        <v>0.41366769599999997</v>
      </c>
      <c r="Q56" s="448">
        <f t="shared" si="48"/>
        <v>505</v>
      </c>
      <c r="R56" s="228">
        <f t="shared" si="49"/>
        <v>9760452</v>
      </c>
      <c r="S56" s="228">
        <f t="shared" si="50"/>
        <v>10247460</v>
      </c>
      <c r="T56" s="423">
        <f t="shared" si="51"/>
        <v>19</v>
      </c>
      <c r="U56" s="423">
        <f t="shared" si="52"/>
        <v>0</v>
      </c>
      <c r="V56" s="424">
        <f t="array" ref="V56">MAX((IF(MNU_CODIGO_ALIMENTO_ENTREGA=CONCATENATE($E56,"_","S_"),MNU_GRAMAJE_REQUERIDO_TIPOB,"")))</f>
        <v>50</v>
      </c>
      <c r="W56" s="391">
        <f t="shared" si="53"/>
        <v>1613</v>
      </c>
      <c r="X56" s="391">
        <f t="shared" si="54"/>
        <v>0</v>
      </c>
      <c r="Y56" s="391">
        <f t="shared" si="55"/>
        <v>30647</v>
      </c>
      <c r="Z56" s="448">
        <f t="shared" si="56"/>
        <v>481</v>
      </c>
      <c r="AA56" s="448">
        <f t="shared" si="57"/>
        <v>23.472799999999999</v>
      </c>
      <c r="AB56" s="448">
        <f t="shared" si="58"/>
        <v>0.41366769599999997</v>
      </c>
      <c r="AC56" s="448">
        <f t="shared" si="59"/>
        <v>505</v>
      </c>
      <c r="AD56" s="229">
        <f t="shared" si="60"/>
        <v>14741207</v>
      </c>
      <c r="AE56" s="229">
        <f t="shared" si="61"/>
        <v>15476735</v>
      </c>
      <c r="AF56" s="421">
        <f t="shared" si="62"/>
        <v>19</v>
      </c>
      <c r="AG56" s="421">
        <f t="shared" si="63"/>
        <v>0</v>
      </c>
      <c r="AH56" s="422">
        <f t="array" ref="AH56">MAX((IF(MNU_CODIGO_ALIMENTO_ENTREGA=CONCATENATE($E56,"_","S_"),MNU_GRAMAJE_REQUERIDO_TIPOC,"")))</f>
        <v>80</v>
      </c>
      <c r="AI56" s="227">
        <f t="shared" si="64"/>
        <v>2015</v>
      </c>
      <c r="AJ56" s="227">
        <f t="shared" si="65"/>
        <v>0</v>
      </c>
      <c r="AK56" s="227">
        <f t="shared" si="66"/>
        <v>38285</v>
      </c>
      <c r="AL56" s="448">
        <f t="shared" si="67"/>
        <v>727</v>
      </c>
      <c r="AM56" s="448">
        <f t="shared" si="68"/>
        <v>35.477600000000002</v>
      </c>
      <c r="AN56" s="448">
        <f t="shared" si="69"/>
        <v>0.62523163200000009</v>
      </c>
      <c r="AO56" s="448">
        <f t="shared" si="70"/>
        <v>763</v>
      </c>
      <c r="AP56" s="448">
        <f t="shared" si="71"/>
        <v>27833195</v>
      </c>
      <c r="AQ56" s="228">
        <f t="shared" si="72"/>
        <v>29211455</v>
      </c>
      <c r="AR56" s="391">
        <f t="shared" si="73"/>
        <v>52334854</v>
      </c>
      <c r="AS56" s="391">
        <f t="shared" si="74"/>
        <v>54935650</v>
      </c>
    </row>
    <row r="57" spans="1:45" ht="15.75">
      <c r="A57" s="226">
        <v>6</v>
      </c>
      <c r="B57" s="226" t="str">
        <f t="shared" si="38"/>
        <v>CEREAL EMPACADO_6</v>
      </c>
      <c r="C57" s="333" t="str">
        <f t="shared" si="39"/>
        <v>15_6</v>
      </c>
      <c r="D57" s="392" t="s">
        <v>1607</v>
      </c>
      <c r="E57" s="226">
        <v>15</v>
      </c>
      <c r="F57" s="325" t="s">
        <v>66</v>
      </c>
      <c r="G57" s="226" t="s">
        <v>9</v>
      </c>
      <c r="H57" s="421">
        <f t="shared" si="40"/>
        <v>11</v>
      </c>
      <c r="I57" s="421">
        <f t="shared" si="41"/>
        <v>11</v>
      </c>
      <c r="J57" s="422">
        <f t="array" ref="J57">MAX((IF(MNU_CODIGO_ALIMENTO_ENTREGA=CONCATENATE($E57,"_","S_"),MNU_GRAMAJE_REQUERIDO_TIPOA,"")))</f>
        <v>50</v>
      </c>
      <c r="K57" s="227">
        <f t="shared" si="42"/>
        <v>1068</v>
      </c>
      <c r="L57" s="227">
        <f t="shared" si="43"/>
        <v>0</v>
      </c>
      <c r="M57" s="227">
        <f t="shared" si="44"/>
        <v>11748</v>
      </c>
      <c r="N57" s="448">
        <f t="shared" si="45"/>
        <v>641</v>
      </c>
      <c r="O57" s="448">
        <f t="shared" si="46"/>
        <v>31.280800000000003</v>
      </c>
      <c r="P57" s="448">
        <f t="shared" si="47"/>
        <v>0.55127025600000001</v>
      </c>
      <c r="Q57" s="448">
        <f t="shared" si="48"/>
        <v>673</v>
      </c>
      <c r="R57" s="228">
        <f t="shared" si="49"/>
        <v>7530468</v>
      </c>
      <c r="S57" s="228">
        <f t="shared" si="50"/>
        <v>7906404</v>
      </c>
      <c r="T57" s="423">
        <f t="shared" si="51"/>
        <v>11</v>
      </c>
      <c r="U57" s="423">
        <f t="shared" si="52"/>
        <v>11</v>
      </c>
      <c r="V57" s="424">
        <f t="array" ref="V57">MAX((IF(MNU_CODIGO_ALIMENTO_ENTREGA=CONCATENATE($E57,"_","S_"),MNU_GRAMAJE_REQUERIDO_TIPOB,"")))</f>
        <v>50</v>
      </c>
      <c r="W57" s="391">
        <f t="shared" si="53"/>
        <v>1613</v>
      </c>
      <c r="X57" s="391">
        <f t="shared" si="54"/>
        <v>0</v>
      </c>
      <c r="Y57" s="391">
        <f t="shared" si="55"/>
        <v>17743</v>
      </c>
      <c r="Z57" s="448">
        <f t="shared" si="56"/>
        <v>641</v>
      </c>
      <c r="AA57" s="448">
        <f t="shared" si="57"/>
        <v>31.280800000000003</v>
      </c>
      <c r="AB57" s="448">
        <f t="shared" si="58"/>
        <v>0.55127025600000001</v>
      </c>
      <c r="AC57" s="448">
        <f t="shared" si="59"/>
        <v>673</v>
      </c>
      <c r="AD57" s="229">
        <f t="shared" si="60"/>
        <v>11373263</v>
      </c>
      <c r="AE57" s="229">
        <f t="shared" si="61"/>
        <v>11941039</v>
      </c>
      <c r="AF57" s="421">
        <f t="shared" si="62"/>
        <v>11</v>
      </c>
      <c r="AG57" s="421">
        <f t="shared" si="63"/>
        <v>11</v>
      </c>
      <c r="AH57" s="422">
        <f t="array" ref="AH57">MAX((IF(MNU_CODIGO_ALIMENTO_ENTREGA=CONCATENATE($E57,"_","S_"),MNU_GRAMAJE_REQUERIDO_TIPOC,"")))</f>
        <v>80</v>
      </c>
      <c r="AI57" s="227">
        <f t="shared" si="64"/>
        <v>2015</v>
      </c>
      <c r="AJ57" s="227">
        <f t="shared" si="65"/>
        <v>0</v>
      </c>
      <c r="AK57" s="227">
        <f t="shared" si="66"/>
        <v>22165</v>
      </c>
      <c r="AL57" s="448">
        <f t="shared" si="67"/>
        <v>1025</v>
      </c>
      <c r="AM57" s="448">
        <f t="shared" si="68"/>
        <v>50.02</v>
      </c>
      <c r="AN57" s="448">
        <f t="shared" si="69"/>
        <v>0.88151640000000009</v>
      </c>
      <c r="AO57" s="448">
        <f t="shared" si="70"/>
        <v>1076</v>
      </c>
      <c r="AP57" s="448">
        <f t="shared" si="71"/>
        <v>22719125</v>
      </c>
      <c r="AQ57" s="228">
        <f t="shared" si="72"/>
        <v>23849540</v>
      </c>
      <c r="AR57" s="391">
        <f t="shared" si="73"/>
        <v>41622856</v>
      </c>
      <c r="AS57" s="391">
        <f t="shared" si="74"/>
        <v>43696983</v>
      </c>
    </row>
    <row r="58" spans="1:45" ht="27">
      <c r="A58" s="226">
        <v>6</v>
      </c>
      <c r="B58" s="226" t="str">
        <f t="shared" si="38"/>
        <v>CEREAL EMPACADO_6</v>
      </c>
      <c r="C58" s="333" t="str">
        <f t="shared" si="39"/>
        <v>21_6</v>
      </c>
      <c r="D58" s="392" t="s">
        <v>1607</v>
      </c>
      <c r="E58" s="226">
        <v>21</v>
      </c>
      <c r="F58" s="325" t="s">
        <v>70</v>
      </c>
      <c r="G58" s="226" t="s">
        <v>9</v>
      </c>
      <c r="H58" s="421">
        <f t="shared" si="40"/>
        <v>22</v>
      </c>
      <c r="I58" s="421">
        <f t="shared" si="41"/>
        <v>0</v>
      </c>
      <c r="J58" s="422">
        <f t="array" ref="J58">MAX((IF(MNU_CODIGO_ALIMENTO_ENTREGA=CONCATENATE($E58,"_","S_"),MNU_GRAMAJE_REQUERIDO_TIPOA,"")))</f>
        <v>30</v>
      </c>
      <c r="K58" s="227">
        <f t="shared" si="42"/>
        <v>1068</v>
      </c>
      <c r="L58" s="227">
        <f t="shared" si="43"/>
        <v>0</v>
      </c>
      <c r="M58" s="227">
        <f t="shared" si="44"/>
        <v>23496</v>
      </c>
      <c r="N58" s="448">
        <f t="shared" si="45"/>
        <v>458</v>
      </c>
      <c r="O58" s="448">
        <f t="shared" si="46"/>
        <v>22.3504</v>
      </c>
      <c r="P58" s="448">
        <f t="shared" si="47"/>
        <v>0.39388732799999998</v>
      </c>
      <c r="Q58" s="448">
        <f t="shared" si="48"/>
        <v>481</v>
      </c>
      <c r="R58" s="228">
        <f t="shared" si="49"/>
        <v>10761168</v>
      </c>
      <c r="S58" s="228">
        <f t="shared" si="50"/>
        <v>11301576</v>
      </c>
      <c r="T58" s="423">
        <f t="shared" si="51"/>
        <v>22</v>
      </c>
      <c r="U58" s="423">
        <f t="shared" si="52"/>
        <v>0</v>
      </c>
      <c r="V58" s="424">
        <f t="array" ref="V58">MAX((IF(MNU_CODIGO_ALIMENTO_ENTREGA=CONCATENATE($E58,"_","S_"),MNU_GRAMAJE_REQUERIDO_TIPOB,"")))</f>
        <v>30</v>
      </c>
      <c r="W58" s="391">
        <f t="shared" si="53"/>
        <v>1613</v>
      </c>
      <c r="X58" s="391">
        <f t="shared" si="54"/>
        <v>0</v>
      </c>
      <c r="Y58" s="391">
        <f t="shared" si="55"/>
        <v>35486</v>
      </c>
      <c r="Z58" s="448">
        <f t="shared" si="56"/>
        <v>458</v>
      </c>
      <c r="AA58" s="448">
        <f t="shared" si="57"/>
        <v>22.3504</v>
      </c>
      <c r="AB58" s="448">
        <f t="shared" si="58"/>
        <v>0.39388732799999998</v>
      </c>
      <c r="AC58" s="448">
        <f t="shared" si="59"/>
        <v>481</v>
      </c>
      <c r="AD58" s="229">
        <f t="shared" si="60"/>
        <v>16252588</v>
      </c>
      <c r="AE58" s="229">
        <f t="shared" si="61"/>
        <v>17068766</v>
      </c>
      <c r="AF58" s="421">
        <f t="shared" si="62"/>
        <v>22</v>
      </c>
      <c r="AG58" s="421">
        <f t="shared" si="63"/>
        <v>0</v>
      </c>
      <c r="AH58" s="422">
        <f t="array" ref="AH58">MAX((IF(MNU_CODIGO_ALIMENTO_ENTREGA=CONCATENATE($E58,"_","S_"),MNU_GRAMAJE_REQUERIDO_TIPOC,"")))</f>
        <v>50</v>
      </c>
      <c r="AI58" s="227">
        <f t="shared" si="64"/>
        <v>2015</v>
      </c>
      <c r="AJ58" s="227">
        <f t="shared" si="65"/>
        <v>0</v>
      </c>
      <c r="AK58" s="227">
        <f t="shared" si="66"/>
        <v>44330</v>
      </c>
      <c r="AL58" s="448">
        <f t="shared" si="67"/>
        <v>764</v>
      </c>
      <c r="AM58" s="448">
        <f t="shared" si="68"/>
        <v>37.283200000000001</v>
      </c>
      <c r="AN58" s="448">
        <f t="shared" si="69"/>
        <v>0.65705222400000007</v>
      </c>
      <c r="AO58" s="448">
        <f t="shared" si="70"/>
        <v>802</v>
      </c>
      <c r="AP58" s="448">
        <f t="shared" si="71"/>
        <v>33868120</v>
      </c>
      <c r="AQ58" s="228">
        <f t="shared" si="72"/>
        <v>35552660</v>
      </c>
      <c r="AR58" s="391">
        <f t="shared" si="73"/>
        <v>60881876</v>
      </c>
      <c r="AS58" s="391">
        <f t="shared" si="74"/>
        <v>63923002</v>
      </c>
    </row>
    <row r="59" spans="1:45" ht="15.75">
      <c r="A59" s="226">
        <v>6</v>
      </c>
      <c r="B59" s="226" t="str">
        <f t="shared" si="38"/>
        <v>CEREAL EMPACADO_6</v>
      </c>
      <c r="C59" s="333" t="str">
        <f t="shared" si="39"/>
        <v>24_6</v>
      </c>
      <c r="D59" s="392" t="s">
        <v>1607</v>
      </c>
      <c r="E59" s="226">
        <v>24</v>
      </c>
      <c r="F59" s="325" t="s">
        <v>61</v>
      </c>
      <c r="G59" s="226" t="s">
        <v>9</v>
      </c>
      <c r="H59" s="421">
        <f t="shared" si="40"/>
        <v>11</v>
      </c>
      <c r="I59" s="421">
        <f t="shared" si="41"/>
        <v>11</v>
      </c>
      <c r="J59" s="422">
        <f t="array" ref="J59">MAX((IF(MNU_CODIGO_ALIMENTO_ENTREGA=CONCATENATE($E59,"_","S_"),MNU_GRAMAJE_REQUERIDO_TIPOA,"")))</f>
        <v>20</v>
      </c>
      <c r="K59" s="227">
        <f t="shared" si="42"/>
        <v>1068</v>
      </c>
      <c r="L59" s="227">
        <f t="shared" si="43"/>
        <v>0</v>
      </c>
      <c r="M59" s="227">
        <f t="shared" si="44"/>
        <v>11748</v>
      </c>
      <c r="N59" s="448">
        <f t="shared" si="45"/>
        <v>122</v>
      </c>
      <c r="O59" s="448">
        <f t="shared" si="46"/>
        <v>5.9535999999999998</v>
      </c>
      <c r="P59" s="448">
        <f t="shared" si="47"/>
        <v>0.104921952</v>
      </c>
      <c r="Q59" s="448">
        <f t="shared" si="48"/>
        <v>128</v>
      </c>
      <c r="R59" s="228">
        <f t="shared" si="49"/>
        <v>1433256</v>
      </c>
      <c r="S59" s="228">
        <f t="shared" si="50"/>
        <v>1503744</v>
      </c>
      <c r="T59" s="423">
        <f t="shared" si="51"/>
        <v>11</v>
      </c>
      <c r="U59" s="423">
        <f t="shared" si="52"/>
        <v>11</v>
      </c>
      <c r="V59" s="424">
        <f t="array" ref="V59">MAX((IF(MNU_CODIGO_ALIMENTO_ENTREGA=CONCATENATE($E59,"_","S_"),MNU_GRAMAJE_REQUERIDO_TIPOB,"")))</f>
        <v>30</v>
      </c>
      <c r="W59" s="391">
        <f t="shared" si="53"/>
        <v>1613</v>
      </c>
      <c r="X59" s="391">
        <f t="shared" si="54"/>
        <v>0</v>
      </c>
      <c r="Y59" s="391">
        <f t="shared" si="55"/>
        <v>17743</v>
      </c>
      <c r="Z59" s="448">
        <f t="shared" si="56"/>
        <v>191</v>
      </c>
      <c r="AA59" s="448">
        <f t="shared" si="57"/>
        <v>9.3208000000000002</v>
      </c>
      <c r="AB59" s="448">
        <f t="shared" si="58"/>
        <v>0.16426305600000002</v>
      </c>
      <c r="AC59" s="448">
        <f t="shared" si="59"/>
        <v>200</v>
      </c>
      <c r="AD59" s="229">
        <f t="shared" si="60"/>
        <v>3388913</v>
      </c>
      <c r="AE59" s="229">
        <f t="shared" si="61"/>
        <v>3548600</v>
      </c>
      <c r="AF59" s="421">
        <f t="shared" si="62"/>
        <v>11</v>
      </c>
      <c r="AG59" s="421">
        <f t="shared" si="63"/>
        <v>11</v>
      </c>
      <c r="AH59" s="422">
        <f t="array" ref="AH59">MAX((IF(MNU_CODIGO_ALIMENTO_ENTREGA=CONCATENATE($E59,"_","S_"),MNU_GRAMAJE_REQUERIDO_TIPOC,"")))</f>
        <v>60</v>
      </c>
      <c r="AI59" s="227">
        <f t="shared" si="64"/>
        <v>2015</v>
      </c>
      <c r="AJ59" s="227">
        <f t="shared" si="65"/>
        <v>0</v>
      </c>
      <c r="AK59" s="227">
        <f t="shared" si="66"/>
        <v>22165</v>
      </c>
      <c r="AL59" s="448">
        <f t="shared" si="67"/>
        <v>367</v>
      </c>
      <c r="AM59" s="448">
        <f t="shared" si="68"/>
        <v>17.909599999999998</v>
      </c>
      <c r="AN59" s="448">
        <f t="shared" si="69"/>
        <v>0.31562587200000003</v>
      </c>
      <c r="AO59" s="448">
        <f t="shared" si="70"/>
        <v>385</v>
      </c>
      <c r="AP59" s="448">
        <f t="shared" si="71"/>
        <v>8134555</v>
      </c>
      <c r="AQ59" s="228">
        <f t="shared" si="72"/>
        <v>8533525</v>
      </c>
      <c r="AR59" s="391">
        <f t="shared" si="73"/>
        <v>12956724</v>
      </c>
      <c r="AS59" s="391">
        <f t="shared" si="74"/>
        <v>13585869</v>
      </c>
    </row>
    <row r="60" spans="1:45" ht="15.75">
      <c r="A60" s="226">
        <v>6</v>
      </c>
      <c r="B60" s="226" t="str">
        <f t="shared" si="38"/>
        <v>CEREAL EMPACADO_6</v>
      </c>
      <c r="C60" s="333" t="str">
        <f t="shared" si="39"/>
        <v>25_6</v>
      </c>
      <c r="D60" s="392" t="s">
        <v>1607</v>
      </c>
      <c r="E60" s="226">
        <v>25</v>
      </c>
      <c r="F60" s="325" t="s">
        <v>64</v>
      </c>
      <c r="G60" s="226" t="s">
        <v>9</v>
      </c>
      <c r="H60" s="421">
        <f t="shared" si="40"/>
        <v>22</v>
      </c>
      <c r="I60" s="421">
        <f t="shared" si="41"/>
        <v>0</v>
      </c>
      <c r="J60" s="422">
        <f t="array" ref="J60">MAX((IF(MNU_CODIGO_ALIMENTO_ENTREGA=CONCATENATE($E60,"_","S_"),MNU_GRAMAJE_REQUERIDO_TIPOA,"")))</f>
        <v>40</v>
      </c>
      <c r="K60" s="227">
        <f t="shared" si="42"/>
        <v>1068</v>
      </c>
      <c r="L60" s="227">
        <f t="shared" si="43"/>
        <v>0</v>
      </c>
      <c r="M60" s="227">
        <f t="shared" si="44"/>
        <v>23496</v>
      </c>
      <c r="N60" s="448">
        <f t="shared" si="45"/>
        <v>244</v>
      </c>
      <c r="O60" s="448">
        <f t="shared" si="46"/>
        <v>11.9072</v>
      </c>
      <c r="P60" s="448">
        <f t="shared" si="47"/>
        <v>0.209843904</v>
      </c>
      <c r="Q60" s="448">
        <f t="shared" si="48"/>
        <v>256</v>
      </c>
      <c r="R60" s="228">
        <f t="shared" si="49"/>
        <v>5733024</v>
      </c>
      <c r="S60" s="228">
        <f t="shared" si="50"/>
        <v>6014976</v>
      </c>
      <c r="T60" s="423">
        <f t="shared" si="51"/>
        <v>22</v>
      </c>
      <c r="U60" s="423">
        <f t="shared" si="52"/>
        <v>0</v>
      </c>
      <c r="V60" s="424">
        <f t="array" ref="V60">MAX((IF(MNU_CODIGO_ALIMENTO_ENTREGA=CONCATENATE($E60,"_","S_"),MNU_GRAMAJE_REQUERIDO_TIPOB,"")))</f>
        <v>40</v>
      </c>
      <c r="W60" s="391">
        <f t="shared" si="53"/>
        <v>1613</v>
      </c>
      <c r="X60" s="391">
        <f t="shared" si="54"/>
        <v>0</v>
      </c>
      <c r="Y60" s="391">
        <f t="shared" si="55"/>
        <v>35486</v>
      </c>
      <c r="Z60" s="448">
        <f t="shared" si="56"/>
        <v>244</v>
      </c>
      <c r="AA60" s="448">
        <f t="shared" si="57"/>
        <v>11.9072</v>
      </c>
      <c r="AB60" s="448">
        <f t="shared" si="58"/>
        <v>0.209843904</v>
      </c>
      <c r="AC60" s="448">
        <f t="shared" si="59"/>
        <v>256</v>
      </c>
      <c r="AD60" s="229">
        <f t="shared" si="60"/>
        <v>8658584</v>
      </c>
      <c r="AE60" s="229">
        <f t="shared" si="61"/>
        <v>9084416</v>
      </c>
      <c r="AF60" s="421">
        <f t="shared" si="62"/>
        <v>22</v>
      </c>
      <c r="AG60" s="421">
        <f t="shared" si="63"/>
        <v>0</v>
      </c>
      <c r="AH60" s="422">
        <f t="array" ref="AH60">MAX((IF(MNU_CODIGO_ALIMENTO_ENTREGA=CONCATENATE($E60,"_","S_"),MNU_GRAMAJE_REQUERIDO_TIPOC,"")))</f>
        <v>60</v>
      </c>
      <c r="AI60" s="227">
        <f t="shared" si="64"/>
        <v>2015</v>
      </c>
      <c r="AJ60" s="227">
        <f t="shared" si="65"/>
        <v>0</v>
      </c>
      <c r="AK60" s="227">
        <f t="shared" si="66"/>
        <v>44330</v>
      </c>
      <c r="AL60" s="448">
        <f t="shared" si="67"/>
        <v>366</v>
      </c>
      <c r="AM60" s="448">
        <f t="shared" si="68"/>
        <v>17.860800000000001</v>
      </c>
      <c r="AN60" s="448">
        <f t="shared" si="69"/>
        <v>0.31476585600000001</v>
      </c>
      <c r="AO60" s="448">
        <f t="shared" si="70"/>
        <v>384</v>
      </c>
      <c r="AP60" s="448">
        <f t="shared" si="71"/>
        <v>16224780</v>
      </c>
      <c r="AQ60" s="228">
        <f t="shared" si="72"/>
        <v>17022720</v>
      </c>
      <c r="AR60" s="391">
        <f t="shared" si="73"/>
        <v>30616388</v>
      </c>
      <c r="AS60" s="391">
        <f t="shared" si="74"/>
        <v>32122112</v>
      </c>
    </row>
    <row r="61" spans="1:45" ht="27">
      <c r="A61" s="226">
        <v>6</v>
      </c>
      <c r="B61" s="226" t="str">
        <f t="shared" si="38"/>
        <v>CEREAL EMPACADO_6</v>
      </c>
      <c r="C61" s="333" t="str">
        <f t="shared" si="39"/>
        <v>28_6</v>
      </c>
      <c r="D61" s="392" t="s">
        <v>1607</v>
      </c>
      <c r="E61" s="226">
        <v>28</v>
      </c>
      <c r="F61" s="325" t="s">
        <v>67</v>
      </c>
      <c r="G61" s="226" t="s">
        <v>9</v>
      </c>
      <c r="H61" s="421">
        <f t="shared" si="40"/>
        <v>19</v>
      </c>
      <c r="I61" s="421">
        <f t="shared" si="41"/>
        <v>0</v>
      </c>
      <c r="J61" s="422">
        <f t="array" ref="J61">MAX((IF(MNU_CODIGO_ALIMENTO_ENTREGA=CONCATENATE($E61,"_","S_"),MNU_GRAMAJE_REQUERIDO_TIPOA,"")))</f>
        <v>30</v>
      </c>
      <c r="K61" s="227">
        <f t="shared" si="42"/>
        <v>1068</v>
      </c>
      <c r="L61" s="227">
        <f t="shared" si="43"/>
        <v>0</v>
      </c>
      <c r="M61" s="227">
        <f t="shared" si="44"/>
        <v>20292</v>
      </c>
      <c r="N61" s="448">
        <f t="shared" si="45"/>
        <v>215</v>
      </c>
      <c r="O61" s="448">
        <f t="shared" si="46"/>
        <v>10.492000000000001</v>
      </c>
      <c r="P61" s="448">
        <f t="shared" si="47"/>
        <v>0.18490343999999997</v>
      </c>
      <c r="Q61" s="448">
        <f t="shared" si="48"/>
        <v>226</v>
      </c>
      <c r="R61" s="228">
        <f t="shared" si="49"/>
        <v>4362780</v>
      </c>
      <c r="S61" s="228">
        <f t="shared" si="50"/>
        <v>4585992</v>
      </c>
      <c r="T61" s="423">
        <f t="shared" si="51"/>
        <v>19</v>
      </c>
      <c r="U61" s="423">
        <f t="shared" si="52"/>
        <v>0</v>
      </c>
      <c r="V61" s="424">
        <f t="array" ref="V61">MAX((IF(MNU_CODIGO_ALIMENTO_ENTREGA=CONCATENATE($E61,"_","S_"),MNU_GRAMAJE_REQUERIDO_TIPOB,"")))</f>
        <v>40</v>
      </c>
      <c r="W61" s="391">
        <f t="shared" si="53"/>
        <v>1613</v>
      </c>
      <c r="X61" s="391">
        <f t="shared" si="54"/>
        <v>0</v>
      </c>
      <c r="Y61" s="391">
        <f t="shared" si="55"/>
        <v>30647</v>
      </c>
      <c r="Z61" s="448">
        <f t="shared" si="56"/>
        <v>287</v>
      </c>
      <c r="AA61" s="448">
        <f t="shared" si="57"/>
        <v>14.005600000000001</v>
      </c>
      <c r="AB61" s="448">
        <f t="shared" si="58"/>
        <v>0.24682459200000004</v>
      </c>
      <c r="AC61" s="448">
        <f t="shared" si="59"/>
        <v>301</v>
      </c>
      <c r="AD61" s="229">
        <f t="shared" si="60"/>
        <v>8795689</v>
      </c>
      <c r="AE61" s="229">
        <f t="shared" si="61"/>
        <v>9224747</v>
      </c>
      <c r="AF61" s="421">
        <f t="shared" si="62"/>
        <v>19</v>
      </c>
      <c r="AG61" s="421">
        <f t="shared" si="63"/>
        <v>0</v>
      </c>
      <c r="AH61" s="422">
        <f t="array" ref="AH61">MAX((IF(MNU_CODIGO_ALIMENTO_ENTREGA=CONCATENATE($E61,"_","S_"),MNU_GRAMAJE_REQUERIDO_TIPOC,"")))</f>
        <v>60</v>
      </c>
      <c r="AI61" s="227">
        <f t="shared" si="64"/>
        <v>2015</v>
      </c>
      <c r="AJ61" s="227">
        <f t="shared" si="65"/>
        <v>0</v>
      </c>
      <c r="AK61" s="227">
        <f t="shared" si="66"/>
        <v>38285</v>
      </c>
      <c r="AL61" s="448">
        <f t="shared" si="67"/>
        <v>430</v>
      </c>
      <c r="AM61" s="448">
        <f t="shared" si="68"/>
        <v>20.984000000000002</v>
      </c>
      <c r="AN61" s="448">
        <f t="shared" si="69"/>
        <v>0.36980687999999995</v>
      </c>
      <c r="AO61" s="448">
        <f t="shared" si="70"/>
        <v>451</v>
      </c>
      <c r="AP61" s="448">
        <f t="shared" si="71"/>
        <v>16462550</v>
      </c>
      <c r="AQ61" s="228">
        <f t="shared" si="72"/>
        <v>17266535</v>
      </c>
      <c r="AR61" s="391">
        <f t="shared" si="73"/>
        <v>29621019</v>
      </c>
      <c r="AS61" s="391">
        <f t="shared" si="74"/>
        <v>31077274</v>
      </c>
    </row>
    <row r="62" spans="1:45" ht="15.75">
      <c r="A62" s="226">
        <v>6</v>
      </c>
      <c r="B62" s="226" t="str">
        <f t="shared" si="38"/>
        <v>CEREAL EMPACADO_6</v>
      </c>
      <c r="C62" s="333" t="str">
        <f t="shared" si="39"/>
        <v>45_6</v>
      </c>
      <c r="D62" s="392" t="s">
        <v>1607</v>
      </c>
      <c r="E62" s="226">
        <v>45</v>
      </c>
      <c r="F62" s="325" t="s">
        <v>10</v>
      </c>
      <c r="G62" s="226" t="s">
        <v>9</v>
      </c>
      <c r="H62" s="421">
        <f t="shared" si="40"/>
        <v>20</v>
      </c>
      <c r="I62" s="421">
        <f t="shared" si="41"/>
        <v>0</v>
      </c>
      <c r="J62" s="422">
        <f t="array" ref="J62">MAX((IF(MNU_CODIGO_ALIMENTO_ENTREGA=CONCATENATE($E62,"_","S_"),MNU_GRAMAJE_REQUERIDO_TIPOA,"")))</f>
        <v>20</v>
      </c>
      <c r="K62" s="227">
        <f t="shared" si="42"/>
        <v>1068</v>
      </c>
      <c r="L62" s="227">
        <f t="shared" si="43"/>
        <v>0</v>
      </c>
      <c r="M62" s="227">
        <f t="shared" si="44"/>
        <v>21360</v>
      </c>
      <c r="N62" s="448">
        <f t="shared" si="45"/>
        <v>190</v>
      </c>
      <c r="O62" s="448">
        <f t="shared" si="46"/>
        <v>9.2720000000000002</v>
      </c>
      <c r="P62" s="448">
        <f t="shared" si="47"/>
        <v>0.16340304</v>
      </c>
      <c r="Q62" s="448">
        <f t="shared" si="48"/>
        <v>199</v>
      </c>
      <c r="R62" s="228">
        <f t="shared" si="49"/>
        <v>4058400</v>
      </c>
      <c r="S62" s="228">
        <f t="shared" si="50"/>
        <v>4250640</v>
      </c>
      <c r="T62" s="423">
        <f t="shared" si="51"/>
        <v>20</v>
      </c>
      <c r="U62" s="423">
        <f t="shared" si="52"/>
        <v>0</v>
      </c>
      <c r="V62" s="424">
        <f t="array" ref="V62">MAX((IF(MNU_CODIGO_ALIMENTO_ENTREGA=CONCATENATE($E62,"_","S_"),MNU_GRAMAJE_REQUERIDO_TIPOB,"")))</f>
        <v>30</v>
      </c>
      <c r="W62" s="391">
        <f t="shared" si="53"/>
        <v>1613</v>
      </c>
      <c r="X62" s="391">
        <f t="shared" si="54"/>
        <v>0</v>
      </c>
      <c r="Y62" s="391">
        <f t="shared" si="55"/>
        <v>32260</v>
      </c>
      <c r="Z62" s="448">
        <f t="shared" si="56"/>
        <v>284</v>
      </c>
      <c r="AA62" s="448">
        <f t="shared" si="57"/>
        <v>13.8592</v>
      </c>
      <c r="AB62" s="448">
        <f t="shared" si="58"/>
        <v>0.24424454399999998</v>
      </c>
      <c r="AC62" s="448">
        <f t="shared" si="59"/>
        <v>298</v>
      </c>
      <c r="AD62" s="229">
        <f t="shared" si="60"/>
        <v>9161840</v>
      </c>
      <c r="AE62" s="229">
        <f t="shared" si="61"/>
        <v>9613480</v>
      </c>
      <c r="AF62" s="421">
        <f t="shared" si="62"/>
        <v>20</v>
      </c>
      <c r="AG62" s="421">
        <f t="shared" si="63"/>
        <v>0</v>
      </c>
      <c r="AH62" s="422">
        <f t="array" ref="AH62">MAX((IF(MNU_CODIGO_ALIMENTO_ENTREGA=CONCATENATE($E62,"_","S_"),MNU_GRAMAJE_REQUERIDO_TIPOC,"")))</f>
        <v>60</v>
      </c>
      <c r="AI62" s="227">
        <f t="shared" si="64"/>
        <v>2015</v>
      </c>
      <c r="AJ62" s="227">
        <f t="shared" si="65"/>
        <v>0</v>
      </c>
      <c r="AK62" s="227">
        <f t="shared" si="66"/>
        <v>40300</v>
      </c>
      <c r="AL62" s="448">
        <f t="shared" si="67"/>
        <v>569</v>
      </c>
      <c r="AM62" s="448">
        <f t="shared" si="68"/>
        <v>27.767199999999999</v>
      </c>
      <c r="AN62" s="448">
        <f t="shared" si="69"/>
        <v>0.48934910400000003</v>
      </c>
      <c r="AO62" s="448">
        <f t="shared" si="70"/>
        <v>597</v>
      </c>
      <c r="AP62" s="448">
        <f t="shared" si="71"/>
        <v>22930700</v>
      </c>
      <c r="AQ62" s="228">
        <f t="shared" si="72"/>
        <v>24059100</v>
      </c>
      <c r="AR62" s="391">
        <f t="shared" si="73"/>
        <v>36150940</v>
      </c>
      <c r="AS62" s="391">
        <f t="shared" si="74"/>
        <v>37923220</v>
      </c>
    </row>
    <row r="63" spans="1:45" ht="15.75">
      <c r="A63" s="226">
        <v>6</v>
      </c>
      <c r="B63" s="226" t="str">
        <f t="shared" si="38"/>
        <v>CEREAL EMPACADO_6</v>
      </c>
      <c r="C63" s="333" t="str">
        <f t="shared" si="39"/>
        <v>61_6</v>
      </c>
      <c r="D63" s="392" t="s">
        <v>1607</v>
      </c>
      <c r="E63" s="226">
        <v>61</v>
      </c>
      <c r="F63" s="325" t="s">
        <v>13</v>
      </c>
      <c r="G63" s="226" t="s">
        <v>9</v>
      </c>
      <c r="H63" s="421">
        <f t="shared" si="40"/>
        <v>20</v>
      </c>
      <c r="I63" s="421">
        <f t="shared" si="41"/>
        <v>0</v>
      </c>
      <c r="J63" s="422">
        <f t="array" ref="J63">MAX((IF(MNU_CODIGO_ALIMENTO_ENTREGA=CONCATENATE($E63,"_","S_"),MNU_GRAMAJE_REQUERIDO_TIPOA,"")))</f>
        <v>20</v>
      </c>
      <c r="K63" s="227">
        <f t="shared" si="42"/>
        <v>1068</v>
      </c>
      <c r="L63" s="227">
        <f t="shared" si="43"/>
        <v>0</v>
      </c>
      <c r="M63" s="227">
        <f t="shared" si="44"/>
        <v>21360</v>
      </c>
      <c r="N63" s="448">
        <f t="shared" si="45"/>
        <v>222</v>
      </c>
      <c r="O63" s="448">
        <f t="shared" si="46"/>
        <v>10.833600000000001</v>
      </c>
      <c r="P63" s="448">
        <f t="shared" si="47"/>
        <v>0.190923552</v>
      </c>
      <c r="Q63" s="448">
        <f t="shared" si="48"/>
        <v>233</v>
      </c>
      <c r="R63" s="228">
        <f t="shared" si="49"/>
        <v>4741920</v>
      </c>
      <c r="S63" s="228">
        <f t="shared" si="50"/>
        <v>4976880</v>
      </c>
      <c r="T63" s="423">
        <f t="shared" si="51"/>
        <v>20</v>
      </c>
      <c r="U63" s="423">
        <f t="shared" si="52"/>
        <v>0</v>
      </c>
      <c r="V63" s="424">
        <f t="array" ref="V63">MAX((IF(MNU_CODIGO_ALIMENTO_ENTREGA=CONCATENATE($E63,"_","S_"),MNU_GRAMAJE_REQUERIDO_TIPOB,"")))</f>
        <v>30</v>
      </c>
      <c r="W63" s="391">
        <f t="shared" si="53"/>
        <v>1613</v>
      </c>
      <c r="X63" s="391">
        <f t="shared" si="54"/>
        <v>0</v>
      </c>
      <c r="Y63" s="391">
        <f t="shared" si="55"/>
        <v>32260</v>
      </c>
      <c r="Z63" s="448">
        <f t="shared" si="56"/>
        <v>334</v>
      </c>
      <c r="AA63" s="448">
        <f t="shared" si="57"/>
        <v>16.299199999999999</v>
      </c>
      <c r="AB63" s="448">
        <f t="shared" si="58"/>
        <v>0.28724534400000001</v>
      </c>
      <c r="AC63" s="448">
        <f t="shared" si="59"/>
        <v>351</v>
      </c>
      <c r="AD63" s="229">
        <f t="shared" si="60"/>
        <v>10774840</v>
      </c>
      <c r="AE63" s="229">
        <f t="shared" si="61"/>
        <v>11323260</v>
      </c>
      <c r="AF63" s="421">
        <f t="shared" si="62"/>
        <v>20</v>
      </c>
      <c r="AG63" s="421">
        <f t="shared" si="63"/>
        <v>0</v>
      </c>
      <c r="AH63" s="422">
        <f t="array" ref="AH63">MAX((IF(MNU_CODIGO_ALIMENTO_ENTREGA=CONCATENATE($E63,"_","S_"),MNU_GRAMAJE_REQUERIDO_TIPOC,"")))</f>
        <v>70</v>
      </c>
      <c r="AI63" s="227">
        <f t="shared" si="64"/>
        <v>2015</v>
      </c>
      <c r="AJ63" s="227">
        <f t="shared" si="65"/>
        <v>0</v>
      </c>
      <c r="AK63" s="227">
        <f t="shared" si="66"/>
        <v>40300</v>
      </c>
      <c r="AL63" s="448">
        <f t="shared" si="67"/>
        <v>779</v>
      </c>
      <c r="AM63" s="448">
        <f t="shared" si="68"/>
        <v>38.0152</v>
      </c>
      <c r="AN63" s="448">
        <f t="shared" si="69"/>
        <v>0.66995246400000008</v>
      </c>
      <c r="AO63" s="448">
        <f t="shared" si="70"/>
        <v>818</v>
      </c>
      <c r="AP63" s="448">
        <f t="shared" si="71"/>
        <v>31393700</v>
      </c>
      <c r="AQ63" s="228">
        <f t="shared" si="72"/>
        <v>32965400</v>
      </c>
      <c r="AR63" s="391">
        <f t="shared" si="73"/>
        <v>46910460</v>
      </c>
      <c r="AS63" s="391">
        <f t="shared" si="74"/>
        <v>49265540</v>
      </c>
    </row>
    <row r="64" spans="1:45" ht="15.75">
      <c r="A64" s="226">
        <v>7</v>
      </c>
      <c r="B64" s="226" t="str">
        <f t="shared" si="38"/>
        <v>CEREAL EMPACADO_7</v>
      </c>
      <c r="C64" s="333" t="str">
        <f t="shared" si="39"/>
        <v>3_7</v>
      </c>
      <c r="D64" s="392" t="s">
        <v>1607</v>
      </c>
      <c r="E64" s="226">
        <v>3</v>
      </c>
      <c r="F64" s="325" t="s">
        <v>12</v>
      </c>
      <c r="G64" s="226" t="s">
        <v>9</v>
      </c>
      <c r="H64" s="421">
        <f t="shared" si="40"/>
        <v>19</v>
      </c>
      <c r="I64" s="421">
        <f t="shared" si="41"/>
        <v>0</v>
      </c>
      <c r="J64" s="422">
        <f t="array" ref="J64">MAX((IF(MNU_CODIGO_ALIMENTO_ENTREGA=CONCATENATE($E64,"_","S_"),MNU_GRAMAJE_REQUERIDO_TIPOA,"")))</f>
        <v>50</v>
      </c>
      <c r="K64" s="227">
        <f t="shared" si="42"/>
        <v>974</v>
      </c>
      <c r="L64" s="227">
        <f t="shared" si="43"/>
        <v>0</v>
      </c>
      <c r="M64" s="227">
        <f t="shared" si="44"/>
        <v>18506</v>
      </c>
      <c r="N64" s="448">
        <f t="shared" si="45"/>
        <v>481</v>
      </c>
      <c r="O64" s="448">
        <f t="shared" si="46"/>
        <v>23.472799999999999</v>
      </c>
      <c r="P64" s="448">
        <f t="shared" si="47"/>
        <v>0.41366769599999997</v>
      </c>
      <c r="Q64" s="448">
        <f t="shared" si="48"/>
        <v>505</v>
      </c>
      <c r="R64" s="228">
        <f t="shared" si="49"/>
        <v>8901386</v>
      </c>
      <c r="S64" s="228">
        <f t="shared" si="50"/>
        <v>9345530</v>
      </c>
      <c r="T64" s="423">
        <f t="shared" si="51"/>
        <v>19</v>
      </c>
      <c r="U64" s="423">
        <f t="shared" si="52"/>
        <v>0</v>
      </c>
      <c r="V64" s="424">
        <f t="array" ref="V64">MAX((IF(MNU_CODIGO_ALIMENTO_ENTREGA=CONCATENATE($E64,"_","S_"),MNU_GRAMAJE_REQUERIDO_TIPOB,"")))</f>
        <v>50</v>
      </c>
      <c r="W64" s="391">
        <f t="shared" si="53"/>
        <v>1150</v>
      </c>
      <c r="X64" s="391">
        <f t="shared" si="54"/>
        <v>0</v>
      </c>
      <c r="Y64" s="391">
        <f t="shared" si="55"/>
        <v>21850</v>
      </c>
      <c r="Z64" s="448">
        <f t="shared" si="56"/>
        <v>481</v>
      </c>
      <c r="AA64" s="448">
        <f t="shared" si="57"/>
        <v>23.472799999999999</v>
      </c>
      <c r="AB64" s="448">
        <f t="shared" si="58"/>
        <v>0.41366769599999997</v>
      </c>
      <c r="AC64" s="448">
        <f t="shared" si="59"/>
        <v>505</v>
      </c>
      <c r="AD64" s="229">
        <f t="shared" si="60"/>
        <v>10509850</v>
      </c>
      <c r="AE64" s="229">
        <f t="shared" si="61"/>
        <v>11034250</v>
      </c>
      <c r="AF64" s="421">
        <f t="shared" si="62"/>
        <v>19</v>
      </c>
      <c r="AG64" s="421">
        <f t="shared" si="63"/>
        <v>0</v>
      </c>
      <c r="AH64" s="422">
        <f t="array" ref="AH64">MAX((IF(MNU_CODIGO_ALIMENTO_ENTREGA=CONCATENATE($E64,"_","S_"),MNU_GRAMAJE_REQUERIDO_TIPOC,"")))</f>
        <v>80</v>
      </c>
      <c r="AI64" s="227">
        <f t="shared" si="64"/>
        <v>2117</v>
      </c>
      <c r="AJ64" s="227">
        <f t="shared" si="65"/>
        <v>0</v>
      </c>
      <c r="AK64" s="227">
        <f t="shared" si="66"/>
        <v>40223</v>
      </c>
      <c r="AL64" s="448">
        <f t="shared" si="67"/>
        <v>727</v>
      </c>
      <c r="AM64" s="448">
        <f t="shared" si="68"/>
        <v>35.477600000000002</v>
      </c>
      <c r="AN64" s="448">
        <f t="shared" si="69"/>
        <v>0.62523163200000009</v>
      </c>
      <c r="AO64" s="448">
        <f t="shared" si="70"/>
        <v>763</v>
      </c>
      <c r="AP64" s="448">
        <f t="shared" si="71"/>
        <v>29242121</v>
      </c>
      <c r="AQ64" s="228">
        <f t="shared" si="72"/>
        <v>30690149</v>
      </c>
      <c r="AR64" s="391">
        <f t="shared" si="73"/>
        <v>48653357</v>
      </c>
      <c r="AS64" s="391">
        <f t="shared" si="74"/>
        <v>51069929</v>
      </c>
    </row>
    <row r="65" spans="1:45" ht="15.75">
      <c r="A65" s="226">
        <v>7</v>
      </c>
      <c r="B65" s="226" t="str">
        <f t="shared" si="38"/>
        <v>CEREAL EMPACADO_7</v>
      </c>
      <c r="C65" s="333" t="str">
        <f t="shared" si="39"/>
        <v>15_7</v>
      </c>
      <c r="D65" s="392" t="s">
        <v>1607</v>
      </c>
      <c r="E65" s="226">
        <v>15</v>
      </c>
      <c r="F65" s="325" t="s">
        <v>66</v>
      </c>
      <c r="G65" s="226" t="s">
        <v>9</v>
      </c>
      <c r="H65" s="421">
        <f t="shared" si="40"/>
        <v>11</v>
      </c>
      <c r="I65" s="421">
        <f t="shared" si="41"/>
        <v>11</v>
      </c>
      <c r="J65" s="422">
        <f t="array" ref="J65">MAX((IF(MNU_CODIGO_ALIMENTO_ENTREGA=CONCATENATE($E65,"_","S_"),MNU_GRAMAJE_REQUERIDO_TIPOA,"")))</f>
        <v>50</v>
      </c>
      <c r="K65" s="227">
        <f t="shared" si="42"/>
        <v>974</v>
      </c>
      <c r="L65" s="227">
        <f t="shared" si="43"/>
        <v>0</v>
      </c>
      <c r="M65" s="227">
        <f t="shared" si="44"/>
        <v>10714</v>
      </c>
      <c r="N65" s="448">
        <f t="shared" si="45"/>
        <v>641</v>
      </c>
      <c r="O65" s="448">
        <f t="shared" si="46"/>
        <v>31.280800000000003</v>
      </c>
      <c r="P65" s="448">
        <f t="shared" si="47"/>
        <v>0.55127025600000001</v>
      </c>
      <c r="Q65" s="448">
        <f t="shared" si="48"/>
        <v>673</v>
      </c>
      <c r="R65" s="228">
        <f t="shared" si="49"/>
        <v>6867674</v>
      </c>
      <c r="S65" s="228">
        <f t="shared" si="50"/>
        <v>7210522</v>
      </c>
      <c r="T65" s="423">
        <f t="shared" si="51"/>
        <v>11</v>
      </c>
      <c r="U65" s="423">
        <f t="shared" si="52"/>
        <v>11</v>
      </c>
      <c r="V65" s="424">
        <f t="array" ref="V65">MAX((IF(MNU_CODIGO_ALIMENTO_ENTREGA=CONCATENATE($E65,"_","S_"),MNU_GRAMAJE_REQUERIDO_TIPOB,"")))</f>
        <v>50</v>
      </c>
      <c r="W65" s="391">
        <f t="shared" si="53"/>
        <v>1150</v>
      </c>
      <c r="X65" s="391">
        <f t="shared" si="54"/>
        <v>0</v>
      </c>
      <c r="Y65" s="391">
        <f t="shared" si="55"/>
        <v>12650</v>
      </c>
      <c r="Z65" s="448">
        <f t="shared" si="56"/>
        <v>641</v>
      </c>
      <c r="AA65" s="448">
        <f t="shared" si="57"/>
        <v>31.280800000000003</v>
      </c>
      <c r="AB65" s="448">
        <f t="shared" si="58"/>
        <v>0.55127025600000001</v>
      </c>
      <c r="AC65" s="448">
        <f t="shared" si="59"/>
        <v>673</v>
      </c>
      <c r="AD65" s="229">
        <f t="shared" si="60"/>
        <v>8108650</v>
      </c>
      <c r="AE65" s="229">
        <f t="shared" si="61"/>
        <v>8513450</v>
      </c>
      <c r="AF65" s="421">
        <f t="shared" si="62"/>
        <v>11</v>
      </c>
      <c r="AG65" s="421">
        <f t="shared" si="63"/>
        <v>11</v>
      </c>
      <c r="AH65" s="422">
        <f t="array" ref="AH65">MAX((IF(MNU_CODIGO_ALIMENTO_ENTREGA=CONCATENATE($E65,"_","S_"),MNU_GRAMAJE_REQUERIDO_TIPOC,"")))</f>
        <v>80</v>
      </c>
      <c r="AI65" s="227">
        <f t="shared" si="64"/>
        <v>2117</v>
      </c>
      <c r="AJ65" s="227">
        <f t="shared" si="65"/>
        <v>0</v>
      </c>
      <c r="AK65" s="227">
        <f t="shared" si="66"/>
        <v>23287</v>
      </c>
      <c r="AL65" s="448">
        <f t="shared" si="67"/>
        <v>1025</v>
      </c>
      <c r="AM65" s="448">
        <f t="shared" si="68"/>
        <v>50.02</v>
      </c>
      <c r="AN65" s="448">
        <f t="shared" si="69"/>
        <v>0.88151640000000009</v>
      </c>
      <c r="AO65" s="448">
        <f t="shared" si="70"/>
        <v>1076</v>
      </c>
      <c r="AP65" s="448">
        <f t="shared" si="71"/>
        <v>23869175</v>
      </c>
      <c r="AQ65" s="228">
        <f t="shared" si="72"/>
        <v>25056812</v>
      </c>
      <c r="AR65" s="391">
        <f t="shared" si="73"/>
        <v>38845499</v>
      </c>
      <c r="AS65" s="391">
        <f t="shared" si="74"/>
        <v>40780784</v>
      </c>
    </row>
    <row r="66" spans="1:45" ht="27">
      <c r="A66" s="226">
        <v>7</v>
      </c>
      <c r="B66" s="226" t="str">
        <f t="shared" si="38"/>
        <v>CEREAL EMPACADO_7</v>
      </c>
      <c r="C66" s="333" t="str">
        <f t="shared" si="39"/>
        <v>21_7</v>
      </c>
      <c r="D66" s="392" t="s">
        <v>1607</v>
      </c>
      <c r="E66" s="226">
        <v>21</v>
      </c>
      <c r="F66" s="325" t="s">
        <v>70</v>
      </c>
      <c r="G66" s="226" t="s">
        <v>9</v>
      </c>
      <c r="H66" s="421">
        <f t="shared" si="40"/>
        <v>22</v>
      </c>
      <c r="I66" s="421">
        <f t="shared" si="41"/>
        <v>0</v>
      </c>
      <c r="J66" s="422">
        <f t="array" ref="J66">MAX((IF(MNU_CODIGO_ALIMENTO_ENTREGA=CONCATENATE($E66,"_","S_"),MNU_GRAMAJE_REQUERIDO_TIPOA,"")))</f>
        <v>30</v>
      </c>
      <c r="K66" s="227">
        <f t="shared" si="42"/>
        <v>974</v>
      </c>
      <c r="L66" s="227">
        <f t="shared" si="43"/>
        <v>0</v>
      </c>
      <c r="M66" s="227">
        <f t="shared" si="44"/>
        <v>21428</v>
      </c>
      <c r="N66" s="448">
        <f t="shared" si="45"/>
        <v>458</v>
      </c>
      <c r="O66" s="448">
        <f t="shared" si="46"/>
        <v>22.3504</v>
      </c>
      <c r="P66" s="448">
        <f t="shared" si="47"/>
        <v>0.39388732799999998</v>
      </c>
      <c r="Q66" s="448">
        <f t="shared" si="48"/>
        <v>481</v>
      </c>
      <c r="R66" s="228">
        <f t="shared" si="49"/>
        <v>9814024</v>
      </c>
      <c r="S66" s="228">
        <f t="shared" si="50"/>
        <v>10306868</v>
      </c>
      <c r="T66" s="423">
        <f t="shared" si="51"/>
        <v>22</v>
      </c>
      <c r="U66" s="423">
        <f t="shared" si="52"/>
        <v>0</v>
      </c>
      <c r="V66" s="424">
        <f t="array" ref="V66">MAX((IF(MNU_CODIGO_ALIMENTO_ENTREGA=CONCATENATE($E66,"_","S_"),MNU_GRAMAJE_REQUERIDO_TIPOB,"")))</f>
        <v>30</v>
      </c>
      <c r="W66" s="391">
        <f t="shared" si="53"/>
        <v>1150</v>
      </c>
      <c r="X66" s="391">
        <f t="shared" si="54"/>
        <v>0</v>
      </c>
      <c r="Y66" s="391">
        <f t="shared" si="55"/>
        <v>25300</v>
      </c>
      <c r="Z66" s="448">
        <f t="shared" si="56"/>
        <v>458</v>
      </c>
      <c r="AA66" s="448">
        <f t="shared" si="57"/>
        <v>22.3504</v>
      </c>
      <c r="AB66" s="448">
        <f t="shared" si="58"/>
        <v>0.39388732799999998</v>
      </c>
      <c r="AC66" s="448">
        <f t="shared" si="59"/>
        <v>481</v>
      </c>
      <c r="AD66" s="229">
        <f t="shared" si="60"/>
        <v>11587400</v>
      </c>
      <c r="AE66" s="229">
        <f t="shared" si="61"/>
        <v>12169300</v>
      </c>
      <c r="AF66" s="421">
        <f t="shared" si="62"/>
        <v>22</v>
      </c>
      <c r="AG66" s="421">
        <f t="shared" si="63"/>
        <v>0</v>
      </c>
      <c r="AH66" s="422">
        <f t="array" ref="AH66">MAX((IF(MNU_CODIGO_ALIMENTO_ENTREGA=CONCATENATE($E66,"_","S_"),MNU_GRAMAJE_REQUERIDO_TIPOC,"")))</f>
        <v>50</v>
      </c>
      <c r="AI66" s="227">
        <f t="shared" si="64"/>
        <v>2117</v>
      </c>
      <c r="AJ66" s="227">
        <f t="shared" si="65"/>
        <v>0</v>
      </c>
      <c r="AK66" s="227">
        <f t="shared" si="66"/>
        <v>46574</v>
      </c>
      <c r="AL66" s="448">
        <f t="shared" si="67"/>
        <v>764</v>
      </c>
      <c r="AM66" s="448">
        <f t="shared" si="68"/>
        <v>37.283200000000001</v>
      </c>
      <c r="AN66" s="448">
        <f t="shared" si="69"/>
        <v>0.65705222400000007</v>
      </c>
      <c r="AO66" s="448">
        <f t="shared" si="70"/>
        <v>802</v>
      </c>
      <c r="AP66" s="448">
        <f t="shared" si="71"/>
        <v>35582536</v>
      </c>
      <c r="AQ66" s="228">
        <f t="shared" si="72"/>
        <v>37352348</v>
      </c>
      <c r="AR66" s="391">
        <f t="shared" si="73"/>
        <v>56983960</v>
      </c>
      <c r="AS66" s="391">
        <f t="shared" si="74"/>
        <v>59828516</v>
      </c>
    </row>
    <row r="67" spans="1:45" ht="15.75">
      <c r="A67" s="226">
        <v>7</v>
      </c>
      <c r="B67" s="226" t="str">
        <f t="shared" si="38"/>
        <v>CEREAL EMPACADO_7</v>
      </c>
      <c r="C67" s="333" t="str">
        <f t="shared" si="39"/>
        <v>24_7</v>
      </c>
      <c r="D67" s="392" t="s">
        <v>1607</v>
      </c>
      <c r="E67" s="226">
        <v>24</v>
      </c>
      <c r="F67" s="325" t="s">
        <v>61</v>
      </c>
      <c r="G67" s="226" t="s">
        <v>9</v>
      </c>
      <c r="H67" s="421">
        <f t="shared" si="40"/>
        <v>11</v>
      </c>
      <c r="I67" s="421">
        <f t="shared" si="41"/>
        <v>11</v>
      </c>
      <c r="J67" s="422">
        <f t="array" ref="J67">MAX((IF(MNU_CODIGO_ALIMENTO_ENTREGA=CONCATENATE($E67,"_","S_"),MNU_GRAMAJE_REQUERIDO_TIPOA,"")))</f>
        <v>20</v>
      </c>
      <c r="K67" s="227">
        <f t="shared" si="42"/>
        <v>974</v>
      </c>
      <c r="L67" s="227">
        <f t="shared" si="43"/>
        <v>0</v>
      </c>
      <c r="M67" s="227">
        <f t="shared" si="44"/>
        <v>10714</v>
      </c>
      <c r="N67" s="448">
        <f t="shared" si="45"/>
        <v>122</v>
      </c>
      <c r="O67" s="448">
        <f t="shared" si="46"/>
        <v>5.9535999999999998</v>
      </c>
      <c r="P67" s="448">
        <f t="shared" si="47"/>
        <v>0.104921952</v>
      </c>
      <c r="Q67" s="448">
        <f t="shared" si="48"/>
        <v>128</v>
      </c>
      <c r="R67" s="228">
        <f t="shared" si="49"/>
        <v>1307108</v>
      </c>
      <c r="S67" s="228">
        <f t="shared" si="50"/>
        <v>1371392</v>
      </c>
      <c r="T67" s="423">
        <f t="shared" si="51"/>
        <v>11</v>
      </c>
      <c r="U67" s="423">
        <f t="shared" si="52"/>
        <v>11</v>
      </c>
      <c r="V67" s="424">
        <f t="array" ref="V67">MAX((IF(MNU_CODIGO_ALIMENTO_ENTREGA=CONCATENATE($E67,"_","S_"),MNU_GRAMAJE_REQUERIDO_TIPOB,"")))</f>
        <v>30</v>
      </c>
      <c r="W67" s="391">
        <f t="shared" si="53"/>
        <v>1150</v>
      </c>
      <c r="X67" s="391">
        <f t="shared" si="54"/>
        <v>0</v>
      </c>
      <c r="Y67" s="391">
        <f t="shared" si="55"/>
        <v>12650</v>
      </c>
      <c r="Z67" s="448">
        <f t="shared" si="56"/>
        <v>191</v>
      </c>
      <c r="AA67" s="448">
        <f t="shared" si="57"/>
        <v>9.3208000000000002</v>
      </c>
      <c r="AB67" s="448">
        <f t="shared" si="58"/>
        <v>0.16426305600000002</v>
      </c>
      <c r="AC67" s="448">
        <f t="shared" si="59"/>
        <v>200</v>
      </c>
      <c r="AD67" s="229">
        <f t="shared" si="60"/>
        <v>2416150</v>
      </c>
      <c r="AE67" s="229">
        <f t="shared" si="61"/>
        <v>2530000</v>
      </c>
      <c r="AF67" s="421">
        <f t="shared" si="62"/>
        <v>11</v>
      </c>
      <c r="AG67" s="421">
        <f t="shared" si="63"/>
        <v>11</v>
      </c>
      <c r="AH67" s="422">
        <f t="array" ref="AH67">MAX((IF(MNU_CODIGO_ALIMENTO_ENTREGA=CONCATENATE($E67,"_","S_"),MNU_GRAMAJE_REQUERIDO_TIPOC,"")))</f>
        <v>60</v>
      </c>
      <c r="AI67" s="227">
        <f t="shared" si="64"/>
        <v>2117</v>
      </c>
      <c r="AJ67" s="227">
        <f t="shared" si="65"/>
        <v>0</v>
      </c>
      <c r="AK67" s="227">
        <f t="shared" si="66"/>
        <v>23287</v>
      </c>
      <c r="AL67" s="448">
        <f t="shared" si="67"/>
        <v>367</v>
      </c>
      <c r="AM67" s="448">
        <f t="shared" si="68"/>
        <v>17.909599999999998</v>
      </c>
      <c r="AN67" s="448">
        <f t="shared" si="69"/>
        <v>0.31562587200000003</v>
      </c>
      <c r="AO67" s="448">
        <f t="shared" si="70"/>
        <v>385</v>
      </c>
      <c r="AP67" s="448">
        <f t="shared" si="71"/>
        <v>8546329</v>
      </c>
      <c r="AQ67" s="228">
        <f t="shared" si="72"/>
        <v>8965495</v>
      </c>
      <c r="AR67" s="391">
        <f t="shared" si="73"/>
        <v>12269587</v>
      </c>
      <c r="AS67" s="391">
        <f t="shared" si="74"/>
        <v>12866887</v>
      </c>
    </row>
    <row r="68" spans="1:45" ht="15.75">
      <c r="A68" s="226">
        <v>7</v>
      </c>
      <c r="B68" s="226" t="str">
        <f t="shared" si="38"/>
        <v>CEREAL EMPACADO_7</v>
      </c>
      <c r="C68" s="333" t="str">
        <f t="shared" si="39"/>
        <v>25_7</v>
      </c>
      <c r="D68" s="392" t="s">
        <v>1607</v>
      </c>
      <c r="E68" s="226">
        <v>25</v>
      </c>
      <c r="F68" s="325" t="s">
        <v>64</v>
      </c>
      <c r="G68" s="226" t="s">
        <v>9</v>
      </c>
      <c r="H68" s="421">
        <f t="shared" si="40"/>
        <v>22</v>
      </c>
      <c r="I68" s="421">
        <f t="shared" si="41"/>
        <v>0</v>
      </c>
      <c r="J68" s="422">
        <f t="array" ref="J68">MAX((IF(MNU_CODIGO_ALIMENTO_ENTREGA=CONCATENATE($E68,"_","S_"),MNU_GRAMAJE_REQUERIDO_TIPOA,"")))</f>
        <v>40</v>
      </c>
      <c r="K68" s="227">
        <f t="shared" si="42"/>
        <v>974</v>
      </c>
      <c r="L68" s="227">
        <f t="shared" si="43"/>
        <v>0</v>
      </c>
      <c r="M68" s="227">
        <f t="shared" si="44"/>
        <v>21428</v>
      </c>
      <c r="N68" s="448">
        <f t="shared" si="45"/>
        <v>244</v>
      </c>
      <c r="O68" s="448">
        <f t="shared" si="46"/>
        <v>11.9072</v>
      </c>
      <c r="P68" s="448">
        <f t="shared" si="47"/>
        <v>0.209843904</v>
      </c>
      <c r="Q68" s="448">
        <f t="shared" si="48"/>
        <v>256</v>
      </c>
      <c r="R68" s="228">
        <f t="shared" si="49"/>
        <v>5228432</v>
      </c>
      <c r="S68" s="228">
        <f t="shared" si="50"/>
        <v>5485568</v>
      </c>
      <c r="T68" s="423">
        <f t="shared" si="51"/>
        <v>22</v>
      </c>
      <c r="U68" s="423">
        <f t="shared" si="52"/>
        <v>0</v>
      </c>
      <c r="V68" s="424">
        <f t="array" ref="V68">MAX((IF(MNU_CODIGO_ALIMENTO_ENTREGA=CONCATENATE($E68,"_","S_"),MNU_GRAMAJE_REQUERIDO_TIPOB,"")))</f>
        <v>40</v>
      </c>
      <c r="W68" s="391">
        <f t="shared" si="53"/>
        <v>1150</v>
      </c>
      <c r="X68" s="391">
        <f t="shared" si="54"/>
        <v>0</v>
      </c>
      <c r="Y68" s="391">
        <f t="shared" si="55"/>
        <v>25300</v>
      </c>
      <c r="Z68" s="448">
        <f t="shared" si="56"/>
        <v>244</v>
      </c>
      <c r="AA68" s="448">
        <f t="shared" si="57"/>
        <v>11.9072</v>
      </c>
      <c r="AB68" s="448">
        <f t="shared" si="58"/>
        <v>0.209843904</v>
      </c>
      <c r="AC68" s="448">
        <f t="shared" si="59"/>
        <v>256</v>
      </c>
      <c r="AD68" s="229">
        <f t="shared" si="60"/>
        <v>6173200</v>
      </c>
      <c r="AE68" s="229">
        <f t="shared" si="61"/>
        <v>6476800</v>
      </c>
      <c r="AF68" s="421">
        <f t="shared" si="62"/>
        <v>22</v>
      </c>
      <c r="AG68" s="421">
        <f t="shared" si="63"/>
        <v>0</v>
      </c>
      <c r="AH68" s="422">
        <f t="array" ref="AH68">MAX((IF(MNU_CODIGO_ALIMENTO_ENTREGA=CONCATENATE($E68,"_","S_"),MNU_GRAMAJE_REQUERIDO_TIPOC,"")))</f>
        <v>60</v>
      </c>
      <c r="AI68" s="227">
        <f t="shared" si="64"/>
        <v>2117</v>
      </c>
      <c r="AJ68" s="227">
        <f t="shared" si="65"/>
        <v>0</v>
      </c>
      <c r="AK68" s="227">
        <f t="shared" si="66"/>
        <v>46574</v>
      </c>
      <c r="AL68" s="448">
        <f t="shared" si="67"/>
        <v>366</v>
      </c>
      <c r="AM68" s="448">
        <f t="shared" si="68"/>
        <v>17.860800000000001</v>
      </c>
      <c r="AN68" s="448">
        <f t="shared" si="69"/>
        <v>0.31476585600000001</v>
      </c>
      <c r="AO68" s="448">
        <f t="shared" si="70"/>
        <v>384</v>
      </c>
      <c r="AP68" s="448">
        <f t="shared" si="71"/>
        <v>17046084</v>
      </c>
      <c r="AQ68" s="228">
        <f t="shared" si="72"/>
        <v>17884416</v>
      </c>
      <c r="AR68" s="391">
        <f t="shared" si="73"/>
        <v>28447716</v>
      </c>
      <c r="AS68" s="391">
        <f t="shared" si="74"/>
        <v>29846784</v>
      </c>
    </row>
    <row r="69" spans="1:45" ht="27">
      <c r="A69" s="226">
        <v>7</v>
      </c>
      <c r="B69" s="226" t="str">
        <f t="shared" si="38"/>
        <v>CEREAL EMPACADO_7</v>
      </c>
      <c r="C69" s="333" t="str">
        <f t="shared" si="39"/>
        <v>28_7</v>
      </c>
      <c r="D69" s="392" t="s">
        <v>1607</v>
      </c>
      <c r="E69" s="226">
        <v>28</v>
      </c>
      <c r="F69" s="325" t="s">
        <v>67</v>
      </c>
      <c r="G69" s="226" t="s">
        <v>9</v>
      </c>
      <c r="H69" s="421">
        <f t="shared" si="40"/>
        <v>19</v>
      </c>
      <c r="I69" s="421">
        <f t="shared" si="41"/>
        <v>0</v>
      </c>
      <c r="J69" s="422">
        <f t="array" ref="J69">MAX((IF(MNU_CODIGO_ALIMENTO_ENTREGA=CONCATENATE($E69,"_","S_"),MNU_GRAMAJE_REQUERIDO_TIPOA,"")))</f>
        <v>30</v>
      </c>
      <c r="K69" s="227">
        <f t="shared" si="42"/>
        <v>974</v>
      </c>
      <c r="L69" s="227">
        <f t="shared" si="43"/>
        <v>0</v>
      </c>
      <c r="M69" s="227">
        <f t="shared" si="44"/>
        <v>18506</v>
      </c>
      <c r="N69" s="448">
        <f t="shared" si="45"/>
        <v>215</v>
      </c>
      <c r="O69" s="448">
        <f t="shared" si="46"/>
        <v>10.492000000000001</v>
      </c>
      <c r="P69" s="448">
        <f t="shared" si="47"/>
        <v>0.18490343999999997</v>
      </c>
      <c r="Q69" s="448">
        <f t="shared" si="48"/>
        <v>226</v>
      </c>
      <c r="R69" s="228">
        <f t="shared" si="49"/>
        <v>3978790</v>
      </c>
      <c r="S69" s="228">
        <f t="shared" si="50"/>
        <v>4182356</v>
      </c>
      <c r="T69" s="423">
        <f t="shared" si="51"/>
        <v>19</v>
      </c>
      <c r="U69" s="423">
        <f t="shared" si="52"/>
        <v>0</v>
      </c>
      <c r="V69" s="424">
        <f t="array" ref="V69">MAX((IF(MNU_CODIGO_ALIMENTO_ENTREGA=CONCATENATE($E69,"_","S_"),MNU_GRAMAJE_REQUERIDO_TIPOB,"")))</f>
        <v>40</v>
      </c>
      <c r="W69" s="391">
        <f t="shared" si="53"/>
        <v>1150</v>
      </c>
      <c r="X69" s="391">
        <f t="shared" si="54"/>
        <v>0</v>
      </c>
      <c r="Y69" s="391">
        <f t="shared" si="55"/>
        <v>21850</v>
      </c>
      <c r="Z69" s="448">
        <f t="shared" si="56"/>
        <v>287</v>
      </c>
      <c r="AA69" s="448">
        <f t="shared" si="57"/>
        <v>14.005600000000001</v>
      </c>
      <c r="AB69" s="448">
        <f t="shared" si="58"/>
        <v>0.24682459200000004</v>
      </c>
      <c r="AC69" s="448">
        <f t="shared" si="59"/>
        <v>301</v>
      </c>
      <c r="AD69" s="229">
        <f t="shared" si="60"/>
        <v>6270950</v>
      </c>
      <c r="AE69" s="229">
        <f t="shared" si="61"/>
        <v>6576850</v>
      </c>
      <c r="AF69" s="421">
        <f t="shared" si="62"/>
        <v>19</v>
      </c>
      <c r="AG69" s="421">
        <f t="shared" si="63"/>
        <v>0</v>
      </c>
      <c r="AH69" s="422">
        <f t="array" ref="AH69">MAX((IF(MNU_CODIGO_ALIMENTO_ENTREGA=CONCATENATE($E69,"_","S_"),MNU_GRAMAJE_REQUERIDO_TIPOC,"")))</f>
        <v>60</v>
      </c>
      <c r="AI69" s="227">
        <f t="shared" si="64"/>
        <v>2117</v>
      </c>
      <c r="AJ69" s="227">
        <f t="shared" si="65"/>
        <v>0</v>
      </c>
      <c r="AK69" s="227">
        <f t="shared" si="66"/>
        <v>40223</v>
      </c>
      <c r="AL69" s="448">
        <f t="shared" si="67"/>
        <v>430</v>
      </c>
      <c r="AM69" s="448">
        <f t="shared" si="68"/>
        <v>20.984000000000002</v>
      </c>
      <c r="AN69" s="448">
        <f t="shared" si="69"/>
        <v>0.36980687999999995</v>
      </c>
      <c r="AO69" s="448">
        <f t="shared" si="70"/>
        <v>451</v>
      </c>
      <c r="AP69" s="448">
        <f t="shared" si="71"/>
        <v>17295890</v>
      </c>
      <c r="AQ69" s="228">
        <f t="shared" si="72"/>
        <v>18140573</v>
      </c>
      <c r="AR69" s="391">
        <f t="shared" si="73"/>
        <v>27545630</v>
      </c>
      <c r="AS69" s="391">
        <f t="shared" si="74"/>
        <v>28899779</v>
      </c>
    </row>
    <row r="70" spans="1:45" ht="15.75">
      <c r="A70" s="226">
        <v>7</v>
      </c>
      <c r="B70" s="226" t="str">
        <f t="shared" si="38"/>
        <v>CEREAL EMPACADO_7</v>
      </c>
      <c r="C70" s="333" t="str">
        <f t="shared" si="39"/>
        <v>45_7</v>
      </c>
      <c r="D70" s="392" t="s">
        <v>1607</v>
      </c>
      <c r="E70" s="226">
        <v>45</v>
      </c>
      <c r="F70" s="325" t="s">
        <v>10</v>
      </c>
      <c r="G70" s="226" t="s">
        <v>9</v>
      </c>
      <c r="H70" s="421">
        <f t="shared" si="40"/>
        <v>20</v>
      </c>
      <c r="I70" s="421">
        <f t="shared" si="41"/>
        <v>0</v>
      </c>
      <c r="J70" s="422">
        <f t="array" ref="J70">MAX((IF(MNU_CODIGO_ALIMENTO_ENTREGA=CONCATENATE($E70,"_","S_"),MNU_GRAMAJE_REQUERIDO_TIPOA,"")))</f>
        <v>20</v>
      </c>
      <c r="K70" s="227">
        <f t="shared" si="42"/>
        <v>974</v>
      </c>
      <c r="L70" s="227">
        <f t="shared" si="43"/>
        <v>0</v>
      </c>
      <c r="M70" s="227">
        <f t="shared" si="44"/>
        <v>19480</v>
      </c>
      <c r="N70" s="448">
        <f t="shared" si="45"/>
        <v>190</v>
      </c>
      <c r="O70" s="448">
        <f t="shared" si="46"/>
        <v>9.2720000000000002</v>
      </c>
      <c r="P70" s="448">
        <f t="shared" si="47"/>
        <v>0.16340304</v>
      </c>
      <c r="Q70" s="448">
        <f t="shared" si="48"/>
        <v>199</v>
      </c>
      <c r="R70" s="228">
        <f t="shared" si="49"/>
        <v>3701200</v>
      </c>
      <c r="S70" s="228">
        <f t="shared" si="50"/>
        <v>3876520</v>
      </c>
      <c r="T70" s="423">
        <f t="shared" si="51"/>
        <v>20</v>
      </c>
      <c r="U70" s="423">
        <f t="shared" si="52"/>
        <v>0</v>
      </c>
      <c r="V70" s="424">
        <f t="array" ref="V70">MAX((IF(MNU_CODIGO_ALIMENTO_ENTREGA=CONCATENATE($E70,"_","S_"),MNU_GRAMAJE_REQUERIDO_TIPOB,"")))</f>
        <v>30</v>
      </c>
      <c r="W70" s="391">
        <f t="shared" si="53"/>
        <v>1150</v>
      </c>
      <c r="X70" s="391">
        <f t="shared" si="54"/>
        <v>0</v>
      </c>
      <c r="Y70" s="391">
        <f t="shared" si="55"/>
        <v>23000</v>
      </c>
      <c r="Z70" s="448">
        <f t="shared" si="56"/>
        <v>284</v>
      </c>
      <c r="AA70" s="448">
        <f t="shared" si="57"/>
        <v>13.8592</v>
      </c>
      <c r="AB70" s="448">
        <f t="shared" si="58"/>
        <v>0.24424454399999998</v>
      </c>
      <c r="AC70" s="448">
        <f t="shared" si="59"/>
        <v>298</v>
      </c>
      <c r="AD70" s="229">
        <f t="shared" si="60"/>
        <v>6532000</v>
      </c>
      <c r="AE70" s="229">
        <f t="shared" si="61"/>
        <v>6854000</v>
      </c>
      <c r="AF70" s="421">
        <f t="shared" si="62"/>
        <v>20</v>
      </c>
      <c r="AG70" s="421">
        <f t="shared" si="63"/>
        <v>0</v>
      </c>
      <c r="AH70" s="422">
        <f t="array" ref="AH70">MAX((IF(MNU_CODIGO_ALIMENTO_ENTREGA=CONCATENATE($E70,"_","S_"),MNU_GRAMAJE_REQUERIDO_TIPOC,"")))</f>
        <v>60</v>
      </c>
      <c r="AI70" s="227">
        <f t="shared" si="64"/>
        <v>2117</v>
      </c>
      <c r="AJ70" s="227">
        <f t="shared" si="65"/>
        <v>0</v>
      </c>
      <c r="AK70" s="227">
        <f t="shared" si="66"/>
        <v>42340</v>
      </c>
      <c r="AL70" s="448">
        <f t="shared" si="67"/>
        <v>569</v>
      </c>
      <c r="AM70" s="448">
        <f t="shared" si="68"/>
        <v>27.767199999999999</v>
      </c>
      <c r="AN70" s="448">
        <f t="shared" si="69"/>
        <v>0.48934910400000003</v>
      </c>
      <c r="AO70" s="448">
        <f t="shared" si="70"/>
        <v>597</v>
      </c>
      <c r="AP70" s="448">
        <f t="shared" si="71"/>
        <v>24091460</v>
      </c>
      <c r="AQ70" s="228">
        <f t="shared" si="72"/>
        <v>25276980</v>
      </c>
      <c r="AR70" s="391">
        <f t="shared" si="73"/>
        <v>34324660</v>
      </c>
      <c r="AS70" s="391">
        <f t="shared" si="74"/>
        <v>36007500</v>
      </c>
    </row>
    <row r="71" spans="1:45" ht="15.75">
      <c r="A71" s="226">
        <v>7</v>
      </c>
      <c r="B71" s="226" t="str">
        <f t="shared" si="38"/>
        <v>CEREAL EMPACADO_7</v>
      </c>
      <c r="C71" s="333" t="str">
        <f t="shared" si="39"/>
        <v>61_7</v>
      </c>
      <c r="D71" s="392" t="s">
        <v>1607</v>
      </c>
      <c r="E71" s="226">
        <v>61</v>
      </c>
      <c r="F71" s="325" t="s">
        <v>13</v>
      </c>
      <c r="G71" s="226" t="s">
        <v>9</v>
      </c>
      <c r="H71" s="421">
        <f t="shared" si="40"/>
        <v>20</v>
      </c>
      <c r="I71" s="421">
        <f t="shared" si="41"/>
        <v>0</v>
      </c>
      <c r="J71" s="422">
        <f t="array" ref="J71">MAX((IF(MNU_CODIGO_ALIMENTO_ENTREGA=CONCATENATE($E71,"_","S_"),MNU_GRAMAJE_REQUERIDO_TIPOA,"")))</f>
        <v>20</v>
      </c>
      <c r="K71" s="227">
        <f t="shared" si="42"/>
        <v>974</v>
      </c>
      <c r="L71" s="227">
        <f t="shared" si="43"/>
        <v>0</v>
      </c>
      <c r="M71" s="227">
        <f t="shared" si="44"/>
        <v>19480</v>
      </c>
      <c r="N71" s="448">
        <f t="shared" si="45"/>
        <v>222</v>
      </c>
      <c r="O71" s="448">
        <f t="shared" si="46"/>
        <v>10.833600000000001</v>
      </c>
      <c r="P71" s="448">
        <f t="shared" si="47"/>
        <v>0.190923552</v>
      </c>
      <c r="Q71" s="448">
        <f t="shared" si="48"/>
        <v>233</v>
      </c>
      <c r="R71" s="228">
        <f t="shared" si="49"/>
        <v>4324560</v>
      </c>
      <c r="S71" s="228">
        <f t="shared" si="50"/>
        <v>4538840</v>
      </c>
      <c r="T71" s="423">
        <f t="shared" si="51"/>
        <v>20</v>
      </c>
      <c r="U71" s="423">
        <f t="shared" si="52"/>
        <v>0</v>
      </c>
      <c r="V71" s="424">
        <f t="array" ref="V71">MAX((IF(MNU_CODIGO_ALIMENTO_ENTREGA=CONCATENATE($E71,"_","S_"),MNU_GRAMAJE_REQUERIDO_TIPOB,"")))</f>
        <v>30</v>
      </c>
      <c r="W71" s="391">
        <f t="shared" si="53"/>
        <v>1150</v>
      </c>
      <c r="X71" s="391">
        <f t="shared" si="54"/>
        <v>0</v>
      </c>
      <c r="Y71" s="391">
        <f t="shared" si="55"/>
        <v>23000</v>
      </c>
      <c r="Z71" s="448">
        <f t="shared" si="56"/>
        <v>334</v>
      </c>
      <c r="AA71" s="448">
        <f t="shared" si="57"/>
        <v>16.299199999999999</v>
      </c>
      <c r="AB71" s="448">
        <f t="shared" si="58"/>
        <v>0.28724534400000001</v>
      </c>
      <c r="AC71" s="448">
        <f t="shared" si="59"/>
        <v>351</v>
      </c>
      <c r="AD71" s="229">
        <f t="shared" si="60"/>
        <v>7682000</v>
      </c>
      <c r="AE71" s="229">
        <f t="shared" si="61"/>
        <v>8073000</v>
      </c>
      <c r="AF71" s="421">
        <f t="shared" si="62"/>
        <v>20</v>
      </c>
      <c r="AG71" s="421">
        <f t="shared" si="63"/>
        <v>0</v>
      </c>
      <c r="AH71" s="422">
        <f t="array" ref="AH71">MAX((IF(MNU_CODIGO_ALIMENTO_ENTREGA=CONCATENATE($E71,"_","S_"),MNU_GRAMAJE_REQUERIDO_TIPOC,"")))</f>
        <v>70</v>
      </c>
      <c r="AI71" s="227">
        <f t="shared" si="64"/>
        <v>2117</v>
      </c>
      <c r="AJ71" s="227">
        <f t="shared" si="65"/>
        <v>0</v>
      </c>
      <c r="AK71" s="227">
        <f t="shared" si="66"/>
        <v>42340</v>
      </c>
      <c r="AL71" s="448">
        <f t="shared" si="67"/>
        <v>779</v>
      </c>
      <c r="AM71" s="448">
        <f t="shared" si="68"/>
        <v>38.0152</v>
      </c>
      <c r="AN71" s="448">
        <f t="shared" si="69"/>
        <v>0.66995246400000008</v>
      </c>
      <c r="AO71" s="448">
        <f t="shared" si="70"/>
        <v>818</v>
      </c>
      <c r="AP71" s="448">
        <f t="shared" si="71"/>
        <v>32982860</v>
      </c>
      <c r="AQ71" s="228">
        <f t="shared" si="72"/>
        <v>34634120</v>
      </c>
      <c r="AR71" s="391">
        <f t="shared" si="73"/>
        <v>44989420</v>
      </c>
      <c r="AS71" s="391">
        <f t="shared" si="74"/>
        <v>47245960</v>
      </c>
    </row>
    <row r="72" spans="1:45" ht="15.75">
      <c r="A72" s="226">
        <v>8</v>
      </c>
      <c r="B72" s="226" t="str">
        <f t="shared" si="38"/>
        <v>CEREAL EMPACADO_8</v>
      </c>
      <c r="C72" s="333" t="str">
        <f t="shared" si="39"/>
        <v>3_8</v>
      </c>
      <c r="D72" s="392" t="s">
        <v>1607</v>
      </c>
      <c r="E72" s="226">
        <v>3</v>
      </c>
      <c r="F72" s="325" t="s">
        <v>12</v>
      </c>
      <c r="G72" s="226" t="s">
        <v>9</v>
      </c>
      <c r="H72" s="421">
        <f t="shared" si="40"/>
        <v>19</v>
      </c>
      <c r="I72" s="421">
        <f t="shared" si="41"/>
        <v>0</v>
      </c>
      <c r="J72" s="422">
        <f t="array" ref="J72">MAX((IF(MNU_CODIGO_ALIMENTO_ENTREGA=CONCATENATE($E72,"_","S_"),MNU_GRAMAJE_REQUERIDO_TIPOA,"")))</f>
        <v>50</v>
      </c>
      <c r="K72" s="227">
        <f t="shared" si="42"/>
        <v>1584</v>
      </c>
      <c r="L72" s="227">
        <f t="shared" si="43"/>
        <v>0</v>
      </c>
      <c r="M72" s="227">
        <f t="shared" si="44"/>
        <v>30096</v>
      </c>
      <c r="N72" s="448">
        <f t="shared" si="45"/>
        <v>481</v>
      </c>
      <c r="O72" s="448">
        <f t="shared" si="46"/>
        <v>23.472799999999999</v>
      </c>
      <c r="P72" s="448">
        <f t="shared" si="47"/>
        <v>0.41366769599999997</v>
      </c>
      <c r="Q72" s="448">
        <f t="shared" si="48"/>
        <v>505</v>
      </c>
      <c r="R72" s="228">
        <f t="shared" si="49"/>
        <v>14476176</v>
      </c>
      <c r="S72" s="228">
        <f t="shared" si="50"/>
        <v>15198480</v>
      </c>
      <c r="T72" s="423">
        <f t="shared" si="51"/>
        <v>19</v>
      </c>
      <c r="U72" s="423">
        <f t="shared" si="52"/>
        <v>0</v>
      </c>
      <c r="V72" s="424">
        <f t="array" ref="V72">MAX((IF(MNU_CODIGO_ALIMENTO_ENTREGA=CONCATENATE($E72,"_","S_"),MNU_GRAMAJE_REQUERIDO_TIPOB,"")))</f>
        <v>50</v>
      </c>
      <c r="W72" s="391">
        <f t="shared" si="53"/>
        <v>3132</v>
      </c>
      <c r="X72" s="391">
        <f t="shared" si="54"/>
        <v>0</v>
      </c>
      <c r="Y72" s="391">
        <f t="shared" si="55"/>
        <v>59508</v>
      </c>
      <c r="Z72" s="448">
        <f t="shared" si="56"/>
        <v>481</v>
      </c>
      <c r="AA72" s="448">
        <f t="shared" si="57"/>
        <v>23.472799999999999</v>
      </c>
      <c r="AB72" s="448">
        <f t="shared" si="58"/>
        <v>0.41366769599999997</v>
      </c>
      <c r="AC72" s="448">
        <f t="shared" si="59"/>
        <v>505</v>
      </c>
      <c r="AD72" s="229">
        <f t="shared" si="60"/>
        <v>28623348</v>
      </c>
      <c r="AE72" s="229">
        <f t="shared" si="61"/>
        <v>30051540</v>
      </c>
      <c r="AF72" s="421">
        <f t="shared" si="62"/>
        <v>19</v>
      </c>
      <c r="AG72" s="421">
        <f t="shared" si="63"/>
        <v>0</v>
      </c>
      <c r="AH72" s="422">
        <f t="array" ref="AH72">MAX((IF(MNU_CODIGO_ALIMENTO_ENTREGA=CONCATENATE($E72,"_","S_"),MNU_GRAMAJE_REQUERIDO_TIPOC,"")))</f>
        <v>80</v>
      </c>
      <c r="AI72" s="227">
        <f t="shared" si="64"/>
        <v>3180</v>
      </c>
      <c r="AJ72" s="227">
        <f t="shared" si="65"/>
        <v>0</v>
      </c>
      <c r="AK72" s="227">
        <f t="shared" si="66"/>
        <v>60420</v>
      </c>
      <c r="AL72" s="448">
        <f t="shared" si="67"/>
        <v>727</v>
      </c>
      <c r="AM72" s="448">
        <f t="shared" si="68"/>
        <v>35.477600000000002</v>
      </c>
      <c r="AN72" s="448">
        <f t="shared" si="69"/>
        <v>0.62523163200000009</v>
      </c>
      <c r="AO72" s="448">
        <f t="shared" si="70"/>
        <v>763</v>
      </c>
      <c r="AP72" s="448">
        <f t="shared" si="71"/>
        <v>43925340</v>
      </c>
      <c r="AQ72" s="228">
        <f t="shared" si="72"/>
        <v>46100460</v>
      </c>
      <c r="AR72" s="391">
        <f t="shared" si="73"/>
        <v>87024864</v>
      </c>
      <c r="AS72" s="391">
        <f t="shared" si="74"/>
        <v>91350480</v>
      </c>
    </row>
    <row r="73" spans="1:45" ht="15.75">
      <c r="A73" s="226">
        <v>8</v>
      </c>
      <c r="B73" s="226" t="str">
        <f t="shared" si="38"/>
        <v>CEREAL EMPACADO_8</v>
      </c>
      <c r="C73" s="333" t="str">
        <f t="shared" si="39"/>
        <v>15_8</v>
      </c>
      <c r="D73" s="392" t="s">
        <v>1607</v>
      </c>
      <c r="E73" s="226">
        <v>15</v>
      </c>
      <c r="F73" s="325" t="s">
        <v>66</v>
      </c>
      <c r="G73" s="226" t="s">
        <v>9</v>
      </c>
      <c r="H73" s="421">
        <f t="shared" si="40"/>
        <v>11</v>
      </c>
      <c r="I73" s="421">
        <f t="shared" si="41"/>
        <v>11</v>
      </c>
      <c r="J73" s="422">
        <f t="array" ref="J73">MAX((IF(MNU_CODIGO_ALIMENTO_ENTREGA=CONCATENATE($E73,"_","S_"),MNU_GRAMAJE_REQUERIDO_TIPOA,"")))</f>
        <v>50</v>
      </c>
      <c r="K73" s="227">
        <f t="shared" si="42"/>
        <v>1584</v>
      </c>
      <c r="L73" s="227">
        <f t="shared" si="43"/>
        <v>0</v>
      </c>
      <c r="M73" s="227">
        <f t="shared" si="44"/>
        <v>17424</v>
      </c>
      <c r="N73" s="448">
        <f t="shared" si="45"/>
        <v>641</v>
      </c>
      <c r="O73" s="448">
        <f t="shared" si="46"/>
        <v>31.280800000000003</v>
      </c>
      <c r="P73" s="448">
        <f t="shared" si="47"/>
        <v>0.55127025600000001</v>
      </c>
      <c r="Q73" s="448">
        <f t="shared" si="48"/>
        <v>673</v>
      </c>
      <c r="R73" s="228">
        <f t="shared" si="49"/>
        <v>11168784</v>
      </c>
      <c r="S73" s="228">
        <f t="shared" si="50"/>
        <v>11726352</v>
      </c>
      <c r="T73" s="423">
        <f t="shared" si="51"/>
        <v>11</v>
      </c>
      <c r="U73" s="423">
        <f t="shared" si="52"/>
        <v>11</v>
      </c>
      <c r="V73" s="424">
        <f t="array" ref="V73">MAX((IF(MNU_CODIGO_ALIMENTO_ENTREGA=CONCATENATE($E73,"_","S_"),MNU_GRAMAJE_REQUERIDO_TIPOB,"")))</f>
        <v>50</v>
      </c>
      <c r="W73" s="391">
        <f t="shared" si="53"/>
        <v>3132</v>
      </c>
      <c r="X73" s="391">
        <f t="shared" si="54"/>
        <v>0</v>
      </c>
      <c r="Y73" s="391">
        <f t="shared" si="55"/>
        <v>34452</v>
      </c>
      <c r="Z73" s="448">
        <f t="shared" si="56"/>
        <v>641</v>
      </c>
      <c r="AA73" s="448">
        <f t="shared" si="57"/>
        <v>31.280800000000003</v>
      </c>
      <c r="AB73" s="448">
        <f t="shared" si="58"/>
        <v>0.55127025600000001</v>
      </c>
      <c r="AC73" s="448">
        <f t="shared" si="59"/>
        <v>673</v>
      </c>
      <c r="AD73" s="229">
        <f t="shared" si="60"/>
        <v>22083732</v>
      </c>
      <c r="AE73" s="229">
        <f t="shared" si="61"/>
        <v>23186196</v>
      </c>
      <c r="AF73" s="421">
        <f t="shared" si="62"/>
        <v>11</v>
      </c>
      <c r="AG73" s="421">
        <f t="shared" si="63"/>
        <v>11</v>
      </c>
      <c r="AH73" s="422">
        <f t="array" ref="AH73">MAX((IF(MNU_CODIGO_ALIMENTO_ENTREGA=CONCATENATE($E73,"_","S_"),MNU_GRAMAJE_REQUERIDO_TIPOC,"")))</f>
        <v>80</v>
      </c>
      <c r="AI73" s="227">
        <f t="shared" si="64"/>
        <v>3180</v>
      </c>
      <c r="AJ73" s="227">
        <f t="shared" si="65"/>
        <v>0</v>
      </c>
      <c r="AK73" s="227">
        <f t="shared" si="66"/>
        <v>34980</v>
      </c>
      <c r="AL73" s="448">
        <f t="shared" si="67"/>
        <v>1025</v>
      </c>
      <c r="AM73" s="448">
        <f t="shared" si="68"/>
        <v>50.02</v>
      </c>
      <c r="AN73" s="448">
        <f t="shared" si="69"/>
        <v>0.88151640000000009</v>
      </c>
      <c r="AO73" s="448">
        <f t="shared" si="70"/>
        <v>1076</v>
      </c>
      <c r="AP73" s="448">
        <f t="shared" si="71"/>
        <v>35854500</v>
      </c>
      <c r="AQ73" s="228">
        <f t="shared" si="72"/>
        <v>37638480</v>
      </c>
      <c r="AR73" s="391">
        <f t="shared" si="73"/>
        <v>69107016</v>
      </c>
      <c r="AS73" s="391">
        <f t="shared" si="74"/>
        <v>72551028</v>
      </c>
    </row>
    <row r="74" spans="1:45" ht="27">
      <c r="A74" s="226">
        <v>8</v>
      </c>
      <c r="B74" s="226" t="str">
        <f t="shared" si="38"/>
        <v>CEREAL EMPACADO_8</v>
      </c>
      <c r="C74" s="333" t="str">
        <f t="shared" si="39"/>
        <v>21_8</v>
      </c>
      <c r="D74" s="392" t="s">
        <v>1607</v>
      </c>
      <c r="E74" s="226">
        <v>21</v>
      </c>
      <c r="F74" s="325" t="s">
        <v>70</v>
      </c>
      <c r="G74" s="226" t="s">
        <v>9</v>
      </c>
      <c r="H74" s="421">
        <f t="shared" si="40"/>
        <v>22</v>
      </c>
      <c r="I74" s="421">
        <f t="shared" si="41"/>
        <v>0</v>
      </c>
      <c r="J74" s="422">
        <f t="array" ref="J74">MAX((IF(MNU_CODIGO_ALIMENTO_ENTREGA=CONCATENATE($E74,"_","S_"),MNU_GRAMAJE_REQUERIDO_TIPOA,"")))</f>
        <v>30</v>
      </c>
      <c r="K74" s="227">
        <f t="shared" si="42"/>
        <v>1584</v>
      </c>
      <c r="L74" s="227">
        <f t="shared" si="43"/>
        <v>0</v>
      </c>
      <c r="M74" s="227">
        <f t="shared" si="44"/>
        <v>34848</v>
      </c>
      <c r="N74" s="448">
        <f t="shared" si="45"/>
        <v>458</v>
      </c>
      <c r="O74" s="448">
        <f t="shared" si="46"/>
        <v>22.3504</v>
      </c>
      <c r="P74" s="448">
        <f t="shared" si="47"/>
        <v>0.39388732799999998</v>
      </c>
      <c r="Q74" s="448">
        <f t="shared" si="48"/>
        <v>481</v>
      </c>
      <c r="R74" s="228">
        <f t="shared" si="49"/>
        <v>15960384</v>
      </c>
      <c r="S74" s="228">
        <f t="shared" si="50"/>
        <v>16761888</v>
      </c>
      <c r="T74" s="423">
        <f t="shared" si="51"/>
        <v>22</v>
      </c>
      <c r="U74" s="423">
        <f t="shared" si="52"/>
        <v>0</v>
      </c>
      <c r="V74" s="424">
        <f t="array" ref="V74">MAX((IF(MNU_CODIGO_ALIMENTO_ENTREGA=CONCATENATE($E74,"_","S_"),MNU_GRAMAJE_REQUERIDO_TIPOB,"")))</f>
        <v>30</v>
      </c>
      <c r="W74" s="391">
        <f t="shared" si="53"/>
        <v>3132</v>
      </c>
      <c r="X74" s="391">
        <f t="shared" si="54"/>
        <v>0</v>
      </c>
      <c r="Y74" s="391">
        <f t="shared" si="55"/>
        <v>68904</v>
      </c>
      <c r="Z74" s="448">
        <f t="shared" si="56"/>
        <v>458</v>
      </c>
      <c r="AA74" s="448">
        <f t="shared" si="57"/>
        <v>22.3504</v>
      </c>
      <c r="AB74" s="448">
        <f t="shared" si="58"/>
        <v>0.39388732799999998</v>
      </c>
      <c r="AC74" s="448">
        <f t="shared" si="59"/>
        <v>481</v>
      </c>
      <c r="AD74" s="229">
        <f t="shared" si="60"/>
        <v>31558032</v>
      </c>
      <c r="AE74" s="229">
        <f t="shared" si="61"/>
        <v>33142824</v>
      </c>
      <c r="AF74" s="421">
        <f t="shared" si="62"/>
        <v>22</v>
      </c>
      <c r="AG74" s="421">
        <f t="shared" si="63"/>
        <v>0</v>
      </c>
      <c r="AH74" s="422">
        <f t="array" ref="AH74">MAX((IF(MNU_CODIGO_ALIMENTO_ENTREGA=CONCATENATE($E74,"_","S_"),MNU_GRAMAJE_REQUERIDO_TIPOC,"")))</f>
        <v>50</v>
      </c>
      <c r="AI74" s="227">
        <f t="shared" si="64"/>
        <v>3180</v>
      </c>
      <c r="AJ74" s="227">
        <f t="shared" si="65"/>
        <v>0</v>
      </c>
      <c r="AK74" s="227">
        <f t="shared" si="66"/>
        <v>69960</v>
      </c>
      <c r="AL74" s="448">
        <f t="shared" si="67"/>
        <v>764</v>
      </c>
      <c r="AM74" s="448">
        <f t="shared" si="68"/>
        <v>37.283200000000001</v>
      </c>
      <c r="AN74" s="448">
        <f t="shared" si="69"/>
        <v>0.65705222400000007</v>
      </c>
      <c r="AO74" s="448">
        <f t="shared" si="70"/>
        <v>802</v>
      </c>
      <c r="AP74" s="448">
        <f t="shared" si="71"/>
        <v>53449440</v>
      </c>
      <c r="AQ74" s="228">
        <f t="shared" si="72"/>
        <v>56107920</v>
      </c>
      <c r="AR74" s="391">
        <f t="shared" si="73"/>
        <v>100967856</v>
      </c>
      <c r="AS74" s="391">
        <f t="shared" si="74"/>
        <v>106012632</v>
      </c>
    </row>
    <row r="75" spans="1:45" ht="15.75">
      <c r="A75" s="226">
        <v>8</v>
      </c>
      <c r="B75" s="226" t="str">
        <f t="shared" si="38"/>
        <v>CEREAL EMPACADO_8</v>
      </c>
      <c r="C75" s="333" t="str">
        <f t="shared" si="39"/>
        <v>24_8</v>
      </c>
      <c r="D75" s="392" t="s">
        <v>1607</v>
      </c>
      <c r="E75" s="226">
        <v>24</v>
      </c>
      <c r="F75" s="325" t="s">
        <v>61</v>
      </c>
      <c r="G75" s="226" t="s">
        <v>9</v>
      </c>
      <c r="H75" s="421">
        <f t="shared" si="40"/>
        <v>11</v>
      </c>
      <c r="I75" s="421">
        <f t="shared" si="41"/>
        <v>11</v>
      </c>
      <c r="J75" s="422">
        <f t="array" ref="J75">MAX((IF(MNU_CODIGO_ALIMENTO_ENTREGA=CONCATENATE($E75,"_","S_"),MNU_GRAMAJE_REQUERIDO_TIPOA,"")))</f>
        <v>20</v>
      </c>
      <c r="K75" s="227">
        <f t="shared" si="42"/>
        <v>1584</v>
      </c>
      <c r="L75" s="227">
        <f t="shared" si="43"/>
        <v>0</v>
      </c>
      <c r="M75" s="227">
        <f t="shared" si="44"/>
        <v>17424</v>
      </c>
      <c r="N75" s="448">
        <f t="shared" si="45"/>
        <v>122</v>
      </c>
      <c r="O75" s="448">
        <f t="shared" si="46"/>
        <v>5.9535999999999998</v>
      </c>
      <c r="P75" s="448">
        <f t="shared" si="47"/>
        <v>0.104921952</v>
      </c>
      <c r="Q75" s="448">
        <f t="shared" si="48"/>
        <v>128</v>
      </c>
      <c r="R75" s="228">
        <f t="shared" si="49"/>
        <v>2125728</v>
      </c>
      <c r="S75" s="228">
        <f t="shared" si="50"/>
        <v>2230272</v>
      </c>
      <c r="T75" s="423">
        <f t="shared" si="51"/>
        <v>11</v>
      </c>
      <c r="U75" s="423">
        <f t="shared" si="52"/>
        <v>11</v>
      </c>
      <c r="V75" s="424">
        <f t="array" ref="V75">MAX((IF(MNU_CODIGO_ALIMENTO_ENTREGA=CONCATENATE($E75,"_","S_"),MNU_GRAMAJE_REQUERIDO_TIPOB,"")))</f>
        <v>30</v>
      </c>
      <c r="W75" s="391">
        <f t="shared" si="53"/>
        <v>3132</v>
      </c>
      <c r="X75" s="391">
        <f t="shared" si="54"/>
        <v>0</v>
      </c>
      <c r="Y75" s="391">
        <f t="shared" si="55"/>
        <v>34452</v>
      </c>
      <c r="Z75" s="448">
        <f t="shared" si="56"/>
        <v>191</v>
      </c>
      <c r="AA75" s="448">
        <f t="shared" si="57"/>
        <v>9.3208000000000002</v>
      </c>
      <c r="AB75" s="448">
        <f t="shared" si="58"/>
        <v>0.16426305600000002</v>
      </c>
      <c r="AC75" s="448">
        <f t="shared" si="59"/>
        <v>200</v>
      </c>
      <c r="AD75" s="229">
        <f t="shared" si="60"/>
        <v>6580332</v>
      </c>
      <c r="AE75" s="229">
        <f t="shared" si="61"/>
        <v>6890400</v>
      </c>
      <c r="AF75" s="421">
        <f t="shared" si="62"/>
        <v>11</v>
      </c>
      <c r="AG75" s="421">
        <f t="shared" si="63"/>
        <v>11</v>
      </c>
      <c r="AH75" s="422">
        <f t="array" ref="AH75">MAX((IF(MNU_CODIGO_ALIMENTO_ENTREGA=CONCATENATE($E75,"_","S_"),MNU_GRAMAJE_REQUERIDO_TIPOC,"")))</f>
        <v>60</v>
      </c>
      <c r="AI75" s="227">
        <f t="shared" si="64"/>
        <v>3180</v>
      </c>
      <c r="AJ75" s="227">
        <f t="shared" si="65"/>
        <v>0</v>
      </c>
      <c r="AK75" s="227">
        <f t="shared" si="66"/>
        <v>34980</v>
      </c>
      <c r="AL75" s="448">
        <f t="shared" si="67"/>
        <v>367</v>
      </c>
      <c r="AM75" s="448">
        <f t="shared" si="68"/>
        <v>17.909599999999998</v>
      </c>
      <c r="AN75" s="448">
        <f t="shared" si="69"/>
        <v>0.31562587200000003</v>
      </c>
      <c r="AO75" s="448">
        <f t="shared" si="70"/>
        <v>385</v>
      </c>
      <c r="AP75" s="448">
        <f t="shared" si="71"/>
        <v>12837660</v>
      </c>
      <c r="AQ75" s="228">
        <f t="shared" si="72"/>
        <v>13467300</v>
      </c>
      <c r="AR75" s="391">
        <f t="shared" si="73"/>
        <v>21543720</v>
      </c>
      <c r="AS75" s="391">
        <f t="shared" si="74"/>
        <v>22587972</v>
      </c>
    </row>
    <row r="76" spans="1:45" ht="15.75">
      <c r="A76" s="226">
        <v>8</v>
      </c>
      <c r="B76" s="226" t="str">
        <f t="shared" si="38"/>
        <v>CEREAL EMPACADO_8</v>
      </c>
      <c r="C76" s="333" t="str">
        <f t="shared" si="39"/>
        <v>25_8</v>
      </c>
      <c r="D76" s="392" t="s">
        <v>1607</v>
      </c>
      <c r="E76" s="226">
        <v>25</v>
      </c>
      <c r="F76" s="325" t="s">
        <v>64</v>
      </c>
      <c r="G76" s="226" t="s">
        <v>9</v>
      </c>
      <c r="H76" s="421">
        <f t="shared" si="40"/>
        <v>22</v>
      </c>
      <c r="I76" s="421">
        <f t="shared" si="41"/>
        <v>0</v>
      </c>
      <c r="J76" s="422">
        <f t="array" ref="J76">MAX((IF(MNU_CODIGO_ALIMENTO_ENTREGA=CONCATENATE($E76,"_","S_"),MNU_GRAMAJE_REQUERIDO_TIPOA,"")))</f>
        <v>40</v>
      </c>
      <c r="K76" s="227">
        <f t="shared" si="42"/>
        <v>1584</v>
      </c>
      <c r="L76" s="227">
        <f t="shared" si="43"/>
        <v>0</v>
      </c>
      <c r="M76" s="227">
        <f t="shared" si="44"/>
        <v>34848</v>
      </c>
      <c r="N76" s="448">
        <f t="shared" si="45"/>
        <v>244</v>
      </c>
      <c r="O76" s="448">
        <f t="shared" si="46"/>
        <v>11.9072</v>
      </c>
      <c r="P76" s="448">
        <f t="shared" si="47"/>
        <v>0.209843904</v>
      </c>
      <c r="Q76" s="448">
        <f t="shared" si="48"/>
        <v>256</v>
      </c>
      <c r="R76" s="228">
        <f t="shared" si="49"/>
        <v>8502912</v>
      </c>
      <c r="S76" s="228">
        <f t="shared" si="50"/>
        <v>8921088</v>
      </c>
      <c r="T76" s="423">
        <f t="shared" si="51"/>
        <v>22</v>
      </c>
      <c r="U76" s="423">
        <f t="shared" si="52"/>
        <v>0</v>
      </c>
      <c r="V76" s="424">
        <f t="array" ref="V76">MAX((IF(MNU_CODIGO_ALIMENTO_ENTREGA=CONCATENATE($E76,"_","S_"),MNU_GRAMAJE_REQUERIDO_TIPOB,"")))</f>
        <v>40</v>
      </c>
      <c r="W76" s="391">
        <f t="shared" si="53"/>
        <v>3132</v>
      </c>
      <c r="X76" s="391">
        <f t="shared" si="54"/>
        <v>0</v>
      </c>
      <c r="Y76" s="391">
        <f t="shared" si="55"/>
        <v>68904</v>
      </c>
      <c r="Z76" s="448">
        <f t="shared" si="56"/>
        <v>244</v>
      </c>
      <c r="AA76" s="448">
        <f t="shared" si="57"/>
        <v>11.9072</v>
      </c>
      <c r="AB76" s="448">
        <f t="shared" si="58"/>
        <v>0.209843904</v>
      </c>
      <c r="AC76" s="448">
        <f t="shared" si="59"/>
        <v>256</v>
      </c>
      <c r="AD76" s="229">
        <f t="shared" si="60"/>
        <v>16812576</v>
      </c>
      <c r="AE76" s="229">
        <f t="shared" si="61"/>
        <v>17639424</v>
      </c>
      <c r="AF76" s="421">
        <f t="shared" si="62"/>
        <v>22</v>
      </c>
      <c r="AG76" s="421">
        <f t="shared" si="63"/>
        <v>0</v>
      </c>
      <c r="AH76" s="422">
        <f t="array" ref="AH76">MAX((IF(MNU_CODIGO_ALIMENTO_ENTREGA=CONCATENATE($E76,"_","S_"),MNU_GRAMAJE_REQUERIDO_TIPOC,"")))</f>
        <v>60</v>
      </c>
      <c r="AI76" s="227">
        <f t="shared" si="64"/>
        <v>3180</v>
      </c>
      <c r="AJ76" s="227">
        <f t="shared" si="65"/>
        <v>0</v>
      </c>
      <c r="AK76" s="227">
        <f t="shared" si="66"/>
        <v>69960</v>
      </c>
      <c r="AL76" s="448">
        <f t="shared" si="67"/>
        <v>366</v>
      </c>
      <c r="AM76" s="448">
        <f t="shared" si="68"/>
        <v>17.860800000000001</v>
      </c>
      <c r="AN76" s="448">
        <f t="shared" si="69"/>
        <v>0.31476585600000001</v>
      </c>
      <c r="AO76" s="448">
        <f t="shared" si="70"/>
        <v>384</v>
      </c>
      <c r="AP76" s="448">
        <f t="shared" si="71"/>
        <v>25605360</v>
      </c>
      <c r="AQ76" s="228">
        <f t="shared" si="72"/>
        <v>26864640</v>
      </c>
      <c r="AR76" s="391">
        <f t="shared" si="73"/>
        <v>50920848</v>
      </c>
      <c r="AS76" s="391">
        <f t="shared" si="74"/>
        <v>53425152</v>
      </c>
    </row>
    <row r="77" spans="1:45" ht="27">
      <c r="A77" s="226">
        <v>8</v>
      </c>
      <c r="B77" s="226" t="str">
        <f t="shared" si="38"/>
        <v>CEREAL EMPACADO_8</v>
      </c>
      <c r="C77" s="333" t="str">
        <f t="shared" si="39"/>
        <v>28_8</v>
      </c>
      <c r="D77" s="392" t="s">
        <v>1607</v>
      </c>
      <c r="E77" s="226">
        <v>28</v>
      </c>
      <c r="F77" s="325" t="s">
        <v>67</v>
      </c>
      <c r="G77" s="226" t="s">
        <v>9</v>
      </c>
      <c r="H77" s="421">
        <f t="shared" si="40"/>
        <v>19</v>
      </c>
      <c r="I77" s="421">
        <f t="shared" si="41"/>
        <v>0</v>
      </c>
      <c r="J77" s="422">
        <f t="array" ref="J77">MAX((IF(MNU_CODIGO_ALIMENTO_ENTREGA=CONCATENATE($E77,"_","S_"),MNU_GRAMAJE_REQUERIDO_TIPOA,"")))</f>
        <v>30</v>
      </c>
      <c r="K77" s="227">
        <f t="shared" si="42"/>
        <v>1584</v>
      </c>
      <c r="L77" s="227">
        <f t="shared" si="43"/>
        <v>0</v>
      </c>
      <c r="M77" s="227">
        <f t="shared" si="44"/>
        <v>30096</v>
      </c>
      <c r="N77" s="448">
        <f t="shared" si="45"/>
        <v>215</v>
      </c>
      <c r="O77" s="448">
        <f t="shared" si="46"/>
        <v>10.492000000000001</v>
      </c>
      <c r="P77" s="448">
        <f t="shared" si="47"/>
        <v>0.18490343999999997</v>
      </c>
      <c r="Q77" s="448">
        <f t="shared" si="48"/>
        <v>226</v>
      </c>
      <c r="R77" s="228">
        <f t="shared" si="49"/>
        <v>6470640</v>
      </c>
      <c r="S77" s="228">
        <f t="shared" si="50"/>
        <v>6801696</v>
      </c>
      <c r="T77" s="423">
        <f t="shared" si="51"/>
        <v>19</v>
      </c>
      <c r="U77" s="423">
        <f t="shared" si="52"/>
        <v>0</v>
      </c>
      <c r="V77" s="424">
        <f t="array" ref="V77">MAX((IF(MNU_CODIGO_ALIMENTO_ENTREGA=CONCATENATE($E77,"_","S_"),MNU_GRAMAJE_REQUERIDO_TIPOB,"")))</f>
        <v>40</v>
      </c>
      <c r="W77" s="391">
        <f t="shared" si="53"/>
        <v>3132</v>
      </c>
      <c r="X77" s="391">
        <f t="shared" si="54"/>
        <v>0</v>
      </c>
      <c r="Y77" s="391">
        <f t="shared" si="55"/>
        <v>59508</v>
      </c>
      <c r="Z77" s="448">
        <f t="shared" si="56"/>
        <v>287</v>
      </c>
      <c r="AA77" s="448">
        <f t="shared" si="57"/>
        <v>14.005600000000001</v>
      </c>
      <c r="AB77" s="448">
        <f t="shared" si="58"/>
        <v>0.24682459200000004</v>
      </c>
      <c r="AC77" s="448">
        <f t="shared" si="59"/>
        <v>301</v>
      </c>
      <c r="AD77" s="229">
        <f t="shared" si="60"/>
        <v>17078796</v>
      </c>
      <c r="AE77" s="229">
        <f t="shared" si="61"/>
        <v>17911908</v>
      </c>
      <c r="AF77" s="421">
        <f t="shared" si="62"/>
        <v>19</v>
      </c>
      <c r="AG77" s="421">
        <f t="shared" si="63"/>
        <v>0</v>
      </c>
      <c r="AH77" s="422">
        <f t="array" ref="AH77">MAX((IF(MNU_CODIGO_ALIMENTO_ENTREGA=CONCATENATE($E77,"_","S_"),MNU_GRAMAJE_REQUERIDO_TIPOC,"")))</f>
        <v>60</v>
      </c>
      <c r="AI77" s="227">
        <f t="shared" si="64"/>
        <v>3180</v>
      </c>
      <c r="AJ77" s="227">
        <f t="shared" si="65"/>
        <v>0</v>
      </c>
      <c r="AK77" s="227">
        <f t="shared" si="66"/>
        <v>60420</v>
      </c>
      <c r="AL77" s="448">
        <f t="shared" si="67"/>
        <v>430</v>
      </c>
      <c r="AM77" s="448">
        <f t="shared" si="68"/>
        <v>20.984000000000002</v>
      </c>
      <c r="AN77" s="448">
        <f t="shared" si="69"/>
        <v>0.36980687999999995</v>
      </c>
      <c r="AO77" s="448">
        <f t="shared" si="70"/>
        <v>451</v>
      </c>
      <c r="AP77" s="448">
        <f t="shared" si="71"/>
        <v>25980600</v>
      </c>
      <c r="AQ77" s="228">
        <f t="shared" si="72"/>
        <v>27249420</v>
      </c>
      <c r="AR77" s="391">
        <f t="shared" si="73"/>
        <v>49530036</v>
      </c>
      <c r="AS77" s="391">
        <f t="shared" si="74"/>
        <v>51963024</v>
      </c>
    </row>
    <row r="78" spans="1:45" ht="15.75">
      <c r="A78" s="226">
        <v>8</v>
      </c>
      <c r="B78" s="226" t="str">
        <f t="shared" si="38"/>
        <v>CEREAL EMPACADO_8</v>
      </c>
      <c r="C78" s="333" t="str">
        <f t="shared" si="39"/>
        <v>45_8</v>
      </c>
      <c r="D78" s="392" t="s">
        <v>1607</v>
      </c>
      <c r="E78" s="226">
        <v>45</v>
      </c>
      <c r="F78" s="325" t="s">
        <v>10</v>
      </c>
      <c r="G78" s="226" t="s">
        <v>9</v>
      </c>
      <c r="H78" s="421">
        <f t="shared" si="40"/>
        <v>20</v>
      </c>
      <c r="I78" s="421">
        <f t="shared" si="41"/>
        <v>0</v>
      </c>
      <c r="J78" s="422">
        <f t="array" ref="J78">MAX((IF(MNU_CODIGO_ALIMENTO_ENTREGA=CONCATENATE($E78,"_","S_"),MNU_GRAMAJE_REQUERIDO_TIPOA,"")))</f>
        <v>20</v>
      </c>
      <c r="K78" s="227">
        <f t="shared" si="42"/>
        <v>1584</v>
      </c>
      <c r="L78" s="227">
        <f t="shared" si="43"/>
        <v>0</v>
      </c>
      <c r="M78" s="227">
        <f t="shared" si="44"/>
        <v>31680</v>
      </c>
      <c r="N78" s="448">
        <f t="shared" si="45"/>
        <v>190</v>
      </c>
      <c r="O78" s="448">
        <f t="shared" si="46"/>
        <v>9.2720000000000002</v>
      </c>
      <c r="P78" s="448">
        <f t="shared" si="47"/>
        <v>0.16340304</v>
      </c>
      <c r="Q78" s="448">
        <f t="shared" si="48"/>
        <v>199</v>
      </c>
      <c r="R78" s="228">
        <f t="shared" si="49"/>
        <v>6019200</v>
      </c>
      <c r="S78" s="228">
        <f t="shared" si="50"/>
        <v>6304320</v>
      </c>
      <c r="T78" s="423">
        <f t="shared" si="51"/>
        <v>20</v>
      </c>
      <c r="U78" s="423">
        <f t="shared" si="52"/>
        <v>0</v>
      </c>
      <c r="V78" s="424">
        <f t="array" ref="V78">MAX((IF(MNU_CODIGO_ALIMENTO_ENTREGA=CONCATENATE($E78,"_","S_"),MNU_GRAMAJE_REQUERIDO_TIPOB,"")))</f>
        <v>30</v>
      </c>
      <c r="W78" s="391">
        <f t="shared" si="53"/>
        <v>3132</v>
      </c>
      <c r="X78" s="391">
        <f t="shared" si="54"/>
        <v>0</v>
      </c>
      <c r="Y78" s="391">
        <f t="shared" si="55"/>
        <v>62640</v>
      </c>
      <c r="Z78" s="448">
        <f t="shared" si="56"/>
        <v>284</v>
      </c>
      <c r="AA78" s="448">
        <f t="shared" si="57"/>
        <v>13.8592</v>
      </c>
      <c r="AB78" s="448">
        <f t="shared" si="58"/>
        <v>0.24424454399999998</v>
      </c>
      <c r="AC78" s="448">
        <f t="shared" si="59"/>
        <v>298</v>
      </c>
      <c r="AD78" s="229">
        <f t="shared" si="60"/>
        <v>17789760</v>
      </c>
      <c r="AE78" s="229">
        <f t="shared" si="61"/>
        <v>18666720</v>
      </c>
      <c r="AF78" s="421">
        <f t="shared" si="62"/>
        <v>20</v>
      </c>
      <c r="AG78" s="421">
        <f t="shared" si="63"/>
        <v>0</v>
      </c>
      <c r="AH78" s="422">
        <f t="array" ref="AH78">MAX((IF(MNU_CODIGO_ALIMENTO_ENTREGA=CONCATENATE($E78,"_","S_"),MNU_GRAMAJE_REQUERIDO_TIPOC,"")))</f>
        <v>60</v>
      </c>
      <c r="AI78" s="227">
        <f t="shared" si="64"/>
        <v>3180</v>
      </c>
      <c r="AJ78" s="227">
        <f t="shared" si="65"/>
        <v>0</v>
      </c>
      <c r="AK78" s="227">
        <f t="shared" si="66"/>
        <v>63600</v>
      </c>
      <c r="AL78" s="448">
        <f t="shared" si="67"/>
        <v>569</v>
      </c>
      <c r="AM78" s="448">
        <f t="shared" si="68"/>
        <v>27.767199999999999</v>
      </c>
      <c r="AN78" s="448">
        <f t="shared" si="69"/>
        <v>0.48934910400000003</v>
      </c>
      <c r="AO78" s="448">
        <f t="shared" si="70"/>
        <v>597</v>
      </c>
      <c r="AP78" s="448">
        <f t="shared" si="71"/>
        <v>36188400</v>
      </c>
      <c r="AQ78" s="228">
        <f t="shared" si="72"/>
        <v>37969200</v>
      </c>
      <c r="AR78" s="391">
        <f t="shared" si="73"/>
        <v>59997360</v>
      </c>
      <c r="AS78" s="391">
        <f t="shared" si="74"/>
        <v>62940240</v>
      </c>
    </row>
    <row r="79" spans="1:45" ht="15.75">
      <c r="A79" s="226">
        <v>8</v>
      </c>
      <c r="B79" s="226" t="str">
        <f t="shared" si="38"/>
        <v>CEREAL EMPACADO_8</v>
      </c>
      <c r="C79" s="333" t="str">
        <f t="shared" si="39"/>
        <v>61_8</v>
      </c>
      <c r="D79" s="392" t="s">
        <v>1607</v>
      </c>
      <c r="E79" s="256">
        <v>61</v>
      </c>
      <c r="F79" s="322" t="s">
        <v>13</v>
      </c>
      <c r="G79" s="226" t="s">
        <v>9</v>
      </c>
      <c r="H79" s="421">
        <f t="shared" si="40"/>
        <v>20</v>
      </c>
      <c r="I79" s="421">
        <f t="shared" si="41"/>
        <v>0</v>
      </c>
      <c r="J79" s="422">
        <f t="array" ref="J79">MAX((IF(MNU_CODIGO_ALIMENTO_ENTREGA=CONCATENATE($E79,"_","S_"),MNU_GRAMAJE_REQUERIDO_TIPOA,"")))</f>
        <v>20</v>
      </c>
      <c r="K79" s="227">
        <f t="shared" si="42"/>
        <v>1584</v>
      </c>
      <c r="L79" s="227">
        <f t="shared" si="43"/>
        <v>0</v>
      </c>
      <c r="M79" s="227">
        <f t="shared" si="44"/>
        <v>31680</v>
      </c>
      <c r="N79" s="448">
        <f t="shared" si="45"/>
        <v>222</v>
      </c>
      <c r="O79" s="448">
        <f t="shared" si="46"/>
        <v>10.833600000000001</v>
      </c>
      <c r="P79" s="448">
        <f t="shared" si="47"/>
        <v>0.190923552</v>
      </c>
      <c r="Q79" s="448">
        <f t="shared" si="48"/>
        <v>233</v>
      </c>
      <c r="R79" s="228">
        <f t="shared" si="49"/>
        <v>7032960</v>
      </c>
      <c r="S79" s="228">
        <f t="shared" si="50"/>
        <v>7381440</v>
      </c>
      <c r="T79" s="423">
        <f t="shared" si="51"/>
        <v>20</v>
      </c>
      <c r="U79" s="423">
        <f t="shared" si="52"/>
        <v>0</v>
      </c>
      <c r="V79" s="424">
        <f t="array" ref="V79">MAX((IF(MNU_CODIGO_ALIMENTO_ENTREGA=CONCATENATE($E79,"_","S_"),MNU_GRAMAJE_REQUERIDO_TIPOB,"")))</f>
        <v>30</v>
      </c>
      <c r="W79" s="391">
        <f t="shared" si="53"/>
        <v>3132</v>
      </c>
      <c r="X79" s="391">
        <f t="shared" si="54"/>
        <v>0</v>
      </c>
      <c r="Y79" s="391">
        <f t="shared" si="55"/>
        <v>62640</v>
      </c>
      <c r="Z79" s="448">
        <f t="shared" si="56"/>
        <v>334</v>
      </c>
      <c r="AA79" s="448">
        <f t="shared" si="57"/>
        <v>16.299199999999999</v>
      </c>
      <c r="AB79" s="448">
        <f t="shared" si="58"/>
        <v>0.28724534400000001</v>
      </c>
      <c r="AC79" s="448">
        <f t="shared" si="59"/>
        <v>351</v>
      </c>
      <c r="AD79" s="229">
        <f t="shared" si="60"/>
        <v>20921760</v>
      </c>
      <c r="AE79" s="229">
        <f t="shared" si="61"/>
        <v>21986640</v>
      </c>
      <c r="AF79" s="421">
        <f t="shared" si="62"/>
        <v>20</v>
      </c>
      <c r="AG79" s="421">
        <f t="shared" si="63"/>
        <v>0</v>
      </c>
      <c r="AH79" s="422">
        <f t="array" ref="AH79">MAX((IF(MNU_CODIGO_ALIMENTO_ENTREGA=CONCATENATE($E79,"_","S_"),MNU_GRAMAJE_REQUERIDO_TIPOC,"")))</f>
        <v>70</v>
      </c>
      <c r="AI79" s="227">
        <f t="shared" si="64"/>
        <v>3180</v>
      </c>
      <c r="AJ79" s="227">
        <f t="shared" si="65"/>
        <v>0</v>
      </c>
      <c r="AK79" s="227">
        <f t="shared" si="66"/>
        <v>63600</v>
      </c>
      <c r="AL79" s="448">
        <f t="shared" si="67"/>
        <v>779</v>
      </c>
      <c r="AM79" s="448">
        <f t="shared" si="68"/>
        <v>38.0152</v>
      </c>
      <c r="AN79" s="448">
        <f t="shared" si="69"/>
        <v>0.66995246400000008</v>
      </c>
      <c r="AO79" s="448">
        <f t="shared" si="70"/>
        <v>818</v>
      </c>
      <c r="AP79" s="448">
        <f t="shared" si="71"/>
        <v>49544400</v>
      </c>
      <c r="AQ79" s="228">
        <f t="shared" si="72"/>
        <v>52024800</v>
      </c>
      <c r="AR79" s="391">
        <f t="shared" si="73"/>
        <v>77499120</v>
      </c>
      <c r="AS79" s="391">
        <f t="shared" si="74"/>
        <v>81392880</v>
      </c>
    </row>
    <row r="80" spans="1:45" ht="15.75">
      <c r="A80" s="226">
        <v>9</v>
      </c>
      <c r="B80" s="226" t="str">
        <f t="shared" si="38"/>
        <v>CEREAL EMPACADO_9</v>
      </c>
      <c r="C80" s="333" t="str">
        <f t="shared" si="39"/>
        <v>3_9</v>
      </c>
      <c r="D80" s="392" t="s">
        <v>1607</v>
      </c>
      <c r="E80" s="226">
        <v>3</v>
      </c>
      <c r="F80" s="325" t="s">
        <v>12</v>
      </c>
      <c r="G80" s="226" t="s">
        <v>9</v>
      </c>
      <c r="H80" s="421">
        <f t="shared" si="40"/>
        <v>19</v>
      </c>
      <c r="I80" s="421">
        <f t="shared" si="41"/>
        <v>0</v>
      </c>
      <c r="J80" s="422">
        <f t="array" ref="J80">MAX((IF(MNU_CODIGO_ALIMENTO_ENTREGA=CONCATENATE($E80,"_","S_"),MNU_GRAMAJE_REQUERIDO_TIPOA,"")))</f>
        <v>50</v>
      </c>
      <c r="K80" s="227">
        <f t="shared" si="42"/>
        <v>783</v>
      </c>
      <c r="L80" s="227">
        <f t="shared" si="43"/>
        <v>0</v>
      </c>
      <c r="M80" s="227">
        <f t="shared" si="44"/>
        <v>14877</v>
      </c>
      <c r="N80" s="448">
        <f t="shared" si="45"/>
        <v>481</v>
      </c>
      <c r="O80" s="448">
        <f t="shared" si="46"/>
        <v>23.472799999999999</v>
      </c>
      <c r="P80" s="448">
        <f t="shared" si="47"/>
        <v>0.41366769599999997</v>
      </c>
      <c r="Q80" s="448">
        <f t="shared" si="48"/>
        <v>505</v>
      </c>
      <c r="R80" s="228">
        <f t="shared" si="49"/>
        <v>7155837</v>
      </c>
      <c r="S80" s="228">
        <f t="shared" si="50"/>
        <v>7512885</v>
      </c>
      <c r="T80" s="423">
        <f t="shared" si="51"/>
        <v>19</v>
      </c>
      <c r="U80" s="423">
        <f t="shared" si="52"/>
        <v>0</v>
      </c>
      <c r="V80" s="424">
        <f t="array" ref="V80">MAX((IF(MNU_CODIGO_ALIMENTO_ENTREGA=CONCATENATE($E80,"_","S_"),MNU_GRAMAJE_REQUERIDO_TIPOB,"")))</f>
        <v>50</v>
      </c>
      <c r="W80" s="391">
        <f t="shared" si="53"/>
        <v>1685</v>
      </c>
      <c r="X80" s="391">
        <f t="shared" si="54"/>
        <v>0</v>
      </c>
      <c r="Y80" s="391">
        <f t="shared" si="55"/>
        <v>32015</v>
      </c>
      <c r="Z80" s="448">
        <f t="shared" si="56"/>
        <v>481</v>
      </c>
      <c r="AA80" s="448">
        <f t="shared" si="57"/>
        <v>23.472799999999999</v>
      </c>
      <c r="AB80" s="448">
        <f t="shared" si="58"/>
        <v>0.41366769599999997</v>
      </c>
      <c r="AC80" s="448">
        <f t="shared" si="59"/>
        <v>505</v>
      </c>
      <c r="AD80" s="229">
        <f t="shared" si="60"/>
        <v>15399215</v>
      </c>
      <c r="AE80" s="229">
        <f t="shared" si="61"/>
        <v>16167575</v>
      </c>
      <c r="AF80" s="421">
        <f t="shared" si="62"/>
        <v>19</v>
      </c>
      <c r="AG80" s="421">
        <f t="shared" si="63"/>
        <v>0</v>
      </c>
      <c r="AH80" s="422">
        <f t="array" ref="AH80">MAX((IF(MNU_CODIGO_ALIMENTO_ENTREGA=CONCATENATE($E80,"_","S_"),MNU_GRAMAJE_REQUERIDO_TIPOC,"")))</f>
        <v>80</v>
      </c>
      <c r="AI80" s="227">
        <f t="shared" si="64"/>
        <v>2966</v>
      </c>
      <c r="AJ80" s="227">
        <f t="shared" si="65"/>
        <v>36</v>
      </c>
      <c r="AK80" s="227">
        <f t="shared" si="66"/>
        <v>56354</v>
      </c>
      <c r="AL80" s="448">
        <f t="shared" si="67"/>
        <v>727</v>
      </c>
      <c r="AM80" s="448">
        <f t="shared" si="68"/>
        <v>35.477600000000002</v>
      </c>
      <c r="AN80" s="448">
        <f t="shared" si="69"/>
        <v>0.62523163200000009</v>
      </c>
      <c r="AO80" s="448">
        <f t="shared" si="70"/>
        <v>763</v>
      </c>
      <c r="AP80" s="448">
        <f t="shared" si="71"/>
        <v>40969358</v>
      </c>
      <c r="AQ80" s="228">
        <f t="shared" si="72"/>
        <v>42998102</v>
      </c>
      <c r="AR80" s="391">
        <f t="shared" si="73"/>
        <v>63524410</v>
      </c>
      <c r="AS80" s="391">
        <f t="shared" si="74"/>
        <v>66678562</v>
      </c>
    </row>
    <row r="81" spans="1:45" ht="15.75">
      <c r="A81" s="226">
        <v>9</v>
      </c>
      <c r="B81" s="226" t="str">
        <f t="shared" si="38"/>
        <v>CEREAL EMPACADO_9</v>
      </c>
      <c r="C81" s="333" t="str">
        <f t="shared" si="39"/>
        <v>15_9</v>
      </c>
      <c r="D81" s="392" t="s">
        <v>1607</v>
      </c>
      <c r="E81" s="226">
        <v>15</v>
      </c>
      <c r="F81" s="325" t="s">
        <v>66</v>
      </c>
      <c r="G81" s="226" t="s">
        <v>9</v>
      </c>
      <c r="H81" s="421">
        <f t="shared" si="40"/>
        <v>11</v>
      </c>
      <c r="I81" s="421">
        <f t="shared" si="41"/>
        <v>11</v>
      </c>
      <c r="J81" s="422">
        <f t="array" ref="J81">MAX((IF(MNU_CODIGO_ALIMENTO_ENTREGA=CONCATENATE($E81,"_","S_"),MNU_GRAMAJE_REQUERIDO_TIPOA,"")))</f>
        <v>50</v>
      </c>
      <c r="K81" s="227">
        <f t="shared" si="42"/>
        <v>783</v>
      </c>
      <c r="L81" s="227">
        <f t="shared" si="43"/>
        <v>0</v>
      </c>
      <c r="M81" s="227">
        <f t="shared" si="44"/>
        <v>8613</v>
      </c>
      <c r="N81" s="448">
        <f t="shared" si="45"/>
        <v>641</v>
      </c>
      <c r="O81" s="448">
        <f t="shared" si="46"/>
        <v>31.280800000000003</v>
      </c>
      <c r="P81" s="448">
        <f t="shared" si="47"/>
        <v>0.55127025600000001</v>
      </c>
      <c r="Q81" s="448">
        <f t="shared" si="48"/>
        <v>673</v>
      </c>
      <c r="R81" s="228">
        <f t="shared" si="49"/>
        <v>5520933</v>
      </c>
      <c r="S81" s="228">
        <f t="shared" si="50"/>
        <v>5796549</v>
      </c>
      <c r="T81" s="423">
        <f t="shared" si="51"/>
        <v>11</v>
      </c>
      <c r="U81" s="423">
        <f t="shared" si="52"/>
        <v>11</v>
      </c>
      <c r="V81" s="424">
        <f t="array" ref="V81">MAX((IF(MNU_CODIGO_ALIMENTO_ENTREGA=CONCATENATE($E81,"_","S_"),MNU_GRAMAJE_REQUERIDO_TIPOB,"")))</f>
        <v>50</v>
      </c>
      <c r="W81" s="391">
        <f t="shared" si="53"/>
        <v>1685</v>
      </c>
      <c r="X81" s="391">
        <f t="shared" si="54"/>
        <v>0</v>
      </c>
      <c r="Y81" s="391">
        <f t="shared" si="55"/>
        <v>18535</v>
      </c>
      <c r="Z81" s="448">
        <f t="shared" si="56"/>
        <v>641</v>
      </c>
      <c r="AA81" s="448">
        <f t="shared" si="57"/>
        <v>31.280800000000003</v>
      </c>
      <c r="AB81" s="448">
        <f t="shared" si="58"/>
        <v>0.55127025600000001</v>
      </c>
      <c r="AC81" s="448">
        <f t="shared" si="59"/>
        <v>673</v>
      </c>
      <c r="AD81" s="229">
        <f t="shared" si="60"/>
        <v>11880935</v>
      </c>
      <c r="AE81" s="229">
        <f t="shared" si="61"/>
        <v>12474055</v>
      </c>
      <c r="AF81" s="421">
        <f t="shared" si="62"/>
        <v>11</v>
      </c>
      <c r="AG81" s="421">
        <f t="shared" si="63"/>
        <v>11</v>
      </c>
      <c r="AH81" s="422">
        <f t="array" ref="AH81">MAX((IF(MNU_CODIGO_ALIMENTO_ENTREGA=CONCATENATE($E81,"_","S_"),MNU_GRAMAJE_REQUERIDO_TIPOC,"")))</f>
        <v>80</v>
      </c>
      <c r="AI81" s="227">
        <f t="shared" si="64"/>
        <v>2966</v>
      </c>
      <c r="AJ81" s="227">
        <f t="shared" si="65"/>
        <v>36</v>
      </c>
      <c r="AK81" s="227">
        <f t="shared" si="66"/>
        <v>33022</v>
      </c>
      <c r="AL81" s="448">
        <f t="shared" si="67"/>
        <v>1025</v>
      </c>
      <c r="AM81" s="448">
        <f t="shared" si="68"/>
        <v>50.02</v>
      </c>
      <c r="AN81" s="448">
        <f t="shared" si="69"/>
        <v>0.88151640000000009</v>
      </c>
      <c r="AO81" s="448">
        <f t="shared" si="70"/>
        <v>1076</v>
      </c>
      <c r="AP81" s="448">
        <f t="shared" si="71"/>
        <v>33847550</v>
      </c>
      <c r="AQ81" s="228">
        <f t="shared" si="72"/>
        <v>35531672</v>
      </c>
      <c r="AR81" s="391">
        <f t="shared" si="73"/>
        <v>51249418</v>
      </c>
      <c r="AS81" s="391">
        <f t="shared" si="74"/>
        <v>53802276</v>
      </c>
    </row>
    <row r="82" spans="1:45" ht="27">
      <c r="A82" s="226">
        <v>9</v>
      </c>
      <c r="B82" s="226" t="str">
        <f t="shared" si="38"/>
        <v>CEREAL EMPACADO_9</v>
      </c>
      <c r="C82" s="333" t="str">
        <f t="shared" si="39"/>
        <v>21_9</v>
      </c>
      <c r="D82" s="392" t="s">
        <v>1607</v>
      </c>
      <c r="E82" s="226">
        <v>21</v>
      </c>
      <c r="F82" s="325" t="s">
        <v>70</v>
      </c>
      <c r="G82" s="226" t="s">
        <v>9</v>
      </c>
      <c r="H82" s="421">
        <f t="shared" si="40"/>
        <v>22</v>
      </c>
      <c r="I82" s="421">
        <f t="shared" si="41"/>
        <v>0</v>
      </c>
      <c r="J82" s="422">
        <f t="array" ref="J82">MAX((IF(MNU_CODIGO_ALIMENTO_ENTREGA=CONCATENATE($E82,"_","S_"),MNU_GRAMAJE_REQUERIDO_TIPOA,"")))</f>
        <v>30</v>
      </c>
      <c r="K82" s="227">
        <f t="shared" si="42"/>
        <v>783</v>
      </c>
      <c r="L82" s="227">
        <f t="shared" si="43"/>
        <v>0</v>
      </c>
      <c r="M82" s="227">
        <f t="shared" si="44"/>
        <v>17226</v>
      </c>
      <c r="N82" s="448">
        <f t="shared" si="45"/>
        <v>458</v>
      </c>
      <c r="O82" s="448">
        <f t="shared" si="46"/>
        <v>22.3504</v>
      </c>
      <c r="P82" s="448">
        <f t="shared" si="47"/>
        <v>0.39388732799999998</v>
      </c>
      <c r="Q82" s="448">
        <f t="shared" si="48"/>
        <v>481</v>
      </c>
      <c r="R82" s="228">
        <f t="shared" si="49"/>
        <v>7889508</v>
      </c>
      <c r="S82" s="228">
        <f t="shared" si="50"/>
        <v>8285706</v>
      </c>
      <c r="T82" s="423">
        <f t="shared" si="51"/>
        <v>22</v>
      </c>
      <c r="U82" s="423">
        <f t="shared" si="52"/>
        <v>0</v>
      </c>
      <c r="V82" s="424">
        <f t="array" ref="V82">MAX((IF(MNU_CODIGO_ALIMENTO_ENTREGA=CONCATENATE($E82,"_","S_"),MNU_GRAMAJE_REQUERIDO_TIPOB,"")))</f>
        <v>30</v>
      </c>
      <c r="W82" s="391">
        <f t="shared" si="53"/>
        <v>1685</v>
      </c>
      <c r="X82" s="391">
        <f t="shared" si="54"/>
        <v>0</v>
      </c>
      <c r="Y82" s="391">
        <f t="shared" si="55"/>
        <v>37070</v>
      </c>
      <c r="Z82" s="448">
        <f t="shared" si="56"/>
        <v>458</v>
      </c>
      <c r="AA82" s="448">
        <f t="shared" si="57"/>
        <v>22.3504</v>
      </c>
      <c r="AB82" s="448">
        <f t="shared" si="58"/>
        <v>0.39388732799999998</v>
      </c>
      <c r="AC82" s="448">
        <f t="shared" si="59"/>
        <v>481</v>
      </c>
      <c r="AD82" s="229">
        <f t="shared" si="60"/>
        <v>16978060</v>
      </c>
      <c r="AE82" s="229">
        <f t="shared" si="61"/>
        <v>17830670</v>
      </c>
      <c r="AF82" s="421">
        <f t="shared" si="62"/>
        <v>22</v>
      </c>
      <c r="AG82" s="421">
        <f t="shared" si="63"/>
        <v>0</v>
      </c>
      <c r="AH82" s="422">
        <f t="array" ref="AH82">MAX((IF(MNU_CODIGO_ALIMENTO_ENTREGA=CONCATENATE($E82,"_","S_"),MNU_GRAMAJE_REQUERIDO_TIPOC,"")))</f>
        <v>50</v>
      </c>
      <c r="AI82" s="227">
        <f t="shared" si="64"/>
        <v>2966</v>
      </c>
      <c r="AJ82" s="227">
        <f t="shared" si="65"/>
        <v>36</v>
      </c>
      <c r="AK82" s="227">
        <f t="shared" si="66"/>
        <v>65252</v>
      </c>
      <c r="AL82" s="448">
        <f t="shared" si="67"/>
        <v>764</v>
      </c>
      <c r="AM82" s="448">
        <f t="shared" si="68"/>
        <v>37.283200000000001</v>
      </c>
      <c r="AN82" s="448">
        <f t="shared" si="69"/>
        <v>0.65705222400000007</v>
      </c>
      <c r="AO82" s="448">
        <f t="shared" si="70"/>
        <v>802</v>
      </c>
      <c r="AP82" s="448">
        <f t="shared" si="71"/>
        <v>49852528</v>
      </c>
      <c r="AQ82" s="228">
        <f t="shared" si="72"/>
        <v>52332104</v>
      </c>
      <c r="AR82" s="391">
        <f t="shared" si="73"/>
        <v>74720096</v>
      </c>
      <c r="AS82" s="391">
        <f t="shared" si="74"/>
        <v>78448480</v>
      </c>
    </row>
    <row r="83" spans="1:45" ht="15.75">
      <c r="A83" s="226">
        <v>9</v>
      </c>
      <c r="B83" s="226" t="str">
        <f t="shared" si="38"/>
        <v>CEREAL EMPACADO_9</v>
      </c>
      <c r="C83" s="333" t="str">
        <f t="shared" si="39"/>
        <v>24_9</v>
      </c>
      <c r="D83" s="392" t="s">
        <v>1607</v>
      </c>
      <c r="E83" s="226">
        <v>24</v>
      </c>
      <c r="F83" s="325" t="s">
        <v>61</v>
      </c>
      <c r="G83" s="226" t="s">
        <v>9</v>
      </c>
      <c r="H83" s="421">
        <f t="shared" si="40"/>
        <v>11</v>
      </c>
      <c r="I83" s="421">
        <f t="shared" si="41"/>
        <v>11</v>
      </c>
      <c r="J83" s="422">
        <f t="array" ref="J83">MAX((IF(MNU_CODIGO_ALIMENTO_ENTREGA=CONCATENATE($E83,"_","S_"),MNU_GRAMAJE_REQUERIDO_TIPOA,"")))</f>
        <v>20</v>
      </c>
      <c r="K83" s="227">
        <f t="shared" si="42"/>
        <v>783</v>
      </c>
      <c r="L83" s="227">
        <f t="shared" si="43"/>
        <v>0</v>
      </c>
      <c r="M83" s="227">
        <f t="shared" si="44"/>
        <v>8613</v>
      </c>
      <c r="N83" s="448">
        <f t="shared" si="45"/>
        <v>122</v>
      </c>
      <c r="O83" s="448">
        <f t="shared" si="46"/>
        <v>5.9535999999999998</v>
      </c>
      <c r="P83" s="448">
        <f t="shared" si="47"/>
        <v>0.104921952</v>
      </c>
      <c r="Q83" s="448">
        <f t="shared" si="48"/>
        <v>128</v>
      </c>
      <c r="R83" s="228">
        <f t="shared" si="49"/>
        <v>1050786</v>
      </c>
      <c r="S83" s="228">
        <f t="shared" si="50"/>
        <v>1102464</v>
      </c>
      <c r="T83" s="423">
        <f t="shared" si="51"/>
        <v>11</v>
      </c>
      <c r="U83" s="423">
        <f t="shared" si="52"/>
        <v>11</v>
      </c>
      <c r="V83" s="424">
        <f t="array" ref="V83">MAX((IF(MNU_CODIGO_ALIMENTO_ENTREGA=CONCATENATE($E83,"_","S_"),MNU_GRAMAJE_REQUERIDO_TIPOB,"")))</f>
        <v>30</v>
      </c>
      <c r="W83" s="391">
        <f t="shared" si="53"/>
        <v>1685</v>
      </c>
      <c r="X83" s="391">
        <f t="shared" si="54"/>
        <v>0</v>
      </c>
      <c r="Y83" s="391">
        <f t="shared" si="55"/>
        <v>18535</v>
      </c>
      <c r="Z83" s="448">
        <f t="shared" si="56"/>
        <v>191</v>
      </c>
      <c r="AA83" s="448">
        <f t="shared" si="57"/>
        <v>9.3208000000000002</v>
      </c>
      <c r="AB83" s="448">
        <f t="shared" si="58"/>
        <v>0.16426305600000002</v>
      </c>
      <c r="AC83" s="448">
        <f t="shared" si="59"/>
        <v>200</v>
      </c>
      <c r="AD83" s="229">
        <f t="shared" si="60"/>
        <v>3540185</v>
      </c>
      <c r="AE83" s="229">
        <f t="shared" si="61"/>
        <v>3707000</v>
      </c>
      <c r="AF83" s="421">
        <f t="shared" si="62"/>
        <v>11</v>
      </c>
      <c r="AG83" s="421">
        <f t="shared" si="63"/>
        <v>11</v>
      </c>
      <c r="AH83" s="422">
        <f t="array" ref="AH83">MAX((IF(MNU_CODIGO_ALIMENTO_ENTREGA=CONCATENATE($E83,"_","S_"),MNU_GRAMAJE_REQUERIDO_TIPOC,"")))</f>
        <v>60</v>
      </c>
      <c r="AI83" s="227">
        <f t="shared" si="64"/>
        <v>2966</v>
      </c>
      <c r="AJ83" s="227">
        <f t="shared" si="65"/>
        <v>36</v>
      </c>
      <c r="AK83" s="227">
        <f t="shared" si="66"/>
        <v>33022</v>
      </c>
      <c r="AL83" s="448">
        <f t="shared" si="67"/>
        <v>367</v>
      </c>
      <c r="AM83" s="448">
        <f t="shared" si="68"/>
        <v>17.909599999999998</v>
      </c>
      <c r="AN83" s="448">
        <f t="shared" si="69"/>
        <v>0.31562587200000003</v>
      </c>
      <c r="AO83" s="448">
        <f t="shared" si="70"/>
        <v>385</v>
      </c>
      <c r="AP83" s="448">
        <f t="shared" si="71"/>
        <v>12119074</v>
      </c>
      <c r="AQ83" s="228">
        <f t="shared" si="72"/>
        <v>12713470</v>
      </c>
      <c r="AR83" s="391">
        <f t="shared" si="73"/>
        <v>16710045</v>
      </c>
      <c r="AS83" s="391">
        <f t="shared" si="74"/>
        <v>17522934</v>
      </c>
    </row>
    <row r="84" spans="1:45" ht="15.75">
      <c r="A84" s="226">
        <v>9</v>
      </c>
      <c r="B84" s="226" t="str">
        <f t="shared" si="38"/>
        <v>CEREAL EMPACADO_9</v>
      </c>
      <c r="C84" s="333" t="str">
        <f t="shared" si="39"/>
        <v>25_9</v>
      </c>
      <c r="D84" s="392" t="s">
        <v>1607</v>
      </c>
      <c r="E84" s="226">
        <v>25</v>
      </c>
      <c r="F84" s="325" t="s">
        <v>64</v>
      </c>
      <c r="G84" s="226" t="s">
        <v>9</v>
      </c>
      <c r="H84" s="421">
        <f t="shared" si="40"/>
        <v>22</v>
      </c>
      <c r="I84" s="421">
        <f t="shared" si="41"/>
        <v>0</v>
      </c>
      <c r="J84" s="422">
        <f t="array" ref="J84">MAX((IF(MNU_CODIGO_ALIMENTO_ENTREGA=CONCATENATE($E84,"_","S_"),MNU_GRAMAJE_REQUERIDO_TIPOA,"")))</f>
        <v>40</v>
      </c>
      <c r="K84" s="227">
        <f t="shared" si="42"/>
        <v>783</v>
      </c>
      <c r="L84" s="227">
        <f t="shared" si="43"/>
        <v>0</v>
      </c>
      <c r="M84" s="227">
        <f t="shared" si="44"/>
        <v>17226</v>
      </c>
      <c r="N84" s="448">
        <f t="shared" si="45"/>
        <v>244</v>
      </c>
      <c r="O84" s="448">
        <f t="shared" si="46"/>
        <v>11.9072</v>
      </c>
      <c r="P84" s="448">
        <f t="shared" si="47"/>
        <v>0.209843904</v>
      </c>
      <c r="Q84" s="448">
        <f t="shared" si="48"/>
        <v>256</v>
      </c>
      <c r="R84" s="228">
        <f t="shared" si="49"/>
        <v>4203144</v>
      </c>
      <c r="S84" s="228">
        <f t="shared" si="50"/>
        <v>4409856</v>
      </c>
      <c r="T84" s="423">
        <f t="shared" si="51"/>
        <v>22</v>
      </c>
      <c r="U84" s="423">
        <f t="shared" si="52"/>
        <v>0</v>
      </c>
      <c r="V84" s="424">
        <f t="array" ref="V84">MAX((IF(MNU_CODIGO_ALIMENTO_ENTREGA=CONCATENATE($E84,"_","S_"),MNU_GRAMAJE_REQUERIDO_TIPOB,"")))</f>
        <v>40</v>
      </c>
      <c r="W84" s="391">
        <f t="shared" si="53"/>
        <v>1685</v>
      </c>
      <c r="X84" s="391">
        <f t="shared" si="54"/>
        <v>0</v>
      </c>
      <c r="Y84" s="391">
        <f t="shared" si="55"/>
        <v>37070</v>
      </c>
      <c r="Z84" s="448">
        <f t="shared" si="56"/>
        <v>244</v>
      </c>
      <c r="AA84" s="448">
        <f t="shared" si="57"/>
        <v>11.9072</v>
      </c>
      <c r="AB84" s="448">
        <f t="shared" si="58"/>
        <v>0.209843904</v>
      </c>
      <c r="AC84" s="448">
        <f t="shared" si="59"/>
        <v>256</v>
      </c>
      <c r="AD84" s="229">
        <f t="shared" si="60"/>
        <v>9045080</v>
      </c>
      <c r="AE84" s="229">
        <f t="shared" si="61"/>
        <v>9489920</v>
      </c>
      <c r="AF84" s="421">
        <f t="shared" si="62"/>
        <v>22</v>
      </c>
      <c r="AG84" s="421">
        <f t="shared" si="63"/>
        <v>0</v>
      </c>
      <c r="AH84" s="422">
        <f t="array" ref="AH84">MAX((IF(MNU_CODIGO_ALIMENTO_ENTREGA=CONCATENATE($E84,"_","S_"),MNU_GRAMAJE_REQUERIDO_TIPOC,"")))</f>
        <v>60</v>
      </c>
      <c r="AI84" s="227">
        <f t="shared" si="64"/>
        <v>2966</v>
      </c>
      <c r="AJ84" s="227">
        <f t="shared" si="65"/>
        <v>36</v>
      </c>
      <c r="AK84" s="227">
        <f t="shared" si="66"/>
        <v>65252</v>
      </c>
      <c r="AL84" s="448">
        <f t="shared" si="67"/>
        <v>366</v>
      </c>
      <c r="AM84" s="448">
        <f t="shared" si="68"/>
        <v>17.860800000000001</v>
      </c>
      <c r="AN84" s="448">
        <f t="shared" si="69"/>
        <v>0.31476585600000001</v>
      </c>
      <c r="AO84" s="448">
        <f t="shared" si="70"/>
        <v>384</v>
      </c>
      <c r="AP84" s="448">
        <f t="shared" si="71"/>
        <v>23882232</v>
      </c>
      <c r="AQ84" s="228">
        <f t="shared" si="72"/>
        <v>25056768</v>
      </c>
      <c r="AR84" s="391">
        <f t="shared" si="73"/>
        <v>37130456</v>
      </c>
      <c r="AS84" s="391">
        <f t="shared" si="74"/>
        <v>38956544</v>
      </c>
    </row>
    <row r="85" spans="1:45" ht="27">
      <c r="A85" s="226">
        <v>9</v>
      </c>
      <c r="B85" s="226" t="str">
        <f t="shared" si="38"/>
        <v>CEREAL EMPACADO_9</v>
      </c>
      <c r="C85" s="333" t="str">
        <f t="shared" si="39"/>
        <v>28_9</v>
      </c>
      <c r="D85" s="392" t="s">
        <v>1607</v>
      </c>
      <c r="E85" s="226">
        <v>28</v>
      </c>
      <c r="F85" s="325" t="s">
        <v>67</v>
      </c>
      <c r="G85" s="226" t="s">
        <v>9</v>
      </c>
      <c r="H85" s="421">
        <f t="shared" si="40"/>
        <v>19</v>
      </c>
      <c r="I85" s="421">
        <f t="shared" si="41"/>
        <v>0</v>
      </c>
      <c r="J85" s="422">
        <f t="array" ref="J85">MAX((IF(MNU_CODIGO_ALIMENTO_ENTREGA=CONCATENATE($E85,"_","S_"),MNU_GRAMAJE_REQUERIDO_TIPOA,"")))</f>
        <v>30</v>
      </c>
      <c r="K85" s="227">
        <f t="shared" si="42"/>
        <v>783</v>
      </c>
      <c r="L85" s="227">
        <f t="shared" si="43"/>
        <v>0</v>
      </c>
      <c r="M85" s="227">
        <f t="shared" si="44"/>
        <v>14877</v>
      </c>
      <c r="N85" s="448">
        <f t="shared" si="45"/>
        <v>215</v>
      </c>
      <c r="O85" s="448">
        <f t="shared" si="46"/>
        <v>10.492000000000001</v>
      </c>
      <c r="P85" s="448">
        <f t="shared" si="47"/>
        <v>0.18490343999999997</v>
      </c>
      <c r="Q85" s="448">
        <f t="shared" si="48"/>
        <v>226</v>
      </c>
      <c r="R85" s="228">
        <f t="shared" si="49"/>
        <v>3198555</v>
      </c>
      <c r="S85" s="228">
        <f t="shared" si="50"/>
        <v>3362202</v>
      </c>
      <c r="T85" s="423">
        <f t="shared" si="51"/>
        <v>19</v>
      </c>
      <c r="U85" s="423">
        <f t="shared" si="52"/>
        <v>0</v>
      </c>
      <c r="V85" s="424">
        <f t="array" ref="V85">MAX((IF(MNU_CODIGO_ALIMENTO_ENTREGA=CONCATENATE($E85,"_","S_"),MNU_GRAMAJE_REQUERIDO_TIPOB,"")))</f>
        <v>40</v>
      </c>
      <c r="W85" s="391">
        <f t="shared" si="53"/>
        <v>1685</v>
      </c>
      <c r="X85" s="391">
        <f t="shared" si="54"/>
        <v>0</v>
      </c>
      <c r="Y85" s="391">
        <f t="shared" si="55"/>
        <v>32015</v>
      </c>
      <c r="Z85" s="448">
        <f t="shared" si="56"/>
        <v>287</v>
      </c>
      <c r="AA85" s="448">
        <f t="shared" si="57"/>
        <v>14.005600000000001</v>
      </c>
      <c r="AB85" s="448">
        <f t="shared" si="58"/>
        <v>0.24682459200000004</v>
      </c>
      <c r="AC85" s="448">
        <f t="shared" si="59"/>
        <v>301</v>
      </c>
      <c r="AD85" s="229">
        <f t="shared" si="60"/>
        <v>9188305</v>
      </c>
      <c r="AE85" s="229">
        <f t="shared" si="61"/>
        <v>9636515</v>
      </c>
      <c r="AF85" s="421">
        <f t="shared" si="62"/>
        <v>19</v>
      </c>
      <c r="AG85" s="421">
        <f t="shared" si="63"/>
        <v>0</v>
      </c>
      <c r="AH85" s="422">
        <f t="array" ref="AH85">MAX((IF(MNU_CODIGO_ALIMENTO_ENTREGA=CONCATENATE($E85,"_","S_"),MNU_GRAMAJE_REQUERIDO_TIPOC,"")))</f>
        <v>60</v>
      </c>
      <c r="AI85" s="227">
        <f t="shared" si="64"/>
        <v>2966</v>
      </c>
      <c r="AJ85" s="227">
        <f t="shared" si="65"/>
        <v>36</v>
      </c>
      <c r="AK85" s="227">
        <f t="shared" si="66"/>
        <v>56354</v>
      </c>
      <c r="AL85" s="448">
        <f t="shared" si="67"/>
        <v>430</v>
      </c>
      <c r="AM85" s="448">
        <f t="shared" si="68"/>
        <v>20.984000000000002</v>
      </c>
      <c r="AN85" s="448">
        <f t="shared" si="69"/>
        <v>0.36980687999999995</v>
      </c>
      <c r="AO85" s="448">
        <f t="shared" si="70"/>
        <v>451</v>
      </c>
      <c r="AP85" s="448">
        <f t="shared" si="71"/>
        <v>24232220</v>
      </c>
      <c r="AQ85" s="228">
        <f t="shared" si="72"/>
        <v>25415654</v>
      </c>
      <c r="AR85" s="391">
        <f t="shared" si="73"/>
        <v>36619080</v>
      </c>
      <c r="AS85" s="391">
        <f t="shared" si="74"/>
        <v>38414371</v>
      </c>
    </row>
    <row r="86" spans="1:45" ht="15.75">
      <c r="A86" s="226">
        <v>9</v>
      </c>
      <c r="B86" s="226" t="str">
        <f t="shared" si="38"/>
        <v>CEREAL EMPACADO_9</v>
      </c>
      <c r="C86" s="333" t="str">
        <f t="shared" si="39"/>
        <v>45_9</v>
      </c>
      <c r="D86" s="392" t="s">
        <v>1607</v>
      </c>
      <c r="E86" s="226">
        <v>45</v>
      </c>
      <c r="F86" s="325" t="s">
        <v>10</v>
      </c>
      <c r="G86" s="226" t="s">
        <v>9</v>
      </c>
      <c r="H86" s="421">
        <f t="shared" si="40"/>
        <v>20</v>
      </c>
      <c r="I86" s="421">
        <f t="shared" si="41"/>
        <v>0</v>
      </c>
      <c r="J86" s="422">
        <f t="array" ref="J86">MAX((IF(MNU_CODIGO_ALIMENTO_ENTREGA=CONCATENATE($E86,"_","S_"),MNU_GRAMAJE_REQUERIDO_TIPOA,"")))</f>
        <v>20</v>
      </c>
      <c r="K86" s="227">
        <f t="shared" si="42"/>
        <v>783</v>
      </c>
      <c r="L86" s="227">
        <f t="shared" si="43"/>
        <v>0</v>
      </c>
      <c r="M86" s="227">
        <f t="shared" si="44"/>
        <v>15660</v>
      </c>
      <c r="N86" s="448">
        <f t="shared" si="45"/>
        <v>190</v>
      </c>
      <c r="O86" s="448">
        <f t="shared" si="46"/>
        <v>9.2720000000000002</v>
      </c>
      <c r="P86" s="448">
        <f t="shared" si="47"/>
        <v>0.16340304</v>
      </c>
      <c r="Q86" s="448">
        <f t="shared" si="48"/>
        <v>199</v>
      </c>
      <c r="R86" s="228">
        <f t="shared" si="49"/>
        <v>2975400</v>
      </c>
      <c r="S86" s="228">
        <f t="shared" si="50"/>
        <v>3116340</v>
      </c>
      <c r="T86" s="423">
        <f t="shared" si="51"/>
        <v>20</v>
      </c>
      <c r="U86" s="423">
        <f t="shared" si="52"/>
        <v>0</v>
      </c>
      <c r="V86" s="424">
        <f t="array" ref="V86">MAX((IF(MNU_CODIGO_ALIMENTO_ENTREGA=CONCATENATE($E86,"_","S_"),MNU_GRAMAJE_REQUERIDO_TIPOB,"")))</f>
        <v>30</v>
      </c>
      <c r="W86" s="391">
        <f t="shared" si="53"/>
        <v>1685</v>
      </c>
      <c r="X86" s="391">
        <f t="shared" si="54"/>
        <v>0</v>
      </c>
      <c r="Y86" s="391">
        <f t="shared" si="55"/>
        <v>33700</v>
      </c>
      <c r="Z86" s="448">
        <f t="shared" si="56"/>
        <v>284</v>
      </c>
      <c r="AA86" s="448">
        <f t="shared" si="57"/>
        <v>13.8592</v>
      </c>
      <c r="AB86" s="448">
        <f t="shared" si="58"/>
        <v>0.24424454399999998</v>
      </c>
      <c r="AC86" s="448">
        <f t="shared" si="59"/>
        <v>298</v>
      </c>
      <c r="AD86" s="229">
        <f t="shared" si="60"/>
        <v>9570800</v>
      </c>
      <c r="AE86" s="229">
        <f t="shared" si="61"/>
        <v>10042600</v>
      </c>
      <c r="AF86" s="421">
        <f t="shared" si="62"/>
        <v>20</v>
      </c>
      <c r="AG86" s="421">
        <f t="shared" si="63"/>
        <v>0</v>
      </c>
      <c r="AH86" s="422">
        <f t="array" ref="AH86">MAX((IF(MNU_CODIGO_ALIMENTO_ENTREGA=CONCATENATE($E86,"_","S_"),MNU_GRAMAJE_REQUERIDO_TIPOC,"")))</f>
        <v>60</v>
      </c>
      <c r="AI86" s="227">
        <f t="shared" si="64"/>
        <v>2966</v>
      </c>
      <c r="AJ86" s="227">
        <f t="shared" si="65"/>
        <v>36</v>
      </c>
      <c r="AK86" s="227">
        <f t="shared" si="66"/>
        <v>59320</v>
      </c>
      <c r="AL86" s="448">
        <f t="shared" si="67"/>
        <v>569</v>
      </c>
      <c r="AM86" s="448">
        <f t="shared" si="68"/>
        <v>27.767199999999999</v>
      </c>
      <c r="AN86" s="448">
        <f t="shared" si="69"/>
        <v>0.48934910400000003</v>
      </c>
      <c r="AO86" s="448">
        <f t="shared" si="70"/>
        <v>597</v>
      </c>
      <c r="AP86" s="448">
        <f t="shared" si="71"/>
        <v>33753080</v>
      </c>
      <c r="AQ86" s="228">
        <f t="shared" si="72"/>
        <v>35414040</v>
      </c>
      <c r="AR86" s="391">
        <f t="shared" si="73"/>
        <v>46299280</v>
      </c>
      <c r="AS86" s="391">
        <f t="shared" si="74"/>
        <v>48572980</v>
      </c>
    </row>
    <row r="87" spans="1:45" ht="15.75">
      <c r="A87" s="226">
        <v>9</v>
      </c>
      <c r="B87" s="226" t="str">
        <f t="shared" si="38"/>
        <v>CEREAL EMPACADO_9</v>
      </c>
      <c r="C87" s="333" t="str">
        <f t="shared" si="39"/>
        <v>61_9</v>
      </c>
      <c r="D87" s="392" t="s">
        <v>1607</v>
      </c>
      <c r="E87" s="226">
        <v>61</v>
      </c>
      <c r="F87" s="325" t="s">
        <v>13</v>
      </c>
      <c r="G87" s="226" t="s">
        <v>9</v>
      </c>
      <c r="H87" s="421">
        <f t="shared" si="40"/>
        <v>20</v>
      </c>
      <c r="I87" s="421">
        <f t="shared" si="41"/>
        <v>0</v>
      </c>
      <c r="J87" s="422">
        <f t="array" ref="J87">MAX((IF(MNU_CODIGO_ALIMENTO_ENTREGA=CONCATENATE($E87,"_","S_"),MNU_GRAMAJE_REQUERIDO_TIPOA,"")))</f>
        <v>20</v>
      </c>
      <c r="K87" s="227">
        <f t="shared" si="42"/>
        <v>783</v>
      </c>
      <c r="L87" s="227">
        <f t="shared" si="43"/>
        <v>0</v>
      </c>
      <c r="M87" s="227">
        <f t="shared" si="44"/>
        <v>15660</v>
      </c>
      <c r="N87" s="448">
        <f t="shared" si="45"/>
        <v>222</v>
      </c>
      <c r="O87" s="448">
        <f t="shared" si="46"/>
        <v>10.833600000000001</v>
      </c>
      <c r="P87" s="448">
        <f t="shared" si="47"/>
        <v>0.190923552</v>
      </c>
      <c r="Q87" s="448">
        <f t="shared" si="48"/>
        <v>233</v>
      </c>
      <c r="R87" s="228">
        <f t="shared" si="49"/>
        <v>3476520</v>
      </c>
      <c r="S87" s="228">
        <f t="shared" si="50"/>
        <v>3648780</v>
      </c>
      <c r="T87" s="423">
        <f t="shared" si="51"/>
        <v>20</v>
      </c>
      <c r="U87" s="423">
        <f t="shared" si="52"/>
        <v>0</v>
      </c>
      <c r="V87" s="424">
        <f t="array" ref="V87">MAX((IF(MNU_CODIGO_ALIMENTO_ENTREGA=CONCATENATE($E87,"_","S_"),MNU_GRAMAJE_REQUERIDO_TIPOB,"")))</f>
        <v>30</v>
      </c>
      <c r="W87" s="391">
        <f t="shared" si="53"/>
        <v>1685</v>
      </c>
      <c r="X87" s="391">
        <f t="shared" si="54"/>
        <v>0</v>
      </c>
      <c r="Y87" s="391">
        <f t="shared" si="55"/>
        <v>33700</v>
      </c>
      <c r="Z87" s="448">
        <f t="shared" si="56"/>
        <v>334</v>
      </c>
      <c r="AA87" s="448">
        <f t="shared" si="57"/>
        <v>16.299199999999999</v>
      </c>
      <c r="AB87" s="448">
        <f t="shared" si="58"/>
        <v>0.28724534400000001</v>
      </c>
      <c r="AC87" s="448">
        <f t="shared" si="59"/>
        <v>351</v>
      </c>
      <c r="AD87" s="229">
        <f t="shared" si="60"/>
        <v>11255800</v>
      </c>
      <c r="AE87" s="229">
        <f t="shared" si="61"/>
        <v>11828700</v>
      </c>
      <c r="AF87" s="421">
        <f t="shared" si="62"/>
        <v>20</v>
      </c>
      <c r="AG87" s="421">
        <f t="shared" si="63"/>
        <v>0</v>
      </c>
      <c r="AH87" s="422">
        <f t="array" ref="AH87">MAX((IF(MNU_CODIGO_ALIMENTO_ENTREGA=CONCATENATE($E87,"_","S_"),MNU_GRAMAJE_REQUERIDO_TIPOC,"")))</f>
        <v>70</v>
      </c>
      <c r="AI87" s="227">
        <f t="shared" si="64"/>
        <v>2966</v>
      </c>
      <c r="AJ87" s="227">
        <f t="shared" si="65"/>
        <v>36</v>
      </c>
      <c r="AK87" s="227">
        <f t="shared" si="66"/>
        <v>59320</v>
      </c>
      <c r="AL87" s="448">
        <f t="shared" si="67"/>
        <v>779</v>
      </c>
      <c r="AM87" s="448">
        <f t="shared" si="68"/>
        <v>38.0152</v>
      </c>
      <c r="AN87" s="448">
        <f t="shared" si="69"/>
        <v>0.66995246400000008</v>
      </c>
      <c r="AO87" s="448">
        <f t="shared" si="70"/>
        <v>818</v>
      </c>
      <c r="AP87" s="448">
        <f t="shared" si="71"/>
        <v>46210280</v>
      </c>
      <c r="AQ87" s="228">
        <f t="shared" si="72"/>
        <v>48523760</v>
      </c>
      <c r="AR87" s="391">
        <f t="shared" si="73"/>
        <v>60942600</v>
      </c>
      <c r="AS87" s="391">
        <f t="shared" si="74"/>
        <v>64001240</v>
      </c>
    </row>
    <row r="88" spans="1:45" ht="15.75">
      <c r="A88" s="226">
        <v>10</v>
      </c>
      <c r="B88" s="226" t="str">
        <f t="shared" si="38"/>
        <v>CEREAL EMPACADO_10</v>
      </c>
      <c r="C88" s="333" t="str">
        <f t="shared" si="39"/>
        <v>3_10</v>
      </c>
      <c r="D88" s="392" t="s">
        <v>1607</v>
      </c>
      <c r="E88" s="226">
        <v>3</v>
      </c>
      <c r="F88" s="325" t="s">
        <v>12</v>
      </c>
      <c r="G88" s="226" t="s">
        <v>9</v>
      </c>
      <c r="H88" s="421">
        <f t="shared" si="40"/>
        <v>19</v>
      </c>
      <c r="I88" s="421">
        <f t="shared" si="41"/>
        <v>0</v>
      </c>
      <c r="J88" s="422">
        <f t="array" ref="J88">MAX((IF(MNU_CODIGO_ALIMENTO_ENTREGA=CONCATENATE($E88,"_","S_"),MNU_GRAMAJE_REQUERIDO_TIPOA,"")))</f>
        <v>50</v>
      </c>
      <c r="K88" s="227">
        <f t="shared" si="42"/>
        <v>681</v>
      </c>
      <c r="L88" s="227">
        <f t="shared" si="43"/>
        <v>0</v>
      </c>
      <c r="M88" s="227">
        <f t="shared" si="44"/>
        <v>12939</v>
      </c>
      <c r="N88" s="448">
        <f t="shared" si="45"/>
        <v>481</v>
      </c>
      <c r="O88" s="448">
        <f t="shared" si="46"/>
        <v>23.472799999999999</v>
      </c>
      <c r="P88" s="448">
        <f t="shared" si="47"/>
        <v>0.41366769599999997</v>
      </c>
      <c r="Q88" s="448">
        <f t="shared" si="48"/>
        <v>505</v>
      </c>
      <c r="R88" s="228">
        <f t="shared" si="49"/>
        <v>6223659</v>
      </c>
      <c r="S88" s="228">
        <f t="shared" si="50"/>
        <v>6534195</v>
      </c>
      <c r="T88" s="423">
        <f t="shared" si="51"/>
        <v>19</v>
      </c>
      <c r="U88" s="423">
        <f t="shared" si="52"/>
        <v>0</v>
      </c>
      <c r="V88" s="424">
        <f t="array" ref="V88">MAX((IF(MNU_CODIGO_ALIMENTO_ENTREGA=CONCATENATE($E88,"_","S_"),MNU_GRAMAJE_REQUERIDO_TIPOB,"")))</f>
        <v>50</v>
      </c>
      <c r="W88" s="391">
        <f t="shared" si="53"/>
        <v>801</v>
      </c>
      <c r="X88" s="391">
        <f t="shared" si="54"/>
        <v>0</v>
      </c>
      <c r="Y88" s="391">
        <f t="shared" si="55"/>
        <v>15219</v>
      </c>
      <c r="Z88" s="448">
        <f t="shared" si="56"/>
        <v>481</v>
      </c>
      <c r="AA88" s="448">
        <f t="shared" si="57"/>
        <v>23.472799999999999</v>
      </c>
      <c r="AB88" s="448">
        <f t="shared" si="58"/>
        <v>0.41366769599999997</v>
      </c>
      <c r="AC88" s="448">
        <f t="shared" si="59"/>
        <v>505</v>
      </c>
      <c r="AD88" s="229">
        <f t="shared" si="60"/>
        <v>7320339</v>
      </c>
      <c r="AE88" s="229">
        <f t="shared" si="61"/>
        <v>7685595</v>
      </c>
      <c r="AF88" s="421">
        <f t="shared" si="62"/>
        <v>19</v>
      </c>
      <c r="AG88" s="421">
        <f t="shared" si="63"/>
        <v>0</v>
      </c>
      <c r="AH88" s="422">
        <f t="array" ref="AH88">MAX((IF(MNU_CODIGO_ALIMENTO_ENTREGA=CONCATENATE($E88,"_","S_"),MNU_GRAMAJE_REQUERIDO_TIPOC,"")))</f>
        <v>80</v>
      </c>
      <c r="AI88" s="227">
        <f t="shared" si="64"/>
        <v>877</v>
      </c>
      <c r="AJ88" s="227">
        <f t="shared" si="65"/>
        <v>0</v>
      </c>
      <c r="AK88" s="227">
        <f t="shared" si="66"/>
        <v>16663</v>
      </c>
      <c r="AL88" s="448">
        <f t="shared" si="67"/>
        <v>727</v>
      </c>
      <c r="AM88" s="448">
        <f t="shared" si="68"/>
        <v>35.477600000000002</v>
      </c>
      <c r="AN88" s="448">
        <f t="shared" si="69"/>
        <v>0.62523163200000009</v>
      </c>
      <c r="AO88" s="448">
        <f t="shared" si="70"/>
        <v>763</v>
      </c>
      <c r="AP88" s="448">
        <f t="shared" si="71"/>
        <v>12114001</v>
      </c>
      <c r="AQ88" s="228">
        <f t="shared" si="72"/>
        <v>12713869</v>
      </c>
      <c r="AR88" s="391">
        <f t="shared" si="73"/>
        <v>25657999</v>
      </c>
      <c r="AS88" s="391">
        <f t="shared" si="74"/>
        <v>26933659</v>
      </c>
    </row>
    <row r="89" spans="1:45" ht="15.75">
      <c r="A89" s="226">
        <v>10</v>
      </c>
      <c r="B89" s="226" t="str">
        <f t="shared" si="38"/>
        <v>CEREAL EMPACADO_10</v>
      </c>
      <c r="C89" s="333" t="str">
        <f t="shared" si="39"/>
        <v>15_10</v>
      </c>
      <c r="D89" s="392" t="s">
        <v>1607</v>
      </c>
      <c r="E89" s="226">
        <v>15</v>
      </c>
      <c r="F89" s="325" t="s">
        <v>66</v>
      </c>
      <c r="G89" s="226" t="s">
        <v>9</v>
      </c>
      <c r="H89" s="421">
        <f t="shared" si="40"/>
        <v>11</v>
      </c>
      <c r="I89" s="421">
        <f t="shared" si="41"/>
        <v>11</v>
      </c>
      <c r="J89" s="422">
        <f t="array" ref="J89">MAX((IF(MNU_CODIGO_ALIMENTO_ENTREGA=CONCATENATE($E89,"_","S_"),MNU_GRAMAJE_REQUERIDO_TIPOA,"")))</f>
        <v>50</v>
      </c>
      <c r="K89" s="227">
        <f t="shared" si="42"/>
        <v>681</v>
      </c>
      <c r="L89" s="227">
        <f t="shared" si="43"/>
        <v>0</v>
      </c>
      <c r="M89" s="227">
        <f t="shared" si="44"/>
        <v>7491</v>
      </c>
      <c r="N89" s="448">
        <f t="shared" si="45"/>
        <v>641</v>
      </c>
      <c r="O89" s="448">
        <f t="shared" si="46"/>
        <v>31.280800000000003</v>
      </c>
      <c r="P89" s="448">
        <f t="shared" si="47"/>
        <v>0.55127025600000001</v>
      </c>
      <c r="Q89" s="448">
        <f t="shared" si="48"/>
        <v>673</v>
      </c>
      <c r="R89" s="228">
        <f t="shared" si="49"/>
        <v>4801731</v>
      </c>
      <c r="S89" s="228">
        <f t="shared" si="50"/>
        <v>5041443</v>
      </c>
      <c r="T89" s="423">
        <f t="shared" si="51"/>
        <v>11</v>
      </c>
      <c r="U89" s="423">
        <f t="shared" si="52"/>
        <v>11</v>
      </c>
      <c r="V89" s="424">
        <f t="array" ref="V89">MAX((IF(MNU_CODIGO_ALIMENTO_ENTREGA=CONCATENATE($E89,"_","S_"),MNU_GRAMAJE_REQUERIDO_TIPOB,"")))</f>
        <v>50</v>
      </c>
      <c r="W89" s="391">
        <f t="shared" si="53"/>
        <v>801</v>
      </c>
      <c r="X89" s="391">
        <f t="shared" si="54"/>
        <v>0</v>
      </c>
      <c r="Y89" s="391">
        <f t="shared" si="55"/>
        <v>8811</v>
      </c>
      <c r="Z89" s="448">
        <f t="shared" si="56"/>
        <v>641</v>
      </c>
      <c r="AA89" s="448">
        <f t="shared" si="57"/>
        <v>31.280800000000003</v>
      </c>
      <c r="AB89" s="448">
        <f t="shared" si="58"/>
        <v>0.55127025600000001</v>
      </c>
      <c r="AC89" s="448">
        <f t="shared" si="59"/>
        <v>673</v>
      </c>
      <c r="AD89" s="229">
        <f t="shared" si="60"/>
        <v>5647851</v>
      </c>
      <c r="AE89" s="229">
        <f t="shared" si="61"/>
        <v>5929803</v>
      </c>
      <c r="AF89" s="421">
        <f t="shared" si="62"/>
        <v>11</v>
      </c>
      <c r="AG89" s="421">
        <f t="shared" si="63"/>
        <v>11</v>
      </c>
      <c r="AH89" s="422">
        <f t="array" ref="AH89">MAX((IF(MNU_CODIGO_ALIMENTO_ENTREGA=CONCATENATE($E89,"_","S_"),MNU_GRAMAJE_REQUERIDO_TIPOC,"")))</f>
        <v>80</v>
      </c>
      <c r="AI89" s="227">
        <f t="shared" si="64"/>
        <v>877</v>
      </c>
      <c r="AJ89" s="227">
        <f t="shared" si="65"/>
        <v>0</v>
      </c>
      <c r="AK89" s="227">
        <f t="shared" si="66"/>
        <v>9647</v>
      </c>
      <c r="AL89" s="448">
        <f t="shared" si="67"/>
        <v>1025</v>
      </c>
      <c r="AM89" s="448">
        <f t="shared" si="68"/>
        <v>50.02</v>
      </c>
      <c r="AN89" s="448">
        <f t="shared" si="69"/>
        <v>0.88151640000000009</v>
      </c>
      <c r="AO89" s="448">
        <f t="shared" si="70"/>
        <v>1076</v>
      </c>
      <c r="AP89" s="448">
        <f t="shared" si="71"/>
        <v>9888175</v>
      </c>
      <c r="AQ89" s="228">
        <f t="shared" si="72"/>
        <v>10380172</v>
      </c>
      <c r="AR89" s="391">
        <f t="shared" si="73"/>
        <v>20337757</v>
      </c>
      <c r="AS89" s="391">
        <f t="shared" si="74"/>
        <v>21351418</v>
      </c>
    </row>
    <row r="90" spans="1:45" ht="27">
      <c r="A90" s="226">
        <v>10</v>
      </c>
      <c r="B90" s="226" t="str">
        <f t="shared" si="38"/>
        <v>CEREAL EMPACADO_10</v>
      </c>
      <c r="C90" s="333" t="str">
        <f t="shared" si="39"/>
        <v>21_10</v>
      </c>
      <c r="D90" s="392" t="s">
        <v>1607</v>
      </c>
      <c r="E90" s="226">
        <v>21</v>
      </c>
      <c r="F90" s="325" t="s">
        <v>70</v>
      </c>
      <c r="G90" s="226" t="s">
        <v>9</v>
      </c>
      <c r="H90" s="421">
        <f t="shared" si="40"/>
        <v>22</v>
      </c>
      <c r="I90" s="421">
        <f t="shared" si="41"/>
        <v>0</v>
      </c>
      <c r="J90" s="422">
        <f t="array" ref="J90">MAX((IF(MNU_CODIGO_ALIMENTO_ENTREGA=CONCATENATE($E90,"_","S_"),MNU_GRAMAJE_REQUERIDO_TIPOA,"")))</f>
        <v>30</v>
      </c>
      <c r="K90" s="227">
        <f t="shared" si="42"/>
        <v>681</v>
      </c>
      <c r="L90" s="227">
        <f t="shared" si="43"/>
        <v>0</v>
      </c>
      <c r="M90" s="227">
        <f t="shared" si="44"/>
        <v>14982</v>
      </c>
      <c r="N90" s="448">
        <f t="shared" si="45"/>
        <v>458</v>
      </c>
      <c r="O90" s="448">
        <f t="shared" si="46"/>
        <v>22.3504</v>
      </c>
      <c r="P90" s="448">
        <f t="shared" si="47"/>
        <v>0.39388732799999998</v>
      </c>
      <c r="Q90" s="448">
        <f t="shared" si="48"/>
        <v>481</v>
      </c>
      <c r="R90" s="228">
        <f t="shared" si="49"/>
        <v>6861756</v>
      </c>
      <c r="S90" s="228">
        <f t="shared" si="50"/>
        <v>7206342</v>
      </c>
      <c r="T90" s="423">
        <f t="shared" si="51"/>
        <v>22</v>
      </c>
      <c r="U90" s="423">
        <f t="shared" si="52"/>
        <v>0</v>
      </c>
      <c r="V90" s="424">
        <f t="array" ref="V90">MAX((IF(MNU_CODIGO_ALIMENTO_ENTREGA=CONCATENATE($E90,"_","S_"),MNU_GRAMAJE_REQUERIDO_TIPOB,"")))</f>
        <v>30</v>
      </c>
      <c r="W90" s="391">
        <f t="shared" si="53"/>
        <v>801</v>
      </c>
      <c r="X90" s="391">
        <f t="shared" si="54"/>
        <v>0</v>
      </c>
      <c r="Y90" s="391">
        <f t="shared" si="55"/>
        <v>17622</v>
      </c>
      <c r="Z90" s="448">
        <f t="shared" si="56"/>
        <v>458</v>
      </c>
      <c r="AA90" s="448">
        <f t="shared" si="57"/>
        <v>22.3504</v>
      </c>
      <c r="AB90" s="448">
        <f t="shared" si="58"/>
        <v>0.39388732799999998</v>
      </c>
      <c r="AC90" s="448">
        <f t="shared" si="59"/>
        <v>481</v>
      </c>
      <c r="AD90" s="229">
        <f t="shared" si="60"/>
        <v>8070876</v>
      </c>
      <c r="AE90" s="229">
        <f t="shared" si="61"/>
        <v>8476182</v>
      </c>
      <c r="AF90" s="421">
        <f t="shared" si="62"/>
        <v>22</v>
      </c>
      <c r="AG90" s="421">
        <f t="shared" si="63"/>
        <v>0</v>
      </c>
      <c r="AH90" s="422">
        <f t="array" ref="AH90">MAX((IF(MNU_CODIGO_ALIMENTO_ENTREGA=CONCATENATE($E90,"_","S_"),MNU_GRAMAJE_REQUERIDO_TIPOC,"")))</f>
        <v>50</v>
      </c>
      <c r="AI90" s="227">
        <f t="shared" si="64"/>
        <v>877</v>
      </c>
      <c r="AJ90" s="227">
        <f t="shared" si="65"/>
        <v>0</v>
      </c>
      <c r="AK90" s="227">
        <f t="shared" si="66"/>
        <v>19294</v>
      </c>
      <c r="AL90" s="448">
        <f t="shared" si="67"/>
        <v>764</v>
      </c>
      <c r="AM90" s="448">
        <f t="shared" si="68"/>
        <v>37.283200000000001</v>
      </c>
      <c r="AN90" s="448">
        <f t="shared" si="69"/>
        <v>0.65705222400000007</v>
      </c>
      <c r="AO90" s="448">
        <f t="shared" si="70"/>
        <v>802</v>
      </c>
      <c r="AP90" s="448">
        <f t="shared" si="71"/>
        <v>14740616</v>
      </c>
      <c r="AQ90" s="228">
        <f t="shared" si="72"/>
        <v>15473788</v>
      </c>
      <c r="AR90" s="391">
        <f t="shared" si="73"/>
        <v>29673248</v>
      </c>
      <c r="AS90" s="391">
        <f t="shared" si="74"/>
        <v>31156312</v>
      </c>
    </row>
    <row r="91" spans="1:45" ht="15.75">
      <c r="A91" s="226">
        <v>10</v>
      </c>
      <c r="B91" s="226" t="str">
        <f t="shared" si="38"/>
        <v>CEREAL EMPACADO_10</v>
      </c>
      <c r="C91" s="333" t="str">
        <f t="shared" si="39"/>
        <v>24_10</v>
      </c>
      <c r="D91" s="392" t="s">
        <v>1607</v>
      </c>
      <c r="E91" s="226">
        <v>24</v>
      </c>
      <c r="F91" s="325" t="s">
        <v>61</v>
      </c>
      <c r="G91" s="226" t="s">
        <v>9</v>
      </c>
      <c r="H91" s="421">
        <f t="shared" si="40"/>
        <v>11</v>
      </c>
      <c r="I91" s="421">
        <f t="shared" si="41"/>
        <v>11</v>
      </c>
      <c r="J91" s="422">
        <f t="array" ref="J91">MAX((IF(MNU_CODIGO_ALIMENTO_ENTREGA=CONCATENATE($E91,"_","S_"),MNU_GRAMAJE_REQUERIDO_TIPOA,"")))</f>
        <v>20</v>
      </c>
      <c r="K91" s="227">
        <f t="shared" si="42"/>
        <v>681</v>
      </c>
      <c r="L91" s="227">
        <f t="shared" si="43"/>
        <v>0</v>
      </c>
      <c r="M91" s="227">
        <f t="shared" si="44"/>
        <v>7491</v>
      </c>
      <c r="N91" s="448">
        <f t="shared" si="45"/>
        <v>122</v>
      </c>
      <c r="O91" s="448">
        <f t="shared" si="46"/>
        <v>5.9535999999999998</v>
      </c>
      <c r="P91" s="448">
        <f t="shared" si="47"/>
        <v>0.104921952</v>
      </c>
      <c r="Q91" s="448">
        <f t="shared" si="48"/>
        <v>128</v>
      </c>
      <c r="R91" s="228">
        <f t="shared" si="49"/>
        <v>913902</v>
      </c>
      <c r="S91" s="228">
        <f t="shared" si="50"/>
        <v>958848</v>
      </c>
      <c r="T91" s="423">
        <f t="shared" si="51"/>
        <v>11</v>
      </c>
      <c r="U91" s="423">
        <f t="shared" si="52"/>
        <v>11</v>
      </c>
      <c r="V91" s="424">
        <f t="array" ref="V91">MAX((IF(MNU_CODIGO_ALIMENTO_ENTREGA=CONCATENATE($E91,"_","S_"),MNU_GRAMAJE_REQUERIDO_TIPOB,"")))</f>
        <v>30</v>
      </c>
      <c r="W91" s="391">
        <f t="shared" si="53"/>
        <v>801</v>
      </c>
      <c r="X91" s="391">
        <f t="shared" si="54"/>
        <v>0</v>
      </c>
      <c r="Y91" s="391">
        <f t="shared" si="55"/>
        <v>8811</v>
      </c>
      <c r="Z91" s="448">
        <f t="shared" si="56"/>
        <v>191</v>
      </c>
      <c r="AA91" s="448">
        <f t="shared" si="57"/>
        <v>9.3208000000000002</v>
      </c>
      <c r="AB91" s="448">
        <f t="shared" si="58"/>
        <v>0.16426305600000002</v>
      </c>
      <c r="AC91" s="448">
        <f t="shared" si="59"/>
        <v>200</v>
      </c>
      <c r="AD91" s="229">
        <f t="shared" si="60"/>
        <v>1682901</v>
      </c>
      <c r="AE91" s="229">
        <f t="shared" si="61"/>
        <v>1762200</v>
      </c>
      <c r="AF91" s="421">
        <f t="shared" si="62"/>
        <v>11</v>
      </c>
      <c r="AG91" s="421">
        <f t="shared" si="63"/>
        <v>11</v>
      </c>
      <c r="AH91" s="422">
        <f t="array" ref="AH91">MAX((IF(MNU_CODIGO_ALIMENTO_ENTREGA=CONCATENATE($E91,"_","S_"),MNU_GRAMAJE_REQUERIDO_TIPOC,"")))</f>
        <v>60</v>
      </c>
      <c r="AI91" s="227">
        <f t="shared" si="64"/>
        <v>877</v>
      </c>
      <c r="AJ91" s="227">
        <f t="shared" si="65"/>
        <v>0</v>
      </c>
      <c r="AK91" s="227">
        <f t="shared" si="66"/>
        <v>9647</v>
      </c>
      <c r="AL91" s="448">
        <f t="shared" si="67"/>
        <v>367</v>
      </c>
      <c r="AM91" s="448">
        <f t="shared" si="68"/>
        <v>17.909599999999998</v>
      </c>
      <c r="AN91" s="448">
        <f t="shared" si="69"/>
        <v>0.31562587200000003</v>
      </c>
      <c r="AO91" s="448">
        <f t="shared" si="70"/>
        <v>385</v>
      </c>
      <c r="AP91" s="448">
        <f t="shared" si="71"/>
        <v>3540449</v>
      </c>
      <c r="AQ91" s="228">
        <f t="shared" si="72"/>
        <v>3714095</v>
      </c>
      <c r="AR91" s="391">
        <f t="shared" si="73"/>
        <v>6137252</v>
      </c>
      <c r="AS91" s="391">
        <f t="shared" si="74"/>
        <v>6435143</v>
      </c>
    </row>
    <row r="92" spans="1:45" ht="15.75">
      <c r="A92" s="226">
        <v>10</v>
      </c>
      <c r="B92" s="226" t="str">
        <f t="shared" si="38"/>
        <v>CEREAL EMPACADO_10</v>
      </c>
      <c r="C92" s="333" t="str">
        <f t="shared" si="39"/>
        <v>25_10</v>
      </c>
      <c r="D92" s="392" t="s">
        <v>1607</v>
      </c>
      <c r="E92" s="226">
        <v>25</v>
      </c>
      <c r="F92" s="325" t="s">
        <v>64</v>
      </c>
      <c r="G92" s="226" t="s">
        <v>9</v>
      </c>
      <c r="H92" s="421">
        <f t="shared" si="40"/>
        <v>22</v>
      </c>
      <c r="I92" s="421">
        <f t="shared" si="41"/>
        <v>0</v>
      </c>
      <c r="J92" s="422">
        <f t="array" ref="J92">MAX((IF(MNU_CODIGO_ALIMENTO_ENTREGA=CONCATENATE($E92,"_","S_"),MNU_GRAMAJE_REQUERIDO_TIPOA,"")))</f>
        <v>40</v>
      </c>
      <c r="K92" s="227">
        <f t="shared" si="42"/>
        <v>681</v>
      </c>
      <c r="L92" s="227">
        <f t="shared" si="43"/>
        <v>0</v>
      </c>
      <c r="M92" s="227">
        <f t="shared" si="44"/>
        <v>14982</v>
      </c>
      <c r="N92" s="448">
        <f t="shared" si="45"/>
        <v>244</v>
      </c>
      <c r="O92" s="448">
        <f t="shared" si="46"/>
        <v>11.9072</v>
      </c>
      <c r="P92" s="448">
        <f t="shared" si="47"/>
        <v>0.209843904</v>
      </c>
      <c r="Q92" s="448">
        <f t="shared" si="48"/>
        <v>256</v>
      </c>
      <c r="R92" s="228">
        <f t="shared" si="49"/>
        <v>3655608</v>
      </c>
      <c r="S92" s="228">
        <f t="shared" si="50"/>
        <v>3835392</v>
      </c>
      <c r="T92" s="423">
        <f t="shared" si="51"/>
        <v>22</v>
      </c>
      <c r="U92" s="423">
        <f t="shared" si="52"/>
        <v>0</v>
      </c>
      <c r="V92" s="424">
        <f t="array" ref="V92">MAX((IF(MNU_CODIGO_ALIMENTO_ENTREGA=CONCATENATE($E92,"_","S_"),MNU_GRAMAJE_REQUERIDO_TIPOB,"")))</f>
        <v>40</v>
      </c>
      <c r="W92" s="391">
        <f t="shared" si="53"/>
        <v>801</v>
      </c>
      <c r="X92" s="391">
        <f t="shared" si="54"/>
        <v>0</v>
      </c>
      <c r="Y92" s="391">
        <f t="shared" si="55"/>
        <v>17622</v>
      </c>
      <c r="Z92" s="448">
        <f t="shared" si="56"/>
        <v>244</v>
      </c>
      <c r="AA92" s="448">
        <f t="shared" si="57"/>
        <v>11.9072</v>
      </c>
      <c r="AB92" s="448">
        <f t="shared" si="58"/>
        <v>0.209843904</v>
      </c>
      <c r="AC92" s="448">
        <f t="shared" si="59"/>
        <v>256</v>
      </c>
      <c r="AD92" s="229">
        <f t="shared" si="60"/>
        <v>4299768</v>
      </c>
      <c r="AE92" s="229">
        <f t="shared" si="61"/>
        <v>4511232</v>
      </c>
      <c r="AF92" s="421">
        <f t="shared" si="62"/>
        <v>22</v>
      </c>
      <c r="AG92" s="421">
        <f t="shared" si="63"/>
        <v>0</v>
      </c>
      <c r="AH92" s="422">
        <f t="array" ref="AH92">MAX((IF(MNU_CODIGO_ALIMENTO_ENTREGA=CONCATENATE($E92,"_","S_"),MNU_GRAMAJE_REQUERIDO_TIPOC,"")))</f>
        <v>60</v>
      </c>
      <c r="AI92" s="227">
        <f t="shared" si="64"/>
        <v>877</v>
      </c>
      <c r="AJ92" s="227">
        <f t="shared" si="65"/>
        <v>0</v>
      </c>
      <c r="AK92" s="227">
        <f t="shared" si="66"/>
        <v>19294</v>
      </c>
      <c r="AL92" s="448">
        <f t="shared" si="67"/>
        <v>366</v>
      </c>
      <c r="AM92" s="448">
        <f t="shared" si="68"/>
        <v>17.860800000000001</v>
      </c>
      <c r="AN92" s="448">
        <f t="shared" si="69"/>
        <v>0.31476585600000001</v>
      </c>
      <c r="AO92" s="448">
        <f t="shared" si="70"/>
        <v>384</v>
      </c>
      <c r="AP92" s="448">
        <f t="shared" si="71"/>
        <v>7061604</v>
      </c>
      <c r="AQ92" s="228">
        <f t="shared" si="72"/>
        <v>7408896</v>
      </c>
      <c r="AR92" s="391">
        <f t="shared" si="73"/>
        <v>15016980</v>
      </c>
      <c r="AS92" s="391">
        <f t="shared" si="74"/>
        <v>15755520</v>
      </c>
    </row>
    <row r="93" spans="1:45" ht="27">
      <c r="A93" s="226">
        <v>10</v>
      </c>
      <c r="B93" s="226" t="str">
        <f t="shared" si="38"/>
        <v>CEREAL EMPACADO_10</v>
      </c>
      <c r="C93" s="333" t="str">
        <f t="shared" si="39"/>
        <v>28_10</v>
      </c>
      <c r="D93" s="392" t="s">
        <v>1607</v>
      </c>
      <c r="E93" s="226">
        <v>28</v>
      </c>
      <c r="F93" s="325" t="s">
        <v>67</v>
      </c>
      <c r="G93" s="226" t="s">
        <v>9</v>
      </c>
      <c r="H93" s="421">
        <f t="shared" si="40"/>
        <v>19</v>
      </c>
      <c r="I93" s="421">
        <f t="shared" si="41"/>
        <v>0</v>
      </c>
      <c r="J93" s="422">
        <f t="array" ref="J93">MAX((IF(MNU_CODIGO_ALIMENTO_ENTREGA=CONCATENATE($E93,"_","S_"),MNU_GRAMAJE_REQUERIDO_TIPOA,"")))</f>
        <v>30</v>
      </c>
      <c r="K93" s="227">
        <f t="shared" si="42"/>
        <v>681</v>
      </c>
      <c r="L93" s="227">
        <f t="shared" si="43"/>
        <v>0</v>
      </c>
      <c r="M93" s="227">
        <f t="shared" si="44"/>
        <v>12939</v>
      </c>
      <c r="N93" s="448">
        <f t="shared" si="45"/>
        <v>215</v>
      </c>
      <c r="O93" s="448">
        <f t="shared" si="46"/>
        <v>10.492000000000001</v>
      </c>
      <c r="P93" s="448">
        <f t="shared" si="47"/>
        <v>0.18490343999999997</v>
      </c>
      <c r="Q93" s="448">
        <f t="shared" si="48"/>
        <v>226</v>
      </c>
      <c r="R93" s="228">
        <f t="shared" si="49"/>
        <v>2781885</v>
      </c>
      <c r="S93" s="228">
        <f t="shared" si="50"/>
        <v>2924214</v>
      </c>
      <c r="T93" s="423">
        <f t="shared" si="51"/>
        <v>19</v>
      </c>
      <c r="U93" s="423">
        <f t="shared" si="52"/>
        <v>0</v>
      </c>
      <c r="V93" s="424">
        <f t="array" ref="V93">MAX((IF(MNU_CODIGO_ALIMENTO_ENTREGA=CONCATENATE($E93,"_","S_"),MNU_GRAMAJE_REQUERIDO_TIPOB,"")))</f>
        <v>40</v>
      </c>
      <c r="W93" s="391">
        <f t="shared" si="53"/>
        <v>801</v>
      </c>
      <c r="X93" s="391">
        <f t="shared" si="54"/>
        <v>0</v>
      </c>
      <c r="Y93" s="391">
        <f t="shared" si="55"/>
        <v>15219</v>
      </c>
      <c r="Z93" s="448">
        <f t="shared" si="56"/>
        <v>287</v>
      </c>
      <c r="AA93" s="448">
        <f t="shared" si="57"/>
        <v>14.005600000000001</v>
      </c>
      <c r="AB93" s="448">
        <f t="shared" si="58"/>
        <v>0.24682459200000004</v>
      </c>
      <c r="AC93" s="448">
        <f t="shared" si="59"/>
        <v>301</v>
      </c>
      <c r="AD93" s="229">
        <f t="shared" si="60"/>
        <v>4367853</v>
      </c>
      <c r="AE93" s="229">
        <f t="shared" si="61"/>
        <v>4580919</v>
      </c>
      <c r="AF93" s="421">
        <f t="shared" si="62"/>
        <v>19</v>
      </c>
      <c r="AG93" s="421">
        <f t="shared" si="63"/>
        <v>0</v>
      </c>
      <c r="AH93" s="422">
        <f t="array" ref="AH93">MAX((IF(MNU_CODIGO_ALIMENTO_ENTREGA=CONCATENATE($E93,"_","S_"),MNU_GRAMAJE_REQUERIDO_TIPOC,"")))</f>
        <v>60</v>
      </c>
      <c r="AI93" s="227">
        <f t="shared" si="64"/>
        <v>877</v>
      </c>
      <c r="AJ93" s="227">
        <f t="shared" si="65"/>
        <v>0</v>
      </c>
      <c r="AK93" s="227">
        <f t="shared" si="66"/>
        <v>16663</v>
      </c>
      <c r="AL93" s="448">
        <f t="shared" si="67"/>
        <v>430</v>
      </c>
      <c r="AM93" s="448">
        <f t="shared" si="68"/>
        <v>20.984000000000002</v>
      </c>
      <c r="AN93" s="448">
        <f t="shared" si="69"/>
        <v>0.36980687999999995</v>
      </c>
      <c r="AO93" s="448">
        <f t="shared" si="70"/>
        <v>451</v>
      </c>
      <c r="AP93" s="448">
        <f t="shared" si="71"/>
        <v>7165090</v>
      </c>
      <c r="AQ93" s="228">
        <f t="shared" si="72"/>
        <v>7515013</v>
      </c>
      <c r="AR93" s="391">
        <f t="shared" si="73"/>
        <v>14314828</v>
      </c>
      <c r="AS93" s="391">
        <f t="shared" si="74"/>
        <v>15020146</v>
      </c>
    </row>
    <row r="94" spans="1:45" ht="15.75">
      <c r="A94" s="226">
        <v>10</v>
      </c>
      <c r="B94" s="226" t="str">
        <f t="shared" si="38"/>
        <v>CEREAL EMPACADO_10</v>
      </c>
      <c r="C94" s="333" t="str">
        <f t="shared" si="39"/>
        <v>45_10</v>
      </c>
      <c r="D94" s="392" t="s">
        <v>1607</v>
      </c>
      <c r="E94" s="226">
        <v>45</v>
      </c>
      <c r="F94" s="325" t="s">
        <v>10</v>
      </c>
      <c r="G94" s="226" t="s">
        <v>9</v>
      </c>
      <c r="H94" s="421">
        <f t="shared" si="40"/>
        <v>20</v>
      </c>
      <c r="I94" s="421">
        <f t="shared" si="41"/>
        <v>0</v>
      </c>
      <c r="J94" s="422">
        <f t="array" ref="J94">MAX((IF(MNU_CODIGO_ALIMENTO_ENTREGA=CONCATENATE($E94,"_","S_"),MNU_GRAMAJE_REQUERIDO_TIPOA,"")))</f>
        <v>20</v>
      </c>
      <c r="K94" s="227">
        <f t="shared" si="42"/>
        <v>681</v>
      </c>
      <c r="L94" s="227">
        <f t="shared" si="43"/>
        <v>0</v>
      </c>
      <c r="M94" s="227">
        <f t="shared" si="44"/>
        <v>13620</v>
      </c>
      <c r="N94" s="448">
        <f t="shared" si="45"/>
        <v>190</v>
      </c>
      <c r="O94" s="448">
        <f t="shared" si="46"/>
        <v>9.2720000000000002</v>
      </c>
      <c r="P94" s="448">
        <f t="shared" si="47"/>
        <v>0.16340304</v>
      </c>
      <c r="Q94" s="448">
        <f t="shared" si="48"/>
        <v>199</v>
      </c>
      <c r="R94" s="228">
        <f t="shared" si="49"/>
        <v>2587800</v>
      </c>
      <c r="S94" s="228">
        <f t="shared" si="50"/>
        <v>2710380</v>
      </c>
      <c r="T94" s="423">
        <f t="shared" si="51"/>
        <v>20</v>
      </c>
      <c r="U94" s="423">
        <f t="shared" si="52"/>
        <v>0</v>
      </c>
      <c r="V94" s="424">
        <f t="array" ref="V94">MAX((IF(MNU_CODIGO_ALIMENTO_ENTREGA=CONCATENATE($E94,"_","S_"),MNU_GRAMAJE_REQUERIDO_TIPOB,"")))</f>
        <v>30</v>
      </c>
      <c r="W94" s="391">
        <f t="shared" si="53"/>
        <v>801</v>
      </c>
      <c r="X94" s="391">
        <f t="shared" si="54"/>
        <v>0</v>
      </c>
      <c r="Y94" s="391">
        <f t="shared" si="55"/>
        <v>16020</v>
      </c>
      <c r="Z94" s="448">
        <f t="shared" si="56"/>
        <v>284</v>
      </c>
      <c r="AA94" s="448">
        <f t="shared" si="57"/>
        <v>13.8592</v>
      </c>
      <c r="AB94" s="448">
        <f t="shared" si="58"/>
        <v>0.24424454399999998</v>
      </c>
      <c r="AC94" s="448">
        <f t="shared" si="59"/>
        <v>298</v>
      </c>
      <c r="AD94" s="229">
        <f t="shared" si="60"/>
        <v>4549680</v>
      </c>
      <c r="AE94" s="229">
        <f t="shared" si="61"/>
        <v>4773960</v>
      </c>
      <c r="AF94" s="421">
        <f t="shared" si="62"/>
        <v>20</v>
      </c>
      <c r="AG94" s="421">
        <f t="shared" si="63"/>
        <v>0</v>
      </c>
      <c r="AH94" s="422">
        <f t="array" ref="AH94">MAX((IF(MNU_CODIGO_ALIMENTO_ENTREGA=CONCATENATE($E94,"_","S_"),MNU_GRAMAJE_REQUERIDO_TIPOC,"")))</f>
        <v>60</v>
      </c>
      <c r="AI94" s="227">
        <f t="shared" si="64"/>
        <v>877</v>
      </c>
      <c r="AJ94" s="227">
        <f t="shared" si="65"/>
        <v>0</v>
      </c>
      <c r="AK94" s="227">
        <f t="shared" si="66"/>
        <v>17540</v>
      </c>
      <c r="AL94" s="448">
        <f t="shared" si="67"/>
        <v>569</v>
      </c>
      <c r="AM94" s="448">
        <f t="shared" si="68"/>
        <v>27.767199999999999</v>
      </c>
      <c r="AN94" s="448">
        <f t="shared" si="69"/>
        <v>0.48934910400000003</v>
      </c>
      <c r="AO94" s="448">
        <f t="shared" si="70"/>
        <v>597</v>
      </c>
      <c r="AP94" s="448">
        <f t="shared" si="71"/>
        <v>9980260</v>
      </c>
      <c r="AQ94" s="228">
        <f t="shared" si="72"/>
        <v>10471380</v>
      </c>
      <c r="AR94" s="391">
        <f t="shared" si="73"/>
        <v>17117740</v>
      </c>
      <c r="AS94" s="391">
        <f t="shared" si="74"/>
        <v>17955720</v>
      </c>
    </row>
    <row r="95" spans="1:45" ht="15.75">
      <c r="A95" s="226">
        <v>10</v>
      </c>
      <c r="B95" s="226" t="str">
        <f t="shared" si="38"/>
        <v>CEREAL EMPACADO_10</v>
      </c>
      <c r="C95" s="333" t="str">
        <f t="shared" si="39"/>
        <v>61_10</v>
      </c>
      <c r="D95" s="392" t="s">
        <v>1607</v>
      </c>
      <c r="E95" s="226">
        <v>61</v>
      </c>
      <c r="F95" s="325" t="s">
        <v>13</v>
      </c>
      <c r="G95" s="226" t="s">
        <v>9</v>
      </c>
      <c r="H95" s="421">
        <f t="shared" si="40"/>
        <v>20</v>
      </c>
      <c r="I95" s="421">
        <f t="shared" si="41"/>
        <v>0</v>
      </c>
      <c r="J95" s="422">
        <f t="array" ref="J95">MAX((IF(MNU_CODIGO_ALIMENTO_ENTREGA=CONCATENATE($E95,"_","S_"),MNU_GRAMAJE_REQUERIDO_TIPOA,"")))</f>
        <v>20</v>
      </c>
      <c r="K95" s="227">
        <f t="shared" si="42"/>
        <v>681</v>
      </c>
      <c r="L95" s="227">
        <f t="shared" si="43"/>
        <v>0</v>
      </c>
      <c r="M95" s="227">
        <f t="shared" si="44"/>
        <v>13620</v>
      </c>
      <c r="N95" s="448">
        <f t="shared" si="45"/>
        <v>222</v>
      </c>
      <c r="O95" s="448">
        <f t="shared" si="46"/>
        <v>10.833600000000001</v>
      </c>
      <c r="P95" s="448">
        <f t="shared" si="47"/>
        <v>0.190923552</v>
      </c>
      <c r="Q95" s="448">
        <f t="shared" si="48"/>
        <v>233</v>
      </c>
      <c r="R95" s="228">
        <f t="shared" si="49"/>
        <v>3023640</v>
      </c>
      <c r="S95" s="228">
        <f t="shared" si="50"/>
        <v>3173460</v>
      </c>
      <c r="T95" s="423">
        <f t="shared" si="51"/>
        <v>20</v>
      </c>
      <c r="U95" s="423">
        <f t="shared" si="52"/>
        <v>0</v>
      </c>
      <c r="V95" s="424">
        <f t="array" ref="V95">MAX((IF(MNU_CODIGO_ALIMENTO_ENTREGA=CONCATENATE($E95,"_","S_"),MNU_GRAMAJE_REQUERIDO_TIPOB,"")))</f>
        <v>30</v>
      </c>
      <c r="W95" s="391">
        <f t="shared" si="53"/>
        <v>801</v>
      </c>
      <c r="X95" s="391">
        <f t="shared" si="54"/>
        <v>0</v>
      </c>
      <c r="Y95" s="391">
        <f t="shared" si="55"/>
        <v>16020</v>
      </c>
      <c r="Z95" s="448">
        <f t="shared" si="56"/>
        <v>334</v>
      </c>
      <c r="AA95" s="448">
        <f t="shared" si="57"/>
        <v>16.299199999999999</v>
      </c>
      <c r="AB95" s="448">
        <f t="shared" si="58"/>
        <v>0.28724534400000001</v>
      </c>
      <c r="AC95" s="448">
        <f t="shared" si="59"/>
        <v>351</v>
      </c>
      <c r="AD95" s="229">
        <f t="shared" si="60"/>
        <v>5350680</v>
      </c>
      <c r="AE95" s="229">
        <f t="shared" si="61"/>
        <v>5623020</v>
      </c>
      <c r="AF95" s="421">
        <f t="shared" si="62"/>
        <v>20</v>
      </c>
      <c r="AG95" s="421">
        <f t="shared" si="63"/>
        <v>0</v>
      </c>
      <c r="AH95" s="422">
        <f t="array" ref="AH95">MAX((IF(MNU_CODIGO_ALIMENTO_ENTREGA=CONCATENATE($E95,"_","S_"),MNU_GRAMAJE_REQUERIDO_TIPOC,"")))</f>
        <v>70</v>
      </c>
      <c r="AI95" s="227">
        <f t="shared" si="64"/>
        <v>877</v>
      </c>
      <c r="AJ95" s="227">
        <f t="shared" si="65"/>
        <v>0</v>
      </c>
      <c r="AK95" s="227">
        <f t="shared" si="66"/>
        <v>17540</v>
      </c>
      <c r="AL95" s="448">
        <f t="shared" si="67"/>
        <v>779</v>
      </c>
      <c r="AM95" s="448">
        <f t="shared" si="68"/>
        <v>38.0152</v>
      </c>
      <c r="AN95" s="448">
        <f t="shared" si="69"/>
        <v>0.66995246400000008</v>
      </c>
      <c r="AO95" s="448">
        <f t="shared" si="70"/>
        <v>818</v>
      </c>
      <c r="AP95" s="448">
        <f t="shared" si="71"/>
        <v>13663660</v>
      </c>
      <c r="AQ95" s="228">
        <f t="shared" si="72"/>
        <v>14347720</v>
      </c>
      <c r="AR95" s="391">
        <f t="shared" si="73"/>
        <v>22037980</v>
      </c>
      <c r="AS95" s="391">
        <f t="shared" si="74"/>
        <v>23144200</v>
      </c>
    </row>
    <row r="96" spans="1:45" ht="15.75">
      <c r="A96" s="226">
        <v>11</v>
      </c>
      <c r="B96" s="226" t="str">
        <f t="shared" si="38"/>
        <v>CEREAL EMPACADO_11</v>
      </c>
      <c r="C96" s="333" t="str">
        <f t="shared" si="39"/>
        <v>3_11</v>
      </c>
      <c r="D96" s="392" t="s">
        <v>1607</v>
      </c>
      <c r="E96" s="226">
        <v>3</v>
      </c>
      <c r="F96" s="325" t="s">
        <v>12</v>
      </c>
      <c r="G96" s="226" t="s">
        <v>9</v>
      </c>
      <c r="H96" s="421">
        <f t="shared" si="40"/>
        <v>19</v>
      </c>
      <c r="I96" s="421">
        <f t="shared" si="41"/>
        <v>0</v>
      </c>
      <c r="J96" s="422">
        <f t="array" ref="J96">MAX((IF(MNU_CODIGO_ALIMENTO_ENTREGA=CONCATENATE($E96,"_","S_"),MNU_GRAMAJE_REQUERIDO_TIPOA,"")))</f>
        <v>50</v>
      </c>
      <c r="K96" s="227">
        <f t="shared" si="42"/>
        <v>305</v>
      </c>
      <c r="L96" s="227">
        <f t="shared" si="43"/>
        <v>0</v>
      </c>
      <c r="M96" s="227">
        <f t="shared" si="44"/>
        <v>5795</v>
      </c>
      <c r="N96" s="448">
        <f t="shared" si="45"/>
        <v>481</v>
      </c>
      <c r="O96" s="448">
        <f t="shared" si="46"/>
        <v>23.472799999999999</v>
      </c>
      <c r="P96" s="448">
        <f t="shared" si="47"/>
        <v>0.41366769599999997</v>
      </c>
      <c r="Q96" s="448">
        <f t="shared" si="48"/>
        <v>505</v>
      </c>
      <c r="R96" s="228">
        <f t="shared" si="49"/>
        <v>2787395</v>
      </c>
      <c r="S96" s="228">
        <f t="shared" si="50"/>
        <v>2926475</v>
      </c>
      <c r="T96" s="423">
        <f t="shared" si="51"/>
        <v>19</v>
      </c>
      <c r="U96" s="423">
        <f t="shared" si="52"/>
        <v>0</v>
      </c>
      <c r="V96" s="424">
        <f t="array" ref="V96">MAX((IF(MNU_CODIGO_ALIMENTO_ENTREGA=CONCATENATE($E96,"_","S_"),MNU_GRAMAJE_REQUERIDO_TIPOB,"")))</f>
        <v>50</v>
      </c>
      <c r="W96" s="391">
        <f t="shared" si="53"/>
        <v>75</v>
      </c>
      <c r="X96" s="391">
        <f t="shared" si="54"/>
        <v>0</v>
      </c>
      <c r="Y96" s="391">
        <f t="shared" si="55"/>
        <v>1425</v>
      </c>
      <c r="Z96" s="448">
        <f t="shared" si="56"/>
        <v>481</v>
      </c>
      <c r="AA96" s="448">
        <f t="shared" si="57"/>
        <v>23.472799999999999</v>
      </c>
      <c r="AB96" s="448">
        <f t="shared" si="58"/>
        <v>0.41366769599999997</v>
      </c>
      <c r="AC96" s="448">
        <f t="shared" si="59"/>
        <v>505</v>
      </c>
      <c r="AD96" s="229">
        <f t="shared" si="60"/>
        <v>685425</v>
      </c>
      <c r="AE96" s="229">
        <f t="shared" si="61"/>
        <v>719625</v>
      </c>
      <c r="AF96" s="421">
        <f t="shared" si="62"/>
        <v>19</v>
      </c>
      <c r="AG96" s="421">
        <f t="shared" si="63"/>
        <v>0</v>
      </c>
      <c r="AH96" s="422">
        <f t="array" ref="AH96">MAX((IF(MNU_CODIGO_ALIMENTO_ENTREGA=CONCATENATE($E96,"_","S_"),MNU_GRAMAJE_REQUERIDO_TIPOC,"")))</f>
        <v>80</v>
      </c>
      <c r="AI96" s="227">
        <f t="shared" si="64"/>
        <v>1633</v>
      </c>
      <c r="AJ96" s="227">
        <f t="shared" si="65"/>
        <v>0</v>
      </c>
      <c r="AK96" s="227">
        <f t="shared" si="66"/>
        <v>31027</v>
      </c>
      <c r="AL96" s="448">
        <f t="shared" si="67"/>
        <v>727</v>
      </c>
      <c r="AM96" s="448">
        <f t="shared" si="68"/>
        <v>35.477600000000002</v>
      </c>
      <c r="AN96" s="448">
        <f t="shared" si="69"/>
        <v>0.62523163200000009</v>
      </c>
      <c r="AO96" s="448">
        <f t="shared" si="70"/>
        <v>763</v>
      </c>
      <c r="AP96" s="448">
        <f t="shared" si="71"/>
        <v>22556629</v>
      </c>
      <c r="AQ96" s="228">
        <f t="shared" si="72"/>
        <v>23673601</v>
      </c>
      <c r="AR96" s="391">
        <f t="shared" si="73"/>
        <v>26029449</v>
      </c>
      <c r="AS96" s="391">
        <f t="shared" si="74"/>
        <v>27319701</v>
      </c>
    </row>
    <row r="97" spans="1:45" ht="15.75">
      <c r="A97" s="226">
        <v>11</v>
      </c>
      <c r="B97" s="226" t="str">
        <f t="shared" si="38"/>
        <v>CEREAL EMPACADO_11</v>
      </c>
      <c r="C97" s="333" t="str">
        <f t="shared" si="39"/>
        <v>15_11</v>
      </c>
      <c r="D97" s="392" t="s">
        <v>1607</v>
      </c>
      <c r="E97" s="226">
        <v>15</v>
      </c>
      <c r="F97" s="325" t="s">
        <v>66</v>
      </c>
      <c r="G97" s="226" t="s">
        <v>9</v>
      </c>
      <c r="H97" s="421">
        <f t="shared" si="40"/>
        <v>11</v>
      </c>
      <c r="I97" s="421">
        <f t="shared" si="41"/>
        <v>11</v>
      </c>
      <c r="J97" s="422">
        <f t="array" ref="J97">MAX((IF(MNU_CODIGO_ALIMENTO_ENTREGA=CONCATENATE($E97,"_","S_"),MNU_GRAMAJE_REQUERIDO_TIPOA,"")))</f>
        <v>50</v>
      </c>
      <c r="K97" s="227">
        <f t="shared" si="42"/>
        <v>305</v>
      </c>
      <c r="L97" s="227">
        <f t="shared" si="43"/>
        <v>0</v>
      </c>
      <c r="M97" s="227">
        <f t="shared" si="44"/>
        <v>3355</v>
      </c>
      <c r="N97" s="448">
        <f t="shared" si="45"/>
        <v>641</v>
      </c>
      <c r="O97" s="448">
        <f t="shared" si="46"/>
        <v>31.280800000000003</v>
      </c>
      <c r="P97" s="448">
        <f t="shared" si="47"/>
        <v>0.55127025600000001</v>
      </c>
      <c r="Q97" s="448">
        <f t="shared" si="48"/>
        <v>673</v>
      </c>
      <c r="R97" s="228">
        <f t="shared" si="49"/>
        <v>2150555</v>
      </c>
      <c r="S97" s="228">
        <f t="shared" si="50"/>
        <v>2257915</v>
      </c>
      <c r="T97" s="423">
        <f t="shared" si="51"/>
        <v>11</v>
      </c>
      <c r="U97" s="423">
        <f t="shared" si="52"/>
        <v>11</v>
      </c>
      <c r="V97" s="424">
        <f t="array" ref="V97">MAX((IF(MNU_CODIGO_ALIMENTO_ENTREGA=CONCATENATE($E97,"_","S_"),MNU_GRAMAJE_REQUERIDO_TIPOB,"")))</f>
        <v>50</v>
      </c>
      <c r="W97" s="391">
        <f t="shared" si="53"/>
        <v>75</v>
      </c>
      <c r="X97" s="391">
        <f t="shared" si="54"/>
        <v>0</v>
      </c>
      <c r="Y97" s="391">
        <f t="shared" si="55"/>
        <v>825</v>
      </c>
      <c r="Z97" s="448">
        <f t="shared" si="56"/>
        <v>641</v>
      </c>
      <c r="AA97" s="448">
        <f t="shared" si="57"/>
        <v>31.280800000000003</v>
      </c>
      <c r="AB97" s="448">
        <f t="shared" si="58"/>
        <v>0.55127025600000001</v>
      </c>
      <c r="AC97" s="448">
        <f t="shared" si="59"/>
        <v>673</v>
      </c>
      <c r="AD97" s="229">
        <f t="shared" si="60"/>
        <v>528825</v>
      </c>
      <c r="AE97" s="229">
        <f t="shared" si="61"/>
        <v>555225</v>
      </c>
      <c r="AF97" s="421">
        <f t="shared" si="62"/>
        <v>11</v>
      </c>
      <c r="AG97" s="421">
        <f t="shared" si="63"/>
        <v>11</v>
      </c>
      <c r="AH97" s="422">
        <f t="array" ref="AH97">MAX((IF(MNU_CODIGO_ALIMENTO_ENTREGA=CONCATENATE($E97,"_","S_"),MNU_GRAMAJE_REQUERIDO_TIPOC,"")))</f>
        <v>80</v>
      </c>
      <c r="AI97" s="227">
        <f t="shared" si="64"/>
        <v>1633</v>
      </c>
      <c r="AJ97" s="227">
        <f t="shared" si="65"/>
        <v>0</v>
      </c>
      <c r="AK97" s="227">
        <f t="shared" si="66"/>
        <v>17963</v>
      </c>
      <c r="AL97" s="448">
        <f t="shared" si="67"/>
        <v>1025</v>
      </c>
      <c r="AM97" s="448">
        <f t="shared" si="68"/>
        <v>50.02</v>
      </c>
      <c r="AN97" s="448">
        <f t="shared" si="69"/>
        <v>0.88151640000000009</v>
      </c>
      <c r="AO97" s="448">
        <f t="shared" si="70"/>
        <v>1076</v>
      </c>
      <c r="AP97" s="448">
        <f t="shared" si="71"/>
        <v>18412075</v>
      </c>
      <c r="AQ97" s="228">
        <f t="shared" si="72"/>
        <v>19328188</v>
      </c>
      <c r="AR97" s="391">
        <f t="shared" si="73"/>
        <v>21091455</v>
      </c>
      <c r="AS97" s="391">
        <f t="shared" si="74"/>
        <v>22141328</v>
      </c>
    </row>
    <row r="98" spans="1:45" ht="27">
      <c r="A98" s="226">
        <v>11</v>
      </c>
      <c r="B98" s="226" t="str">
        <f t="shared" si="38"/>
        <v>CEREAL EMPACADO_11</v>
      </c>
      <c r="C98" s="333" t="str">
        <f t="shared" si="39"/>
        <v>21_11</v>
      </c>
      <c r="D98" s="392" t="s">
        <v>1607</v>
      </c>
      <c r="E98" s="226">
        <v>21</v>
      </c>
      <c r="F98" s="325" t="s">
        <v>70</v>
      </c>
      <c r="G98" s="226" t="s">
        <v>9</v>
      </c>
      <c r="H98" s="421">
        <f t="shared" si="40"/>
        <v>22</v>
      </c>
      <c r="I98" s="421">
        <f t="shared" si="41"/>
        <v>0</v>
      </c>
      <c r="J98" s="422">
        <f t="array" ref="J98">MAX((IF(MNU_CODIGO_ALIMENTO_ENTREGA=CONCATENATE($E98,"_","S_"),MNU_GRAMAJE_REQUERIDO_TIPOA,"")))</f>
        <v>30</v>
      </c>
      <c r="K98" s="227">
        <f t="shared" si="42"/>
        <v>305</v>
      </c>
      <c r="L98" s="227">
        <f t="shared" si="43"/>
        <v>0</v>
      </c>
      <c r="M98" s="227">
        <f t="shared" si="44"/>
        <v>6710</v>
      </c>
      <c r="N98" s="448">
        <f t="shared" si="45"/>
        <v>458</v>
      </c>
      <c r="O98" s="448">
        <f t="shared" si="46"/>
        <v>22.3504</v>
      </c>
      <c r="P98" s="448">
        <f t="shared" si="47"/>
        <v>0.39388732799999998</v>
      </c>
      <c r="Q98" s="448">
        <f t="shared" si="48"/>
        <v>481</v>
      </c>
      <c r="R98" s="228">
        <f t="shared" si="49"/>
        <v>3073180</v>
      </c>
      <c r="S98" s="228">
        <f t="shared" si="50"/>
        <v>3227510</v>
      </c>
      <c r="T98" s="423">
        <f t="shared" si="51"/>
        <v>22</v>
      </c>
      <c r="U98" s="423">
        <f t="shared" si="52"/>
        <v>0</v>
      </c>
      <c r="V98" s="424">
        <f t="array" ref="V98">MAX((IF(MNU_CODIGO_ALIMENTO_ENTREGA=CONCATENATE($E98,"_","S_"),MNU_GRAMAJE_REQUERIDO_TIPOB,"")))</f>
        <v>30</v>
      </c>
      <c r="W98" s="391">
        <f t="shared" si="53"/>
        <v>75</v>
      </c>
      <c r="X98" s="391">
        <f t="shared" si="54"/>
        <v>0</v>
      </c>
      <c r="Y98" s="391">
        <f t="shared" si="55"/>
        <v>1650</v>
      </c>
      <c r="Z98" s="448">
        <f t="shared" si="56"/>
        <v>458</v>
      </c>
      <c r="AA98" s="448">
        <f t="shared" si="57"/>
        <v>22.3504</v>
      </c>
      <c r="AB98" s="448">
        <f t="shared" si="58"/>
        <v>0.39388732799999998</v>
      </c>
      <c r="AC98" s="448">
        <f t="shared" si="59"/>
        <v>481</v>
      </c>
      <c r="AD98" s="229">
        <f t="shared" si="60"/>
        <v>755700</v>
      </c>
      <c r="AE98" s="229">
        <f t="shared" si="61"/>
        <v>793650</v>
      </c>
      <c r="AF98" s="421">
        <f t="shared" si="62"/>
        <v>22</v>
      </c>
      <c r="AG98" s="421">
        <f t="shared" si="63"/>
        <v>0</v>
      </c>
      <c r="AH98" s="422">
        <f t="array" ref="AH98">MAX((IF(MNU_CODIGO_ALIMENTO_ENTREGA=CONCATENATE($E98,"_","S_"),MNU_GRAMAJE_REQUERIDO_TIPOC,"")))</f>
        <v>50</v>
      </c>
      <c r="AI98" s="227">
        <f t="shared" si="64"/>
        <v>1633</v>
      </c>
      <c r="AJ98" s="227">
        <f t="shared" si="65"/>
        <v>0</v>
      </c>
      <c r="AK98" s="227">
        <f t="shared" si="66"/>
        <v>35926</v>
      </c>
      <c r="AL98" s="448">
        <f t="shared" si="67"/>
        <v>764</v>
      </c>
      <c r="AM98" s="448">
        <f t="shared" si="68"/>
        <v>37.283200000000001</v>
      </c>
      <c r="AN98" s="448">
        <f t="shared" si="69"/>
        <v>0.65705222400000007</v>
      </c>
      <c r="AO98" s="448">
        <f t="shared" si="70"/>
        <v>802</v>
      </c>
      <c r="AP98" s="448">
        <f t="shared" si="71"/>
        <v>27447464</v>
      </c>
      <c r="AQ98" s="228">
        <f t="shared" si="72"/>
        <v>28812652</v>
      </c>
      <c r="AR98" s="391">
        <f t="shared" si="73"/>
        <v>31276344</v>
      </c>
      <c r="AS98" s="391">
        <f t="shared" si="74"/>
        <v>32833812</v>
      </c>
    </row>
    <row r="99" spans="1:45" ht="15.75">
      <c r="A99" s="226">
        <v>11</v>
      </c>
      <c r="B99" s="226" t="str">
        <f t="shared" si="38"/>
        <v>CEREAL EMPACADO_11</v>
      </c>
      <c r="C99" s="333" t="str">
        <f t="shared" si="39"/>
        <v>24_11</v>
      </c>
      <c r="D99" s="392" t="s">
        <v>1607</v>
      </c>
      <c r="E99" s="226">
        <v>24</v>
      </c>
      <c r="F99" s="325" t="s">
        <v>61</v>
      </c>
      <c r="G99" s="226" t="s">
        <v>9</v>
      </c>
      <c r="H99" s="421">
        <f t="shared" si="40"/>
        <v>11</v>
      </c>
      <c r="I99" s="421">
        <f t="shared" si="41"/>
        <v>11</v>
      </c>
      <c r="J99" s="422">
        <f t="array" ref="J99">MAX((IF(MNU_CODIGO_ALIMENTO_ENTREGA=CONCATENATE($E99,"_","S_"),MNU_GRAMAJE_REQUERIDO_TIPOA,"")))</f>
        <v>20</v>
      </c>
      <c r="K99" s="227">
        <f t="shared" si="42"/>
        <v>305</v>
      </c>
      <c r="L99" s="227">
        <f t="shared" si="43"/>
        <v>0</v>
      </c>
      <c r="M99" s="227">
        <f t="shared" si="44"/>
        <v>3355</v>
      </c>
      <c r="N99" s="448">
        <f t="shared" si="45"/>
        <v>122</v>
      </c>
      <c r="O99" s="448">
        <f t="shared" si="46"/>
        <v>5.9535999999999998</v>
      </c>
      <c r="P99" s="448">
        <f t="shared" si="47"/>
        <v>0.104921952</v>
      </c>
      <c r="Q99" s="448">
        <f t="shared" si="48"/>
        <v>128</v>
      </c>
      <c r="R99" s="228">
        <f t="shared" si="49"/>
        <v>409310</v>
      </c>
      <c r="S99" s="228">
        <f t="shared" si="50"/>
        <v>429440</v>
      </c>
      <c r="T99" s="423">
        <f t="shared" si="51"/>
        <v>11</v>
      </c>
      <c r="U99" s="423">
        <f t="shared" si="52"/>
        <v>11</v>
      </c>
      <c r="V99" s="424">
        <f t="array" ref="V99">MAX((IF(MNU_CODIGO_ALIMENTO_ENTREGA=CONCATENATE($E99,"_","S_"),MNU_GRAMAJE_REQUERIDO_TIPOB,"")))</f>
        <v>30</v>
      </c>
      <c r="W99" s="391">
        <f t="shared" si="53"/>
        <v>75</v>
      </c>
      <c r="X99" s="391">
        <f t="shared" si="54"/>
        <v>0</v>
      </c>
      <c r="Y99" s="391">
        <f t="shared" si="55"/>
        <v>825</v>
      </c>
      <c r="Z99" s="448">
        <f t="shared" si="56"/>
        <v>191</v>
      </c>
      <c r="AA99" s="448">
        <f t="shared" si="57"/>
        <v>9.3208000000000002</v>
      </c>
      <c r="AB99" s="448">
        <f t="shared" si="58"/>
        <v>0.16426305600000002</v>
      </c>
      <c r="AC99" s="448">
        <f t="shared" si="59"/>
        <v>200</v>
      </c>
      <c r="AD99" s="229">
        <f t="shared" si="60"/>
        <v>157575</v>
      </c>
      <c r="AE99" s="229">
        <f t="shared" si="61"/>
        <v>165000</v>
      </c>
      <c r="AF99" s="421">
        <f t="shared" si="62"/>
        <v>11</v>
      </c>
      <c r="AG99" s="421">
        <f t="shared" si="63"/>
        <v>11</v>
      </c>
      <c r="AH99" s="422">
        <f t="array" ref="AH99">MAX((IF(MNU_CODIGO_ALIMENTO_ENTREGA=CONCATENATE($E99,"_","S_"),MNU_GRAMAJE_REQUERIDO_TIPOC,"")))</f>
        <v>60</v>
      </c>
      <c r="AI99" s="227">
        <f t="shared" si="64"/>
        <v>1633</v>
      </c>
      <c r="AJ99" s="227">
        <f t="shared" si="65"/>
        <v>0</v>
      </c>
      <c r="AK99" s="227">
        <f t="shared" si="66"/>
        <v>17963</v>
      </c>
      <c r="AL99" s="448">
        <f t="shared" si="67"/>
        <v>367</v>
      </c>
      <c r="AM99" s="448">
        <f t="shared" si="68"/>
        <v>17.909599999999998</v>
      </c>
      <c r="AN99" s="448">
        <f t="shared" si="69"/>
        <v>0.31562587200000003</v>
      </c>
      <c r="AO99" s="448">
        <f t="shared" si="70"/>
        <v>385</v>
      </c>
      <c r="AP99" s="448">
        <f t="shared" si="71"/>
        <v>6592421</v>
      </c>
      <c r="AQ99" s="228">
        <f t="shared" si="72"/>
        <v>6915755</v>
      </c>
      <c r="AR99" s="391">
        <f t="shared" si="73"/>
        <v>7159306</v>
      </c>
      <c r="AS99" s="391">
        <f t="shared" si="74"/>
        <v>7510195</v>
      </c>
    </row>
    <row r="100" spans="1:45" ht="15.75">
      <c r="A100" s="226">
        <v>11</v>
      </c>
      <c r="B100" s="226" t="str">
        <f t="shared" ref="B100:B163" si="75">CONCATENATE(D100,"_",A100)</f>
        <v>CEREAL EMPACADO_11</v>
      </c>
      <c r="C100" s="333" t="str">
        <f t="shared" ref="C100:C163" si="76">CONCATENATE(E100,"_",A100)</f>
        <v>25_11</v>
      </c>
      <c r="D100" s="392" t="s">
        <v>1607</v>
      </c>
      <c r="E100" s="226">
        <v>25</v>
      </c>
      <c r="F100" s="325" t="s">
        <v>64</v>
      </c>
      <c r="G100" s="226" t="s">
        <v>9</v>
      </c>
      <c r="H100" s="421">
        <f t="shared" ref="H100:H163" si="77">SUMIF(MNU_CODIGO_ALIMENTO_ENTREGA,CONCATENATE($E100,"_","S_"),MNU_FRECUENCIAS_LAV_TIPOA)</f>
        <v>22</v>
      </c>
      <c r="I100" s="421">
        <f t="shared" ref="I100:I163" si="78">SUMIF(MNU_CODIGO_ALIMENTO_ENTREGA,CONCATENATE($E100,"_","S_"),MNU_FRECUENCIAS_FDS_TIPOA)</f>
        <v>0</v>
      </c>
      <c r="J100" s="422">
        <f t="array" ref="J100">MAX((IF(MNU_CODIGO_ALIMENTO_ENTREGA=CONCATENATE($E100,"_","S_"),MNU_GRAMAJE_REQUERIDO_TIPOA,"")))</f>
        <v>40</v>
      </c>
      <c r="K100" s="227">
        <f t="shared" ref="K100:K163" si="79">SUMIF(VOL_GRUPO,CONCATENATE($A100,"1052-2NO"),VOL_TIPOA)</f>
        <v>305</v>
      </c>
      <c r="L100" s="227">
        <f t="shared" ref="L100:L163" si="80">SUMIF(VOL_GRUPO,CONCATENATE($A100,"1052-2SI"),VOL_TIPOA)</f>
        <v>0</v>
      </c>
      <c r="M100" s="227">
        <f t="shared" ref="M100:M163" si="81">(H100*K100)+(I100*L100)</f>
        <v>6710</v>
      </c>
      <c r="N100" s="448">
        <f t="shared" ref="N100:N163" si="82">IF(ISERROR(AVERAGEIFS(MNU_COSTO_UNITARIO_TIPOA_SELECCIONADO,MNU_CODIGO_ALIMENTO_ENTREGA,CONCATENATE($E100,"_","S_"))),0,AVERAGEIFS(MNU_COSTO_UNITARIO_TIPOA_SELECCIONADO,MNU_CODIGO_ALIMENTO_ENTREGA,CONCATENATE($E100,"_","S_")))</f>
        <v>244</v>
      </c>
      <c r="O100" s="448">
        <f t="shared" ref="O100:O163" si="83">(N100*0.01)+(N100*0.005)+(N100*0.02)+(N100*(13.8/1000))</f>
        <v>11.9072</v>
      </c>
      <c r="P100" s="448">
        <f t="shared" ref="P100:P163" si="84">((N100+O100)*0.00071)+((N100+O100)*0.00011)</f>
        <v>0.209843904</v>
      </c>
      <c r="Q100" s="448">
        <f t="shared" ref="Q100:Q163" si="85">ROUND(N100+O100+P100,0)</f>
        <v>256</v>
      </c>
      <c r="R100" s="228">
        <f t="shared" ref="R100:R163" si="86">(H100*K100*N100)+(I100*L100*N100)</f>
        <v>1637240</v>
      </c>
      <c r="S100" s="228">
        <f t="shared" ref="S100:S163" si="87">(H100*K100*Q100)+(I100*L100*Q100)</f>
        <v>1717760</v>
      </c>
      <c r="T100" s="423">
        <f t="shared" ref="T100:T163" si="88">SUMIF(MNU_CODIGO_ALIMENTO_ENTREGA,CONCATENATE($E100,"_","S_"),MNU_FRECUENCIAS_LAV_TIPOB)</f>
        <v>22</v>
      </c>
      <c r="U100" s="423">
        <f t="shared" ref="U100:U163" si="89">SUMIF(MNU_CODIGO_ALIMENTO_ENTREGA,CONCATENATE($E100,"_","S_"),MNU_FRECUENCIAS_FDS_TIPOB)</f>
        <v>0</v>
      </c>
      <c r="V100" s="424">
        <f t="array" ref="V100">MAX((IF(MNU_CODIGO_ALIMENTO_ENTREGA=CONCATENATE($E100,"_","S_"),MNU_GRAMAJE_REQUERIDO_TIPOB,"")))</f>
        <v>40</v>
      </c>
      <c r="W100" s="391">
        <f t="shared" ref="W100:W163" si="90">SUMIF(VOL_GRUPO,CONCATENATE($A100,"1052-2NO"),VOL_TIPOB)</f>
        <v>75</v>
      </c>
      <c r="X100" s="391">
        <f t="shared" ref="X100:X163" si="91">SUMIF(VOL_GRUPO,CONCATENATE($A100,"1052-2SI"),VOL_TIPOB)</f>
        <v>0</v>
      </c>
      <c r="Y100" s="391">
        <f t="shared" ref="Y100:Y163" si="92">(T100*W100)+(U100*X100)</f>
        <v>1650</v>
      </c>
      <c r="Z100" s="448">
        <f t="shared" ref="Z100:Z163" si="93">IF(ISERROR(AVERAGEIFS(MNU_COSTO_UNITARIO_TIPOB_SELECCIONADO,MNU_CODIGO_ALIMENTO_ENTREGA,CONCATENATE($E100,"_","S_"))),0,AVERAGEIFS(MNU_COSTO_UNITARIO_TIPOB_SELECCIONADO,MNU_CODIGO_ALIMENTO_ENTREGA,CONCATENATE($E100,"_","S_")))</f>
        <v>244</v>
      </c>
      <c r="AA100" s="448">
        <f t="shared" ref="AA100:AA163" si="94">(Z100*0.01)+(Z100*0.005)+(Z100*0.02)+(Z100*(13.8/1000))</f>
        <v>11.9072</v>
      </c>
      <c r="AB100" s="448">
        <f t="shared" ref="AB100:AB163" si="95">((Z100+AA100)*0.00071)+((Z100+AA100)*0.00011)</f>
        <v>0.209843904</v>
      </c>
      <c r="AC100" s="448">
        <f t="shared" ref="AC100:AC163" si="96">ROUND(Z100+AA100+AB100,0)</f>
        <v>256</v>
      </c>
      <c r="AD100" s="229">
        <f t="shared" ref="AD100:AD163" si="97">(T100*W100*Z100)+(U100*X100*Z100)</f>
        <v>402600</v>
      </c>
      <c r="AE100" s="229">
        <f t="shared" ref="AE100:AE163" si="98">(T100*W100*AC100)+(U100*X100*AC100)</f>
        <v>422400</v>
      </c>
      <c r="AF100" s="421">
        <f t="shared" ref="AF100:AF163" si="99">SUMIF(MNU_CODIGO_ALIMENTO_ENTREGA,CONCATENATE($E100,"_","S_"),MNU_FRECUENCIAS_LAV_TIPOC)</f>
        <v>22</v>
      </c>
      <c r="AG100" s="421">
        <f t="shared" ref="AG100:AG163" si="100">SUMIF(MNU_CODIGO_ALIMENTO_ENTREGA,CONCATENATE($E100,"_","S_"),MNU_FRECUENCIAS_FDS_TIPOC)</f>
        <v>0</v>
      </c>
      <c r="AH100" s="422">
        <f t="array" ref="AH100">MAX((IF(MNU_CODIGO_ALIMENTO_ENTREGA=CONCATENATE($E100,"_","S_"),MNU_GRAMAJE_REQUERIDO_TIPOC,"")))</f>
        <v>60</v>
      </c>
      <c r="AI100" s="227">
        <f t="shared" ref="AI100:AI163" si="101">SUMIF(VOL_GRUPO,CONCATENATE($A100,"1052-2NO"),VOL_TIPOC)</f>
        <v>1633</v>
      </c>
      <c r="AJ100" s="227">
        <f t="shared" ref="AJ100:AJ163" si="102">SUMIF(VOL_GRUPO,CONCATENATE($A100,"1052-2SI"),VOL_TIPOC)</f>
        <v>0</v>
      </c>
      <c r="AK100" s="227">
        <f t="shared" ref="AK100:AK163" si="103">(AF100*AI100)+(AG100*AJ100)</f>
        <v>35926</v>
      </c>
      <c r="AL100" s="448">
        <f t="shared" ref="AL100:AL163" si="104">IF(ISERROR(AVERAGEIFS(MNU_COSTO_UNITARIO_TIPOC_SELECCIONADO,MNU_CODIGO_ALIMENTO_ENTREGA,CONCATENATE($E100,"_","S_"))),0,AVERAGEIFS(MNU_COSTO_UNITARIO_TIPOC_SELECCIONADO,MNU_CODIGO_ALIMENTO_ENTREGA,CONCATENATE($E100,"_","S_")))</f>
        <v>366</v>
      </c>
      <c r="AM100" s="448">
        <f t="shared" ref="AM100:AM163" si="105">(AL100*0.01)+(AL100*0.005)+(AL100*0.02)+(AL100*(13.8/1000))</f>
        <v>17.860800000000001</v>
      </c>
      <c r="AN100" s="448">
        <f t="shared" ref="AN100:AN163" si="106">((AL100+AM100)*0.00071)+((AL100+AM100)*0.00011)</f>
        <v>0.31476585600000001</v>
      </c>
      <c r="AO100" s="448">
        <f t="shared" ref="AO100:AO163" si="107">ROUND(AL100+AM100+AN100,0)</f>
        <v>384</v>
      </c>
      <c r="AP100" s="448">
        <f t="shared" ref="AP100:AP163" si="108">(AF100*AI100*AL100)+(AG100*AJ100*AL100)</f>
        <v>13148916</v>
      </c>
      <c r="AQ100" s="228">
        <f t="shared" ref="AQ100:AQ163" si="109">(AF100*AI100*AO100)+(AG100*AJ100*AO100)</f>
        <v>13795584</v>
      </c>
      <c r="AR100" s="391">
        <f t="shared" ref="AR100:AR163" si="110">R100+AD100+AP100</f>
        <v>15188756</v>
      </c>
      <c r="AS100" s="391">
        <f t="shared" ref="AS100:AS163" si="111">S100+AE100+AQ100</f>
        <v>15935744</v>
      </c>
    </row>
    <row r="101" spans="1:45" ht="27">
      <c r="A101" s="226">
        <v>11</v>
      </c>
      <c r="B101" s="226" t="str">
        <f t="shared" si="75"/>
        <v>CEREAL EMPACADO_11</v>
      </c>
      <c r="C101" s="333" t="str">
        <f t="shared" si="76"/>
        <v>28_11</v>
      </c>
      <c r="D101" s="392" t="s">
        <v>1607</v>
      </c>
      <c r="E101" s="226">
        <v>28</v>
      </c>
      <c r="F101" s="325" t="s">
        <v>67</v>
      </c>
      <c r="G101" s="226" t="s">
        <v>9</v>
      </c>
      <c r="H101" s="421">
        <f t="shared" si="77"/>
        <v>19</v>
      </c>
      <c r="I101" s="421">
        <f t="shared" si="78"/>
        <v>0</v>
      </c>
      <c r="J101" s="422">
        <f t="array" ref="J101">MAX((IF(MNU_CODIGO_ALIMENTO_ENTREGA=CONCATENATE($E101,"_","S_"),MNU_GRAMAJE_REQUERIDO_TIPOA,"")))</f>
        <v>30</v>
      </c>
      <c r="K101" s="227">
        <f t="shared" si="79"/>
        <v>305</v>
      </c>
      <c r="L101" s="227">
        <f t="shared" si="80"/>
        <v>0</v>
      </c>
      <c r="M101" s="227">
        <f t="shared" si="81"/>
        <v>5795</v>
      </c>
      <c r="N101" s="448">
        <f t="shared" si="82"/>
        <v>215</v>
      </c>
      <c r="O101" s="448">
        <f t="shared" si="83"/>
        <v>10.492000000000001</v>
      </c>
      <c r="P101" s="448">
        <f t="shared" si="84"/>
        <v>0.18490343999999997</v>
      </c>
      <c r="Q101" s="448">
        <f t="shared" si="85"/>
        <v>226</v>
      </c>
      <c r="R101" s="228">
        <f t="shared" si="86"/>
        <v>1245925</v>
      </c>
      <c r="S101" s="228">
        <f t="shared" si="87"/>
        <v>1309670</v>
      </c>
      <c r="T101" s="423">
        <f t="shared" si="88"/>
        <v>19</v>
      </c>
      <c r="U101" s="423">
        <f t="shared" si="89"/>
        <v>0</v>
      </c>
      <c r="V101" s="424">
        <f t="array" ref="V101">MAX((IF(MNU_CODIGO_ALIMENTO_ENTREGA=CONCATENATE($E101,"_","S_"),MNU_GRAMAJE_REQUERIDO_TIPOB,"")))</f>
        <v>40</v>
      </c>
      <c r="W101" s="391">
        <f t="shared" si="90"/>
        <v>75</v>
      </c>
      <c r="X101" s="391">
        <f t="shared" si="91"/>
        <v>0</v>
      </c>
      <c r="Y101" s="391">
        <f t="shared" si="92"/>
        <v>1425</v>
      </c>
      <c r="Z101" s="448">
        <f t="shared" si="93"/>
        <v>287</v>
      </c>
      <c r="AA101" s="448">
        <f t="shared" si="94"/>
        <v>14.005600000000001</v>
      </c>
      <c r="AB101" s="448">
        <f t="shared" si="95"/>
        <v>0.24682459200000004</v>
      </c>
      <c r="AC101" s="448">
        <f t="shared" si="96"/>
        <v>301</v>
      </c>
      <c r="AD101" s="229">
        <f t="shared" si="97"/>
        <v>408975</v>
      </c>
      <c r="AE101" s="229">
        <f t="shared" si="98"/>
        <v>428925</v>
      </c>
      <c r="AF101" s="421">
        <f t="shared" si="99"/>
        <v>19</v>
      </c>
      <c r="AG101" s="421">
        <f t="shared" si="100"/>
        <v>0</v>
      </c>
      <c r="AH101" s="422">
        <f t="array" ref="AH101">MAX((IF(MNU_CODIGO_ALIMENTO_ENTREGA=CONCATENATE($E101,"_","S_"),MNU_GRAMAJE_REQUERIDO_TIPOC,"")))</f>
        <v>60</v>
      </c>
      <c r="AI101" s="227">
        <f t="shared" si="101"/>
        <v>1633</v>
      </c>
      <c r="AJ101" s="227">
        <f t="shared" si="102"/>
        <v>0</v>
      </c>
      <c r="AK101" s="227">
        <f t="shared" si="103"/>
        <v>31027</v>
      </c>
      <c r="AL101" s="448">
        <f t="shared" si="104"/>
        <v>430</v>
      </c>
      <c r="AM101" s="448">
        <f t="shared" si="105"/>
        <v>20.984000000000002</v>
      </c>
      <c r="AN101" s="448">
        <f t="shared" si="106"/>
        <v>0.36980687999999995</v>
      </c>
      <c r="AO101" s="448">
        <f t="shared" si="107"/>
        <v>451</v>
      </c>
      <c r="AP101" s="448">
        <f t="shared" si="108"/>
        <v>13341610</v>
      </c>
      <c r="AQ101" s="228">
        <f t="shared" si="109"/>
        <v>13993177</v>
      </c>
      <c r="AR101" s="391">
        <f t="shared" si="110"/>
        <v>14996510</v>
      </c>
      <c r="AS101" s="391">
        <f t="shared" si="111"/>
        <v>15731772</v>
      </c>
    </row>
    <row r="102" spans="1:45" ht="15.75">
      <c r="A102" s="226">
        <v>11</v>
      </c>
      <c r="B102" s="226" t="str">
        <f t="shared" si="75"/>
        <v>CEREAL EMPACADO_11</v>
      </c>
      <c r="C102" s="333" t="str">
        <f t="shared" si="76"/>
        <v>45_11</v>
      </c>
      <c r="D102" s="392" t="s">
        <v>1607</v>
      </c>
      <c r="E102" s="226">
        <v>45</v>
      </c>
      <c r="F102" s="325" t="s">
        <v>10</v>
      </c>
      <c r="G102" s="226" t="s">
        <v>9</v>
      </c>
      <c r="H102" s="421">
        <f t="shared" si="77"/>
        <v>20</v>
      </c>
      <c r="I102" s="421">
        <f t="shared" si="78"/>
        <v>0</v>
      </c>
      <c r="J102" s="422">
        <f t="array" ref="J102">MAX((IF(MNU_CODIGO_ALIMENTO_ENTREGA=CONCATENATE($E102,"_","S_"),MNU_GRAMAJE_REQUERIDO_TIPOA,"")))</f>
        <v>20</v>
      </c>
      <c r="K102" s="227">
        <f t="shared" si="79"/>
        <v>305</v>
      </c>
      <c r="L102" s="227">
        <f t="shared" si="80"/>
        <v>0</v>
      </c>
      <c r="M102" s="227">
        <f t="shared" si="81"/>
        <v>6100</v>
      </c>
      <c r="N102" s="448">
        <f t="shared" si="82"/>
        <v>190</v>
      </c>
      <c r="O102" s="448">
        <f t="shared" si="83"/>
        <v>9.2720000000000002</v>
      </c>
      <c r="P102" s="448">
        <f t="shared" si="84"/>
        <v>0.16340304</v>
      </c>
      <c r="Q102" s="448">
        <f t="shared" si="85"/>
        <v>199</v>
      </c>
      <c r="R102" s="228">
        <f t="shared" si="86"/>
        <v>1159000</v>
      </c>
      <c r="S102" s="228">
        <f t="shared" si="87"/>
        <v>1213900</v>
      </c>
      <c r="T102" s="423">
        <f t="shared" si="88"/>
        <v>20</v>
      </c>
      <c r="U102" s="423">
        <f t="shared" si="89"/>
        <v>0</v>
      </c>
      <c r="V102" s="424">
        <f t="array" ref="V102">MAX((IF(MNU_CODIGO_ALIMENTO_ENTREGA=CONCATENATE($E102,"_","S_"),MNU_GRAMAJE_REQUERIDO_TIPOB,"")))</f>
        <v>30</v>
      </c>
      <c r="W102" s="391">
        <f t="shared" si="90"/>
        <v>75</v>
      </c>
      <c r="X102" s="391">
        <f t="shared" si="91"/>
        <v>0</v>
      </c>
      <c r="Y102" s="391">
        <f t="shared" si="92"/>
        <v>1500</v>
      </c>
      <c r="Z102" s="448">
        <f t="shared" si="93"/>
        <v>284</v>
      </c>
      <c r="AA102" s="448">
        <f t="shared" si="94"/>
        <v>13.8592</v>
      </c>
      <c r="AB102" s="448">
        <f t="shared" si="95"/>
        <v>0.24424454399999998</v>
      </c>
      <c r="AC102" s="448">
        <f t="shared" si="96"/>
        <v>298</v>
      </c>
      <c r="AD102" s="229">
        <f t="shared" si="97"/>
        <v>426000</v>
      </c>
      <c r="AE102" s="229">
        <f t="shared" si="98"/>
        <v>447000</v>
      </c>
      <c r="AF102" s="421">
        <f t="shared" si="99"/>
        <v>20</v>
      </c>
      <c r="AG102" s="421">
        <f t="shared" si="100"/>
        <v>0</v>
      </c>
      <c r="AH102" s="422">
        <f t="array" ref="AH102">MAX((IF(MNU_CODIGO_ALIMENTO_ENTREGA=CONCATENATE($E102,"_","S_"),MNU_GRAMAJE_REQUERIDO_TIPOC,"")))</f>
        <v>60</v>
      </c>
      <c r="AI102" s="227">
        <f t="shared" si="101"/>
        <v>1633</v>
      </c>
      <c r="AJ102" s="227">
        <f t="shared" si="102"/>
        <v>0</v>
      </c>
      <c r="AK102" s="227">
        <f t="shared" si="103"/>
        <v>32660</v>
      </c>
      <c r="AL102" s="448">
        <f t="shared" si="104"/>
        <v>569</v>
      </c>
      <c r="AM102" s="448">
        <f t="shared" si="105"/>
        <v>27.767199999999999</v>
      </c>
      <c r="AN102" s="448">
        <f t="shared" si="106"/>
        <v>0.48934910400000003</v>
      </c>
      <c r="AO102" s="448">
        <f t="shared" si="107"/>
        <v>597</v>
      </c>
      <c r="AP102" s="448">
        <f t="shared" si="108"/>
        <v>18583540</v>
      </c>
      <c r="AQ102" s="228">
        <f t="shared" si="109"/>
        <v>19498020</v>
      </c>
      <c r="AR102" s="391">
        <f t="shared" si="110"/>
        <v>20168540</v>
      </c>
      <c r="AS102" s="391">
        <f t="shared" si="111"/>
        <v>21158920</v>
      </c>
    </row>
    <row r="103" spans="1:45" ht="15.75">
      <c r="A103" s="226">
        <v>11</v>
      </c>
      <c r="B103" s="226" t="str">
        <f t="shared" si="75"/>
        <v>CEREAL EMPACADO_11</v>
      </c>
      <c r="C103" s="333" t="str">
        <f t="shared" si="76"/>
        <v>61_11</v>
      </c>
      <c r="D103" s="392" t="s">
        <v>1607</v>
      </c>
      <c r="E103" s="226">
        <v>61</v>
      </c>
      <c r="F103" s="325" t="s">
        <v>13</v>
      </c>
      <c r="G103" s="226" t="s">
        <v>9</v>
      </c>
      <c r="H103" s="421">
        <f t="shared" si="77"/>
        <v>20</v>
      </c>
      <c r="I103" s="421">
        <f t="shared" si="78"/>
        <v>0</v>
      </c>
      <c r="J103" s="422">
        <f t="array" ref="J103">MAX((IF(MNU_CODIGO_ALIMENTO_ENTREGA=CONCATENATE($E103,"_","S_"),MNU_GRAMAJE_REQUERIDO_TIPOA,"")))</f>
        <v>20</v>
      </c>
      <c r="K103" s="227">
        <f t="shared" si="79"/>
        <v>305</v>
      </c>
      <c r="L103" s="227">
        <f t="shared" si="80"/>
        <v>0</v>
      </c>
      <c r="M103" s="227">
        <f t="shared" si="81"/>
        <v>6100</v>
      </c>
      <c r="N103" s="448">
        <f t="shared" si="82"/>
        <v>222</v>
      </c>
      <c r="O103" s="448">
        <f t="shared" si="83"/>
        <v>10.833600000000001</v>
      </c>
      <c r="P103" s="448">
        <f t="shared" si="84"/>
        <v>0.190923552</v>
      </c>
      <c r="Q103" s="448">
        <f t="shared" si="85"/>
        <v>233</v>
      </c>
      <c r="R103" s="228">
        <f t="shared" si="86"/>
        <v>1354200</v>
      </c>
      <c r="S103" s="228">
        <f t="shared" si="87"/>
        <v>1421300</v>
      </c>
      <c r="T103" s="423">
        <f t="shared" si="88"/>
        <v>20</v>
      </c>
      <c r="U103" s="423">
        <f t="shared" si="89"/>
        <v>0</v>
      </c>
      <c r="V103" s="424">
        <f t="array" ref="V103">MAX((IF(MNU_CODIGO_ALIMENTO_ENTREGA=CONCATENATE($E103,"_","S_"),MNU_GRAMAJE_REQUERIDO_TIPOB,"")))</f>
        <v>30</v>
      </c>
      <c r="W103" s="391">
        <f t="shared" si="90"/>
        <v>75</v>
      </c>
      <c r="X103" s="391">
        <f t="shared" si="91"/>
        <v>0</v>
      </c>
      <c r="Y103" s="391">
        <f t="shared" si="92"/>
        <v>1500</v>
      </c>
      <c r="Z103" s="448">
        <f t="shared" si="93"/>
        <v>334</v>
      </c>
      <c r="AA103" s="448">
        <f t="shared" si="94"/>
        <v>16.299199999999999</v>
      </c>
      <c r="AB103" s="448">
        <f t="shared" si="95"/>
        <v>0.28724534400000001</v>
      </c>
      <c r="AC103" s="448">
        <f t="shared" si="96"/>
        <v>351</v>
      </c>
      <c r="AD103" s="229">
        <f t="shared" si="97"/>
        <v>501000</v>
      </c>
      <c r="AE103" s="229">
        <f t="shared" si="98"/>
        <v>526500</v>
      </c>
      <c r="AF103" s="421">
        <f t="shared" si="99"/>
        <v>20</v>
      </c>
      <c r="AG103" s="421">
        <f t="shared" si="100"/>
        <v>0</v>
      </c>
      <c r="AH103" s="422">
        <f t="array" ref="AH103">MAX((IF(MNU_CODIGO_ALIMENTO_ENTREGA=CONCATENATE($E103,"_","S_"),MNU_GRAMAJE_REQUERIDO_TIPOC,"")))</f>
        <v>70</v>
      </c>
      <c r="AI103" s="227">
        <f t="shared" si="101"/>
        <v>1633</v>
      </c>
      <c r="AJ103" s="227">
        <f t="shared" si="102"/>
        <v>0</v>
      </c>
      <c r="AK103" s="227">
        <f t="shared" si="103"/>
        <v>32660</v>
      </c>
      <c r="AL103" s="448">
        <f t="shared" si="104"/>
        <v>779</v>
      </c>
      <c r="AM103" s="448">
        <f t="shared" si="105"/>
        <v>38.0152</v>
      </c>
      <c r="AN103" s="448">
        <f t="shared" si="106"/>
        <v>0.66995246400000008</v>
      </c>
      <c r="AO103" s="448">
        <f t="shared" si="107"/>
        <v>818</v>
      </c>
      <c r="AP103" s="448">
        <f t="shared" si="108"/>
        <v>25442140</v>
      </c>
      <c r="AQ103" s="228">
        <f t="shared" si="109"/>
        <v>26715880</v>
      </c>
      <c r="AR103" s="391">
        <f t="shared" si="110"/>
        <v>27297340</v>
      </c>
      <c r="AS103" s="391">
        <f t="shared" si="111"/>
        <v>28663680</v>
      </c>
    </row>
    <row r="104" spans="1:45" ht="15.75">
      <c r="A104" s="226">
        <v>12</v>
      </c>
      <c r="B104" s="226" t="str">
        <f t="shared" si="75"/>
        <v>CEREAL EMPACADO_12</v>
      </c>
      <c r="C104" s="333" t="str">
        <f t="shared" si="76"/>
        <v>3_12</v>
      </c>
      <c r="D104" s="392" t="s">
        <v>1607</v>
      </c>
      <c r="E104" s="226">
        <v>3</v>
      </c>
      <c r="F104" s="325" t="s">
        <v>12</v>
      </c>
      <c r="G104" s="226" t="s">
        <v>9</v>
      </c>
      <c r="H104" s="421">
        <f t="shared" si="77"/>
        <v>19</v>
      </c>
      <c r="I104" s="421">
        <f t="shared" si="78"/>
        <v>0</v>
      </c>
      <c r="J104" s="422">
        <f t="array" ref="J104">MAX((IF(MNU_CODIGO_ALIMENTO_ENTREGA=CONCATENATE($E104,"_","S_"),MNU_GRAMAJE_REQUERIDO_TIPOA,"")))</f>
        <v>50</v>
      </c>
      <c r="K104" s="227">
        <f t="shared" si="79"/>
        <v>460</v>
      </c>
      <c r="L104" s="227">
        <f t="shared" si="80"/>
        <v>0</v>
      </c>
      <c r="M104" s="227">
        <f t="shared" si="81"/>
        <v>8740</v>
      </c>
      <c r="N104" s="448">
        <f t="shared" si="82"/>
        <v>481</v>
      </c>
      <c r="O104" s="448">
        <f t="shared" si="83"/>
        <v>23.472799999999999</v>
      </c>
      <c r="P104" s="448">
        <f t="shared" si="84"/>
        <v>0.41366769599999997</v>
      </c>
      <c r="Q104" s="448">
        <f t="shared" si="85"/>
        <v>505</v>
      </c>
      <c r="R104" s="228">
        <f t="shared" si="86"/>
        <v>4203940</v>
      </c>
      <c r="S104" s="228">
        <f t="shared" si="87"/>
        <v>4413700</v>
      </c>
      <c r="T104" s="423">
        <f t="shared" si="88"/>
        <v>19</v>
      </c>
      <c r="U104" s="423">
        <f t="shared" si="89"/>
        <v>0</v>
      </c>
      <c r="V104" s="424">
        <f t="array" ref="V104">MAX((IF(MNU_CODIGO_ALIMENTO_ENTREGA=CONCATENATE($E104,"_","S_"),MNU_GRAMAJE_REQUERIDO_TIPOB,"")))</f>
        <v>50</v>
      </c>
      <c r="W104" s="391">
        <f t="shared" si="90"/>
        <v>0</v>
      </c>
      <c r="X104" s="391">
        <f t="shared" si="91"/>
        <v>0</v>
      </c>
      <c r="Y104" s="391">
        <f t="shared" si="92"/>
        <v>0</v>
      </c>
      <c r="Z104" s="448">
        <f t="shared" si="93"/>
        <v>481</v>
      </c>
      <c r="AA104" s="448">
        <f t="shared" si="94"/>
        <v>23.472799999999999</v>
      </c>
      <c r="AB104" s="448">
        <f t="shared" si="95"/>
        <v>0.41366769599999997</v>
      </c>
      <c r="AC104" s="448">
        <f t="shared" si="96"/>
        <v>505</v>
      </c>
      <c r="AD104" s="229">
        <f t="shared" si="97"/>
        <v>0</v>
      </c>
      <c r="AE104" s="229">
        <f t="shared" si="98"/>
        <v>0</v>
      </c>
      <c r="AF104" s="421">
        <f t="shared" si="99"/>
        <v>19</v>
      </c>
      <c r="AG104" s="421">
        <f t="shared" si="100"/>
        <v>0</v>
      </c>
      <c r="AH104" s="422">
        <f t="array" ref="AH104">MAX((IF(MNU_CODIGO_ALIMENTO_ENTREGA=CONCATENATE($E104,"_","S_"),MNU_GRAMAJE_REQUERIDO_TIPOC,"")))</f>
        <v>80</v>
      </c>
      <c r="AI104" s="227">
        <f t="shared" si="101"/>
        <v>337</v>
      </c>
      <c r="AJ104" s="227">
        <f t="shared" si="102"/>
        <v>0</v>
      </c>
      <c r="AK104" s="227">
        <f t="shared" si="103"/>
        <v>6403</v>
      </c>
      <c r="AL104" s="448">
        <f t="shared" si="104"/>
        <v>727</v>
      </c>
      <c r="AM104" s="448">
        <f t="shared" si="105"/>
        <v>35.477600000000002</v>
      </c>
      <c r="AN104" s="448">
        <f t="shared" si="106"/>
        <v>0.62523163200000009</v>
      </c>
      <c r="AO104" s="448">
        <f t="shared" si="107"/>
        <v>763</v>
      </c>
      <c r="AP104" s="448">
        <f t="shared" si="108"/>
        <v>4654981</v>
      </c>
      <c r="AQ104" s="228">
        <f t="shared" si="109"/>
        <v>4885489</v>
      </c>
      <c r="AR104" s="391">
        <f t="shared" si="110"/>
        <v>8858921</v>
      </c>
      <c r="AS104" s="391">
        <f t="shared" si="111"/>
        <v>9299189</v>
      </c>
    </row>
    <row r="105" spans="1:45" ht="15.75">
      <c r="A105" s="226">
        <v>12</v>
      </c>
      <c r="B105" s="226" t="str">
        <f t="shared" si="75"/>
        <v>CEREAL EMPACADO_12</v>
      </c>
      <c r="C105" s="333" t="str">
        <f t="shared" si="76"/>
        <v>15_12</v>
      </c>
      <c r="D105" s="392" t="s">
        <v>1607</v>
      </c>
      <c r="E105" s="226">
        <v>15</v>
      </c>
      <c r="F105" s="325" t="s">
        <v>66</v>
      </c>
      <c r="G105" s="226" t="s">
        <v>9</v>
      </c>
      <c r="H105" s="421">
        <f t="shared" si="77"/>
        <v>11</v>
      </c>
      <c r="I105" s="421">
        <f t="shared" si="78"/>
        <v>11</v>
      </c>
      <c r="J105" s="422">
        <f t="array" ref="J105">MAX((IF(MNU_CODIGO_ALIMENTO_ENTREGA=CONCATENATE($E105,"_","S_"),MNU_GRAMAJE_REQUERIDO_TIPOA,"")))</f>
        <v>50</v>
      </c>
      <c r="K105" s="227">
        <f t="shared" si="79"/>
        <v>460</v>
      </c>
      <c r="L105" s="227">
        <f t="shared" si="80"/>
        <v>0</v>
      </c>
      <c r="M105" s="227">
        <f t="shared" si="81"/>
        <v>5060</v>
      </c>
      <c r="N105" s="448">
        <f t="shared" si="82"/>
        <v>641</v>
      </c>
      <c r="O105" s="448">
        <f t="shared" si="83"/>
        <v>31.280800000000003</v>
      </c>
      <c r="P105" s="448">
        <f t="shared" si="84"/>
        <v>0.55127025600000001</v>
      </c>
      <c r="Q105" s="448">
        <f t="shared" si="85"/>
        <v>673</v>
      </c>
      <c r="R105" s="228">
        <f t="shared" si="86"/>
        <v>3243460</v>
      </c>
      <c r="S105" s="228">
        <f t="shared" si="87"/>
        <v>3405380</v>
      </c>
      <c r="T105" s="423">
        <f t="shared" si="88"/>
        <v>11</v>
      </c>
      <c r="U105" s="423">
        <f t="shared" si="89"/>
        <v>11</v>
      </c>
      <c r="V105" s="424">
        <f t="array" ref="V105">MAX((IF(MNU_CODIGO_ALIMENTO_ENTREGA=CONCATENATE($E105,"_","S_"),MNU_GRAMAJE_REQUERIDO_TIPOB,"")))</f>
        <v>50</v>
      </c>
      <c r="W105" s="391">
        <f t="shared" si="90"/>
        <v>0</v>
      </c>
      <c r="X105" s="391">
        <f t="shared" si="91"/>
        <v>0</v>
      </c>
      <c r="Y105" s="391">
        <f t="shared" si="92"/>
        <v>0</v>
      </c>
      <c r="Z105" s="448">
        <f t="shared" si="93"/>
        <v>641</v>
      </c>
      <c r="AA105" s="448">
        <f t="shared" si="94"/>
        <v>31.280800000000003</v>
      </c>
      <c r="AB105" s="448">
        <f t="shared" si="95"/>
        <v>0.55127025600000001</v>
      </c>
      <c r="AC105" s="448">
        <f t="shared" si="96"/>
        <v>673</v>
      </c>
      <c r="AD105" s="229">
        <f t="shared" si="97"/>
        <v>0</v>
      </c>
      <c r="AE105" s="229">
        <f t="shared" si="98"/>
        <v>0</v>
      </c>
      <c r="AF105" s="421">
        <f t="shared" si="99"/>
        <v>11</v>
      </c>
      <c r="AG105" s="421">
        <f t="shared" si="100"/>
        <v>11</v>
      </c>
      <c r="AH105" s="422">
        <f t="array" ref="AH105">MAX((IF(MNU_CODIGO_ALIMENTO_ENTREGA=CONCATENATE($E105,"_","S_"),MNU_GRAMAJE_REQUERIDO_TIPOC,"")))</f>
        <v>80</v>
      </c>
      <c r="AI105" s="227">
        <f t="shared" si="101"/>
        <v>337</v>
      </c>
      <c r="AJ105" s="227">
        <f t="shared" si="102"/>
        <v>0</v>
      </c>
      <c r="AK105" s="227">
        <f t="shared" si="103"/>
        <v>3707</v>
      </c>
      <c r="AL105" s="448">
        <f t="shared" si="104"/>
        <v>1025</v>
      </c>
      <c r="AM105" s="448">
        <f t="shared" si="105"/>
        <v>50.02</v>
      </c>
      <c r="AN105" s="448">
        <f t="shared" si="106"/>
        <v>0.88151640000000009</v>
      </c>
      <c r="AO105" s="448">
        <f t="shared" si="107"/>
        <v>1076</v>
      </c>
      <c r="AP105" s="448">
        <f t="shared" si="108"/>
        <v>3799675</v>
      </c>
      <c r="AQ105" s="228">
        <f t="shared" si="109"/>
        <v>3988732</v>
      </c>
      <c r="AR105" s="391">
        <f t="shared" si="110"/>
        <v>7043135</v>
      </c>
      <c r="AS105" s="391">
        <f t="shared" si="111"/>
        <v>7394112</v>
      </c>
    </row>
    <row r="106" spans="1:45" ht="27">
      <c r="A106" s="226">
        <v>12</v>
      </c>
      <c r="B106" s="226" t="str">
        <f t="shared" si="75"/>
        <v>CEREAL EMPACADO_12</v>
      </c>
      <c r="C106" s="333" t="str">
        <f t="shared" si="76"/>
        <v>21_12</v>
      </c>
      <c r="D106" s="392" t="s">
        <v>1607</v>
      </c>
      <c r="E106" s="226">
        <v>21</v>
      </c>
      <c r="F106" s="325" t="s">
        <v>70</v>
      </c>
      <c r="G106" s="226" t="s">
        <v>9</v>
      </c>
      <c r="H106" s="421">
        <f t="shared" si="77"/>
        <v>22</v>
      </c>
      <c r="I106" s="421">
        <f t="shared" si="78"/>
        <v>0</v>
      </c>
      <c r="J106" s="422">
        <f t="array" ref="J106">MAX((IF(MNU_CODIGO_ALIMENTO_ENTREGA=CONCATENATE($E106,"_","S_"),MNU_GRAMAJE_REQUERIDO_TIPOA,"")))</f>
        <v>30</v>
      </c>
      <c r="K106" s="227">
        <f t="shared" si="79"/>
        <v>460</v>
      </c>
      <c r="L106" s="227">
        <f t="shared" si="80"/>
        <v>0</v>
      </c>
      <c r="M106" s="227">
        <f t="shared" si="81"/>
        <v>10120</v>
      </c>
      <c r="N106" s="448">
        <f t="shared" si="82"/>
        <v>458</v>
      </c>
      <c r="O106" s="448">
        <f t="shared" si="83"/>
        <v>22.3504</v>
      </c>
      <c r="P106" s="448">
        <f t="shared" si="84"/>
        <v>0.39388732799999998</v>
      </c>
      <c r="Q106" s="448">
        <f t="shared" si="85"/>
        <v>481</v>
      </c>
      <c r="R106" s="228">
        <f t="shared" si="86"/>
        <v>4634960</v>
      </c>
      <c r="S106" s="228">
        <f t="shared" si="87"/>
        <v>4867720</v>
      </c>
      <c r="T106" s="423">
        <f t="shared" si="88"/>
        <v>22</v>
      </c>
      <c r="U106" s="423">
        <f t="shared" si="89"/>
        <v>0</v>
      </c>
      <c r="V106" s="424">
        <f t="array" ref="V106">MAX((IF(MNU_CODIGO_ALIMENTO_ENTREGA=CONCATENATE($E106,"_","S_"),MNU_GRAMAJE_REQUERIDO_TIPOB,"")))</f>
        <v>30</v>
      </c>
      <c r="W106" s="391">
        <f t="shared" si="90"/>
        <v>0</v>
      </c>
      <c r="X106" s="391">
        <f t="shared" si="91"/>
        <v>0</v>
      </c>
      <c r="Y106" s="391">
        <f t="shared" si="92"/>
        <v>0</v>
      </c>
      <c r="Z106" s="448">
        <f t="shared" si="93"/>
        <v>458</v>
      </c>
      <c r="AA106" s="448">
        <f t="shared" si="94"/>
        <v>22.3504</v>
      </c>
      <c r="AB106" s="448">
        <f t="shared" si="95"/>
        <v>0.39388732799999998</v>
      </c>
      <c r="AC106" s="448">
        <f t="shared" si="96"/>
        <v>481</v>
      </c>
      <c r="AD106" s="229">
        <f t="shared" si="97"/>
        <v>0</v>
      </c>
      <c r="AE106" s="229">
        <f t="shared" si="98"/>
        <v>0</v>
      </c>
      <c r="AF106" s="421">
        <f t="shared" si="99"/>
        <v>22</v>
      </c>
      <c r="AG106" s="421">
        <f t="shared" si="100"/>
        <v>0</v>
      </c>
      <c r="AH106" s="422">
        <f t="array" ref="AH106">MAX((IF(MNU_CODIGO_ALIMENTO_ENTREGA=CONCATENATE($E106,"_","S_"),MNU_GRAMAJE_REQUERIDO_TIPOC,"")))</f>
        <v>50</v>
      </c>
      <c r="AI106" s="227">
        <f t="shared" si="101"/>
        <v>337</v>
      </c>
      <c r="AJ106" s="227">
        <f t="shared" si="102"/>
        <v>0</v>
      </c>
      <c r="AK106" s="227">
        <f t="shared" si="103"/>
        <v>7414</v>
      </c>
      <c r="AL106" s="448">
        <f t="shared" si="104"/>
        <v>764</v>
      </c>
      <c r="AM106" s="448">
        <f t="shared" si="105"/>
        <v>37.283200000000001</v>
      </c>
      <c r="AN106" s="448">
        <f t="shared" si="106"/>
        <v>0.65705222400000007</v>
      </c>
      <c r="AO106" s="448">
        <f t="shared" si="107"/>
        <v>802</v>
      </c>
      <c r="AP106" s="448">
        <f t="shared" si="108"/>
        <v>5664296</v>
      </c>
      <c r="AQ106" s="228">
        <f t="shared" si="109"/>
        <v>5946028</v>
      </c>
      <c r="AR106" s="391">
        <f t="shared" si="110"/>
        <v>10299256</v>
      </c>
      <c r="AS106" s="391">
        <f t="shared" si="111"/>
        <v>10813748</v>
      </c>
    </row>
    <row r="107" spans="1:45" ht="15.75">
      <c r="A107" s="226">
        <v>12</v>
      </c>
      <c r="B107" s="226" t="str">
        <f t="shared" si="75"/>
        <v>CEREAL EMPACADO_12</v>
      </c>
      <c r="C107" s="333" t="str">
        <f t="shared" si="76"/>
        <v>24_12</v>
      </c>
      <c r="D107" s="392" t="s">
        <v>1607</v>
      </c>
      <c r="E107" s="226">
        <v>24</v>
      </c>
      <c r="F107" s="325" t="s">
        <v>61</v>
      </c>
      <c r="G107" s="226" t="s">
        <v>9</v>
      </c>
      <c r="H107" s="421">
        <f t="shared" si="77"/>
        <v>11</v>
      </c>
      <c r="I107" s="421">
        <f t="shared" si="78"/>
        <v>11</v>
      </c>
      <c r="J107" s="422">
        <f t="array" ref="J107">MAX((IF(MNU_CODIGO_ALIMENTO_ENTREGA=CONCATENATE($E107,"_","S_"),MNU_GRAMAJE_REQUERIDO_TIPOA,"")))</f>
        <v>20</v>
      </c>
      <c r="K107" s="227">
        <f t="shared" si="79"/>
        <v>460</v>
      </c>
      <c r="L107" s="227">
        <f t="shared" si="80"/>
        <v>0</v>
      </c>
      <c r="M107" s="227">
        <f t="shared" si="81"/>
        <v>5060</v>
      </c>
      <c r="N107" s="448">
        <f t="shared" si="82"/>
        <v>122</v>
      </c>
      <c r="O107" s="448">
        <f t="shared" si="83"/>
        <v>5.9535999999999998</v>
      </c>
      <c r="P107" s="448">
        <f t="shared" si="84"/>
        <v>0.104921952</v>
      </c>
      <c r="Q107" s="448">
        <f t="shared" si="85"/>
        <v>128</v>
      </c>
      <c r="R107" s="228">
        <f t="shared" si="86"/>
        <v>617320</v>
      </c>
      <c r="S107" s="228">
        <f t="shared" si="87"/>
        <v>647680</v>
      </c>
      <c r="T107" s="423">
        <f t="shared" si="88"/>
        <v>11</v>
      </c>
      <c r="U107" s="423">
        <f t="shared" si="89"/>
        <v>11</v>
      </c>
      <c r="V107" s="424">
        <f t="array" ref="V107">MAX((IF(MNU_CODIGO_ALIMENTO_ENTREGA=CONCATENATE($E107,"_","S_"),MNU_GRAMAJE_REQUERIDO_TIPOB,"")))</f>
        <v>30</v>
      </c>
      <c r="W107" s="391">
        <f t="shared" si="90"/>
        <v>0</v>
      </c>
      <c r="X107" s="391">
        <f t="shared" si="91"/>
        <v>0</v>
      </c>
      <c r="Y107" s="391">
        <f t="shared" si="92"/>
        <v>0</v>
      </c>
      <c r="Z107" s="448">
        <f t="shared" si="93"/>
        <v>191</v>
      </c>
      <c r="AA107" s="448">
        <f t="shared" si="94"/>
        <v>9.3208000000000002</v>
      </c>
      <c r="AB107" s="448">
        <f t="shared" si="95"/>
        <v>0.16426305600000002</v>
      </c>
      <c r="AC107" s="448">
        <f t="shared" si="96"/>
        <v>200</v>
      </c>
      <c r="AD107" s="229">
        <f t="shared" si="97"/>
        <v>0</v>
      </c>
      <c r="AE107" s="229">
        <f t="shared" si="98"/>
        <v>0</v>
      </c>
      <c r="AF107" s="421">
        <f t="shared" si="99"/>
        <v>11</v>
      </c>
      <c r="AG107" s="421">
        <f t="shared" si="100"/>
        <v>11</v>
      </c>
      <c r="AH107" s="422">
        <f t="array" ref="AH107">MAX((IF(MNU_CODIGO_ALIMENTO_ENTREGA=CONCATENATE($E107,"_","S_"),MNU_GRAMAJE_REQUERIDO_TIPOC,"")))</f>
        <v>60</v>
      </c>
      <c r="AI107" s="227">
        <f t="shared" si="101"/>
        <v>337</v>
      </c>
      <c r="AJ107" s="227">
        <f t="shared" si="102"/>
        <v>0</v>
      </c>
      <c r="AK107" s="227">
        <f t="shared" si="103"/>
        <v>3707</v>
      </c>
      <c r="AL107" s="448">
        <f t="shared" si="104"/>
        <v>367</v>
      </c>
      <c r="AM107" s="448">
        <f t="shared" si="105"/>
        <v>17.909599999999998</v>
      </c>
      <c r="AN107" s="448">
        <f t="shared" si="106"/>
        <v>0.31562587200000003</v>
      </c>
      <c r="AO107" s="448">
        <f t="shared" si="107"/>
        <v>385</v>
      </c>
      <c r="AP107" s="448">
        <f t="shared" si="108"/>
        <v>1360469</v>
      </c>
      <c r="AQ107" s="228">
        <f t="shared" si="109"/>
        <v>1427195</v>
      </c>
      <c r="AR107" s="391">
        <f t="shared" si="110"/>
        <v>1977789</v>
      </c>
      <c r="AS107" s="391">
        <f t="shared" si="111"/>
        <v>2074875</v>
      </c>
    </row>
    <row r="108" spans="1:45" ht="15.75">
      <c r="A108" s="226">
        <v>12</v>
      </c>
      <c r="B108" s="226" t="str">
        <f t="shared" si="75"/>
        <v>CEREAL EMPACADO_12</v>
      </c>
      <c r="C108" s="333" t="str">
        <f t="shared" si="76"/>
        <v>25_12</v>
      </c>
      <c r="D108" s="392" t="s">
        <v>1607</v>
      </c>
      <c r="E108" s="226">
        <v>25</v>
      </c>
      <c r="F108" s="325" t="s">
        <v>64</v>
      </c>
      <c r="G108" s="226" t="s">
        <v>9</v>
      </c>
      <c r="H108" s="421">
        <f t="shared" si="77"/>
        <v>22</v>
      </c>
      <c r="I108" s="421">
        <f t="shared" si="78"/>
        <v>0</v>
      </c>
      <c r="J108" s="422">
        <f t="array" ref="J108">MAX((IF(MNU_CODIGO_ALIMENTO_ENTREGA=CONCATENATE($E108,"_","S_"),MNU_GRAMAJE_REQUERIDO_TIPOA,"")))</f>
        <v>40</v>
      </c>
      <c r="K108" s="227">
        <f t="shared" si="79"/>
        <v>460</v>
      </c>
      <c r="L108" s="227">
        <f t="shared" si="80"/>
        <v>0</v>
      </c>
      <c r="M108" s="227">
        <f t="shared" si="81"/>
        <v>10120</v>
      </c>
      <c r="N108" s="448">
        <f t="shared" si="82"/>
        <v>244</v>
      </c>
      <c r="O108" s="448">
        <f t="shared" si="83"/>
        <v>11.9072</v>
      </c>
      <c r="P108" s="448">
        <f t="shared" si="84"/>
        <v>0.209843904</v>
      </c>
      <c r="Q108" s="448">
        <f t="shared" si="85"/>
        <v>256</v>
      </c>
      <c r="R108" s="228">
        <f t="shared" si="86"/>
        <v>2469280</v>
      </c>
      <c r="S108" s="228">
        <f t="shared" si="87"/>
        <v>2590720</v>
      </c>
      <c r="T108" s="423">
        <f t="shared" si="88"/>
        <v>22</v>
      </c>
      <c r="U108" s="423">
        <f t="shared" si="89"/>
        <v>0</v>
      </c>
      <c r="V108" s="424">
        <f t="array" ref="V108">MAX((IF(MNU_CODIGO_ALIMENTO_ENTREGA=CONCATENATE($E108,"_","S_"),MNU_GRAMAJE_REQUERIDO_TIPOB,"")))</f>
        <v>40</v>
      </c>
      <c r="W108" s="391">
        <f t="shared" si="90"/>
        <v>0</v>
      </c>
      <c r="X108" s="391">
        <f t="shared" si="91"/>
        <v>0</v>
      </c>
      <c r="Y108" s="391">
        <f t="shared" si="92"/>
        <v>0</v>
      </c>
      <c r="Z108" s="448">
        <f t="shared" si="93"/>
        <v>244</v>
      </c>
      <c r="AA108" s="448">
        <f t="shared" si="94"/>
        <v>11.9072</v>
      </c>
      <c r="AB108" s="448">
        <f t="shared" si="95"/>
        <v>0.209843904</v>
      </c>
      <c r="AC108" s="448">
        <f t="shared" si="96"/>
        <v>256</v>
      </c>
      <c r="AD108" s="229">
        <f t="shared" si="97"/>
        <v>0</v>
      </c>
      <c r="AE108" s="229">
        <f t="shared" si="98"/>
        <v>0</v>
      </c>
      <c r="AF108" s="421">
        <f t="shared" si="99"/>
        <v>22</v>
      </c>
      <c r="AG108" s="421">
        <f t="shared" si="100"/>
        <v>0</v>
      </c>
      <c r="AH108" s="422">
        <f t="array" ref="AH108">MAX((IF(MNU_CODIGO_ALIMENTO_ENTREGA=CONCATENATE($E108,"_","S_"),MNU_GRAMAJE_REQUERIDO_TIPOC,"")))</f>
        <v>60</v>
      </c>
      <c r="AI108" s="227">
        <f t="shared" si="101"/>
        <v>337</v>
      </c>
      <c r="AJ108" s="227">
        <f t="shared" si="102"/>
        <v>0</v>
      </c>
      <c r="AK108" s="227">
        <f t="shared" si="103"/>
        <v>7414</v>
      </c>
      <c r="AL108" s="448">
        <f t="shared" si="104"/>
        <v>366</v>
      </c>
      <c r="AM108" s="448">
        <f t="shared" si="105"/>
        <v>17.860800000000001</v>
      </c>
      <c r="AN108" s="448">
        <f t="shared" si="106"/>
        <v>0.31476585600000001</v>
      </c>
      <c r="AO108" s="448">
        <f t="shared" si="107"/>
        <v>384</v>
      </c>
      <c r="AP108" s="448">
        <f t="shared" si="108"/>
        <v>2713524</v>
      </c>
      <c r="AQ108" s="228">
        <f t="shared" si="109"/>
        <v>2846976</v>
      </c>
      <c r="AR108" s="391">
        <f t="shared" si="110"/>
        <v>5182804</v>
      </c>
      <c r="AS108" s="391">
        <f t="shared" si="111"/>
        <v>5437696</v>
      </c>
    </row>
    <row r="109" spans="1:45" ht="27">
      <c r="A109" s="226">
        <v>12</v>
      </c>
      <c r="B109" s="226" t="str">
        <f t="shared" si="75"/>
        <v>CEREAL EMPACADO_12</v>
      </c>
      <c r="C109" s="333" t="str">
        <f t="shared" si="76"/>
        <v>28_12</v>
      </c>
      <c r="D109" s="392" t="s">
        <v>1607</v>
      </c>
      <c r="E109" s="226">
        <v>28</v>
      </c>
      <c r="F109" s="325" t="s">
        <v>67</v>
      </c>
      <c r="G109" s="226" t="s">
        <v>9</v>
      </c>
      <c r="H109" s="421">
        <f t="shared" si="77"/>
        <v>19</v>
      </c>
      <c r="I109" s="421">
        <f t="shared" si="78"/>
        <v>0</v>
      </c>
      <c r="J109" s="422">
        <f t="array" ref="J109">MAX((IF(MNU_CODIGO_ALIMENTO_ENTREGA=CONCATENATE($E109,"_","S_"),MNU_GRAMAJE_REQUERIDO_TIPOA,"")))</f>
        <v>30</v>
      </c>
      <c r="K109" s="227">
        <f t="shared" si="79"/>
        <v>460</v>
      </c>
      <c r="L109" s="227">
        <f t="shared" si="80"/>
        <v>0</v>
      </c>
      <c r="M109" s="227">
        <f t="shared" si="81"/>
        <v>8740</v>
      </c>
      <c r="N109" s="448">
        <f t="shared" si="82"/>
        <v>215</v>
      </c>
      <c r="O109" s="448">
        <f t="shared" si="83"/>
        <v>10.492000000000001</v>
      </c>
      <c r="P109" s="448">
        <f t="shared" si="84"/>
        <v>0.18490343999999997</v>
      </c>
      <c r="Q109" s="448">
        <f t="shared" si="85"/>
        <v>226</v>
      </c>
      <c r="R109" s="228">
        <f t="shared" si="86"/>
        <v>1879100</v>
      </c>
      <c r="S109" s="228">
        <f t="shared" si="87"/>
        <v>1975240</v>
      </c>
      <c r="T109" s="423">
        <f t="shared" si="88"/>
        <v>19</v>
      </c>
      <c r="U109" s="423">
        <f t="shared" si="89"/>
        <v>0</v>
      </c>
      <c r="V109" s="424">
        <f t="array" ref="V109">MAX((IF(MNU_CODIGO_ALIMENTO_ENTREGA=CONCATENATE($E109,"_","S_"),MNU_GRAMAJE_REQUERIDO_TIPOB,"")))</f>
        <v>40</v>
      </c>
      <c r="W109" s="391">
        <f t="shared" si="90"/>
        <v>0</v>
      </c>
      <c r="X109" s="391">
        <f t="shared" si="91"/>
        <v>0</v>
      </c>
      <c r="Y109" s="391">
        <f t="shared" si="92"/>
        <v>0</v>
      </c>
      <c r="Z109" s="448">
        <f t="shared" si="93"/>
        <v>287</v>
      </c>
      <c r="AA109" s="448">
        <f t="shared" si="94"/>
        <v>14.005600000000001</v>
      </c>
      <c r="AB109" s="448">
        <f t="shared" si="95"/>
        <v>0.24682459200000004</v>
      </c>
      <c r="AC109" s="448">
        <f t="shared" si="96"/>
        <v>301</v>
      </c>
      <c r="AD109" s="229">
        <f t="shared" si="97"/>
        <v>0</v>
      </c>
      <c r="AE109" s="229">
        <f t="shared" si="98"/>
        <v>0</v>
      </c>
      <c r="AF109" s="421">
        <f t="shared" si="99"/>
        <v>19</v>
      </c>
      <c r="AG109" s="421">
        <f t="shared" si="100"/>
        <v>0</v>
      </c>
      <c r="AH109" s="422">
        <f t="array" ref="AH109">MAX((IF(MNU_CODIGO_ALIMENTO_ENTREGA=CONCATENATE($E109,"_","S_"),MNU_GRAMAJE_REQUERIDO_TIPOC,"")))</f>
        <v>60</v>
      </c>
      <c r="AI109" s="227">
        <f t="shared" si="101"/>
        <v>337</v>
      </c>
      <c r="AJ109" s="227">
        <f t="shared" si="102"/>
        <v>0</v>
      </c>
      <c r="AK109" s="227">
        <f t="shared" si="103"/>
        <v>6403</v>
      </c>
      <c r="AL109" s="448">
        <f t="shared" si="104"/>
        <v>430</v>
      </c>
      <c r="AM109" s="448">
        <f t="shared" si="105"/>
        <v>20.984000000000002</v>
      </c>
      <c r="AN109" s="448">
        <f t="shared" si="106"/>
        <v>0.36980687999999995</v>
      </c>
      <c r="AO109" s="448">
        <f t="shared" si="107"/>
        <v>451</v>
      </c>
      <c r="AP109" s="448">
        <f t="shared" si="108"/>
        <v>2753290</v>
      </c>
      <c r="AQ109" s="228">
        <f t="shared" si="109"/>
        <v>2887753</v>
      </c>
      <c r="AR109" s="391">
        <f t="shared" si="110"/>
        <v>4632390</v>
      </c>
      <c r="AS109" s="391">
        <f t="shared" si="111"/>
        <v>4862993</v>
      </c>
    </row>
    <row r="110" spans="1:45" ht="15.75">
      <c r="A110" s="226">
        <v>12</v>
      </c>
      <c r="B110" s="226" t="str">
        <f t="shared" si="75"/>
        <v>CEREAL EMPACADO_12</v>
      </c>
      <c r="C110" s="333" t="str">
        <f t="shared" si="76"/>
        <v>45_12</v>
      </c>
      <c r="D110" s="392" t="s">
        <v>1607</v>
      </c>
      <c r="E110" s="226">
        <v>45</v>
      </c>
      <c r="F110" s="325" t="s">
        <v>10</v>
      </c>
      <c r="G110" s="226" t="s">
        <v>9</v>
      </c>
      <c r="H110" s="421">
        <f t="shared" si="77"/>
        <v>20</v>
      </c>
      <c r="I110" s="421">
        <f t="shared" si="78"/>
        <v>0</v>
      </c>
      <c r="J110" s="422">
        <f t="array" ref="J110">MAX((IF(MNU_CODIGO_ALIMENTO_ENTREGA=CONCATENATE($E110,"_","S_"),MNU_GRAMAJE_REQUERIDO_TIPOA,"")))</f>
        <v>20</v>
      </c>
      <c r="K110" s="227">
        <f t="shared" si="79"/>
        <v>460</v>
      </c>
      <c r="L110" s="227">
        <f t="shared" si="80"/>
        <v>0</v>
      </c>
      <c r="M110" s="227">
        <f t="shared" si="81"/>
        <v>9200</v>
      </c>
      <c r="N110" s="448">
        <f t="shared" si="82"/>
        <v>190</v>
      </c>
      <c r="O110" s="448">
        <f t="shared" si="83"/>
        <v>9.2720000000000002</v>
      </c>
      <c r="P110" s="448">
        <f t="shared" si="84"/>
        <v>0.16340304</v>
      </c>
      <c r="Q110" s="448">
        <f t="shared" si="85"/>
        <v>199</v>
      </c>
      <c r="R110" s="228">
        <f t="shared" si="86"/>
        <v>1748000</v>
      </c>
      <c r="S110" s="228">
        <f t="shared" si="87"/>
        <v>1830800</v>
      </c>
      <c r="T110" s="423">
        <f t="shared" si="88"/>
        <v>20</v>
      </c>
      <c r="U110" s="423">
        <f t="shared" si="89"/>
        <v>0</v>
      </c>
      <c r="V110" s="424">
        <f t="array" ref="V110">MAX((IF(MNU_CODIGO_ALIMENTO_ENTREGA=CONCATENATE($E110,"_","S_"),MNU_GRAMAJE_REQUERIDO_TIPOB,"")))</f>
        <v>30</v>
      </c>
      <c r="W110" s="391">
        <f t="shared" si="90"/>
        <v>0</v>
      </c>
      <c r="X110" s="391">
        <f t="shared" si="91"/>
        <v>0</v>
      </c>
      <c r="Y110" s="391">
        <f t="shared" si="92"/>
        <v>0</v>
      </c>
      <c r="Z110" s="448">
        <f t="shared" si="93"/>
        <v>284</v>
      </c>
      <c r="AA110" s="448">
        <f t="shared" si="94"/>
        <v>13.8592</v>
      </c>
      <c r="AB110" s="448">
        <f t="shared" si="95"/>
        <v>0.24424454399999998</v>
      </c>
      <c r="AC110" s="448">
        <f t="shared" si="96"/>
        <v>298</v>
      </c>
      <c r="AD110" s="229">
        <f t="shared" si="97"/>
        <v>0</v>
      </c>
      <c r="AE110" s="229">
        <f t="shared" si="98"/>
        <v>0</v>
      </c>
      <c r="AF110" s="421">
        <f t="shared" si="99"/>
        <v>20</v>
      </c>
      <c r="AG110" s="421">
        <f t="shared" si="100"/>
        <v>0</v>
      </c>
      <c r="AH110" s="422">
        <f t="array" ref="AH110">MAX((IF(MNU_CODIGO_ALIMENTO_ENTREGA=CONCATENATE($E110,"_","S_"),MNU_GRAMAJE_REQUERIDO_TIPOC,"")))</f>
        <v>60</v>
      </c>
      <c r="AI110" s="227">
        <f t="shared" si="101"/>
        <v>337</v>
      </c>
      <c r="AJ110" s="227">
        <f t="shared" si="102"/>
        <v>0</v>
      </c>
      <c r="AK110" s="227">
        <f t="shared" si="103"/>
        <v>6740</v>
      </c>
      <c r="AL110" s="448">
        <f t="shared" si="104"/>
        <v>569</v>
      </c>
      <c r="AM110" s="448">
        <f t="shared" si="105"/>
        <v>27.767199999999999</v>
      </c>
      <c r="AN110" s="448">
        <f t="shared" si="106"/>
        <v>0.48934910400000003</v>
      </c>
      <c r="AO110" s="448">
        <f t="shared" si="107"/>
        <v>597</v>
      </c>
      <c r="AP110" s="448">
        <f t="shared" si="108"/>
        <v>3835060</v>
      </c>
      <c r="AQ110" s="228">
        <f t="shared" si="109"/>
        <v>4023780</v>
      </c>
      <c r="AR110" s="391">
        <f t="shared" si="110"/>
        <v>5583060</v>
      </c>
      <c r="AS110" s="391">
        <f t="shared" si="111"/>
        <v>5854580</v>
      </c>
    </row>
    <row r="111" spans="1:45" ht="15.75">
      <c r="A111" s="226">
        <v>12</v>
      </c>
      <c r="B111" s="226" t="str">
        <f t="shared" si="75"/>
        <v>CEREAL EMPACADO_12</v>
      </c>
      <c r="C111" s="333" t="str">
        <f t="shared" si="76"/>
        <v>61_12</v>
      </c>
      <c r="D111" s="392" t="s">
        <v>1607</v>
      </c>
      <c r="E111" s="226">
        <v>61</v>
      </c>
      <c r="F111" s="325" t="s">
        <v>13</v>
      </c>
      <c r="G111" s="226" t="s">
        <v>9</v>
      </c>
      <c r="H111" s="421">
        <f t="shared" si="77"/>
        <v>20</v>
      </c>
      <c r="I111" s="421">
        <f t="shared" si="78"/>
        <v>0</v>
      </c>
      <c r="J111" s="422">
        <f t="array" ref="J111">MAX((IF(MNU_CODIGO_ALIMENTO_ENTREGA=CONCATENATE($E111,"_","S_"),MNU_GRAMAJE_REQUERIDO_TIPOA,"")))</f>
        <v>20</v>
      </c>
      <c r="K111" s="227">
        <f t="shared" si="79"/>
        <v>460</v>
      </c>
      <c r="L111" s="227">
        <f t="shared" si="80"/>
        <v>0</v>
      </c>
      <c r="M111" s="227">
        <f t="shared" si="81"/>
        <v>9200</v>
      </c>
      <c r="N111" s="448">
        <f t="shared" si="82"/>
        <v>222</v>
      </c>
      <c r="O111" s="448">
        <f t="shared" si="83"/>
        <v>10.833600000000001</v>
      </c>
      <c r="P111" s="448">
        <f t="shared" si="84"/>
        <v>0.190923552</v>
      </c>
      <c r="Q111" s="448">
        <f t="shared" si="85"/>
        <v>233</v>
      </c>
      <c r="R111" s="228">
        <f t="shared" si="86"/>
        <v>2042400</v>
      </c>
      <c r="S111" s="228">
        <f t="shared" si="87"/>
        <v>2143600</v>
      </c>
      <c r="T111" s="423">
        <f t="shared" si="88"/>
        <v>20</v>
      </c>
      <c r="U111" s="423">
        <f t="shared" si="89"/>
        <v>0</v>
      </c>
      <c r="V111" s="424">
        <f t="array" ref="V111">MAX((IF(MNU_CODIGO_ALIMENTO_ENTREGA=CONCATENATE($E111,"_","S_"),MNU_GRAMAJE_REQUERIDO_TIPOB,"")))</f>
        <v>30</v>
      </c>
      <c r="W111" s="391">
        <f t="shared" si="90"/>
        <v>0</v>
      </c>
      <c r="X111" s="391">
        <f t="shared" si="91"/>
        <v>0</v>
      </c>
      <c r="Y111" s="391">
        <f t="shared" si="92"/>
        <v>0</v>
      </c>
      <c r="Z111" s="448">
        <f t="shared" si="93"/>
        <v>334</v>
      </c>
      <c r="AA111" s="448">
        <f t="shared" si="94"/>
        <v>16.299199999999999</v>
      </c>
      <c r="AB111" s="448">
        <f t="shared" si="95"/>
        <v>0.28724534400000001</v>
      </c>
      <c r="AC111" s="448">
        <f t="shared" si="96"/>
        <v>351</v>
      </c>
      <c r="AD111" s="229">
        <f t="shared" si="97"/>
        <v>0</v>
      </c>
      <c r="AE111" s="229">
        <f t="shared" si="98"/>
        <v>0</v>
      </c>
      <c r="AF111" s="421">
        <f t="shared" si="99"/>
        <v>20</v>
      </c>
      <c r="AG111" s="421">
        <f t="shared" si="100"/>
        <v>0</v>
      </c>
      <c r="AH111" s="422">
        <f t="array" ref="AH111">MAX((IF(MNU_CODIGO_ALIMENTO_ENTREGA=CONCATENATE($E111,"_","S_"),MNU_GRAMAJE_REQUERIDO_TIPOC,"")))</f>
        <v>70</v>
      </c>
      <c r="AI111" s="227">
        <f t="shared" si="101"/>
        <v>337</v>
      </c>
      <c r="AJ111" s="227">
        <f t="shared" si="102"/>
        <v>0</v>
      </c>
      <c r="AK111" s="227">
        <f t="shared" si="103"/>
        <v>6740</v>
      </c>
      <c r="AL111" s="448">
        <f t="shared" si="104"/>
        <v>779</v>
      </c>
      <c r="AM111" s="448">
        <f t="shared" si="105"/>
        <v>38.0152</v>
      </c>
      <c r="AN111" s="448">
        <f t="shared" si="106"/>
        <v>0.66995246400000008</v>
      </c>
      <c r="AO111" s="448">
        <f t="shared" si="107"/>
        <v>818</v>
      </c>
      <c r="AP111" s="448">
        <f t="shared" si="108"/>
        <v>5250460</v>
      </c>
      <c r="AQ111" s="228">
        <f t="shared" si="109"/>
        <v>5513320</v>
      </c>
      <c r="AR111" s="391">
        <f t="shared" si="110"/>
        <v>7292860</v>
      </c>
      <c r="AS111" s="391">
        <f t="shared" si="111"/>
        <v>7656920</v>
      </c>
    </row>
    <row r="112" spans="1:45" ht="15.75">
      <c r="A112" s="226">
        <v>13</v>
      </c>
      <c r="B112" s="226" t="str">
        <f t="shared" si="75"/>
        <v>CEREAL EMPACADO_13</v>
      </c>
      <c r="C112" s="333" t="str">
        <f t="shared" si="76"/>
        <v>3_13</v>
      </c>
      <c r="D112" s="392" t="s">
        <v>1607</v>
      </c>
      <c r="E112" s="226">
        <v>3</v>
      </c>
      <c r="F112" s="325" t="s">
        <v>12</v>
      </c>
      <c r="G112" s="226" t="s">
        <v>9</v>
      </c>
      <c r="H112" s="421">
        <f t="shared" si="77"/>
        <v>19</v>
      </c>
      <c r="I112" s="421">
        <f t="shared" si="78"/>
        <v>0</v>
      </c>
      <c r="J112" s="422">
        <f t="array" ref="J112">MAX((IF(MNU_CODIGO_ALIMENTO_ENTREGA=CONCATENATE($E112,"_","S_"),MNU_GRAMAJE_REQUERIDO_TIPOA,"")))</f>
        <v>50</v>
      </c>
      <c r="K112" s="227">
        <f t="shared" si="79"/>
        <v>326</v>
      </c>
      <c r="L112" s="227">
        <f t="shared" si="80"/>
        <v>0</v>
      </c>
      <c r="M112" s="227">
        <f t="shared" si="81"/>
        <v>6194</v>
      </c>
      <c r="N112" s="448">
        <f t="shared" si="82"/>
        <v>481</v>
      </c>
      <c r="O112" s="448">
        <f t="shared" si="83"/>
        <v>23.472799999999999</v>
      </c>
      <c r="P112" s="448">
        <f t="shared" si="84"/>
        <v>0.41366769599999997</v>
      </c>
      <c r="Q112" s="448">
        <f t="shared" si="85"/>
        <v>505</v>
      </c>
      <c r="R112" s="228">
        <f t="shared" si="86"/>
        <v>2979314</v>
      </c>
      <c r="S112" s="228">
        <f t="shared" si="87"/>
        <v>3127970</v>
      </c>
      <c r="T112" s="423">
        <f t="shared" si="88"/>
        <v>19</v>
      </c>
      <c r="U112" s="423">
        <f t="shared" si="89"/>
        <v>0</v>
      </c>
      <c r="V112" s="424">
        <f t="array" ref="V112">MAX((IF(MNU_CODIGO_ALIMENTO_ENTREGA=CONCATENATE($E112,"_","S_"),MNU_GRAMAJE_REQUERIDO_TIPOB,"")))</f>
        <v>50</v>
      </c>
      <c r="W112" s="391">
        <f t="shared" si="90"/>
        <v>970</v>
      </c>
      <c r="X112" s="391">
        <f t="shared" si="91"/>
        <v>0</v>
      </c>
      <c r="Y112" s="391">
        <f t="shared" si="92"/>
        <v>18430</v>
      </c>
      <c r="Z112" s="448">
        <f t="shared" si="93"/>
        <v>481</v>
      </c>
      <c r="AA112" s="448">
        <f t="shared" si="94"/>
        <v>23.472799999999999</v>
      </c>
      <c r="AB112" s="448">
        <f t="shared" si="95"/>
        <v>0.41366769599999997</v>
      </c>
      <c r="AC112" s="448">
        <f t="shared" si="96"/>
        <v>505</v>
      </c>
      <c r="AD112" s="229">
        <f t="shared" si="97"/>
        <v>8864830</v>
      </c>
      <c r="AE112" s="229">
        <f t="shared" si="98"/>
        <v>9307150</v>
      </c>
      <c r="AF112" s="421">
        <f t="shared" si="99"/>
        <v>19</v>
      </c>
      <c r="AG112" s="421">
        <f t="shared" si="100"/>
        <v>0</v>
      </c>
      <c r="AH112" s="422">
        <f t="array" ref="AH112">MAX((IF(MNU_CODIGO_ALIMENTO_ENTREGA=CONCATENATE($E112,"_","S_"),MNU_GRAMAJE_REQUERIDO_TIPOC,"")))</f>
        <v>80</v>
      </c>
      <c r="AI112" s="227">
        <f t="shared" si="101"/>
        <v>1593</v>
      </c>
      <c r="AJ112" s="227">
        <f t="shared" si="102"/>
        <v>0</v>
      </c>
      <c r="AK112" s="227">
        <f t="shared" si="103"/>
        <v>30267</v>
      </c>
      <c r="AL112" s="448">
        <f t="shared" si="104"/>
        <v>727</v>
      </c>
      <c r="AM112" s="448">
        <f t="shared" si="105"/>
        <v>35.477600000000002</v>
      </c>
      <c r="AN112" s="448">
        <f t="shared" si="106"/>
        <v>0.62523163200000009</v>
      </c>
      <c r="AO112" s="448">
        <f t="shared" si="107"/>
        <v>763</v>
      </c>
      <c r="AP112" s="448">
        <f t="shared" si="108"/>
        <v>22004109</v>
      </c>
      <c r="AQ112" s="228">
        <f t="shared" si="109"/>
        <v>23093721</v>
      </c>
      <c r="AR112" s="391">
        <f t="shared" si="110"/>
        <v>33848253</v>
      </c>
      <c r="AS112" s="391">
        <f t="shared" si="111"/>
        <v>35528841</v>
      </c>
    </row>
    <row r="113" spans="1:45" ht="15.75">
      <c r="A113" s="226">
        <v>13</v>
      </c>
      <c r="B113" s="226" t="str">
        <f t="shared" si="75"/>
        <v>CEREAL EMPACADO_13</v>
      </c>
      <c r="C113" s="333" t="str">
        <f t="shared" si="76"/>
        <v>15_13</v>
      </c>
      <c r="D113" s="392" t="s">
        <v>1607</v>
      </c>
      <c r="E113" s="226">
        <v>15</v>
      </c>
      <c r="F113" s="325" t="s">
        <v>66</v>
      </c>
      <c r="G113" s="226" t="s">
        <v>9</v>
      </c>
      <c r="H113" s="421">
        <f t="shared" si="77"/>
        <v>11</v>
      </c>
      <c r="I113" s="421">
        <f t="shared" si="78"/>
        <v>11</v>
      </c>
      <c r="J113" s="422">
        <f t="array" ref="J113">MAX((IF(MNU_CODIGO_ALIMENTO_ENTREGA=CONCATENATE($E113,"_","S_"),MNU_GRAMAJE_REQUERIDO_TIPOA,"")))</f>
        <v>50</v>
      </c>
      <c r="K113" s="227">
        <f t="shared" si="79"/>
        <v>326</v>
      </c>
      <c r="L113" s="227">
        <f t="shared" si="80"/>
        <v>0</v>
      </c>
      <c r="M113" s="227">
        <f t="shared" si="81"/>
        <v>3586</v>
      </c>
      <c r="N113" s="448">
        <f t="shared" si="82"/>
        <v>641</v>
      </c>
      <c r="O113" s="448">
        <f t="shared" si="83"/>
        <v>31.280800000000003</v>
      </c>
      <c r="P113" s="448">
        <f t="shared" si="84"/>
        <v>0.55127025600000001</v>
      </c>
      <c r="Q113" s="448">
        <f t="shared" si="85"/>
        <v>673</v>
      </c>
      <c r="R113" s="228">
        <f t="shared" si="86"/>
        <v>2298626</v>
      </c>
      <c r="S113" s="228">
        <f t="shared" si="87"/>
        <v>2413378</v>
      </c>
      <c r="T113" s="423">
        <f t="shared" si="88"/>
        <v>11</v>
      </c>
      <c r="U113" s="423">
        <f t="shared" si="89"/>
        <v>11</v>
      </c>
      <c r="V113" s="424">
        <f t="array" ref="V113">MAX((IF(MNU_CODIGO_ALIMENTO_ENTREGA=CONCATENATE($E113,"_","S_"),MNU_GRAMAJE_REQUERIDO_TIPOB,"")))</f>
        <v>50</v>
      </c>
      <c r="W113" s="391">
        <f t="shared" si="90"/>
        <v>970</v>
      </c>
      <c r="X113" s="391">
        <f t="shared" si="91"/>
        <v>0</v>
      </c>
      <c r="Y113" s="391">
        <f t="shared" si="92"/>
        <v>10670</v>
      </c>
      <c r="Z113" s="448">
        <f t="shared" si="93"/>
        <v>641</v>
      </c>
      <c r="AA113" s="448">
        <f t="shared" si="94"/>
        <v>31.280800000000003</v>
      </c>
      <c r="AB113" s="448">
        <f t="shared" si="95"/>
        <v>0.55127025600000001</v>
      </c>
      <c r="AC113" s="448">
        <f t="shared" si="96"/>
        <v>673</v>
      </c>
      <c r="AD113" s="229">
        <f t="shared" si="97"/>
        <v>6839470</v>
      </c>
      <c r="AE113" s="229">
        <f t="shared" si="98"/>
        <v>7180910</v>
      </c>
      <c r="AF113" s="421">
        <f t="shared" si="99"/>
        <v>11</v>
      </c>
      <c r="AG113" s="421">
        <f t="shared" si="100"/>
        <v>11</v>
      </c>
      <c r="AH113" s="422">
        <f t="array" ref="AH113">MAX((IF(MNU_CODIGO_ALIMENTO_ENTREGA=CONCATENATE($E113,"_","S_"),MNU_GRAMAJE_REQUERIDO_TIPOC,"")))</f>
        <v>80</v>
      </c>
      <c r="AI113" s="227">
        <f t="shared" si="101"/>
        <v>1593</v>
      </c>
      <c r="AJ113" s="227">
        <f t="shared" si="102"/>
        <v>0</v>
      </c>
      <c r="AK113" s="227">
        <f t="shared" si="103"/>
        <v>17523</v>
      </c>
      <c r="AL113" s="448">
        <f t="shared" si="104"/>
        <v>1025</v>
      </c>
      <c r="AM113" s="448">
        <f t="shared" si="105"/>
        <v>50.02</v>
      </c>
      <c r="AN113" s="448">
        <f t="shared" si="106"/>
        <v>0.88151640000000009</v>
      </c>
      <c r="AO113" s="448">
        <f t="shared" si="107"/>
        <v>1076</v>
      </c>
      <c r="AP113" s="448">
        <f t="shared" si="108"/>
        <v>17961075</v>
      </c>
      <c r="AQ113" s="228">
        <f t="shared" si="109"/>
        <v>18854748</v>
      </c>
      <c r="AR113" s="391">
        <f t="shared" si="110"/>
        <v>27099171</v>
      </c>
      <c r="AS113" s="391">
        <f t="shared" si="111"/>
        <v>28449036</v>
      </c>
    </row>
    <row r="114" spans="1:45" ht="27">
      <c r="A114" s="226">
        <v>13</v>
      </c>
      <c r="B114" s="226" t="str">
        <f t="shared" si="75"/>
        <v>CEREAL EMPACADO_13</v>
      </c>
      <c r="C114" s="333" t="str">
        <f t="shared" si="76"/>
        <v>21_13</v>
      </c>
      <c r="D114" s="392" t="s">
        <v>1607</v>
      </c>
      <c r="E114" s="226">
        <v>21</v>
      </c>
      <c r="F114" s="325" t="s">
        <v>70</v>
      </c>
      <c r="G114" s="226" t="s">
        <v>9</v>
      </c>
      <c r="H114" s="421">
        <f t="shared" si="77"/>
        <v>22</v>
      </c>
      <c r="I114" s="421">
        <f t="shared" si="78"/>
        <v>0</v>
      </c>
      <c r="J114" s="422">
        <f t="array" ref="J114">MAX((IF(MNU_CODIGO_ALIMENTO_ENTREGA=CONCATENATE($E114,"_","S_"),MNU_GRAMAJE_REQUERIDO_TIPOA,"")))</f>
        <v>30</v>
      </c>
      <c r="K114" s="227">
        <f t="shared" si="79"/>
        <v>326</v>
      </c>
      <c r="L114" s="227">
        <f t="shared" si="80"/>
        <v>0</v>
      </c>
      <c r="M114" s="227">
        <f t="shared" si="81"/>
        <v>7172</v>
      </c>
      <c r="N114" s="448">
        <f t="shared" si="82"/>
        <v>458</v>
      </c>
      <c r="O114" s="448">
        <f t="shared" si="83"/>
        <v>22.3504</v>
      </c>
      <c r="P114" s="448">
        <f t="shared" si="84"/>
        <v>0.39388732799999998</v>
      </c>
      <c r="Q114" s="448">
        <f t="shared" si="85"/>
        <v>481</v>
      </c>
      <c r="R114" s="228">
        <f t="shared" si="86"/>
        <v>3284776</v>
      </c>
      <c r="S114" s="228">
        <f t="shared" si="87"/>
        <v>3449732</v>
      </c>
      <c r="T114" s="423">
        <f t="shared" si="88"/>
        <v>22</v>
      </c>
      <c r="U114" s="423">
        <f t="shared" si="89"/>
        <v>0</v>
      </c>
      <c r="V114" s="424">
        <f t="array" ref="V114">MAX((IF(MNU_CODIGO_ALIMENTO_ENTREGA=CONCATENATE($E114,"_","S_"),MNU_GRAMAJE_REQUERIDO_TIPOB,"")))</f>
        <v>30</v>
      </c>
      <c r="W114" s="391">
        <f t="shared" si="90"/>
        <v>970</v>
      </c>
      <c r="X114" s="391">
        <f t="shared" si="91"/>
        <v>0</v>
      </c>
      <c r="Y114" s="391">
        <f t="shared" si="92"/>
        <v>21340</v>
      </c>
      <c r="Z114" s="448">
        <f t="shared" si="93"/>
        <v>458</v>
      </c>
      <c r="AA114" s="448">
        <f t="shared" si="94"/>
        <v>22.3504</v>
      </c>
      <c r="AB114" s="448">
        <f t="shared" si="95"/>
        <v>0.39388732799999998</v>
      </c>
      <c r="AC114" s="448">
        <f t="shared" si="96"/>
        <v>481</v>
      </c>
      <c r="AD114" s="229">
        <f t="shared" si="97"/>
        <v>9773720</v>
      </c>
      <c r="AE114" s="229">
        <f t="shared" si="98"/>
        <v>10264540</v>
      </c>
      <c r="AF114" s="421">
        <f t="shared" si="99"/>
        <v>22</v>
      </c>
      <c r="AG114" s="421">
        <f t="shared" si="100"/>
        <v>0</v>
      </c>
      <c r="AH114" s="422">
        <f t="array" ref="AH114">MAX((IF(MNU_CODIGO_ALIMENTO_ENTREGA=CONCATENATE($E114,"_","S_"),MNU_GRAMAJE_REQUERIDO_TIPOC,"")))</f>
        <v>50</v>
      </c>
      <c r="AI114" s="227">
        <f t="shared" si="101"/>
        <v>1593</v>
      </c>
      <c r="AJ114" s="227">
        <f t="shared" si="102"/>
        <v>0</v>
      </c>
      <c r="AK114" s="227">
        <f t="shared" si="103"/>
        <v>35046</v>
      </c>
      <c r="AL114" s="448">
        <f t="shared" si="104"/>
        <v>764</v>
      </c>
      <c r="AM114" s="448">
        <f t="shared" si="105"/>
        <v>37.283200000000001</v>
      </c>
      <c r="AN114" s="448">
        <f t="shared" si="106"/>
        <v>0.65705222400000007</v>
      </c>
      <c r="AO114" s="448">
        <f t="shared" si="107"/>
        <v>802</v>
      </c>
      <c r="AP114" s="448">
        <f t="shared" si="108"/>
        <v>26775144</v>
      </c>
      <c r="AQ114" s="228">
        <f t="shared" si="109"/>
        <v>28106892</v>
      </c>
      <c r="AR114" s="391">
        <f t="shared" si="110"/>
        <v>39833640</v>
      </c>
      <c r="AS114" s="391">
        <f t="shared" si="111"/>
        <v>41821164</v>
      </c>
    </row>
    <row r="115" spans="1:45" ht="15.75">
      <c r="A115" s="226">
        <v>13</v>
      </c>
      <c r="B115" s="226" t="str">
        <f t="shared" si="75"/>
        <v>CEREAL EMPACADO_13</v>
      </c>
      <c r="C115" s="333" t="str">
        <f t="shared" si="76"/>
        <v>24_13</v>
      </c>
      <c r="D115" s="392" t="s">
        <v>1607</v>
      </c>
      <c r="E115" s="226">
        <v>24</v>
      </c>
      <c r="F115" s="325" t="s">
        <v>61</v>
      </c>
      <c r="G115" s="226" t="s">
        <v>9</v>
      </c>
      <c r="H115" s="421">
        <f t="shared" si="77"/>
        <v>11</v>
      </c>
      <c r="I115" s="421">
        <f t="shared" si="78"/>
        <v>11</v>
      </c>
      <c r="J115" s="422">
        <f t="array" ref="J115">MAX((IF(MNU_CODIGO_ALIMENTO_ENTREGA=CONCATENATE($E115,"_","S_"),MNU_GRAMAJE_REQUERIDO_TIPOA,"")))</f>
        <v>20</v>
      </c>
      <c r="K115" s="227">
        <f t="shared" si="79"/>
        <v>326</v>
      </c>
      <c r="L115" s="227">
        <f t="shared" si="80"/>
        <v>0</v>
      </c>
      <c r="M115" s="227">
        <f t="shared" si="81"/>
        <v>3586</v>
      </c>
      <c r="N115" s="448">
        <f t="shared" si="82"/>
        <v>122</v>
      </c>
      <c r="O115" s="448">
        <f t="shared" si="83"/>
        <v>5.9535999999999998</v>
      </c>
      <c r="P115" s="448">
        <f t="shared" si="84"/>
        <v>0.104921952</v>
      </c>
      <c r="Q115" s="448">
        <f t="shared" si="85"/>
        <v>128</v>
      </c>
      <c r="R115" s="228">
        <f t="shared" si="86"/>
        <v>437492</v>
      </c>
      <c r="S115" s="228">
        <f t="shared" si="87"/>
        <v>459008</v>
      </c>
      <c r="T115" s="423">
        <f t="shared" si="88"/>
        <v>11</v>
      </c>
      <c r="U115" s="423">
        <f t="shared" si="89"/>
        <v>11</v>
      </c>
      <c r="V115" s="424">
        <f t="array" ref="V115">MAX((IF(MNU_CODIGO_ALIMENTO_ENTREGA=CONCATENATE($E115,"_","S_"),MNU_GRAMAJE_REQUERIDO_TIPOB,"")))</f>
        <v>30</v>
      </c>
      <c r="W115" s="391">
        <f t="shared" si="90"/>
        <v>970</v>
      </c>
      <c r="X115" s="391">
        <f t="shared" si="91"/>
        <v>0</v>
      </c>
      <c r="Y115" s="391">
        <f t="shared" si="92"/>
        <v>10670</v>
      </c>
      <c r="Z115" s="448">
        <f t="shared" si="93"/>
        <v>191</v>
      </c>
      <c r="AA115" s="448">
        <f t="shared" si="94"/>
        <v>9.3208000000000002</v>
      </c>
      <c r="AB115" s="448">
        <f t="shared" si="95"/>
        <v>0.16426305600000002</v>
      </c>
      <c r="AC115" s="448">
        <f t="shared" si="96"/>
        <v>200</v>
      </c>
      <c r="AD115" s="229">
        <f t="shared" si="97"/>
        <v>2037970</v>
      </c>
      <c r="AE115" s="229">
        <f t="shared" si="98"/>
        <v>2134000</v>
      </c>
      <c r="AF115" s="421">
        <f t="shared" si="99"/>
        <v>11</v>
      </c>
      <c r="AG115" s="421">
        <f t="shared" si="100"/>
        <v>11</v>
      </c>
      <c r="AH115" s="422">
        <f t="array" ref="AH115">MAX((IF(MNU_CODIGO_ALIMENTO_ENTREGA=CONCATENATE($E115,"_","S_"),MNU_GRAMAJE_REQUERIDO_TIPOC,"")))</f>
        <v>60</v>
      </c>
      <c r="AI115" s="227">
        <f t="shared" si="101"/>
        <v>1593</v>
      </c>
      <c r="AJ115" s="227">
        <f t="shared" si="102"/>
        <v>0</v>
      </c>
      <c r="AK115" s="227">
        <f t="shared" si="103"/>
        <v>17523</v>
      </c>
      <c r="AL115" s="448">
        <f t="shared" si="104"/>
        <v>367</v>
      </c>
      <c r="AM115" s="448">
        <f t="shared" si="105"/>
        <v>17.909599999999998</v>
      </c>
      <c r="AN115" s="448">
        <f t="shared" si="106"/>
        <v>0.31562587200000003</v>
      </c>
      <c r="AO115" s="448">
        <f t="shared" si="107"/>
        <v>385</v>
      </c>
      <c r="AP115" s="448">
        <f t="shared" si="108"/>
        <v>6430941</v>
      </c>
      <c r="AQ115" s="228">
        <f t="shared" si="109"/>
        <v>6746355</v>
      </c>
      <c r="AR115" s="391">
        <f t="shared" si="110"/>
        <v>8906403</v>
      </c>
      <c r="AS115" s="391">
        <f t="shared" si="111"/>
        <v>9339363</v>
      </c>
    </row>
    <row r="116" spans="1:45" ht="15.75">
      <c r="A116" s="226">
        <v>13</v>
      </c>
      <c r="B116" s="226" t="str">
        <f t="shared" si="75"/>
        <v>CEREAL EMPACADO_13</v>
      </c>
      <c r="C116" s="333" t="str">
        <f t="shared" si="76"/>
        <v>25_13</v>
      </c>
      <c r="D116" s="392" t="s">
        <v>1607</v>
      </c>
      <c r="E116" s="226">
        <v>25</v>
      </c>
      <c r="F116" s="325" t="s">
        <v>64</v>
      </c>
      <c r="G116" s="226" t="s">
        <v>9</v>
      </c>
      <c r="H116" s="421">
        <f t="shared" si="77"/>
        <v>22</v>
      </c>
      <c r="I116" s="421">
        <f t="shared" si="78"/>
        <v>0</v>
      </c>
      <c r="J116" s="422">
        <f t="array" ref="J116">MAX((IF(MNU_CODIGO_ALIMENTO_ENTREGA=CONCATENATE($E116,"_","S_"),MNU_GRAMAJE_REQUERIDO_TIPOA,"")))</f>
        <v>40</v>
      </c>
      <c r="K116" s="227">
        <f t="shared" si="79"/>
        <v>326</v>
      </c>
      <c r="L116" s="227">
        <f t="shared" si="80"/>
        <v>0</v>
      </c>
      <c r="M116" s="227">
        <f t="shared" si="81"/>
        <v>7172</v>
      </c>
      <c r="N116" s="448">
        <f t="shared" si="82"/>
        <v>244</v>
      </c>
      <c r="O116" s="448">
        <f t="shared" si="83"/>
        <v>11.9072</v>
      </c>
      <c r="P116" s="448">
        <f t="shared" si="84"/>
        <v>0.209843904</v>
      </c>
      <c r="Q116" s="448">
        <f t="shared" si="85"/>
        <v>256</v>
      </c>
      <c r="R116" s="228">
        <f t="shared" si="86"/>
        <v>1749968</v>
      </c>
      <c r="S116" s="228">
        <f t="shared" si="87"/>
        <v>1836032</v>
      </c>
      <c r="T116" s="423">
        <f t="shared" si="88"/>
        <v>22</v>
      </c>
      <c r="U116" s="423">
        <f t="shared" si="89"/>
        <v>0</v>
      </c>
      <c r="V116" s="424">
        <f t="array" ref="V116">MAX((IF(MNU_CODIGO_ALIMENTO_ENTREGA=CONCATENATE($E116,"_","S_"),MNU_GRAMAJE_REQUERIDO_TIPOB,"")))</f>
        <v>40</v>
      </c>
      <c r="W116" s="391">
        <f t="shared" si="90"/>
        <v>970</v>
      </c>
      <c r="X116" s="391">
        <f t="shared" si="91"/>
        <v>0</v>
      </c>
      <c r="Y116" s="391">
        <f t="shared" si="92"/>
        <v>21340</v>
      </c>
      <c r="Z116" s="448">
        <f t="shared" si="93"/>
        <v>244</v>
      </c>
      <c r="AA116" s="448">
        <f t="shared" si="94"/>
        <v>11.9072</v>
      </c>
      <c r="AB116" s="448">
        <f t="shared" si="95"/>
        <v>0.209843904</v>
      </c>
      <c r="AC116" s="448">
        <f t="shared" si="96"/>
        <v>256</v>
      </c>
      <c r="AD116" s="229">
        <f t="shared" si="97"/>
        <v>5206960</v>
      </c>
      <c r="AE116" s="229">
        <f t="shared" si="98"/>
        <v>5463040</v>
      </c>
      <c r="AF116" s="421">
        <f t="shared" si="99"/>
        <v>22</v>
      </c>
      <c r="AG116" s="421">
        <f t="shared" si="100"/>
        <v>0</v>
      </c>
      <c r="AH116" s="422">
        <f t="array" ref="AH116">MAX((IF(MNU_CODIGO_ALIMENTO_ENTREGA=CONCATENATE($E116,"_","S_"),MNU_GRAMAJE_REQUERIDO_TIPOC,"")))</f>
        <v>60</v>
      </c>
      <c r="AI116" s="227">
        <f t="shared" si="101"/>
        <v>1593</v>
      </c>
      <c r="AJ116" s="227">
        <f t="shared" si="102"/>
        <v>0</v>
      </c>
      <c r="AK116" s="227">
        <f t="shared" si="103"/>
        <v>35046</v>
      </c>
      <c r="AL116" s="448">
        <f t="shared" si="104"/>
        <v>366</v>
      </c>
      <c r="AM116" s="448">
        <f t="shared" si="105"/>
        <v>17.860800000000001</v>
      </c>
      <c r="AN116" s="448">
        <f t="shared" si="106"/>
        <v>0.31476585600000001</v>
      </c>
      <c r="AO116" s="448">
        <f t="shared" si="107"/>
        <v>384</v>
      </c>
      <c r="AP116" s="448">
        <f t="shared" si="108"/>
        <v>12826836</v>
      </c>
      <c r="AQ116" s="228">
        <f t="shared" si="109"/>
        <v>13457664</v>
      </c>
      <c r="AR116" s="391">
        <f t="shared" si="110"/>
        <v>19783764</v>
      </c>
      <c r="AS116" s="391">
        <f t="shared" si="111"/>
        <v>20756736</v>
      </c>
    </row>
    <row r="117" spans="1:45" ht="27">
      <c r="A117" s="226">
        <v>13</v>
      </c>
      <c r="B117" s="226" t="str">
        <f t="shared" si="75"/>
        <v>CEREAL EMPACADO_13</v>
      </c>
      <c r="C117" s="333" t="str">
        <f t="shared" si="76"/>
        <v>28_13</v>
      </c>
      <c r="D117" s="392" t="s">
        <v>1607</v>
      </c>
      <c r="E117" s="226">
        <v>28</v>
      </c>
      <c r="F117" s="325" t="s">
        <v>67</v>
      </c>
      <c r="G117" s="226" t="s">
        <v>9</v>
      </c>
      <c r="H117" s="421">
        <f t="shared" si="77"/>
        <v>19</v>
      </c>
      <c r="I117" s="421">
        <f t="shared" si="78"/>
        <v>0</v>
      </c>
      <c r="J117" s="422">
        <f t="array" ref="J117">MAX((IF(MNU_CODIGO_ALIMENTO_ENTREGA=CONCATENATE($E117,"_","S_"),MNU_GRAMAJE_REQUERIDO_TIPOA,"")))</f>
        <v>30</v>
      </c>
      <c r="K117" s="227">
        <f t="shared" si="79"/>
        <v>326</v>
      </c>
      <c r="L117" s="227">
        <f t="shared" si="80"/>
        <v>0</v>
      </c>
      <c r="M117" s="227">
        <f t="shared" si="81"/>
        <v>6194</v>
      </c>
      <c r="N117" s="448">
        <f t="shared" si="82"/>
        <v>215</v>
      </c>
      <c r="O117" s="448">
        <f t="shared" si="83"/>
        <v>10.492000000000001</v>
      </c>
      <c r="P117" s="448">
        <f t="shared" si="84"/>
        <v>0.18490343999999997</v>
      </c>
      <c r="Q117" s="448">
        <f t="shared" si="85"/>
        <v>226</v>
      </c>
      <c r="R117" s="228">
        <f t="shared" si="86"/>
        <v>1331710</v>
      </c>
      <c r="S117" s="228">
        <f t="shared" si="87"/>
        <v>1399844</v>
      </c>
      <c r="T117" s="423">
        <f t="shared" si="88"/>
        <v>19</v>
      </c>
      <c r="U117" s="423">
        <f t="shared" si="89"/>
        <v>0</v>
      </c>
      <c r="V117" s="424">
        <f t="array" ref="V117">MAX((IF(MNU_CODIGO_ALIMENTO_ENTREGA=CONCATENATE($E117,"_","S_"),MNU_GRAMAJE_REQUERIDO_TIPOB,"")))</f>
        <v>40</v>
      </c>
      <c r="W117" s="391">
        <f t="shared" si="90"/>
        <v>970</v>
      </c>
      <c r="X117" s="391">
        <f t="shared" si="91"/>
        <v>0</v>
      </c>
      <c r="Y117" s="391">
        <f t="shared" si="92"/>
        <v>18430</v>
      </c>
      <c r="Z117" s="448">
        <f t="shared" si="93"/>
        <v>287</v>
      </c>
      <c r="AA117" s="448">
        <f t="shared" si="94"/>
        <v>14.005600000000001</v>
      </c>
      <c r="AB117" s="448">
        <f t="shared" si="95"/>
        <v>0.24682459200000004</v>
      </c>
      <c r="AC117" s="448">
        <f t="shared" si="96"/>
        <v>301</v>
      </c>
      <c r="AD117" s="229">
        <f t="shared" si="97"/>
        <v>5289410</v>
      </c>
      <c r="AE117" s="229">
        <f t="shared" si="98"/>
        <v>5547430</v>
      </c>
      <c r="AF117" s="421">
        <f t="shared" si="99"/>
        <v>19</v>
      </c>
      <c r="AG117" s="421">
        <f t="shared" si="100"/>
        <v>0</v>
      </c>
      <c r="AH117" s="422">
        <f t="array" ref="AH117">MAX((IF(MNU_CODIGO_ALIMENTO_ENTREGA=CONCATENATE($E117,"_","S_"),MNU_GRAMAJE_REQUERIDO_TIPOC,"")))</f>
        <v>60</v>
      </c>
      <c r="AI117" s="227">
        <f t="shared" si="101"/>
        <v>1593</v>
      </c>
      <c r="AJ117" s="227">
        <f t="shared" si="102"/>
        <v>0</v>
      </c>
      <c r="AK117" s="227">
        <f t="shared" si="103"/>
        <v>30267</v>
      </c>
      <c r="AL117" s="448">
        <f t="shared" si="104"/>
        <v>430</v>
      </c>
      <c r="AM117" s="448">
        <f t="shared" si="105"/>
        <v>20.984000000000002</v>
      </c>
      <c r="AN117" s="448">
        <f t="shared" si="106"/>
        <v>0.36980687999999995</v>
      </c>
      <c r="AO117" s="448">
        <f t="shared" si="107"/>
        <v>451</v>
      </c>
      <c r="AP117" s="448">
        <f t="shared" si="108"/>
        <v>13014810</v>
      </c>
      <c r="AQ117" s="228">
        <f t="shared" si="109"/>
        <v>13650417</v>
      </c>
      <c r="AR117" s="391">
        <f t="shared" si="110"/>
        <v>19635930</v>
      </c>
      <c r="AS117" s="391">
        <f t="shared" si="111"/>
        <v>20597691</v>
      </c>
    </row>
    <row r="118" spans="1:45" ht="15.75">
      <c r="A118" s="226">
        <v>13</v>
      </c>
      <c r="B118" s="226" t="str">
        <f t="shared" si="75"/>
        <v>CEREAL EMPACADO_13</v>
      </c>
      <c r="C118" s="333" t="str">
        <f t="shared" si="76"/>
        <v>45_13</v>
      </c>
      <c r="D118" s="392" t="s">
        <v>1607</v>
      </c>
      <c r="E118" s="226">
        <v>45</v>
      </c>
      <c r="F118" s="325" t="s">
        <v>10</v>
      </c>
      <c r="G118" s="226" t="s">
        <v>9</v>
      </c>
      <c r="H118" s="421">
        <f t="shared" si="77"/>
        <v>20</v>
      </c>
      <c r="I118" s="421">
        <f t="shared" si="78"/>
        <v>0</v>
      </c>
      <c r="J118" s="422">
        <f t="array" ref="J118">MAX((IF(MNU_CODIGO_ALIMENTO_ENTREGA=CONCATENATE($E118,"_","S_"),MNU_GRAMAJE_REQUERIDO_TIPOA,"")))</f>
        <v>20</v>
      </c>
      <c r="K118" s="227">
        <f t="shared" si="79"/>
        <v>326</v>
      </c>
      <c r="L118" s="227">
        <f t="shared" si="80"/>
        <v>0</v>
      </c>
      <c r="M118" s="227">
        <f t="shared" si="81"/>
        <v>6520</v>
      </c>
      <c r="N118" s="448">
        <f t="shared" si="82"/>
        <v>190</v>
      </c>
      <c r="O118" s="448">
        <f t="shared" si="83"/>
        <v>9.2720000000000002</v>
      </c>
      <c r="P118" s="448">
        <f t="shared" si="84"/>
        <v>0.16340304</v>
      </c>
      <c r="Q118" s="448">
        <f t="shared" si="85"/>
        <v>199</v>
      </c>
      <c r="R118" s="228">
        <f t="shared" si="86"/>
        <v>1238800</v>
      </c>
      <c r="S118" s="228">
        <f t="shared" si="87"/>
        <v>1297480</v>
      </c>
      <c r="T118" s="423">
        <f t="shared" si="88"/>
        <v>20</v>
      </c>
      <c r="U118" s="423">
        <f t="shared" si="89"/>
        <v>0</v>
      </c>
      <c r="V118" s="424">
        <f t="array" ref="V118">MAX((IF(MNU_CODIGO_ALIMENTO_ENTREGA=CONCATENATE($E118,"_","S_"),MNU_GRAMAJE_REQUERIDO_TIPOB,"")))</f>
        <v>30</v>
      </c>
      <c r="W118" s="391">
        <f t="shared" si="90"/>
        <v>970</v>
      </c>
      <c r="X118" s="391">
        <f t="shared" si="91"/>
        <v>0</v>
      </c>
      <c r="Y118" s="391">
        <f t="shared" si="92"/>
        <v>19400</v>
      </c>
      <c r="Z118" s="448">
        <f t="shared" si="93"/>
        <v>284</v>
      </c>
      <c r="AA118" s="448">
        <f t="shared" si="94"/>
        <v>13.8592</v>
      </c>
      <c r="AB118" s="448">
        <f t="shared" si="95"/>
        <v>0.24424454399999998</v>
      </c>
      <c r="AC118" s="448">
        <f t="shared" si="96"/>
        <v>298</v>
      </c>
      <c r="AD118" s="229">
        <f t="shared" si="97"/>
        <v>5509600</v>
      </c>
      <c r="AE118" s="229">
        <f t="shared" si="98"/>
        <v>5781200</v>
      </c>
      <c r="AF118" s="421">
        <f t="shared" si="99"/>
        <v>20</v>
      </c>
      <c r="AG118" s="421">
        <f t="shared" si="100"/>
        <v>0</v>
      </c>
      <c r="AH118" s="422">
        <f t="array" ref="AH118">MAX((IF(MNU_CODIGO_ALIMENTO_ENTREGA=CONCATENATE($E118,"_","S_"),MNU_GRAMAJE_REQUERIDO_TIPOC,"")))</f>
        <v>60</v>
      </c>
      <c r="AI118" s="227">
        <f t="shared" si="101"/>
        <v>1593</v>
      </c>
      <c r="AJ118" s="227">
        <f t="shared" si="102"/>
        <v>0</v>
      </c>
      <c r="AK118" s="227">
        <f t="shared" si="103"/>
        <v>31860</v>
      </c>
      <c r="AL118" s="448">
        <f t="shared" si="104"/>
        <v>569</v>
      </c>
      <c r="AM118" s="448">
        <f t="shared" si="105"/>
        <v>27.767199999999999</v>
      </c>
      <c r="AN118" s="448">
        <f t="shared" si="106"/>
        <v>0.48934910400000003</v>
      </c>
      <c r="AO118" s="448">
        <f t="shared" si="107"/>
        <v>597</v>
      </c>
      <c r="AP118" s="448">
        <f t="shared" si="108"/>
        <v>18128340</v>
      </c>
      <c r="AQ118" s="228">
        <f t="shared" si="109"/>
        <v>19020420</v>
      </c>
      <c r="AR118" s="391">
        <f t="shared" si="110"/>
        <v>24876740</v>
      </c>
      <c r="AS118" s="391">
        <f t="shared" si="111"/>
        <v>26099100</v>
      </c>
    </row>
    <row r="119" spans="1:45" ht="15.75">
      <c r="A119" s="226">
        <v>13</v>
      </c>
      <c r="B119" s="226" t="str">
        <f t="shared" si="75"/>
        <v>CEREAL EMPACADO_13</v>
      </c>
      <c r="C119" s="333" t="str">
        <f t="shared" si="76"/>
        <v>61_13</v>
      </c>
      <c r="D119" s="392" t="s">
        <v>1607</v>
      </c>
      <c r="E119" s="226">
        <v>61</v>
      </c>
      <c r="F119" s="325" t="s">
        <v>13</v>
      </c>
      <c r="G119" s="226" t="s">
        <v>9</v>
      </c>
      <c r="H119" s="421">
        <f t="shared" si="77"/>
        <v>20</v>
      </c>
      <c r="I119" s="421">
        <f t="shared" si="78"/>
        <v>0</v>
      </c>
      <c r="J119" s="422">
        <f t="array" ref="J119">MAX((IF(MNU_CODIGO_ALIMENTO_ENTREGA=CONCATENATE($E119,"_","S_"),MNU_GRAMAJE_REQUERIDO_TIPOA,"")))</f>
        <v>20</v>
      </c>
      <c r="K119" s="227">
        <f t="shared" si="79"/>
        <v>326</v>
      </c>
      <c r="L119" s="227">
        <f t="shared" si="80"/>
        <v>0</v>
      </c>
      <c r="M119" s="227">
        <f t="shared" si="81"/>
        <v>6520</v>
      </c>
      <c r="N119" s="448">
        <f t="shared" si="82"/>
        <v>222</v>
      </c>
      <c r="O119" s="448">
        <f t="shared" si="83"/>
        <v>10.833600000000001</v>
      </c>
      <c r="P119" s="448">
        <f t="shared" si="84"/>
        <v>0.190923552</v>
      </c>
      <c r="Q119" s="448">
        <f t="shared" si="85"/>
        <v>233</v>
      </c>
      <c r="R119" s="228">
        <f t="shared" si="86"/>
        <v>1447440</v>
      </c>
      <c r="S119" s="228">
        <f t="shared" si="87"/>
        <v>1519160</v>
      </c>
      <c r="T119" s="423">
        <f t="shared" si="88"/>
        <v>20</v>
      </c>
      <c r="U119" s="423">
        <f t="shared" si="89"/>
        <v>0</v>
      </c>
      <c r="V119" s="424">
        <f t="array" ref="V119">MAX((IF(MNU_CODIGO_ALIMENTO_ENTREGA=CONCATENATE($E119,"_","S_"),MNU_GRAMAJE_REQUERIDO_TIPOB,"")))</f>
        <v>30</v>
      </c>
      <c r="W119" s="391">
        <f t="shared" si="90"/>
        <v>970</v>
      </c>
      <c r="X119" s="391">
        <f t="shared" si="91"/>
        <v>0</v>
      </c>
      <c r="Y119" s="391">
        <f t="shared" si="92"/>
        <v>19400</v>
      </c>
      <c r="Z119" s="448">
        <f t="shared" si="93"/>
        <v>334</v>
      </c>
      <c r="AA119" s="448">
        <f t="shared" si="94"/>
        <v>16.299199999999999</v>
      </c>
      <c r="AB119" s="448">
        <f t="shared" si="95"/>
        <v>0.28724534400000001</v>
      </c>
      <c r="AC119" s="448">
        <f t="shared" si="96"/>
        <v>351</v>
      </c>
      <c r="AD119" s="229">
        <f t="shared" si="97"/>
        <v>6479600</v>
      </c>
      <c r="AE119" s="229">
        <f t="shared" si="98"/>
        <v>6809400</v>
      </c>
      <c r="AF119" s="421">
        <f t="shared" si="99"/>
        <v>20</v>
      </c>
      <c r="AG119" s="421">
        <f t="shared" si="100"/>
        <v>0</v>
      </c>
      <c r="AH119" s="422">
        <f t="array" ref="AH119">MAX((IF(MNU_CODIGO_ALIMENTO_ENTREGA=CONCATENATE($E119,"_","S_"),MNU_GRAMAJE_REQUERIDO_TIPOC,"")))</f>
        <v>70</v>
      </c>
      <c r="AI119" s="227">
        <f t="shared" si="101"/>
        <v>1593</v>
      </c>
      <c r="AJ119" s="227">
        <f t="shared" si="102"/>
        <v>0</v>
      </c>
      <c r="AK119" s="227">
        <f t="shared" si="103"/>
        <v>31860</v>
      </c>
      <c r="AL119" s="448">
        <f t="shared" si="104"/>
        <v>779</v>
      </c>
      <c r="AM119" s="448">
        <f t="shared" si="105"/>
        <v>38.0152</v>
      </c>
      <c r="AN119" s="448">
        <f t="shared" si="106"/>
        <v>0.66995246400000008</v>
      </c>
      <c r="AO119" s="448">
        <f t="shared" si="107"/>
        <v>818</v>
      </c>
      <c r="AP119" s="448">
        <f t="shared" si="108"/>
        <v>24818940</v>
      </c>
      <c r="AQ119" s="228">
        <f t="shared" si="109"/>
        <v>26061480</v>
      </c>
      <c r="AR119" s="391">
        <f t="shared" si="110"/>
        <v>32745980</v>
      </c>
      <c r="AS119" s="391">
        <f t="shared" si="111"/>
        <v>34390040</v>
      </c>
    </row>
    <row r="120" spans="1:45" ht="15.75">
      <c r="A120" s="226">
        <v>14</v>
      </c>
      <c r="B120" s="226" t="str">
        <f t="shared" si="75"/>
        <v>CEREAL EMPACADO_14</v>
      </c>
      <c r="C120" s="333" t="str">
        <f t="shared" si="76"/>
        <v>3_14</v>
      </c>
      <c r="D120" s="392" t="s">
        <v>1607</v>
      </c>
      <c r="E120" s="226">
        <v>3</v>
      </c>
      <c r="F120" s="325" t="s">
        <v>12</v>
      </c>
      <c r="G120" s="226" t="s">
        <v>9</v>
      </c>
      <c r="H120" s="421">
        <f t="shared" si="77"/>
        <v>19</v>
      </c>
      <c r="I120" s="421">
        <f t="shared" si="78"/>
        <v>0</v>
      </c>
      <c r="J120" s="422">
        <f t="array" ref="J120">MAX((IF(MNU_CODIGO_ALIMENTO_ENTREGA=CONCATENATE($E120,"_","S_"),MNU_GRAMAJE_REQUERIDO_TIPOA,"")))</f>
        <v>50</v>
      </c>
      <c r="K120" s="227">
        <f t="shared" si="79"/>
        <v>984</v>
      </c>
      <c r="L120" s="227">
        <f t="shared" si="80"/>
        <v>0</v>
      </c>
      <c r="M120" s="227">
        <f t="shared" si="81"/>
        <v>18696</v>
      </c>
      <c r="N120" s="448">
        <f t="shared" si="82"/>
        <v>481</v>
      </c>
      <c r="O120" s="448">
        <f t="shared" si="83"/>
        <v>23.472799999999999</v>
      </c>
      <c r="P120" s="448">
        <f t="shared" si="84"/>
        <v>0.41366769599999997</v>
      </c>
      <c r="Q120" s="448">
        <f t="shared" si="85"/>
        <v>505</v>
      </c>
      <c r="R120" s="228">
        <f t="shared" si="86"/>
        <v>8992776</v>
      </c>
      <c r="S120" s="228">
        <f t="shared" si="87"/>
        <v>9441480</v>
      </c>
      <c r="T120" s="423">
        <f t="shared" si="88"/>
        <v>19</v>
      </c>
      <c r="U120" s="423">
        <f t="shared" si="89"/>
        <v>0</v>
      </c>
      <c r="V120" s="424">
        <f t="array" ref="V120">MAX((IF(MNU_CODIGO_ALIMENTO_ENTREGA=CONCATENATE($E120,"_","S_"),MNU_GRAMAJE_REQUERIDO_TIPOB,"")))</f>
        <v>50</v>
      </c>
      <c r="W120" s="391">
        <f t="shared" si="90"/>
        <v>1375</v>
      </c>
      <c r="X120" s="391">
        <f t="shared" si="91"/>
        <v>0</v>
      </c>
      <c r="Y120" s="391">
        <f t="shared" si="92"/>
        <v>26125</v>
      </c>
      <c r="Z120" s="448">
        <f t="shared" si="93"/>
        <v>481</v>
      </c>
      <c r="AA120" s="448">
        <f t="shared" si="94"/>
        <v>23.472799999999999</v>
      </c>
      <c r="AB120" s="448">
        <f t="shared" si="95"/>
        <v>0.41366769599999997</v>
      </c>
      <c r="AC120" s="448">
        <f t="shared" si="96"/>
        <v>505</v>
      </c>
      <c r="AD120" s="229">
        <f t="shared" si="97"/>
        <v>12566125</v>
      </c>
      <c r="AE120" s="229">
        <f t="shared" si="98"/>
        <v>13193125</v>
      </c>
      <c r="AF120" s="421">
        <f t="shared" si="99"/>
        <v>19</v>
      </c>
      <c r="AG120" s="421">
        <f t="shared" si="100"/>
        <v>0</v>
      </c>
      <c r="AH120" s="422">
        <f t="array" ref="AH120">MAX((IF(MNU_CODIGO_ALIMENTO_ENTREGA=CONCATENATE($E120,"_","S_"),MNU_GRAMAJE_REQUERIDO_TIPOC,"")))</f>
        <v>80</v>
      </c>
      <c r="AI120" s="227">
        <f t="shared" si="101"/>
        <v>1711</v>
      </c>
      <c r="AJ120" s="227">
        <f t="shared" si="102"/>
        <v>0</v>
      </c>
      <c r="AK120" s="227">
        <f t="shared" si="103"/>
        <v>32509</v>
      </c>
      <c r="AL120" s="448">
        <f t="shared" si="104"/>
        <v>727</v>
      </c>
      <c r="AM120" s="448">
        <f t="shared" si="105"/>
        <v>35.477600000000002</v>
      </c>
      <c r="AN120" s="448">
        <f t="shared" si="106"/>
        <v>0.62523163200000009</v>
      </c>
      <c r="AO120" s="448">
        <f t="shared" si="107"/>
        <v>763</v>
      </c>
      <c r="AP120" s="448">
        <f t="shared" si="108"/>
        <v>23634043</v>
      </c>
      <c r="AQ120" s="228">
        <f t="shared" si="109"/>
        <v>24804367</v>
      </c>
      <c r="AR120" s="391">
        <f t="shared" si="110"/>
        <v>45192944</v>
      </c>
      <c r="AS120" s="391">
        <f t="shared" si="111"/>
        <v>47438972</v>
      </c>
    </row>
    <row r="121" spans="1:45" ht="15.75">
      <c r="A121" s="226">
        <v>14</v>
      </c>
      <c r="B121" s="226" t="str">
        <f t="shared" si="75"/>
        <v>CEREAL EMPACADO_14</v>
      </c>
      <c r="C121" s="333" t="str">
        <f t="shared" si="76"/>
        <v>15_14</v>
      </c>
      <c r="D121" s="392" t="s">
        <v>1607</v>
      </c>
      <c r="E121" s="226">
        <v>15</v>
      </c>
      <c r="F121" s="325" t="s">
        <v>66</v>
      </c>
      <c r="G121" s="226" t="s">
        <v>9</v>
      </c>
      <c r="H121" s="421">
        <f t="shared" si="77"/>
        <v>11</v>
      </c>
      <c r="I121" s="421">
        <f t="shared" si="78"/>
        <v>11</v>
      </c>
      <c r="J121" s="422">
        <f t="array" ref="J121">MAX((IF(MNU_CODIGO_ALIMENTO_ENTREGA=CONCATENATE($E121,"_","S_"),MNU_GRAMAJE_REQUERIDO_TIPOA,"")))</f>
        <v>50</v>
      </c>
      <c r="K121" s="227">
        <f t="shared" si="79"/>
        <v>984</v>
      </c>
      <c r="L121" s="227">
        <f t="shared" si="80"/>
        <v>0</v>
      </c>
      <c r="M121" s="227">
        <f t="shared" si="81"/>
        <v>10824</v>
      </c>
      <c r="N121" s="448">
        <f t="shared" si="82"/>
        <v>641</v>
      </c>
      <c r="O121" s="448">
        <f t="shared" si="83"/>
        <v>31.280800000000003</v>
      </c>
      <c r="P121" s="448">
        <f t="shared" si="84"/>
        <v>0.55127025600000001</v>
      </c>
      <c r="Q121" s="448">
        <f t="shared" si="85"/>
        <v>673</v>
      </c>
      <c r="R121" s="228">
        <f t="shared" si="86"/>
        <v>6938184</v>
      </c>
      <c r="S121" s="228">
        <f t="shared" si="87"/>
        <v>7284552</v>
      </c>
      <c r="T121" s="423">
        <f t="shared" si="88"/>
        <v>11</v>
      </c>
      <c r="U121" s="423">
        <f t="shared" si="89"/>
        <v>11</v>
      </c>
      <c r="V121" s="424">
        <f t="array" ref="V121">MAX((IF(MNU_CODIGO_ALIMENTO_ENTREGA=CONCATENATE($E121,"_","S_"),MNU_GRAMAJE_REQUERIDO_TIPOB,"")))</f>
        <v>50</v>
      </c>
      <c r="W121" s="391">
        <f t="shared" si="90"/>
        <v>1375</v>
      </c>
      <c r="X121" s="391">
        <f t="shared" si="91"/>
        <v>0</v>
      </c>
      <c r="Y121" s="391">
        <f t="shared" si="92"/>
        <v>15125</v>
      </c>
      <c r="Z121" s="448">
        <f t="shared" si="93"/>
        <v>641</v>
      </c>
      <c r="AA121" s="448">
        <f t="shared" si="94"/>
        <v>31.280800000000003</v>
      </c>
      <c r="AB121" s="448">
        <f t="shared" si="95"/>
        <v>0.55127025600000001</v>
      </c>
      <c r="AC121" s="448">
        <f t="shared" si="96"/>
        <v>673</v>
      </c>
      <c r="AD121" s="229">
        <f t="shared" si="97"/>
        <v>9695125</v>
      </c>
      <c r="AE121" s="229">
        <f t="shared" si="98"/>
        <v>10179125</v>
      </c>
      <c r="AF121" s="421">
        <f t="shared" si="99"/>
        <v>11</v>
      </c>
      <c r="AG121" s="421">
        <f t="shared" si="100"/>
        <v>11</v>
      </c>
      <c r="AH121" s="422">
        <f t="array" ref="AH121">MAX((IF(MNU_CODIGO_ALIMENTO_ENTREGA=CONCATENATE($E121,"_","S_"),MNU_GRAMAJE_REQUERIDO_TIPOC,"")))</f>
        <v>80</v>
      </c>
      <c r="AI121" s="227">
        <f t="shared" si="101"/>
        <v>1711</v>
      </c>
      <c r="AJ121" s="227">
        <f t="shared" si="102"/>
        <v>0</v>
      </c>
      <c r="AK121" s="227">
        <f t="shared" si="103"/>
        <v>18821</v>
      </c>
      <c r="AL121" s="448">
        <f t="shared" si="104"/>
        <v>1025</v>
      </c>
      <c r="AM121" s="448">
        <f t="shared" si="105"/>
        <v>50.02</v>
      </c>
      <c r="AN121" s="448">
        <f t="shared" si="106"/>
        <v>0.88151640000000009</v>
      </c>
      <c r="AO121" s="448">
        <f t="shared" si="107"/>
        <v>1076</v>
      </c>
      <c r="AP121" s="448">
        <f t="shared" si="108"/>
        <v>19291525</v>
      </c>
      <c r="AQ121" s="228">
        <f t="shared" si="109"/>
        <v>20251396</v>
      </c>
      <c r="AR121" s="391">
        <f t="shared" si="110"/>
        <v>35924834</v>
      </c>
      <c r="AS121" s="391">
        <f t="shared" si="111"/>
        <v>37715073</v>
      </c>
    </row>
    <row r="122" spans="1:45" ht="27">
      <c r="A122" s="226">
        <v>14</v>
      </c>
      <c r="B122" s="226" t="str">
        <f t="shared" si="75"/>
        <v>CEREAL EMPACADO_14</v>
      </c>
      <c r="C122" s="333" t="str">
        <f t="shared" si="76"/>
        <v>21_14</v>
      </c>
      <c r="D122" s="392" t="s">
        <v>1607</v>
      </c>
      <c r="E122" s="226">
        <v>21</v>
      </c>
      <c r="F122" s="325" t="s">
        <v>70</v>
      </c>
      <c r="G122" s="226" t="s">
        <v>9</v>
      </c>
      <c r="H122" s="421">
        <f t="shared" si="77"/>
        <v>22</v>
      </c>
      <c r="I122" s="421">
        <f t="shared" si="78"/>
        <v>0</v>
      </c>
      <c r="J122" s="422">
        <f t="array" ref="J122">MAX((IF(MNU_CODIGO_ALIMENTO_ENTREGA=CONCATENATE($E122,"_","S_"),MNU_GRAMAJE_REQUERIDO_TIPOA,"")))</f>
        <v>30</v>
      </c>
      <c r="K122" s="227">
        <f t="shared" si="79"/>
        <v>984</v>
      </c>
      <c r="L122" s="227">
        <f t="shared" si="80"/>
        <v>0</v>
      </c>
      <c r="M122" s="227">
        <f t="shared" si="81"/>
        <v>21648</v>
      </c>
      <c r="N122" s="448">
        <f t="shared" si="82"/>
        <v>458</v>
      </c>
      <c r="O122" s="448">
        <f t="shared" si="83"/>
        <v>22.3504</v>
      </c>
      <c r="P122" s="448">
        <f t="shared" si="84"/>
        <v>0.39388732799999998</v>
      </c>
      <c r="Q122" s="448">
        <f t="shared" si="85"/>
        <v>481</v>
      </c>
      <c r="R122" s="228">
        <f t="shared" si="86"/>
        <v>9914784</v>
      </c>
      <c r="S122" s="228">
        <f t="shared" si="87"/>
        <v>10412688</v>
      </c>
      <c r="T122" s="423">
        <f t="shared" si="88"/>
        <v>22</v>
      </c>
      <c r="U122" s="423">
        <f t="shared" si="89"/>
        <v>0</v>
      </c>
      <c r="V122" s="424">
        <f t="array" ref="V122">MAX((IF(MNU_CODIGO_ALIMENTO_ENTREGA=CONCATENATE($E122,"_","S_"),MNU_GRAMAJE_REQUERIDO_TIPOB,"")))</f>
        <v>30</v>
      </c>
      <c r="W122" s="391">
        <f t="shared" si="90"/>
        <v>1375</v>
      </c>
      <c r="X122" s="391">
        <f t="shared" si="91"/>
        <v>0</v>
      </c>
      <c r="Y122" s="391">
        <f t="shared" si="92"/>
        <v>30250</v>
      </c>
      <c r="Z122" s="448">
        <f t="shared" si="93"/>
        <v>458</v>
      </c>
      <c r="AA122" s="448">
        <f t="shared" si="94"/>
        <v>22.3504</v>
      </c>
      <c r="AB122" s="448">
        <f t="shared" si="95"/>
        <v>0.39388732799999998</v>
      </c>
      <c r="AC122" s="448">
        <f t="shared" si="96"/>
        <v>481</v>
      </c>
      <c r="AD122" s="229">
        <f t="shared" si="97"/>
        <v>13854500</v>
      </c>
      <c r="AE122" s="229">
        <f t="shared" si="98"/>
        <v>14550250</v>
      </c>
      <c r="AF122" s="421">
        <f t="shared" si="99"/>
        <v>22</v>
      </c>
      <c r="AG122" s="421">
        <f t="shared" si="100"/>
        <v>0</v>
      </c>
      <c r="AH122" s="422">
        <f t="array" ref="AH122">MAX((IF(MNU_CODIGO_ALIMENTO_ENTREGA=CONCATENATE($E122,"_","S_"),MNU_GRAMAJE_REQUERIDO_TIPOC,"")))</f>
        <v>50</v>
      </c>
      <c r="AI122" s="227">
        <f t="shared" si="101"/>
        <v>1711</v>
      </c>
      <c r="AJ122" s="227">
        <f t="shared" si="102"/>
        <v>0</v>
      </c>
      <c r="AK122" s="227">
        <f t="shared" si="103"/>
        <v>37642</v>
      </c>
      <c r="AL122" s="448">
        <f t="shared" si="104"/>
        <v>764</v>
      </c>
      <c r="AM122" s="448">
        <f t="shared" si="105"/>
        <v>37.283200000000001</v>
      </c>
      <c r="AN122" s="448">
        <f t="shared" si="106"/>
        <v>0.65705222400000007</v>
      </c>
      <c r="AO122" s="448">
        <f t="shared" si="107"/>
        <v>802</v>
      </c>
      <c r="AP122" s="448">
        <f t="shared" si="108"/>
        <v>28758488</v>
      </c>
      <c r="AQ122" s="228">
        <f t="shared" si="109"/>
        <v>30188884</v>
      </c>
      <c r="AR122" s="391">
        <f t="shared" si="110"/>
        <v>52527772</v>
      </c>
      <c r="AS122" s="391">
        <f t="shared" si="111"/>
        <v>55151822</v>
      </c>
    </row>
    <row r="123" spans="1:45" ht="15.75">
      <c r="A123" s="226">
        <v>14</v>
      </c>
      <c r="B123" s="226" t="str">
        <f t="shared" si="75"/>
        <v>CEREAL EMPACADO_14</v>
      </c>
      <c r="C123" s="333" t="str">
        <f t="shared" si="76"/>
        <v>24_14</v>
      </c>
      <c r="D123" s="392" t="s">
        <v>1607</v>
      </c>
      <c r="E123" s="226">
        <v>24</v>
      </c>
      <c r="F123" s="325" t="s">
        <v>61</v>
      </c>
      <c r="G123" s="226" t="s">
        <v>9</v>
      </c>
      <c r="H123" s="421">
        <f t="shared" si="77"/>
        <v>11</v>
      </c>
      <c r="I123" s="421">
        <f t="shared" si="78"/>
        <v>11</v>
      </c>
      <c r="J123" s="422">
        <f t="array" ref="J123">MAX((IF(MNU_CODIGO_ALIMENTO_ENTREGA=CONCATENATE($E123,"_","S_"),MNU_GRAMAJE_REQUERIDO_TIPOA,"")))</f>
        <v>20</v>
      </c>
      <c r="K123" s="227">
        <f t="shared" si="79"/>
        <v>984</v>
      </c>
      <c r="L123" s="227">
        <f t="shared" si="80"/>
        <v>0</v>
      </c>
      <c r="M123" s="227">
        <f t="shared" si="81"/>
        <v>10824</v>
      </c>
      <c r="N123" s="448">
        <f t="shared" si="82"/>
        <v>122</v>
      </c>
      <c r="O123" s="448">
        <f t="shared" si="83"/>
        <v>5.9535999999999998</v>
      </c>
      <c r="P123" s="448">
        <f t="shared" si="84"/>
        <v>0.104921952</v>
      </c>
      <c r="Q123" s="448">
        <f t="shared" si="85"/>
        <v>128</v>
      </c>
      <c r="R123" s="228">
        <f t="shared" si="86"/>
        <v>1320528</v>
      </c>
      <c r="S123" s="228">
        <f t="shared" si="87"/>
        <v>1385472</v>
      </c>
      <c r="T123" s="423">
        <f t="shared" si="88"/>
        <v>11</v>
      </c>
      <c r="U123" s="423">
        <f t="shared" si="89"/>
        <v>11</v>
      </c>
      <c r="V123" s="424">
        <f t="array" ref="V123">MAX((IF(MNU_CODIGO_ALIMENTO_ENTREGA=CONCATENATE($E123,"_","S_"),MNU_GRAMAJE_REQUERIDO_TIPOB,"")))</f>
        <v>30</v>
      </c>
      <c r="W123" s="391">
        <f t="shared" si="90"/>
        <v>1375</v>
      </c>
      <c r="X123" s="391">
        <f t="shared" si="91"/>
        <v>0</v>
      </c>
      <c r="Y123" s="391">
        <f t="shared" si="92"/>
        <v>15125</v>
      </c>
      <c r="Z123" s="448">
        <f t="shared" si="93"/>
        <v>191</v>
      </c>
      <c r="AA123" s="448">
        <f t="shared" si="94"/>
        <v>9.3208000000000002</v>
      </c>
      <c r="AB123" s="448">
        <f t="shared" si="95"/>
        <v>0.16426305600000002</v>
      </c>
      <c r="AC123" s="448">
        <f t="shared" si="96"/>
        <v>200</v>
      </c>
      <c r="AD123" s="229">
        <f t="shared" si="97"/>
        <v>2888875</v>
      </c>
      <c r="AE123" s="229">
        <f t="shared" si="98"/>
        <v>3025000</v>
      </c>
      <c r="AF123" s="421">
        <f t="shared" si="99"/>
        <v>11</v>
      </c>
      <c r="AG123" s="421">
        <f t="shared" si="100"/>
        <v>11</v>
      </c>
      <c r="AH123" s="422">
        <f t="array" ref="AH123">MAX((IF(MNU_CODIGO_ALIMENTO_ENTREGA=CONCATENATE($E123,"_","S_"),MNU_GRAMAJE_REQUERIDO_TIPOC,"")))</f>
        <v>60</v>
      </c>
      <c r="AI123" s="227">
        <f t="shared" si="101"/>
        <v>1711</v>
      </c>
      <c r="AJ123" s="227">
        <f t="shared" si="102"/>
        <v>0</v>
      </c>
      <c r="AK123" s="227">
        <f t="shared" si="103"/>
        <v>18821</v>
      </c>
      <c r="AL123" s="448">
        <f t="shared" si="104"/>
        <v>367</v>
      </c>
      <c r="AM123" s="448">
        <f t="shared" si="105"/>
        <v>17.909599999999998</v>
      </c>
      <c r="AN123" s="448">
        <f t="shared" si="106"/>
        <v>0.31562587200000003</v>
      </c>
      <c r="AO123" s="448">
        <f t="shared" si="107"/>
        <v>385</v>
      </c>
      <c r="AP123" s="448">
        <f t="shared" si="108"/>
        <v>6907307</v>
      </c>
      <c r="AQ123" s="228">
        <f t="shared" si="109"/>
        <v>7246085</v>
      </c>
      <c r="AR123" s="391">
        <f t="shared" si="110"/>
        <v>11116710</v>
      </c>
      <c r="AS123" s="391">
        <f t="shared" si="111"/>
        <v>11656557</v>
      </c>
    </row>
    <row r="124" spans="1:45" ht="15.75">
      <c r="A124" s="226">
        <v>14</v>
      </c>
      <c r="B124" s="226" t="str">
        <f t="shared" si="75"/>
        <v>CEREAL EMPACADO_14</v>
      </c>
      <c r="C124" s="333" t="str">
        <f t="shared" si="76"/>
        <v>25_14</v>
      </c>
      <c r="D124" s="392" t="s">
        <v>1607</v>
      </c>
      <c r="E124" s="226">
        <v>25</v>
      </c>
      <c r="F124" s="325" t="s">
        <v>64</v>
      </c>
      <c r="G124" s="226" t="s">
        <v>9</v>
      </c>
      <c r="H124" s="421">
        <f t="shared" si="77"/>
        <v>22</v>
      </c>
      <c r="I124" s="421">
        <f t="shared" si="78"/>
        <v>0</v>
      </c>
      <c r="J124" s="422">
        <f t="array" ref="J124">MAX((IF(MNU_CODIGO_ALIMENTO_ENTREGA=CONCATENATE($E124,"_","S_"),MNU_GRAMAJE_REQUERIDO_TIPOA,"")))</f>
        <v>40</v>
      </c>
      <c r="K124" s="227">
        <f t="shared" si="79"/>
        <v>984</v>
      </c>
      <c r="L124" s="227">
        <f t="shared" si="80"/>
        <v>0</v>
      </c>
      <c r="M124" s="227">
        <f t="shared" si="81"/>
        <v>21648</v>
      </c>
      <c r="N124" s="448">
        <f t="shared" si="82"/>
        <v>244</v>
      </c>
      <c r="O124" s="448">
        <f t="shared" si="83"/>
        <v>11.9072</v>
      </c>
      <c r="P124" s="448">
        <f t="shared" si="84"/>
        <v>0.209843904</v>
      </c>
      <c r="Q124" s="448">
        <f t="shared" si="85"/>
        <v>256</v>
      </c>
      <c r="R124" s="228">
        <f t="shared" si="86"/>
        <v>5282112</v>
      </c>
      <c r="S124" s="228">
        <f t="shared" si="87"/>
        <v>5541888</v>
      </c>
      <c r="T124" s="423">
        <f t="shared" si="88"/>
        <v>22</v>
      </c>
      <c r="U124" s="423">
        <f t="shared" si="89"/>
        <v>0</v>
      </c>
      <c r="V124" s="424">
        <f t="array" ref="V124">MAX((IF(MNU_CODIGO_ALIMENTO_ENTREGA=CONCATENATE($E124,"_","S_"),MNU_GRAMAJE_REQUERIDO_TIPOB,"")))</f>
        <v>40</v>
      </c>
      <c r="W124" s="391">
        <f t="shared" si="90"/>
        <v>1375</v>
      </c>
      <c r="X124" s="391">
        <f t="shared" si="91"/>
        <v>0</v>
      </c>
      <c r="Y124" s="391">
        <f t="shared" si="92"/>
        <v>30250</v>
      </c>
      <c r="Z124" s="448">
        <f t="shared" si="93"/>
        <v>244</v>
      </c>
      <c r="AA124" s="448">
        <f t="shared" si="94"/>
        <v>11.9072</v>
      </c>
      <c r="AB124" s="448">
        <f t="shared" si="95"/>
        <v>0.209843904</v>
      </c>
      <c r="AC124" s="448">
        <f t="shared" si="96"/>
        <v>256</v>
      </c>
      <c r="AD124" s="229">
        <f t="shared" si="97"/>
        <v>7381000</v>
      </c>
      <c r="AE124" s="229">
        <f t="shared" si="98"/>
        <v>7744000</v>
      </c>
      <c r="AF124" s="421">
        <f t="shared" si="99"/>
        <v>22</v>
      </c>
      <c r="AG124" s="421">
        <f t="shared" si="100"/>
        <v>0</v>
      </c>
      <c r="AH124" s="422">
        <f t="array" ref="AH124">MAX((IF(MNU_CODIGO_ALIMENTO_ENTREGA=CONCATENATE($E124,"_","S_"),MNU_GRAMAJE_REQUERIDO_TIPOC,"")))</f>
        <v>60</v>
      </c>
      <c r="AI124" s="227">
        <f t="shared" si="101"/>
        <v>1711</v>
      </c>
      <c r="AJ124" s="227">
        <f t="shared" si="102"/>
        <v>0</v>
      </c>
      <c r="AK124" s="227">
        <f t="shared" si="103"/>
        <v>37642</v>
      </c>
      <c r="AL124" s="448">
        <f t="shared" si="104"/>
        <v>366</v>
      </c>
      <c r="AM124" s="448">
        <f t="shared" si="105"/>
        <v>17.860800000000001</v>
      </c>
      <c r="AN124" s="448">
        <f t="shared" si="106"/>
        <v>0.31476585600000001</v>
      </c>
      <c r="AO124" s="448">
        <f t="shared" si="107"/>
        <v>384</v>
      </c>
      <c r="AP124" s="448">
        <f t="shared" si="108"/>
        <v>13776972</v>
      </c>
      <c r="AQ124" s="228">
        <f t="shared" si="109"/>
        <v>14454528</v>
      </c>
      <c r="AR124" s="391">
        <f t="shared" si="110"/>
        <v>26440084</v>
      </c>
      <c r="AS124" s="391">
        <f t="shared" si="111"/>
        <v>27740416</v>
      </c>
    </row>
    <row r="125" spans="1:45" ht="27">
      <c r="A125" s="226">
        <v>14</v>
      </c>
      <c r="B125" s="226" t="str">
        <f t="shared" si="75"/>
        <v>CEREAL EMPACADO_14</v>
      </c>
      <c r="C125" s="333" t="str">
        <f t="shared" si="76"/>
        <v>28_14</v>
      </c>
      <c r="D125" s="392" t="s">
        <v>1607</v>
      </c>
      <c r="E125" s="256">
        <v>28</v>
      </c>
      <c r="F125" s="322" t="s">
        <v>67</v>
      </c>
      <c r="G125" s="226" t="s">
        <v>9</v>
      </c>
      <c r="H125" s="421">
        <f t="shared" si="77"/>
        <v>19</v>
      </c>
      <c r="I125" s="421">
        <f t="shared" si="78"/>
        <v>0</v>
      </c>
      <c r="J125" s="422">
        <f t="array" ref="J125">MAX((IF(MNU_CODIGO_ALIMENTO_ENTREGA=CONCATENATE($E125,"_","S_"),MNU_GRAMAJE_REQUERIDO_TIPOA,"")))</f>
        <v>30</v>
      </c>
      <c r="K125" s="227">
        <f t="shared" si="79"/>
        <v>984</v>
      </c>
      <c r="L125" s="227">
        <f t="shared" si="80"/>
        <v>0</v>
      </c>
      <c r="M125" s="227">
        <f t="shared" si="81"/>
        <v>18696</v>
      </c>
      <c r="N125" s="448">
        <f t="shared" si="82"/>
        <v>215</v>
      </c>
      <c r="O125" s="448">
        <f t="shared" si="83"/>
        <v>10.492000000000001</v>
      </c>
      <c r="P125" s="448">
        <f t="shared" si="84"/>
        <v>0.18490343999999997</v>
      </c>
      <c r="Q125" s="448">
        <f t="shared" si="85"/>
        <v>226</v>
      </c>
      <c r="R125" s="228">
        <f t="shared" si="86"/>
        <v>4019640</v>
      </c>
      <c r="S125" s="228">
        <f t="shared" si="87"/>
        <v>4225296</v>
      </c>
      <c r="T125" s="423">
        <f t="shared" si="88"/>
        <v>19</v>
      </c>
      <c r="U125" s="423">
        <f t="shared" si="89"/>
        <v>0</v>
      </c>
      <c r="V125" s="424">
        <f t="array" ref="V125">MAX((IF(MNU_CODIGO_ALIMENTO_ENTREGA=CONCATENATE($E125,"_","S_"),MNU_GRAMAJE_REQUERIDO_TIPOB,"")))</f>
        <v>40</v>
      </c>
      <c r="W125" s="391">
        <f t="shared" si="90"/>
        <v>1375</v>
      </c>
      <c r="X125" s="391">
        <f t="shared" si="91"/>
        <v>0</v>
      </c>
      <c r="Y125" s="391">
        <f t="shared" si="92"/>
        <v>26125</v>
      </c>
      <c r="Z125" s="448">
        <f t="shared" si="93"/>
        <v>287</v>
      </c>
      <c r="AA125" s="448">
        <f t="shared" si="94"/>
        <v>14.005600000000001</v>
      </c>
      <c r="AB125" s="448">
        <f t="shared" si="95"/>
        <v>0.24682459200000004</v>
      </c>
      <c r="AC125" s="448">
        <f t="shared" si="96"/>
        <v>301</v>
      </c>
      <c r="AD125" s="229">
        <f t="shared" si="97"/>
        <v>7497875</v>
      </c>
      <c r="AE125" s="229">
        <f t="shared" si="98"/>
        <v>7863625</v>
      </c>
      <c r="AF125" s="421">
        <f t="shared" si="99"/>
        <v>19</v>
      </c>
      <c r="AG125" s="421">
        <f t="shared" si="100"/>
        <v>0</v>
      </c>
      <c r="AH125" s="422">
        <f t="array" ref="AH125">MAX((IF(MNU_CODIGO_ALIMENTO_ENTREGA=CONCATENATE($E125,"_","S_"),MNU_GRAMAJE_REQUERIDO_TIPOC,"")))</f>
        <v>60</v>
      </c>
      <c r="AI125" s="227">
        <f t="shared" si="101"/>
        <v>1711</v>
      </c>
      <c r="AJ125" s="227">
        <f t="shared" si="102"/>
        <v>0</v>
      </c>
      <c r="AK125" s="227">
        <f t="shared" si="103"/>
        <v>32509</v>
      </c>
      <c r="AL125" s="448">
        <f t="shared" si="104"/>
        <v>430</v>
      </c>
      <c r="AM125" s="448">
        <f t="shared" si="105"/>
        <v>20.984000000000002</v>
      </c>
      <c r="AN125" s="448">
        <f t="shared" si="106"/>
        <v>0.36980687999999995</v>
      </c>
      <c r="AO125" s="448">
        <f t="shared" si="107"/>
        <v>451</v>
      </c>
      <c r="AP125" s="448">
        <f t="shared" si="108"/>
        <v>13978870</v>
      </c>
      <c r="AQ125" s="228">
        <f t="shared" si="109"/>
        <v>14661559</v>
      </c>
      <c r="AR125" s="391">
        <f t="shared" si="110"/>
        <v>25496385</v>
      </c>
      <c r="AS125" s="391">
        <f t="shared" si="111"/>
        <v>26750480</v>
      </c>
    </row>
    <row r="126" spans="1:45" ht="15.75">
      <c r="A126" s="226">
        <v>14</v>
      </c>
      <c r="B126" s="226" t="str">
        <f t="shared" si="75"/>
        <v>CEREAL EMPACADO_14</v>
      </c>
      <c r="C126" s="333" t="str">
        <f t="shared" si="76"/>
        <v>45_14</v>
      </c>
      <c r="D126" s="392" t="s">
        <v>1607</v>
      </c>
      <c r="E126" s="226">
        <v>45</v>
      </c>
      <c r="F126" s="325" t="s">
        <v>10</v>
      </c>
      <c r="G126" s="226" t="s">
        <v>9</v>
      </c>
      <c r="H126" s="421">
        <f t="shared" si="77"/>
        <v>20</v>
      </c>
      <c r="I126" s="421">
        <f t="shared" si="78"/>
        <v>0</v>
      </c>
      <c r="J126" s="422">
        <f t="array" ref="J126">MAX((IF(MNU_CODIGO_ALIMENTO_ENTREGA=CONCATENATE($E126,"_","S_"),MNU_GRAMAJE_REQUERIDO_TIPOA,"")))</f>
        <v>20</v>
      </c>
      <c r="K126" s="227">
        <f t="shared" si="79"/>
        <v>984</v>
      </c>
      <c r="L126" s="227">
        <f t="shared" si="80"/>
        <v>0</v>
      </c>
      <c r="M126" s="227">
        <f t="shared" si="81"/>
        <v>19680</v>
      </c>
      <c r="N126" s="448">
        <f t="shared" si="82"/>
        <v>190</v>
      </c>
      <c r="O126" s="448">
        <f t="shared" si="83"/>
        <v>9.2720000000000002</v>
      </c>
      <c r="P126" s="448">
        <f t="shared" si="84"/>
        <v>0.16340304</v>
      </c>
      <c r="Q126" s="448">
        <f t="shared" si="85"/>
        <v>199</v>
      </c>
      <c r="R126" s="228">
        <f t="shared" si="86"/>
        <v>3739200</v>
      </c>
      <c r="S126" s="228">
        <f t="shared" si="87"/>
        <v>3916320</v>
      </c>
      <c r="T126" s="423">
        <f t="shared" si="88"/>
        <v>20</v>
      </c>
      <c r="U126" s="423">
        <f t="shared" si="89"/>
        <v>0</v>
      </c>
      <c r="V126" s="424">
        <f t="array" ref="V126">MAX((IF(MNU_CODIGO_ALIMENTO_ENTREGA=CONCATENATE($E126,"_","S_"),MNU_GRAMAJE_REQUERIDO_TIPOB,"")))</f>
        <v>30</v>
      </c>
      <c r="W126" s="391">
        <f t="shared" si="90"/>
        <v>1375</v>
      </c>
      <c r="X126" s="391">
        <f t="shared" si="91"/>
        <v>0</v>
      </c>
      <c r="Y126" s="391">
        <f t="shared" si="92"/>
        <v>27500</v>
      </c>
      <c r="Z126" s="448">
        <f t="shared" si="93"/>
        <v>284</v>
      </c>
      <c r="AA126" s="448">
        <f t="shared" si="94"/>
        <v>13.8592</v>
      </c>
      <c r="AB126" s="448">
        <f t="shared" si="95"/>
        <v>0.24424454399999998</v>
      </c>
      <c r="AC126" s="448">
        <f t="shared" si="96"/>
        <v>298</v>
      </c>
      <c r="AD126" s="229">
        <f t="shared" si="97"/>
        <v>7810000</v>
      </c>
      <c r="AE126" s="229">
        <f t="shared" si="98"/>
        <v>8195000</v>
      </c>
      <c r="AF126" s="421">
        <f t="shared" si="99"/>
        <v>20</v>
      </c>
      <c r="AG126" s="421">
        <f t="shared" si="100"/>
        <v>0</v>
      </c>
      <c r="AH126" s="422">
        <f t="array" ref="AH126">MAX((IF(MNU_CODIGO_ALIMENTO_ENTREGA=CONCATENATE($E126,"_","S_"),MNU_GRAMAJE_REQUERIDO_TIPOC,"")))</f>
        <v>60</v>
      </c>
      <c r="AI126" s="227">
        <f t="shared" si="101"/>
        <v>1711</v>
      </c>
      <c r="AJ126" s="227">
        <f t="shared" si="102"/>
        <v>0</v>
      </c>
      <c r="AK126" s="227">
        <f t="shared" si="103"/>
        <v>34220</v>
      </c>
      <c r="AL126" s="448">
        <f t="shared" si="104"/>
        <v>569</v>
      </c>
      <c r="AM126" s="448">
        <f t="shared" si="105"/>
        <v>27.767199999999999</v>
      </c>
      <c r="AN126" s="448">
        <f t="shared" si="106"/>
        <v>0.48934910400000003</v>
      </c>
      <c r="AO126" s="448">
        <f t="shared" si="107"/>
        <v>597</v>
      </c>
      <c r="AP126" s="448">
        <f t="shared" si="108"/>
        <v>19471180</v>
      </c>
      <c r="AQ126" s="228">
        <f t="shared" si="109"/>
        <v>20429340</v>
      </c>
      <c r="AR126" s="391">
        <f t="shared" si="110"/>
        <v>31020380</v>
      </c>
      <c r="AS126" s="391">
        <f t="shared" si="111"/>
        <v>32540660</v>
      </c>
    </row>
    <row r="127" spans="1:45" ht="15.75">
      <c r="A127" s="226">
        <v>14</v>
      </c>
      <c r="B127" s="226" t="str">
        <f t="shared" si="75"/>
        <v>CEREAL EMPACADO_14</v>
      </c>
      <c r="C127" s="333" t="str">
        <f t="shared" si="76"/>
        <v>61_14</v>
      </c>
      <c r="D127" s="392" t="s">
        <v>1607</v>
      </c>
      <c r="E127" s="226">
        <v>61</v>
      </c>
      <c r="F127" s="325" t="s">
        <v>13</v>
      </c>
      <c r="G127" s="226" t="s">
        <v>9</v>
      </c>
      <c r="H127" s="421">
        <f t="shared" si="77"/>
        <v>20</v>
      </c>
      <c r="I127" s="421">
        <f t="shared" si="78"/>
        <v>0</v>
      </c>
      <c r="J127" s="422">
        <f t="array" ref="J127">MAX((IF(MNU_CODIGO_ALIMENTO_ENTREGA=CONCATENATE($E127,"_","S_"),MNU_GRAMAJE_REQUERIDO_TIPOA,"")))</f>
        <v>20</v>
      </c>
      <c r="K127" s="227">
        <f t="shared" si="79"/>
        <v>984</v>
      </c>
      <c r="L127" s="227">
        <f t="shared" si="80"/>
        <v>0</v>
      </c>
      <c r="M127" s="227">
        <f t="shared" si="81"/>
        <v>19680</v>
      </c>
      <c r="N127" s="448">
        <f t="shared" si="82"/>
        <v>222</v>
      </c>
      <c r="O127" s="448">
        <f t="shared" si="83"/>
        <v>10.833600000000001</v>
      </c>
      <c r="P127" s="448">
        <f t="shared" si="84"/>
        <v>0.190923552</v>
      </c>
      <c r="Q127" s="448">
        <f t="shared" si="85"/>
        <v>233</v>
      </c>
      <c r="R127" s="228">
        <f t="shared" si="86"/>
        <v>4368960</v>
      </c>
      <c r="S127" s="228">
        <f t="shared" si="87"/>
        <v>4585440</v>
      </c>
      <c r="T127" s="423">
        <f t="shared" si="88"/>
        <v>20</v>
      </c>
      <c r="U127" s="423">
        <f t="shared" si="89"/>
        <v>0</v>
      </c>
      <c r="V127" s="424">
        <f t="array" ref="V127">MAX((IF(MNU_CODIGO_ALIMENTO_ENTREGA=CONCATENATE($E127,"_","S_"),MNU_GRAMAJE_REQUERIDO_TIPOB,"")))</f>
        <v>30</v>
      </c>
      <c r="W127" s="391">
        <f t="shared" si="90"/>
        <v>1375</v>
      </c>
      <c r="X127" s="391">
        <f t="shared" si="91"/>
        <v>0</v>
      </c>
      <c r="Y127" s="391">
        <f t="shared" si="92"/>
        <v>27500</v>
      </c>
      <c r="Z127" s="448">
        <f t="shared" si="93"/>
        <v>334</v>
      </c>
      <c r="AA127" s="448">
        <f t="shared" si="94"/>
        <v>16.299199999999999</v>
      </c>
      <c r="AB127" s="448">
        <f t="shared" si="95"/>
        <v>0.28724534400000001</v>
      </c>
      <c r="AC127" s="448">
        <f t="shared" si="96"/>
        <v>351</v>
      </c>
      <c r="AD127" s="229">
        <f t="shared" si="97"/>
        <v>9185000</v>
      </c>
      <c r="AE127" s="229">
        <f t="shared" si="98"/>
        <v>9652500</v>
      </c>
      <c r="AF127" s="421">
        <f t="shared" si="99"/>
        <v>20</v>
      </c>
      <c r="AG127" s="421">
        <f t="shared" si="100"/>
        <v>0</v>
      </c>
      <c r="AH127" s="422">
        <f t="array" ref="AH127">MAX((IF(MNU_CODIGO_ALIMENTO_ENTREGA=CONCATENATE($E127,"_","S_"),MNU_GRAMAJE_REQUERIDO_TIPOC,"")))</f>
        <v>70</v>
      </c>
      <c r="AI127" s="227">
        <f t="shared" si="101"/>
        <v>1711</v>
      </c>
      <c r="AJ127" s="227">
        <f t="shared" si="102"/>
        <v>0</v>
      </c>
      <c r="AK127" s="227">
        <f t="shared" si="103"/>
        <v>34220</v>
      </c>
      <c r="AL127" s="448">
        <f t="shared" si="104"/>
        <v>779</v>
      </c>
      <c r="AM127" s="448">
        <f t="shared" si="105"/>
        <v>38.0152</v>
      </c>
      <c r="AN127" s="448">
        <f t="shared" si="106"/>
        <v>0.66995246400000008</v>
      </c>
      <c r="AO127" s="448">
        <f t="shared" si="107"/>
        <v>818</v>
      </c>
      <c r="AP127" s="448">
        <f t="shared" si="108"/>
        <v>26657380</v>
      </c>
      <c r="AQ127" s="228">
        <f t="shared" si="109"/>
        <v>27991960</v>
      </c>
      <c r="AR127" s="391">
        <f t="shared" si="110"/>
        <v>40211340</v>
      </c>
      <c r="AS127" s="391">
        <f t="shared" si="111"/>
        <v>42229900</v>
      </c>
    </row>
    <row r="128" spans="1:45" ht="15.75">
      <c r="A128" s="226">
        <v>15</v>
      </c>
      <c r="B128" s="226" t="str">
        <f t="shared" si="75"/>
        <v>CEREAL EMPACADO_15</v>
      </c>
      <c r="C128" s="333" t="str">
        <f t="shared" si="76"/>
        <v>3_15</v>
      </c>
      <c r="D128" s="392" t="s">
        <v>1607</v>
      </c>
      <c r="E128" s="226">
        <v>3</v>
      </c>
      <c r="F128" s="325" t="s">
        <v>12</v>
      </c>
      <c r="G128" s="226" t="s">
        <v>9</v>
      </c>
      <c r="H128" s="421">
        <f t="shared" si="77"/>
        <v>19</v>
      </c>
      <c r="I128" s="421">
        <f t="shared" si="78"/>
        <v>0</v>
      </c>
      <c r="J128" s="422">
        <f t="array" ref="J128">MAX((IF(MNU_CODIGO_ALIMENTO_ENTREGA=CONCATENATE($E128,"_","S_"),MNU_GRAMAJE_REQUERIDO_TIPOA,"")))</f>
        <v>50</v>
      </c>
      <c r="K128" s="227">
        <f t="shared" si="79"/>
        <v>556</v>
      </c>
      <c r="L128" s="227">
        <f t="shared" si="80"/>
        <v>0</v>
      </c>
      <c r="M128" s="227">
        <f t="shared" si="81"/>
        <v>10564</v>
      </c>
      <c r="N128" s="448">
        <f t="shared" si="82"/>
        <v>481</v>
      </c>
      <c r="O128" s="448">
        <f t="shared" si="83"/>
        <v>23.472799999999999</v>
      </c>
      <c r="P128" s="448">
        <f t="shared" si="84"/>
        <v>0.41366769599999997</v>
      </c>
      <c r="Q128" s="448">
        <f t="shared" si="85"/>
        <v>505</v>
      </c>
      <c r="R128" s="228">
        <f t="shared" si="86"/>
        <v>5081284</v>
      </c>
      <c r="S128" s="228">
        <f t="shared" si="87"/>
        <v>5334820</v>
      </c>
      <c r="T128" s="423">
        <f t="shared" si="88"/>
        <v>19</v>
      </c>
      <c r="U128" s="423">
        <f t="shared" si="89"/>
        <v>0</v>
      </c>
      <c r="V128" s="424">
        <f t="array" ref="V128">MAX((IF(MNU_CODIGO_ALIMENTO_ENTREGA=CONCATENATE($E128,"_","S_"),MNU_GRAMAJE_REQUERIDO_TIPOB,"")))</f>
        <v>50</v>
      </c>
      <c r="W128" s="391">
        <f t="shared" si="90"/>
        <v>103</v>
      </c>
      <c r="X128" s="391">
        <f t="shared" si="91"/>
        <v>0</v>
      </c>
      <c r="Y128" s="391">
        <f t="shared" si="92"/>
        <v>1957</v>
      </c>
      <c r="Z128" s="448">
        <f t="shared" si="93"/>
        <v>481</v>
      </c>
      <c r="AA128" s="448">
        <f t="shared" si="94"/>
        <v>23.472799999999999</v>
      </c>
      <c r="AB128" s="448">
        <f t="shared" si="95"/>
        <v>0.41366769599999997</v>
      </c>
      <c r="AC128" s="448">
        <f t="shared" si="96"/>
        <v>505</v>
      </c>
      <c r="AD128" s="229">
        <f t="shared" si="97"/>
        <v>941317</v>
      </c>
      <c r="AE128" s="229">
        <f t="shared" si="98"/>
        <v>988285</v>
      </c>
      <c r="AF128" s="421">
        <f t="shared" si="99"/>
        <v>19</v>
      </c>
      <c r="AG128" s="421">
        <f t="shared" si="100"/>
        <v>0</v>
      </c>
      <c r="AH128" s="422">
        <f t="array" ref="AH128">MAX((IF(MNU_CODIGO_ALIMENTO_ENTREGA=CONCATENATE($E128,"_","S_"),MNU_GRAMAJE_REQUERIDO_TIPOC,"")))</f>
        <v>80</v>
      </c>
      <c r="AI128" s="227">
        <f t="shared" si="101"/>
        <v>1214</v>
      </c>
      <c r="AJ128" s="227">
        <f t="shared" si="102"/>
        <v>0</v>
      </c>
      <c r="AK128" s="227">
        <f t="shared" si="103"/>
        <v>23066</v>
      </c>
      <c r="AL128" s="448">
        <f t="shared" si="104"/>
        <v>727</v>
      </c>
      <c r="AM128" s="448">
        <f t="shared" si="105"/>
        <v>35.477600000000002</v>
      </c>
      <c r="AN128" s="448">
        <f t="shared" si="106"/>
        <v>0.62523163200000009</v>
      </c>
      <c r="AO128" s="448">
        <f t="shared" si="107"/>
        <v>763</v>
      </c>
      <c r="AP128" s="448">
        <f t="shared" si="108"/>
        <v>16768982</v>
      </c>
      <c r="AQ128" s="228">
        <f t="shared" si="109"/>
        <v>17599358</v>
      </c>
      <c r="AR128" s="391">
        <f t="shared" si="110"/>
        <v>22791583</v>
      </c>
      <c r="AS128" s="391">
        <f t="shared" si="111"/>
        <v>23922463</v>
      </c>
    </row>
    <row r="129" spans="1:45" ht="15.75">
      <c r="A129" s="226">
        <v>15</v>
      </c>
      <c r="B129" s="226" t="str">
        <f t="shared" si="75"/>
        <v>CEREAL EMPACADO_15</v>
      </c>
      <c r="C129" s="333" t="str">
        <f t="shared" si="76"/>
        <v>15_15</v>
      </c>
      <c r="D129" s="392" t="s">
        <v>1607</v>
      </c>
      <c r="E129" s="226">
        <v>15</v>
      </c>
      <c r="F129" s="325" t="s">
        <v>66</v>
      </c>
      <c r="G129" s="226" t="s">
        <v>9</v>
      </c>
      <c r="H129" s="421">
        <f t="shared" si="77"/>
        <v>11</v>
      </c>
      <c r="I129" s="421">
        <f t="shared" si="78"/>
        <v>11</v>
      </c>
      <c r="J129" s="422">
        <f t="array" ref="J129">MAX((IF(MNU_CODIGO_ALIMENTO_ENTREGA=CONCATENATE($E129,"_","S_"),MNU_GRAMAJE_REQUERIDO_TIPOA,"")))</f>
        <v>50</v>
      </c>
      <c r="K129" s="227">
        <f t="shared" si="79"/>
        <v>556</v>
      </c>
      <c r="L129" s="227">
        <f t="shared" si="80"/>
        <v>0</v>
      </c>
      <c r="M129" s="227">
        <f t="shared" si="81"/>
        <v>6116</v>
      </c>
      <c r="N129" s="448">
        <f t="shared" si="82"/>
        <v>641</v>
      </c>
      <c r="O129" s="448">
        <f t="shared" si="83"/>
        <v>31.280800000000003</v>
      </c>
      <c r="P129" s="448">
        <f t="shared" si="84"/>
        <v>0.55127025600000001</v>
      </c>
      <c r="Q129" s="448">
        <f t="shared" si="85"/>
        <v>673</v>
      </c>
      <c r="R129" s="228">
        <f t="shared" si="86"/>
        <v>3920356</v>
      </c>
      <c r="S129" s="228">
        <f t="shared" si="87"/>
        <v>4116068</v>
      </c>
      <c r="T129" s="423">
        <f t="shared" si="88"/>
        <v>11</v>
      </c>
      <c r="U129" s="423">
        <f t="shared" si="89"/>
        <v>11</v>
      </c>
      <c r="V129" s="424">
        <f t="array" ref="V129">MAX((IF(MNU_CODIGO_ALIMENTO_ENTREGA=CONCATENATE($E129,"_","S_"),MNU_GRAMAJE_REQUERIDO_TIPOB,"")))</f>
        <v>50</v>
      </c>
      <c r="W129" s="391">
        <f t="shared" si="90"/>
        <v>103</v>
      </c>
      <c r="X129" s="391">
        <f t="shared" si="91"/>
        <v>0</v>
      </c>
      <c r="Y129" s="391">
        <f t="shared" si="92"/>
        <v>1133</v>
      </c>
      <c r="Z129" s="448">
        <f t="shared" si="93"/>
        <v>641</v>
      </c>
      <c r="AA129" s="448">
        <f t="shared" si="94"/>
        <v>31.280800000000003</v>
      </c>
      <c r="AB129" s="448">
        <f t="shared" si="95"/>
        <v>0.55127025600000001</v>
      </c>
      <c r="AC129" s="448">
        <f t="shared" si="96"/>
        <v>673</v>
      </c>
      <c r="AD129" s="229">
        <f t="shared" si="97"/>
        <v>726253</v>
      </c>
      <c r="AE129" s="229">
        <f t="shared" si="98"/>
        <v>762509</v>
      </c>
      <c r="AF129" s="421">
        <f t="shared" si="99"/>
        <v>11</v>
      </c>
      <c r="AG129" s="421">
        <f t="shared" si="100"/>
        <v>11</v>
      </c>
      <c r="AH129" s="422">
        <f t="array" ref="AH129">MAX((IF(MNU_CODIGO_ALIMENTO_ENTREGA=CONCATENATE($E129,"_","S_"),MNU_GRAMAJE_REQUERIDO_TIPOC,"")))</f>
        <v>80</v>
      </c>
      <c r="AI129" s="227">
        <f t="shared" si="101"/>
        <v>1214</v>
      </c>
      <c r="AJ129" s="227">
        <f t="shared" si="102"/>
        <v>0</v>
      </c>
      <c r="AK129" s="227">
        <f t="shared" si="103"/>
        <v>13354</v>
      </c>
      <c r="AL129" s="448">
        <f t="shared" si="104"/>
        <v>1025</v>
      </c>
      <c r="AM129" s="448">
        <f t="shared" si="105"/>
        <v>50.02</v>
      </c>
      <c r="AN129" s="448">
        <f t="shared" si="106"/>
        <v>0.88151640000000009</v>
      </c>
      <c r="AO129" s="448">
        <f t="shared" si="107"/>
        <v>1076</v>
      </c>
      <c r="AP129" s="448">
        <f t="shared" si="108"/>
        <v>13687850</v>
      </c>
      <c r="AQ129" s="228">
        <f t="shared" si="109"/>
        <v>14368904</v>
      </c>
      <c r="AR129" s="391">
        <f t="shared" si="110"/>
        <v>18334459</v>
      </c>
      <c r="AS129" s="391">
        <f t="shared" si="111"/>
        <v>19247481</v>
      </c>
    </row>
    <row r="130" spans="1:45" ht="27">
      <c r="A130" s="226">
        <v>15</v>
      </c>
      <c r="B130" s="226" t="str">
        <f t="shared" si="75"/>
        <v>CEREAL EMPACADO_15</v>
      </c>
      <c r="C130" s="333" t="str">
        <f t="shared" si="76"/>
        <v>21_15</v>
      </c>
      <c r="D130" s="392" t="s">
        <v>1607</v>
      </c>
      <c r="E130" s="226">
        <v>21</v>
      </c>
      <c r="F130" s="325" t="s">
        <v>70</v>
      </c>
      <c r="G130" s="226" t="s">
        <v>9</v>
      </c>
      <c r="H130" s="421">
        <f t="shared" si="77"/>
        <v>22</v>
      </c>
      <c r="I130" s="421">
        <f t="shared" si="78"/>
        <v>0</v>
      </c>
      <c r="J130" s="422">
        <f t="array" ref="J130">MAX((IF(MNU_CODIGO_ALIMENTO_ENTREGA=CONCATENATE($E130,"_","S_"),MNU_GRAMAJE_REQUERIDO_TIPOA,"")))</f>
        <v>30</v>
      </c>
      <c r="K130" s="227">
        <f t="shared" si="79"/>
        <v>556</v>
      </c>
      <c r="L130" s="227">
        <f t="shared" si="80"/>
        <v>0</v>
      </c>
      <c r="M130" s="227">
        <f t="shared" si="81"/>
        <v>12232</v>
      </c>
      <c r="N130" s="448">
        <f t="shared" si="82"/>
        <v>458</v>
      </c>
      <c r="O130" s="448">
        <f t="shared" si="83"/>
        <v>22.3504</v>
      </c>
      <c r="P130" s="448">
        <f t="shared" si="84"/>
        <v>0.39388732799999998</v>
      </c>
      <c r="Q130" s="448">
        <f t="shared" si="85"/>
        <v>481</v>
      </c>
      <c r="R130" s="228">
        <f t="shared" si="86"/>
        <v>5602256</v>
      </c>
      <c r="S130" s="228">
        <f t="shared" si="87"/>
        <v>5883592</v>
      </c>
      <c r="T130" s="423">
        <f t="shared" si="88"/>
        <v>22</v>
      </c>
      <c r="U130" s="423">
        <f t="shared" si="89"/>
        <v>0</v>
      </c>
      <c r="V130" s="424">
        <f t="array" ref="V130">MAX((IF(MNU_CODIGO_ALIMENTO_ENTREGA=CONCATENATE($E130,"_","S_"),MNU_GRAMAJE_REQUERIDO_TIPOB,"")))</f>
        <v>30</v>
      </c>
      <c r="W130" s="391">
        <f t="shared" si="90"/>
        <v>103</v>
      </c>
      <c r="X130" s="391">
        <f t="shared" si="91"/>
        <v>0</v>
      </c>
      <c r="Y130" s="391">
        <f t="shared" si="92"/>
        <v>2266</v>
      </c>
      <c r="Z130" s="448">
        <f t="shared" si="93"/>
        <v>458</v>
      </c>
      <c r="AA130" s="448">
        <f t="shared" si="94"/>
        <v>22.3504</v>
      </c>
      <c r="AB130" s="448">
        <f t="shared" si="95"/>
        <v>0.39388732799999998</v>
      </c>
      <c r="AC130" s="448">
        <f t="shared" si="96"/>
        <v>481</v>
      </c>
      <c r="AD130" s="229">
        <f t="shared" si="97"/>
        <v>1037828</v>
      </c>
      <c r="AE130" s="229">
        <f t="shared" si="98"/>
        <v>1089946</v>
      </c>
      <c r="AF130" s="421">
        <f t="shared" si="99"/>
        <v>22</v>
      </c>
      <c r="AG130" s="421">
        <f t="shared" si="100"/>
        <v>0</v>
      </c>
      <c r="AH130" s="422">
        <f t="array" ref="AH130">MAX((IF(MNU_CODIGO_ALIMENTO_ENTREGA=CONCATENATE($E130,"_","S_"),MNU_GRAMAJE_REQUERIDO_TIPOC,"")))</f>
        <v>50</v>
      </c>
      <c r="AI130" s="227">
        <f t="shared" si="101"/>
        <v>1214</v>
      </c>
      <c r="AJ130" s="227">
        <f t="shared" si="102"/>
        <v>0</v>
      </c>
      <c r="AK130" s="227">
        <f t="shared" si="103"/>
        <v>26708</v>
      </c>
      <c r="AL130" s="448">
        <f t="shared" si="104"/>
        <v>764</v>
      </c>
      <c r="AM130" s="448">
        <f t="shared" si="105"/>
        <v>37.283200000000001</v>
      </c>
      <c r="AN130" s="448">
        <f t="shared" si="106"/>
        <v>0.65705222400000007</v>
      </c>
      <c r="AO130" s="448">
        <f t="shared" si="107"/>
        <v>802</v>
      </c>
      <c r="AP130" s="448">
        <f t="shared" si="108"/>
        <v>20404912</v>
      </c>
      <c r="AQ130" s="228">
        <f t="shared" si="109"/>
        <v>21419816</v>
      </c>
      <c r="AR130" s="391">
        <f t="shared" si="110"/>
        <v>27044996</v>
      </c>
      <c r="AS130" s="391">
        <f t="shared" si="111"/>
        <v>28393354</v>
      </c>
    </row>
    <row r="131" spans="1:45" ht="15.75">
      <c r="A131" s="226">
        <v>15</v>
      </c>
      <c r="B131" s="226" t="str">
        <f t="shared" si="75"/>
        <v>CEREAL EMPACADO_15</v>
      </c>
      <c r="C131" s="333" t="str">
        <f t="shared" si="76"/>
        <v>24_15</v>
      </c>
      <c r="D131" s="392" t="s">
        <v>1607</v>
      </c>
      <c r="E131" s="226">
        <v>24</v>
      </c>
      <c r="F131" s="325" t="s">
        <v>61</v>
      </c>
      <c r="G131" s="226" t="s">
        <v>9</v>
      </c>
      <c r="H131" s="421">
        <f t="shared" si="77"/>
        <v>11</v>
      </c>
      <c r="I131" s="421">
        <f t="shared" si="78"/>
        <v>11</v>
      </c>
      <c r="J131" s="422">
        <f t="array" ref="J131">MAX((IF(MNU_CODIGO_ALIMENTO_ENTREGA=CONCATENATE($E131,"_","S_"),MNU_GRAMAJE_REQUERIDO_TIPOA,"")))</f>
        <v>20</v>
      </c>
      <c r="K131" s="227">
        <f t="shared" si="79"/>
        <v>556</v>
      </c>
      <c r="L131" s="227">
        <f t="shared" si="80"/>
        <v>0</v>
      </c>
      <c r="M131" s="227">
        <f t="shared" si="81"/>
        <v>6116</v>
      </c>
      <c r="N131" s="448">
        <f t="shared" si="82"/>
        <v>122</v>
      </c>
      <c r="O131" s="448">
        <f t="shared" si="83"/>
        <v>5.9535999999999998</v>
      </c>
      <c r="P131" s="448">
        <f t="shared" si="84"/>
        <v>0.104921952</v>
      </c>
      <c r="Q131" s="448">
        <f t="shared" si="85"/>
        <v>128</v>
      </c>
      <c r="R131" s="228">
        <f t="shared" si="86"/>
        <v>746152</v>
      </c>
      <c r="S131" s="228">
        <f t="shared" si="87"/>
        <v>782848</v>
      </c>
      <c r="T131" s="423">
        <f t="shared" si="88"/>
        <v>11</v>
      </c>
      <c r="U131" s="423">
        <f t="shared" si="89"/>
        <v>11</v>
      </c>
      <c r="V131" s="424">
        <f t="array" ref="V131">MAX((IF(MNU_CODIGO_ALIMENTO_ENTREGA=CONCATENATE($E131,"_","S_"),MNU_GRAMAJE_REQUERIDO_TIPOB,"")))</f>
        <v>30</v>
      </c>
      <c r="W131" s="391">
        <f t="shared" si="90"/>
        <v>103</v>
      </c>
      <c r="X131" s="391">
        <f t="shared" si="91"/>
        <v>0</v>
      </c>
      <c r="Y131" s="391">
        <f t="shared" si="92"/>
        <v>1133</v>
      </c>
      <c r="Z131" s="448">
        <f t="shared" si="93"/>
        <v>191</v>
      </c>
      <c r="AA131" s="448">
        <f t="shared" si="94"/>
        <v>9.3208000000000002</v>
      </c>
      <c r="AB131" s="448">
        <f t="shared" si="95"/>
        <v>0.16426305600000002</v>
      </c>
      <c r="AC131" s="448">
        <f t="shared" si="96"/>
        <v>200</v>
      </c>
      <c r="AD131" s="229">
        <f t="shared" si="97"/>
        <v>216403</v>
      </c>
      <c r="AE131" s="229">
        <f t="shared" si="98"/>
        <v>226600</v>
      </c>
      <c r="AF131" s="421">
        <f t="shared" si="99"/>
        <v>11</v>
      </c>
      <c r="AG131" s="421">
        <f t="shared" si="100"/>
        <v>11</v>
      </c>
      <c r="AH131" s="422">
        <f t="array" ref="AH131">MAX((IF(MNU_CODIGO_ALIMENTO_ENTREGA=CONCATENATE($E131,"_","S_"),MNU_GRAMAJE_REQUERIDO_TIPOC,"")))</f>
        <v>60</v>
      </c>
      <c r="AI131" s="227">
        <f t="shared" si="101"/>
        <v>1214</v>
      </c>
      <c r="AJ131" s="227">
        <f t="shared" si="102"/>
        <v>0</v>
      </c>
      <c r="AK131" s="227">
        <f t="shared" si="103"/>
        <v>13354</v>
      </c>
      <c r="AL131" s="448">
        <f t="shared" si="104"/>
        <v>367</v>
      </c>
      <c r="AM131" s="448">
        <f t="shared" si="105"/>
        <v>17.909599999999998</v>
      </c>
      <c r="AN131" s="448">
        <f t="shared" si="106"/>
        <v>0.31562587200000003</v>
      </c>
      <c r="AO131" s="448">
        <f t="shared" si="107"/>
        <v>385</v>
      </c>
      <c r="AP131" s="448">
        <f t="shared" si="108"/>
        <v>4900918</v>
      </c>
      <c r="AQ131" s="228">
        <f t="shared" si="109"/>
        <v>5141290</v>
      </c>
      <c r="AR131" s="391">
        <f t="shared" si="110"/>
        <v>5863473</v>
      </c>
      <c r="AS131" s="391">
        <f t="shared" si="111"/>
        <v>6150738</v>
      </c>
    </row>
    <row r="132" spans="1:45" ht="15.75">
      <c r="A132" s="226">
        <v>15</v>
      </c>
      <c r="B132" s="226" t="str">
        <f t="shared" si="75"/>
        <v>CEREAL EMPACADO_15</v>
      </c>
      <c r="C132" s="333" t="str">
        <f t="shared" si="76"/>
        <v>25_15</v>
      </c>
      <c r="D132" s="392" t="s">
        <v>1607</v>
      </c>
      <c r="E132" s="226">
        <v>25</v>
      </c>
      <c r="F132" s="325" t="s">
        <v>64</v>
      </c>
      <c r="G132" s="226" t="s">
        <v>9</v>
      </c>
      <c r="H132" s="421">
        <f t="shared" si="77"/>
        <v>22</v>
      </c>
      <c r="I132" s="421">
        <f t="shared" si="78"/>
        <v>0</v>
      </c>
      <c r="J132" s="422">
        <f t="array" ref="J132">MAX((IF(MNU_CODIGO_ALIMENTO_ENTREGA=CONCATENATE($E132,"_","S_"),MNU_GRAMAJE_REQUERIDO_TIPOA,"")))</f>
        <v>40</v>
      </c>
      <c r="K132" s="227">
        <f t="shared" si="79"/>
        <v>556</v>
      </c>
      <c r="L132" s="227">
        <f t="shared" si="80"/>
        <v>0</v>
      </c>
      <c r="M132" s="227">
        <f t="shared" si="81"/>
        <v>12232</v>
      </c>
      <c r="N132" s="448">
        <f t="shared" si="82"/>
        <v>244</v>
      </c>
      <c r="O132" s="448">
        <f t="shared" si="83"/>
        <v>11.9072</v>
      </c>
      <c r="P132" s="448">
        <f t="shared" si="84"/>
        <v>0.209843904</v>
      </c>
      <c r="Q132" s="448">
        <f t="shared" si="85"/>
        <v>256</v>
      </c>
      <c r="R132" s="228">
        <f t="shared" si="86"/>
        <v>2984608</v>
      </c>
      <c r="S132" s="228">
        <f t="shared" si="87"/>
        <v>3131392</v>
      </c>
      <c r="T132" s="423">
        <f t="shared" si="88"/>
        <v>22</v>
      </c>
      <c r="U132" s="423">
        <f t="shared" si="89"/>
        <v>0</v>
      </c>
      <c r="V132" s="424">
        <f t="array" ref="V132">MAX((IF(MNU_CODIGO_ALIMENTO_ENTREGA=CONCATENATE($E132,"_","S_"),MNU_GRAMAJE_REQUERIDO_TIPOB,"")))</f>
        <v>40</v>
      </c>
      <c r="W132" s="391">
        <f t="shared" si="90"/>
        <v>103</v>
      </c>
      <c r="X132" s="391">
        <f t="shared" si="91"/>
        <v>0</v>
      </c>
      <c r="Y132" s="391">
        <f t="shared" si="92"/>
        <v>2266</v>
      </c>
      <c r="Z132" s="448">
        <f t="shared" si="93"/>
        <v>244</v>
      </c>
      <c r="AA132" s="448">
        <f t="shared" si="94"/>
        <v>11.9072</v>
      </c>
      <c r="AB132" s="448">
        <f t="shared" si="95"/>
        <v>0.209843904</v>
      </c>
      <c r="AC132" s="448">
        <f t="shared" si="96"/>
        <v>256</v>
      </c>
      <c r="AD132" s="229">
        <f t="shared" si="97"/>
        <v>552904</v>
      </c>
      <c r="AE132" s="229">
        <f t="shared" si="98"/>
        <v>580096</v>
      </c>
      <c r="AF132" s="421">
        <f t="shared" si="99"/>
        <v>22</v>
      </c>
      <c r="AG132" s="421">
        <f t="shared" si="100"/>
        <v>0</v>
      </c>
      <c r="AH132" s="422">
        <f t="array" ref="AH132">MAX((IF(MNU_CODIGO_ALIMENTO_ENTREGA=CONCATENATE($E132,"_","S_"),MNU_GRAMAJE_REQUERIDO_TIPOC,"")))</f>
        <v>60</v>
      </c>
      <c r="AI132" s="227">
        <f t="shared" si="101"/>
        <v>1214</v>
      </c>
      <c r="AJ132" s="227">
        <f t="shared" si="102"/>
        <v>0</v>
      </c>
      <c r="AK132" s="227">
        <f t="shared" si="103"/>
        <v>26708</v>
      </c>
      <c r="AL132" s="448">
        <f t="shared" si="104"/>
        <v>366</v>
      </c>
      <c r="AM132" s="448">
        <f t="shared" si="105"/>
        <v>17.860800000000001</v>
      </c>
      <c r="AN132" s="448">
        <f t="shared" si="106"/>
        <v>0.31476585600000001</v>
      </c>
      <c r="AO132" s="448">
        <f t="shared" si="107"/>
        <v>384</v>
      </c>
      <c r="AP132" s="448">
        <f t="shared" si="108"/>
        <v>9775128</v>
      </c>
      <c r="AQ132" s="228">
        <f t="shared" si="109"/>
        <v>10255872</v>
      </c>
      <c r="AR132" s="391">
        <f t="shared" si="110"/>
        <v>13312640</v>
      </c>
      <c r="AS132" s="391">
        <f t="shared" si="111"/>
        <v>13967360</v>
      </c>
    </row>
    <row r="133" spans="1:45" ht="27">
      <c r="A133" s="226">
        <v>15</v>
      </c>
      <c r="B133" s="226" t="str">
        <f t="shared" si="75"/>
        <v>CEREAL EMPACADO_15</v>
      </c>
      <c r="C133" s="333" t="str">
        <f t="shared" si="76"/>
        <v>28_15</v>
      </c>
      <c r="D133" s="392" t="s">
        <v>1607</v>
      </c>
      <c r="E133" s="226">
        <v>28</v>
      </c>
      <c r="F133" s="325" t="s">
        <v>67</v>
      </c>
      <c r="G133" s="226" t="s">
        <v>9</v>
      </c>
      <c r="H133" s="421">
        <f t="shared" si="77"/>
        <v>19</v>
      </c>
      <c r="I133" s="421">
        <f t="shared" si="78"/>
        <v>0</v>
      </c>
      <c r="J133" s="422">
        <f t="array" ref="J133">MAX((IF(MNU_CODIGO_ALIMENTO_ENTREGA=CONCATENATE($E133,"_","S_"),MNU_GRAMAJE_REQUERIDO_TIPOA,"")))</f>
        <v>30</v>
      </c>
      <c r="K133" s="227">
        <f t="shared" si="79"/>
        <v>556</v>
      </c>
      <c r="L133" s="227">
        <f t="shared" si="80"/>
        <v>0</v>
      </c>
      <c r="M133" s="227">
        <f t="shared" si="81"/>
        <v>10564</v>
      </c>
      <c r="N133" s="448">
        <f t="shared" si="82"/>
        <v>215</v>
      </c>
      <c r="O133" s="448">
        <f t="shared" si="83"/>
        <v>10.492000000000001</v>
      </c>
      <c r="P133" s="448">
        <f t="shared" si="84"/>
        <v>0.18490343999999997</v>
      </c>
      <c r="Q133" s="448">
        <f t="shared" si="85"/>
        <v>226</v>
      </c>
      <c r="R133" s="228">
        <f t="shared" si="86"/>
        <v>2271260</v>
      </c>
      <c r="S133" s="228">
        <f t="shared" si="87"/>
        <v>2387464</v>
      </c>
      <c r="T133" s="423">
        <f t="shared" si="88"/>
        <v>19</v>
      </c>
      <c r="U133" s="423">
        <f t="shared" si="89"/>
        <v>0</v>
      </c>
      <c r="V133" s="424">
        <f t="array" ref="V133">MAX((IF(MNU_CODIGO_ALIMENTO_ENTREGA=CONCATENATE($E133,"_","S_"),MNU_GRAMAJE_REQUERIDO_TIPOB,"")))</f>
        <v>40</v>
      </c>
      <c r="W133" s="391">
        <f t="shared" si="90"/>
        <v>103</v>
      </c>
      <c r="X133" s="391">
        <f t="shared" si="91"/>
        <v>0</v>
      </c>
      <c r="Y133" s="391">
        <f t="shared" si="92"/>
        <v>1957</v>
      </c>
      <c r="Z133" s="448">
        <f t="shared" si="93"/>
        <v>287</v>
      </c>
      <c r="AA133" s="448">
        <f t="shared" si="94"/>
        <v>14.005600000000001</v>
      </c>
      <c r="AB133" s="448">
        <f t="shared" si="95"/>
        <v>0.24682459200000004</v>
      </c>
      <c r="AC133" s="448">
        <f t="shared" si="96"/>
        <v>301</v>
      </c>
      <c r="AD133" s="229">
        <f t="shared" si="97"/>
        <v>561659</v>
      </c>
      <c r="AE133" s="229">
        <f t="shared" si="98"/>
        <v>589057</v>
      </c>
      <c r="AF133" s="421">
        <f t="shared" si="99"/>
        <v>19</v>
      </c>
      <c r="AG133" s="421">
        <f t="shared" si="100"/>
        <v>0</v>
      </c>
      <c r="AH133" s="422">
        <f t="array" ref="AH133">MAX((IF(MNU_CODIGO_ALIMENTO_ENTREGA=CONCATENATE($E133,"_","S_"),MNU_GRAMAJE_REQUERIDO_TIPOC,"")))</f>
        <v>60</v>
      </c>
      <c r="AI133" s="227">
        <f t="shared" si="101"/>
        <v>1214</v>
      </c>
      <c r="AJ133" s="227">
        <f t="shared" si="102"/>
        <v>0</v>
      </c>
      <c r="AK133" s="227">
        <f t="shared" si="103"/>
        <v>23066</v>
      </c>
      <c r="AL133" s="448">
        <f t="shared" si="104"/>
        <v>430</v>
      </c>
      <c r="AM133" s="448">
        <f t="shared" si="105"/>
        <v>20.984000000000002</v>
      </c>
      <c r="AN133" s="448">
        <f t="shared" si="106"/>
        <v>0.36980687999999995</v>
      </c>
      <c r="AO133" s="448">
        <f t="shared" si="107"/>
        <v>451</v>
      </c>
      <c r="AP133" s="448">
        <f t="shared" si="108"/>
        <v>9918380</v>
      </c>
      <c r="AQ133" s="228">
        <f t="shared" si="109"/>
        <v>10402766</v>
      </c>
      <c r="AR133" s="391">
        <f t="shared" si="110"/>
        <v>12751299</v>
      </c>
      <c r="AS133" s="391">
        <f t="shared" si="111"/>
        <v>13379287</v>
      </c>
    </row>
    <row r="134" spans="1:45" ht="15.75">
      <c r="A134" s="226">
        <v>15</v>
      </c>
      <c r="B134" s="226" t="str">
        <f t="shared" si="75"/>
        <v>CEREAL EMPACADO_15</v>
      </c>
      <c r="C134" s="333" t="str">
        <f t="shared" si="76"/>
        <v>45_15</v>
      </c>
      <c r="D134" s="392" t="s">
        <v>1607</v>
      </c>
      <c r="E134" s="226">
        <v>45</v>
      </c>
      <c r="F134" s="325" t="s">
        <v>10</v>
      </c>
      <c r="G134" s="226" t="s">
        <v>9</v>
      </c>
      <c r="H134" s="421">
        <f t="shared" si="77"/>
        <v>20</v>
      </c>
      <c r="I134" s="421">
        <f t="shared" si="78"/>
        <v>0</v>
      </c>
      <c r="J134" s="422">
        <f t="array" ref="J134">MAX((IF(MNU_CODIGO_ALIMENTO_ENTREGA=CONCATENATE($E134,"_","S_"),MNU_GRAMAJE_REQUERIDO_TIPOA,"")))</f>
        <v>20</v>
      </c>
      <c r="K134" s="227">
        <f t="shared" si="79"/>
        <v>556</v>
      </c>
      <c r="L134" s="227">
        <f t="shared" si="80"/>
        <v>0</v>
      </c>
      <c r="M134" s="227">
        <f t="shared" si="81"/>
        <v>11120</v>
      </c>
      <c r="N134" s="448">
        <f t="shared" si="82"/>
        <v>190</v>
      </c>
      <c r="O134" s="448">
        <f t="shared" si="83"/>
        <v>9.2720000000000002</v>
      </c>
      <c r="P134" s="448">
        <f t="shared" si="84"/>
        <v>0.16340304</v>
      </c>
      <c r="Q134" s="448">
        <f t="shared" si="85"/>
        <v>199</v>
      </c>
      <c r="R134" s="228">
        <f t="shared" si="86"/>
        <v>2112800</v>
      </c>
      <c r="S134" s="228">
        <f t="shared" si="87"/>
        <v>2212880</v>
      </c>
      <c r="T134" s="423">
        <f t="shared" si="88"/>
        <v>20</v>
      </c>
      <c r="U134" s="423">
        <f t="shared" si="89"/>
        <v>0</v>
      </c>
      <c r="V134" s="424">
        <f t="array" ref="V134">MAX((IF(MNU_CODIGO_ALIMENTO_ENTREGA=CONCATENATE($E134,"_","S_"),MNU_GRAMAJE_REQUERIDO_TIPOB,"")))</f>
        <v>30</v>
      </c>
      <c r="W134" s="391">
        <f t="shared" si="90"/>
        <v>103</v>
      </c>
      <c r="X134" s="391">
        <f t="shared" si="91"/>
        <v>0</v>
      </c>
      <c r="Y134" s="391">
        <f t="shared" si="92"/>
        <v>2060</v>
      </c>
      <c r="Z134" s="448">
        <f t="shared" si="93"/>
        <v>284</v>
      </c>
      <c r="AA134" s="448">
        <f t="shared" si="94"/>
        <v>13.8592</v>
      </c>
      <c r="AB134" s="448">
        <f t="shared" si="95"/>
        <v>0.24424454399999998</v>
      </c>
      <c r="AC134" s="448">
        <f t="shared" si="96"/>
        <v>298</v>
      </c>
      <c r="AD134" s="229">
        <f t="shared" si="97"/>
        <v>585040</v>
      </c>
      <c r="AE134" s="229">
        <f t="shared" si="98"/>
        <v>613880</v>
      </c>
      <c r="AF134" s="421">
        <f t="shared" si="99"/>
        <v>20</v>
      </c>
      <c r="AG134" s="421">
        <f t="shared" si="100"/>
        <v>0</v>
      </c>
      <c r="AH134" s="422">
        <f t="array" ref="AH134">MAX((IF(MNU_CODIGO_ALIMENTO_ENTREGA=CONCATENATE($E134,"_","S_"),MNU_GRAMAJE_REQUERIDO_TIPOC,"")))</f>
        <v>60</v>
      </c>
      <c r="AI134" s="227">
        <f t="shared" si="101"/>
        <v>1214</v>
      </c>
      <c r="AJ134" s="227">
        <f t="shared" si="102"/>
        <v>0</v>
      </c>
      <c r="AK134" s="227">
        <f t="shared" si="103"/>
        <v>24280</v>
      </c>
      <c r="AL134" s="448">
        <f t="shared" si="104"/>
        <v>569</v>
      </c>
      <c r="AM134" s="448">
        <f t="shared" si="105"/>
        <v>27.767199999999999</v>
      </c>
      <c r="AN134" s="448">
        <f t="shared" si="106"/>
        <v>0.48934910400000003</v>
      </c>
      <c r="AO134" s="448">
        <f t="shared" si="107"/>
        <v>597</v>
      </c>
      <c r="AP134" s="448">
        <f t="shared" si="108"/>
        <v>13815320</v>
      </c>
      <c r="AQ134" s="228">
        <f t="shared" si="109"/>
        <v>14495160</v>
      </c>
      <c r="AR134" s="391">
        <f t="shared" si="110"/>
        <v>16513160</v>
      </c>
      <c r="AS134" s="391">
        <f t="shared" si="111"/>
        <v>17321920</v>
      </c>
    </row>
    <row r="135" spans="1:45" ht="15.75">
      <c r="A135" s="226">
        <v>15</v>
      </c>
      <c r="B135" s="226" t="str">
        <f t="shared" si="75"/>
        <v>CEREAL EMPACADO_15</v>
      </c>
      <c r="C135" s="333" t="str">
        <f t="shared" si="76"/>
        <v>61_15</v>
      </c>
      <c r="D135" s="392" t="s">
        <v>1607</v>
      </c>
      <c r="E135" s="226">
        <v>61</v>
      </c>
      <c r="F135" s="325" t="s">
        <v>13</v>
      </c>
      <c r="G135" s="226" t="s">
        <v>9</v>
      </c>
      <c r="H135" s="421">
        <f t="shared" si="77"/>
        <v>20</v>
      </c>
      <c r="I135" s="421">
        <f t="shared" si="78"/>
        <v>0</v>
      </c>
      <c r="J135" s="422">
        <f t="array" ref="J135">MAX((IF(MNU_CODIGO_ALIMENTO_ENTREGA=CONCATENATE($E135,"_","S_"),MNU_GRAMAJE_REQUERIDO_TIPOA,"")))</f>
        <v>20</v>
      </c>
      <c r="K135" s="227">
        <f t="shared" si="79"/>
        <v>556</v>
      </c>
      <c r="L135" s="227">
        <f t="shared" si="80"/>
        <v>0</v>
      </c>
      <c r="M135" s="227">
        <f t="shared" si="81"/>
        <v>11120</v>
      </c>
      <c r="N135" s="448">
        <f t="shared" si="82"/>
        <v>222</v>
      </c>
      <c r="O135" s="448">
        <f t="shared" si="83"/>
        <v>10.833600000000001</v>
      </c>
      <c r="P135" s="448">
        <f t="shared" si="84"/>
        <v>0.190923552</v>
      </c>
      <c r="Q135" s="448">
        <f t="shared" si="85"/>
        <v>233</v>
      </c>
      <c r="R135" s="228">
        <f t="shared" si="86"/>
        <v>2468640</v>
      </c>
      <c r="S135" s="228">
        <f t="shared" si="87"/>
        <v>2590960</v>
      </c>
      <c r="T135" s="423">
        <f t="shared" si="88"/>
        <v>20</v>
      </c>
      <c r="U135" s="423">
        <f t="shared" si="89"/>
        <v>0</v>
      </c>
      <c r="V135" s="424">
        <f t="array" ref="V135">MAX((IF(MNU_CODIGO_ALIMENTO_ENTREGA=CONCATENATE($E135,"_","S_"),MNU_GRAMAJE_REQUERIDO_TIPOB,"")))</f>
        <v>30</v>
      </c>
      <c r="W135" s="391">
        <f t="shared" si="90"/>
        <v>103</v>
      </c>
      <c r="X135" s="391">
        <f t="shared" si="91"/>
        <v>0</v>
      </c>
      <c r="Y135" s="391">
        <f t="shared" si="92"/>
        <v>2060</v>
      </c>
      <c r="Z135" s="448">
        <f t="shared" si="93"/>
        <v>334</v>
      </c>
      <c r="AA135" s="448">
        <f t="shared" si="94"/>
        <v>16.299199999999999</v>
      </c>
      <c r="AB135" s="448">
        <f t="shared" si="95"/>
        <v>0.28724534400000001</v>
      </c>
      <c r="AC135" s="448">
        <f t="shared" si="96"/>
        <v>351</v>
      </c>
      <c r="AD135" s="229">
        <f t="shared" si="97"/>
        <v>688040</v>
      </c>
      <c r="AE135" s="229">
        <f t="shared" si="98"/>
        <v>723060</v>
      </c>
      <c r="AF135" s="421">
        <f t="shared" si="99"/>
        <v>20</v>
      </c>
      <c r="AG135" s="421">
        <f t="shared" si="100"/>
        <v>0</v>
      </c>
      <c r="AH135" s="422">
        <f t="array" ref="AH135">MAX((IF(MNU_CODIGO_ALIMENTO_ENTREGA=CONCATENATE($E135,"_","S_"),MNU_GRAMAJE_REQUERIDO_TIPOC,"")))</f>
        <v>70</v>
      </c>
      <c r="AI135" s="227">
        <f t="shared" si="101"/>
        <v>1214</v>
      </c>
      <c r="AJ135" s="227">
        <f t="shared" si="102"/>
        <v>0</v>
      </c>
      <c r="AK135" s="227">
        <f t="shared" si="103"/>
        <v>24280</v>
      </c>
      <c r="AL135" s="448">
        <f t="shared" si="104"/>
        <v>779</v>
      </c>
      <c r="AM135" s="448">
        <f t="shared" si="105"/>
        <v>38.0152</v>
      </c>
      <c r="AN135" s="448">
        <f t="shared" si="106"/>
        <v>0.66995246400000008</v>
      </c>
      <c r="AO135" s="448">
        <f t="shared" si="107"/>
        <v>818</v>
      </c>
      <c r="AP135" s="448">
        <f t="shared" si="108"/>
        <v>18914120</v>
      </c>
      <c r="AQ135" s="228">
        <f t="shared" si="109"/>
        <v>19861040</v>
      </c>
      <c r="AR135" s="391">
        <f t="shared" si="110"/>
        <v>22070800</v>
      </c>
      <c r="AS135" s="391">
        <f t="shared" si="111"/>
        <v>23175060</v>
      </c>
    </row>
    <row r="136" spans="1:45" ht="15.75">
      <c r="A136" s="226">
        <v>16</v>
      </c>
      <c r="B136" s="226" t="str">
        <f t="shared" si="75"/>
        <v>CEREAL EMPACADO_16</v>
      </c>
      <c r="C136" s="333" t="str">
        <f t="shared" si="76"/>
        <v>3_16</v>
      </c>
      <c r="D136" s="392" t="s">
        <v>1607</v>
      </c>
      <c r="E136" s="226">
        <v>3</v>
      </c>
      <c r="F136" s="325" t="s">
        <v>12</v>
      </c>
      <c r="G136" s="226" t="s">
        <v>9</v>
      </c>
      <c r="H136" s="421">
        <f t="shared" si="77"/>
        <v>19</v>
      </c>
      <c r="I136" s="421">
        <f t="shared" si="78"/>
        <v>0</v>
      </c>
      <c r="J136" s="422">
        <f t="array" ref="J136">MAX((IF(MNU_CODIGO_ALIMENTO_ENTREGA=CONCATENATE($E136,"_","S_"),MNU_GRAMAJE_REQUERIDO_TIPOA,"")))</f>
        <v>50</v>
      </c>
      <c r="K136" s="227">
        <f t="shared" si="79"/>
        <v>927</v>
      </c>
      <c r="L136" s="227">
        <f t="shared" si="80"/>
        <v>0</v>
      </c>
      <c r="M136" s="227">
        <f t="shared" si="81"/>
        <v>17613</v>
      </c>
      <c r="N136" s="448">
        <f t="shared" si="82"/>
        <v>481</v>
      </c>
      <c r="O136" s="448">
        <f t="shared" si="83"/>
        <v>23.472799999999999</v>
      </c>
      <c r="P136" s="448">
        <f t="shared" si="84"/>
        <v>0.41366769599999997</v>
      </c>
      <c r="Q136" s="448">
        <f t="shared" si="85"/>
        <v>505</v>
      </c>
      <c r="R136" s="228">
        <f t="shared" si="86"/>
        <v>8471853</v>
      </c>
      <c r="S136" s="228">
        <f t="shared" si="87"/>
        <v>8894565</v>
      </c>
      <c r="T136" s="423">
        <f t="shared" si="88"/>
        <v>19</v>
      </c>
      <c r="U136" s="423">
        <f t="shared" si="89"/>
        <v>0</v>
      </c>
      <c r="V136" s="424">
        <f t="array" ref="V136">MAX((IF(MNU_CODIGO_ALIMENTO_ENTREGA=CONCATENATE($E136,"_","S_"),MNU_GRAMAJE_REQUERIDO_TIPOB,"")))</f>
        <v>50</v>
      </c>
      <c r="W136" s="391">
        <f t="shared" si="90"/>
        <v>1639</v>
      </c>
      <c r="X136" s="391">
        <f t="shared" si="91"/>
        <v>0</v>
      </c>
      <c r="Y136" s="391">
        <f t="shared" si="92"/>
        <v>31141</v>
      </c>
      <c r="Z136" s="448">
        <f t="shared" si="93"/>
        <v>481</v>
      </c>
      <c r="AA136" s="448">
        <f t="shared" si="94"/>
        <v>23.472799999999999</v>
      </c>
      <c r="AB136" s="448">
        <f t="shared" si="95"/>
        <v>0.41366769599999997</v>
      </c>
      <c r="AC136" s="448">
        <f t="shared" si="96"/>
        <v>505</v>
      </c>
      <c r="AD136" s="229">
        <f t="shared" si="97"/>
        <v>14978821</v>
      </c>
      <c r="AE136" s="229">
        <f t="shared" si="98"/>
        <v>15726205</v>
      </c>
      <c r="AF136" s="421">
        <f t="shared" si="99"/>
        <v>19</v>
      </c>
      <c r="AG136" s="421">
        <f t="shared" si="100"/>
        <v>0</v>
      </c>
      <c r="AH136" s="422">
        <f t="array" ref="AH136">MAX((IF(MNU_CODIGO_ALIMENTO_ENTREGA=CONCATENATE($E136,"_","S_"),MNU_GRAMAJE_REQUERIDO_TIPOC,"")))</f>
        <v>80</v>
      </c>
      <c r="AI136" s="227">
        <f t="shared" si="101"/>
        <v>2118</v>
      </c>
      <c r="AJ136" s="227">
        <f t="shared" si="102"/>
        <v>0</v>
      </c>
      <c r="AK136" s="227">
        <f t="shared" si="103"/>
        <v>40242</v>
      </c>
      <c r="AL136" s="448">
        <f t="shared" si="104"/>
        <v>727</v>
      </c>
      <c r="AM136" s="448">
        <f t="shared" si="105"/>
        <v>35.477600000000002</v>
      </c>
      <c r="AN136" s="448">
        <f t="shared" si="106"/>
        <v>0.62523163200000009</v>
      </c>
      <c r="AO136" s="448">
        <f t="shared" si="107"/>
        <v>763</v>
      </c>
      <c r="AP136" s="448">
        <f t="shared" si="108"/>
        <v>29255934</v>
      </c>
      <c r="AQ136" s="228">
        <f t="shared" si="109"/>
        <v>30704646</v>
      </c>
      <c r="AR136" s="391">
        <f t="shared" si="110"/>
        <v>52706608</v>
      </c>
      <c r="AS136" s="391">
        <f t="shared" si="111"/>
        <v>55325416</v>
      </c>
    </row>
    <row r="137" spans="1:45" ht="15.75">
      <c r="A137" s="226">
        <v>16</v>
      </c>
      <c r="B137" s="226" t="str">
        <f t="shared" si="75"/>
        <v>CEREAL EMPACADO_16</v>
      </c>
      <c r="C137" s="333" t="str">
        <f t="shared" si="76"/>
        <v>15_16</v>
      </c>
      <c r="D137" s="392" t="s">
        <v>1607</v>
      </c>
      <c r="E137" s="226">
        <v>15</v>
      </c>
      <c r="F137" s="325" t="s">
        <v>66</v>
      </c>
      <c r="G137" s="226" t="s">
        <v>9</v>
      </c>
      <c r="H137" s="421">
        <f t="shared" si="77"/>
        <v>11</v>
      </c>
      <c r="I137" s="421">
        <f t="shared" si="78"/>
        <v>11</v>
      </c>
      <c r="J137" s="422">
        <f t="array" ref="J137">MAX((IF(MNU_CODIGO_ALIMENTO_ENTREGA=CONCATENATE($E137,"_","S_"),MNU_GRAMAJE_REQUERIDO_TIPOA,"")))</f>
        <v>50</v>
      </c>
      <c r="K137" s="227">
        <f t="shared" si="79"/>
        <v>927</v>
      </c>
      <c r="L137" s="227">
        <f t="shared" si="80"/>
        <v>0</v>
      </c>
      <c r="M137" s="227">
        <f t="shared" si="81"/>
        <v>10197</v>
      </c>
      <c r="N137" s="448">
        <f t="shared" si="82"/>
        <v>641</v>
      </c>
      <c r="O137" s="448">
        <f t="shared" si="83"/>
        <v>31.280800000000003</v>
      </c>
      <c r="P137" s="448">
        <f t="shared" si="84"/>
        <v>0.55127025600000001</v>
      </c>
      <c r="Q137" s="448">
        <f t="shared" si="85"/>
        <v>673</v>
      </c>
      <c r="R137" s="228">
        <f t="shared" si="86"/>
        <v>6536277</v>
      </c>
      <c r="S137" s="228">
        <f t="shared" si="87"/>
        <v>6862581</v>
      </c>
      <c r="T137" s="423">
        <f t="shared" si="88"/>
        <v>11</v>
      </c>
      <c r="U137" s="423">
        <f t="shared" si="89"/>
        <v>11</v>
      </c>
      <c r="V137" s="424">
        <f t="array" ref="V137">MAX((IF(MNU_CODIGO_ALIMENTO_ENTREGA=CONCATENATE($E137,"_","S_"),MNU_GRAMAJE_REQUERIDO_TIPOB,"")))</f>
        <v>50</v>
      </c>
      <c r="W137" s="391">
        <f t="shared" si="90"/>
        <v>1639</v>
      </c>
      <c r="X137" s="391">
        <f t="shared" si="91"/>
        <v>0</v>
      </c>
      <c r="Y137" s="391">
        <f t="shared" si="92"/>
        <v>18029</v>
      </c>
      <c r="Z137" s="448">
        <f t="shared" si="93"/>
        <v>641</v>
      </c>
      <c r="AA137" s="448">
        <f t="shared" si="94"/>
        <v>31.280800000000003</v>
      </c>
      <c r="AB137" s="448">
        <f t="shared" si="95"/>
        <v>0.55127025600000001</v>
      </c>
      <c r="AC137" s="448">
        <f t="shared" si="96"/>
        <v>673</v>
      </c>
      <c r="AD137" s="229">
        <f t="shared" si="97"/>
        <v>11556589</v>
      </c>
      <c r="AE137" s="229">
        <f t="shared" si="98"/>
        <v>12133517</v>
      </c>
      <c r="AF137" s="421">
        <f t="shared" si="99"/>
        <v>11</v>
      </c>
      <c r="AG137" s="421">
        <f t="shared" si="100"/>
        <v>11</v>
      </c>
      <c r="AH137" s="422">
        <f t="array" ref="AH137">MAX((IF(MNU_CODIGO_ALIMENTO_ENTREGA=CONCATENATE($E137,"_","S_"),MNU_GRAMAJE_REQUERIDO_TIPOC,"")))</f>
        <v>80</v>
      </c>
      <c r="AI137" s="227">
        <f t="shared" si="101"/>
        <v>2118</v>
      </c>
      <c r="AJ137" s="227">
        <f t="shared" si="102"/>
        <v>0</v>
      </c>
      <c r="AK137" s="227">
        <f t="shared" si="103"/>
        <v>23298</v>
      </c>
      <c r="AL137" s="448">
        <f t="shared" si="104"/>
        <v>1025</v>
      </c>
      <c r="AM137" s="448">
        <f t="shared" si="105"/>
        <v>50.02</v>
      </c>
      <c r="AN137" s="448">
        <f t="shared" si="106"/>
        <v>0.88151640000000009</v>
      </c>
      <c r="AO137" s="448">
        <f t="shared" si="107"/>
        <v>1076</v>
      </c>
      <c r="AP137" s="448">
        <f t="shared" si="108"/>
        <v>23880450</v>
      </c>
      <c r="AQ137" s="228">
        <f t="shared" si="109"/>
        <v>25068648</v>
      </c>
      <c r="AR137" s="391">
        <f t="shared" si="110"/>
        <v>41973316</v>
      </c>
      <c r="AS137" s="391">
        <f t="shared" si="111"/>
        <v>44064746</v>
      </c>
    </row>
    <row r="138" spans="1:45" ht="27">
      <c r="A138" s="226">
        <v>16</v>
      </c>
      <c r="B138" s="226" t="str">
        <f t="shared" si="75"/>
        <v>CEREAL EMPACADO_16</v>
      </c>
      <c r="C138" s="333" t="str">
        <f t="shared" si="76"/>
        <v>21_16</v>
      </c>
      <c r="D138" s="392" t="s">
        <v>1607</v>
      </c>
      <c r="E138" s="226">
        <v>21</v>
      </c>
      <c r="F138" s="325" t="s">
        <v>70</v>
      </c>
      <c r="G138" s="226" t="s">
        <v>9</v>
      </c>
      <c r="H138" s="421">
        <f t="shared" si="77"/>
        <v>22</v>
      </c>
      <c r="I138" s="421">
        <f t="shared" si="78"/>
        <v>0</v>
      </c>
      <c r="J138" s="422">
        <f t="array" ref="J138">MAX((IF(MNU_CODIGO_ALIMENTO_ENTREGA=CONCATENATE($E138,"_","S_"),MNU_GRAMAJE_REQUERIDO_TIPOA,"")))</f>
        <v>30</v>
      </c>
      <c r="K138" s="227">
        <f t="shared" si="79"/>
        <v>927</v>
      </c>
      <c r="L138" s="227">
        <f t="shared" si="80"/>
        <v>0</v>
      </c>
      <c r="M138" s="227">
        <f t="shared" si="81"/>
        <v>20394</v>
      </c>
      <c r="N138" s="448">
        <f t="shared" si="82"/>
        <v>458</v>
      </c>
      <c r="O138" s="448">
        <f t="shared" si="83"/>
        <v>22.3504</v>
      </c>
      <c r="P138" s="448">
        <f t="shared" si="84"/>
        <v>0.39388732799999998</v>
      </c>
      <c r="Q138" s="448">
        <f t="shared" si="85"/>
        <v>481</v>
      </c>
      <c r="R138" s="228">
        <f t="shared" si="86"/>
        <v>9340452</v>
      </c>
      <c r="S138" s="228">
        <f t="shared" si="87"/>
        <v>9809514</v>
      </c>
      <c r="T138" s="423">
        <f t="shared" si="88"/>
        <v>22</v>
      </c>
      <c r="U138" s="423">
        <f t="shared" si="89"/>
        <v>0</v>
      </c>
      <c r="V138" s="424">
        <f t="array" ref="V138">MAX((IF(MNU_CODIGO_ALIMENTO_ENTREGA=CONCATENATE($E138,"_","S_"),MNU_GRAMAJE_REQUERIDO_TIPOB,"")))</f>
        <v>30</v>
      </c>
      <c r="W138" s="391">
        <f t="shared" si="90"/>
        <v>1639</v>
      </c>
      <c r="X138" s="391">
        <f t="shared" si="91"/>
        <v>0</v>
      </c>
      <c r="Y138" s="391">
        <f t="shared" si="92"/>
        <v>36058</v>
      </c>
      <c r="Z138" s="448">
        <f t="shared" si="93"/>
        <v>458</v>
      </c>
      <c r="AA138" s="448">
        <f t="shared" si="94"/>
        <v>22.3504</v>
      </c>
      <c r="AB138" s="448">
        <f t="shared" si="95"/>
        <v>0.39388732799999998</v>
      </c>
      <c r="AC138" s="448">
        <f t="shared" si="96"/>
        <v>481</v>
      </c>
      <c r="AD138" s="229">
        <f t="shared" si="97"/>
        <v>16514564</v>
      </c>
      <c r="AE138" s="229">
        <f t="shared" si="98"/>
        <v>17343898</v>
      </c>
      <c r="AF138" s="421">
        <f t="shared" si="99"/>
        <v>22</v>
      </c>
      <c r="AG138" s="421">
        <f t="shared" si="100"/>
        <v>0</v>
      </c>
      <c r="AH138" s="422">
        <f t="array" ref="AH138">MAX((IF(MNU_CODIGO_ALIMENTO_ENTREGA=CONCATENATE($E138,"_","S_"),MNU_GRAMAJE_REQUERIDO_TIPOC,"")))</f>
        <v>50</v>
      </c>
      <c r="AI138" s="227">
        <f t="shared" si="101"/>
        <v>2118</v>
      </c>
      <c r="AJ138" s="227">
        <f t="shared" si="102"/>
        <v>0</v>
      </c>
      <c r="AK138" s="227">
        <f t="shared" si="103"/>
        <v>46596</v>
      </c>
      <c r="AL138" s="448">
        <f t="shared" si="104"/>
        <v>764</v>
      </c>
      <c r="AM138" s="448">
        <f t="shared" si="105"/>
        <v>37.283200000000001</v>
      </c>
      <c r="AN138" s="448">
        <f t="shared" si="106"/>
        <v>0.65705222400000007</v>
      </c>
      <c r="AO138" s="448">
        <f t="shared" si="107"/>
        <v>802</v>
      </c>
      <c r="AP138" s="448">
        <f t="shared" si="108"/>
        <v>35599344</v>
      </c>
      <c r="AQ138" s="228">
        <f t="shared" si="109"/>
        <v>37369992</v>
      </c>
      <c r="AR138" s="391">
        <f t="shared" si="110"/>
        <v>61454360</v>
      </c>
      <c r="AS138" s="391">
        <f t="shared" si="111"/>
        <v>64523404</v>
      </c>
    </row>
    <row r="139" spans="1:45" ht="15.75">
      <c r="A139" s="226">
        <v>16</v>
      </c>
      <c r="B139" s="226" t="str">
        <f t="shared" si="75"/>
        <v>CEREAL EMPACADO_16</v>
      </c>
      <c r="C139" s="333" t="str">
        <f t="shared" si="76"/>
        <v>24_16</v>
      </c>
      <c r="D139" s="392" t="s">
        <v>1607</v>
      </c>
      <c r="E139" s="226">
        <v>24</v>
      </c>
      <c r="F139" s="325" t="s">
        <v>61</v>
      </c>
      <c r="G139" s="226" t="s">
        <v>9</v>
      </c>
      <c r="H139" s="421">
        <f t="shared" si="77"/>
        <v>11</v>
      </c>
      <c r="I139" s="421">
        <f t="shared" si="78"/>
        <v>11</v>
      </c>
      <c r="J139" s="422">
        <f t="array" ref="J139">MAX((IF(MNU_CODIGO_ALIMENTO_ENTREGA=CONCATENATE($E139,"_","S_"),MNU_GRAMAJE_REQUERIDO_TIPOA,"")))</f>
        <v>20</v>
      </c>
      <c r="K139" s="227">
        <f t="shared" si="79"/>
        <v>927</v>
      </c>
      <c r="L139" s="227">
        <f t="shared" si="80"/>
        <v>0</v>
      </c>
      <c r="M139" s="227">
        <f t="shared" si="81"/>
        <v>10197</v>
      </c>
      <c r="N139" s="448">
        <f t="shared" si="82"/>
        <v>122</v>
      </c>
      <c r="O139" s="448">
        <f t="shared" si="83"/>
        <v>5.9535999999999998</v>
      </c>
      <c r="P139" s="448">
        <f t="shared" si="84"/>
        <v>0.104921952</v>
      </c>
      <c r="Q139" s="448">
        <f t="shared" si="85"/>
        <v>128</v>
      </c>
      <c r="R139" s="228">
        <f t="shared" si="86"/>
        <v>1244034</v>
      </c>
      <c r="S139" s="228">
        <f t="shared" si="87"/>
        <v>1305216</v>
      </c>
      <c r="T139" s="423">
        <f t="shared" si="88"/>
        <v>11</v>
      </c>
      <c r="U139" s="423">
        <f t="shared" si="89"/>
        <v>11</v>
      </c>
      <c r="V139" s="424">
        <f t="array" ref="V139">MAX((IF(MNU_CODIGO_ALIMENTO_ENTREGA=CONCATENATE($E139,"_","S_"),MNU_GRAMAJE_REQUERIDO_TIPOB,"")))</f>
        <v>30</v>
      </c>
      <c r="W139" s="391">
        <f t="shared" si="90"/>
        <v>1639</v>
      </c>
      <c r="X139" s="391">
        <f t="shared" si="91"/>
        <v>0</v>
      </c>
      <c r="Y139" s="391">
        <f t="shared" si="92"/>
        <v>18029</v>
      </c>
      <c r="Z139" s="448">
        <f t="shared" si="93"/>
        <v>191</v>
      </c>
      <c r="AA139" s="448">
        <f t="shared" si="94"/>
        <v>9.3208000000000002</v>
      </c>
      <c r="AB139" s="448">
        <f t="shared" si="95"/>
        <v>0.16426305600000002</v>
      </c>
      <c r="AC139" s="448">
        <f t="shared" si="96"/>
        <v>200</v>
      </c>
      <c r="AD139" s="229">
        <f t="shared" si="97"/>
        <v>3443539</v>
      </c>
      <c r="AE139" s="229">
        <f t="shared" si="98"/>
        <v>3605800</v>
      </c>
      <c r="AF139" s="421">
        <f t="shared" si="99"/>
        <v>11</v>
      </c>
      <c r="AG139" s="421">
        <f t="shared" si="100"/>
        <v>11</v>
      </c>
      <c r="AH139" s="422">
        <f t="array" ref="AH139">MAX((IF(MNU_CODIGO_ALIMENTO_ENTREGA=CONCATENATE($E139,"_","S_"),MNU_GRAMAJE_REQUERIDO_TIPOC,"")))</f>
        <v>60</v>
      </c>
      <c r="AI139" s="227">
        <f t="shared" si="101"/>
        <v>2118</v>
      </c>
      <c r="AJ139" s="227">
        <f t="shared" si="102"/>
        <v>0</v>
      </c>
      <c r="AK139" s="227">
        <f t="shared" si="103"/>
        <v>23298</v>
      </c>
      <c r="AL139" s="448">
        <f t="shared" si="104"/>
        <v>367</v>
      </c>
      <c r="AM139" s="448">
        <f t="shared" si="105"/>
        <v>17.909599999999998</v>
      </c>
      <c r="AN139" s="448">
        <f t="shared" si="106"/>
        <v>0.31562587200000003</v>
      </c>
      <c r="AO139" s="448">
        <f t="shared" si="107"/>
        <v>385</v>
      </c>
      <c r="AP139" s="448">
        <f t="shared" si="108"/>
        <v>8550366</v>
      </c>
      <c r="AQ139" s="228">
        <f t="shared" si="109"/>
        <v>8969730</v>
      </c>
      <c r="AR139" s="391">
        <f t="shared" si="110"/>
        <v>13237939</v>
      </c>
      <c r="AS139" s="391">
        <f t="shared" si="111"/>
        <v>13880746</v>
      </c>
    </row>
    <row r="140" spans="1:45" ht="15.75">
      <c r="A140" s="226">
        <v>16</v>
      </c>
      <c r="B140" s="226" t="str">
        <f t="shared" si="75"/>
        <v>CEREAL EMPACADO_16</v>
      </c>
      <c r="C140" s="333" t="str">
        <f t="shared" si="76"/>
        <v>25_16</v>
      </c>
      <c r="D140" s="392" t="s">
        <v>1607</v>
      </c>
      <c r="E140" s="226">
        <v>25</v>
      </c>
      <c r="F140" s="325" t="s">
        <v>64</v>
      </c>
      <c r="G140" s="226" t="s">
        <v>9</v>
      </c>
      <c r="H140" s="421">
        <f t="shared" si="77"/>
        <v>22</v>
      </c>
      <c r="I140" s="421">
        <f t="shared" si="78"/>
        <v>0</v>
      </c>
      <c r="J140" s="422">
        <f t="array" ref="J140">MAX((IF(MNU_CODIGO_ALIMENTO_ENTREGA=CONCATENATE($E140,"_","S_"),MNU_GRAMAJE_REQUERIDO_TIPOA,"")))</f>
        <v>40</v>
      </c>
      <c r="K140" s="227">
        <f t="shared" si="79"/>
        <v>927</v>
      </c>
      <c r="L140" s="227">
        <f t="shared" si="80"/>
        <v>0</v>
      </c>
      <c r="M140" s="227">
        <f t="shared" si="81"/>
        <v>20394</v>
      </c>
      <c r="N140" s="448">
        <f t="shared" si="82"/>
        <v>244</v>
      </c>
      <c r="O140" s="448">
        <f t="shared" si="83"/>
        <v>11.9072</v>
      </c>
      <c r="P140" s="448">
        <f t="shared" si="84"/>
        <v>0.209843904</v>
      </c>
      <c r="Q140" s="448">
        <f t="shared" si="85"/>
        <v>256</v>
      </c>
      <c r="R140" s="228">
        <f t="shared" si="86"/>
        <v>4976136</v>
      </c>
      <c r="S140" s="228">
        <f t="shared" si="87"/>
        <v>5220864</v>
      </c>
      <c r="T140" s="423">
        <f t="shared" si="88"/>
        <v>22</v>
      </c>
      <c r="U140" s="423">
        <f t="shared" si="89"/>
        <v>0</v>
      </c>
      <c r="V140" s="424">
        <f t="array" ref="V140">MAX((IF(MNU_CODIGO_ALIMENTO_ENTREGA=CONCATENATE($E140,"_","S_"),MNU_GRAMAJE_REQUERIDO_TIPOB,"")))</f>
        <v>40</v>
      </c>
      <c r="W140" s="391">
        <f t="shared" si="90"/>
        <v>1639</v>
      </c>
      <c r="X140" s="391">
        <f t="shared" si="91"/>
        <v>0</v>
      </c>
      <c r="Y140" s="391">
        <f t="shared" si="92"/>
        <v>36058</v>
      </c>
      <c r="Z140" s="448">
        <f t="shared" si="93"/>
        <v>244</v>
      </c>
      <c r="AA140" s="448">
        <f t="shared" si="94"/>
        <v>11.9072</v>
      </c>
      <c r="AB140" s="448">
        <f t="shared" si="95"/>
        <v>0.209843904</v>
      </c>
      <c r="AC140" s="448">
        <f t="shared" si="96"/>
        <v>256</v>
      </c>
      <c r="AD140" s="229">
        <f t="shared" si="97"/>
        <v>8798152</v>
      </c>
      <c r="AE140" s="229">
        <f t="shared" si="98"/>
        <v>9230848</v>
      </c>
      <c r="AF140" s="421">
        <f t="shared" si="99"/>
        <v>22</v>
      </c>
      <c r="AG140" s="421">
        <f t="shared" si="100"/>
        <v>0</v>
      </c>
      <c r="AH140" s="422">
        <f t="array" ref="AH140">MAX((IF(MNU_CODIGO_ALIMENTO_ENTREGA=CONCATENATE($E140,"_","S_"),MNU_GRAMAJE_REQUERIDO_TIPOC,"")))</f>
        <v>60</v>
      </c>
      <c r="AI140" s="227">
        <f t="shared" si="101"/>
        <v>2118</v>
      </c>
      <c r="AJ140" s="227">
        <f t="shared" si="102"/>
        <v>0</v>
      </c>
      <c r="AK140" s="227">
        <f t="shared" si="103"/>
        <v>46596</v>
      </c>
      <c r="AL140" s="448">
        <f t="shared" si="104"/>
        <v>366</v>
      </c>
      <c r="AM140" s="448">
        <f t="shared" si="105"/>
        <v>17.860800000000001</v>
      </c>
      <c r="AN140" s="448">
        <f t="shared" si="106"/>
        <v>0.31476585600000001</v>
      </c>
      <c r="AO140" s="448">
        <f t="shared" si="107"/>
        <v>384</v>
      </c>
      <c r="AP140" s="448">
        <f t="shared" si="108"/>
        <v>17054136</v>
      </c>
      <c r="AQ140" s="228">
        <f t="shared" si="109"/>
        <v>17892864</v>
      </c>
      <c r="AR140" s="391">
        <f t="shared" si="110"/>
        <v>30828424</v>
      </c>
      <c r="AS140" s="391">
        <f t="shared" si="111"/>
        <v>32344576</v>
      </c>
    </row>
    <row r="141" spans="1:45" ht="27">
      <c r="A141" s="226">
        <v>16</v>
      </c>
      <c r="B141" s="226" t="str">
        <f t="shared" si="75"/>
        <v>CEREAL EMPACADO_16</v>
      </c>
      <c r="C141" s="333" t="str">
        <f t="shared" si="76"/>
        <v>28_16</v>
      </c>
      <c r="D141" s="392" t="s">
        <v>1607</v>
      </c>
      <c r="E141" s="226">
        <v>28</v>
      </c>
      <c r="F141" s="325" t="s">
        <v>67</v>
      </c>
      <c r="G141" s="226" t="s">
        <v>9</v>
      </c>
      <c r="H141" s="421">
        <f t="shared" si="77"/>
        <v>19</v>
      </c>
      <c r="I141" s="421">
        <f t="shared" si="78"/>
        <v>0</v>
      </c>
      <c r="J141" s="422">
        <f t="array" ref="J141">MAX((IF(MNU_CODIGO_ALIMENTO_ENTREGA=CONCATENATE($E141,"_","S_"),MNU_GRAMAJE_REQUERIDO_TIPOA,"")))</f>
        <v>30</v>
      </c>
      <c r="K141" s="227">
        <f t="shared" si="79"/>
        <v>927</v>
      </c>
      <c r="L141" s="227">
        <f t="shared" si="80"/>
        <v>0</v>
      </c>
      <c r="M141" s="227">
        <f t="shared" si="81"/>
        <v>17613</v>
      </c>
      <c r="N141" s="448">
        <f t="shared" si="82"/>
        <v>215</v>
      </c>
      <c r="O141" s="448">
        <f t="shared" si="83"/>
        <v>10.492000000000001</v>
      </c>
      <c r="P141" s="448">
        <f t="shared" si="84"/>
        <v>0.18490343999999997</v>
      </c>
      <c r="Q141" s="448">
        <f t="shared" si="85"/>
        <v>226</v>
      </c>
      <c r="R141" s="228">
        <f t="shared" si="86"/>
        <v>3786795</v>
      </c>
      <c r="S141" s="228">
        <f t="shared" si="87"/>
        <v>3980538</v>
      </c>
      <c r="T141" s="423">
        <f t="shared" si="88"/>
        <v>19</v>
      </c>
      <c r="U141" s="423">
        <f t="shared" si="89"/>
        <v>0</v>
      </c>
      <c r="V141" s="424">
        <f t="array" ref="V141">MAX((IF(MNU_CODIGO_ALIMENTO_ENTREGA=CONCATENATE($E141,"_","S_"),MNU_GRAMAJE_REQUERIDO_TIPOB,"")))</f>
        <v>40</v>
      </c>
      <c r="W141" s="391">
        <f t="shared" si="90"/>
        <v>1639</v>
      </c>
      <c r="X141" s="391">
        <f t="shared" si="91"/>
        <v>0</v>
      </c>
      <c r="Y141" s="391">
        <f t="shared" si="92"/>
        <v>31141</v>
      </c>
      <c r="Z141" s="448">
        <f t="shared" si="93"/>
        <v>287</v>
      </c>
      <c r="AA141" s="448">
        <f t="shared" si="94"/>
        <v>14.005600000000001</v>
      </c>
      <c r="AB141" s="448">
        <f t="shared" si="95"/>
        <v>0.24682459200000004</v>
      </c>
      <c r="AC141" s="448">
        <f t="shared" si="96"/>
        <v>301</v>
      </c>
      <c r="AD141" s="229">
        <f t="shared" si="97"/>
        <v>8937467</v>
      </c>
      <c r="AE141" s="229">
        <f t="shared" si="98"/>
        <v>9373441</v>
      </c>
      <c r="AF141" s="421">
        <f t="shared" si="99"/>
        <v>19</v>
      </c>
      <c r="AG141" s="421">
        <f t="shared" si="100"/>
        <v>0</v>
      </c>
      <c r="AH141" s="422">
        <f t="array" ref="AH141">MAX((IF(MNU_CODIGO_ALIMENTO_ENTREGA=CONCATENATE($E141,"_","S_"),MNU_GRAMAJE_REQUERIDO_TIPOC,"")))</f>
        <v>60</v>
      </c>
      <c r="AI141" s="227">
        <f t="shared" si="101"/>
        <v>2118</v>
      </c>
      <c r="AJ141" s="227">
        <f t="shared" si="102"/>
        <v>0</v>
      </c>
      <c r="AK141" s="227">
        <f t="shared" si="103"/>
        <v>40242</v>
      </c>
      <c r="AL141" s="448">
        <f t="shared" si="104"/>
        <v>430</v>
      </c>
      <c r="AM141" s="448">
        <f t="shared" si="105"/>
        <v>20.984000000000002</v>
      </c>
      <c r="AN141" s="448">
        <f t="shared" si="106"/>
        <v>0.36980687999999995</v>
      </c>
      <c r="AO141" s="448">
        <f t="shared" si="107"/>
        <v>451</v>
      </c>
      <c r="AP141" s="448">
        <f t="shared" si="108"/>
        <v>17304060</v>
      </c>
      <c r="AQ141" s="228">
        <f t="shared" si="109"/>
        <v>18149142</v>
      </c>
      <c r="AR141" s="391">
        <f t="shared" si="110"/>
        <v>30028322</v>
      </c>
      <c r="AS141" s="391">
        <f t="shared" si="111"/>
        <v>31503121</v>
      </c>
    </row>
    <row r="142" spans="1:45" ht="15.75">
      <c r="A142" s="226">
        <v>16</v>
      </c>
      <c r="B142" s="226" t="str">
        <f t="shared" si="75"/>
        <v>CEREAL EMPACADO_16</v>
      </c>
      <c r="C142" s="333" t="str">
        <f t="shared" si="76"/>
        <v>45_16</v>
      </c>
      <c r="D142" s="392" t="s">
        <v>1607</v>
      </c>
      <c r="E142" s="226">
        <v>45</v>
      </c>
      <c r="F142" s="325" t="s">
        <v>10</v>
      </c>
      <c r="G142" s="226" t="s">
        <v>9</v>
      </c>
      <c r="H142" s="421">
        <f t="shared" si="77"/>
        <v>20</v>
      </c>
      <c r="I142" s="421">
        <f t="shared" si="78"/>
        <v>0</v>
      </c>
      <c r="J142" s="422">
        <f t="array" ref="J142">MAX((IF(MNU_CODIGO_ALIMENTO_ENTREGA=CONCATENATE($E142,"_","S_"),MNU_GRAMAJE_REQUERIDO_TIPOA,"")))</f>
        <v>20</v>
      </c>
      <c r="K142" s="227">
        <f t="shared" si="79"/>
        <v>927</v>
      </c>
      <c r="L142" s="227">
        <f t="shared" si="80"/>
        <v>0</v>
      </c>
      <c r="M142" s="227">
        <f t="shared" si="81"/>
        <v>18540</v>
      </c>
      <c r="N142" s="448">
        <f t="shared" si="82"/>
        <v>190</v>
      </c>
      <c r="O142" s="448">
        <f t="shared" si="83"/>
        <v>9.2720000000000002</v>
      </c>
      <c r="P142" s="448">
        <f t="shared" si="84"/>
        <v>0.16340304</v>
      </c>
      <c r="Q142" s="448">
        <f t="shared" si="85"/>
        <v>199</v>
      </c>
      <c r="R142" s="228">
        <f t="shared" si="86"/>
        <v>3522600</v>
      </c>
      <c r="S142" s="228">
        <f t="shared" si="87"/>
        <v>3689460</v>
      </c>
      <c r="T142" s="423">
        <f t="shared" si="88"/>
        <v>20</v>
      </c>
      <c r="U142" s="423">
        <f t="shared" si="89"/>
        <v>0</v>
      </c>
      <c r="V142" s="424">
        <f t="array" ref="V142">MAX((IF(MNU_CODIGO_ALIMENTO_ENTREGA=CONCATENATE($E142,"_","S_"),MNU_GRAMAJE_REQUERIDO_TIPOB,"")))</f>
        <v>30</v>
      </c>
      <c r="W142" s="391">
        <f t="shared" si="90"/>
        <v>1639</v>
      </c>
      <c r="X142" s="391">
        <f t="shared" si="91"/>
        <v>0</v>
      </c>
      <c r="Y142" s="391">
        <f t="shared" si="92"/>
        <v>32780</v>
      </c>
      <c r="Z142" s="448">
        <f t="shared" si="93"/>
        <v>284</v>
      </c>
      <c r="AA142" s="448">
        <f t="shared" si="94"/>
        <v>13.8592</v>
      </c>
      <c r="AB142" s="448">
        <f t="shared" si="95"/>
        <v>0.24424454399999998</v>
      </c>
      <c r="AC142" s="448">
        <f t="shared" si="96"/>
        <v>298</v>
      </c>
      <c r="AD142" s="229">
        <f t="shared" si="97"/>
        <v>9309520</v>
      </c>
      <c r="AE142" s="229">
        <f t="shared" si="98"/>
        <v>9768440</v>
      </c>
      <c r="AF142" s="421">
        <f t="shared" si="99"/>
        <v>20</v>
      </c>
      <c r="AG142" s="421">
        <f t="shared" si="100"/>
        <v>0</v>
      </c>
      <c r="AH142" s="422">
        <f t="array" ref="AH142">MAX((IF(MNU_CODIGO_ALIMENTO_ENTREGA=CONCATENATE($E142,"_","S_"),MNU_GRAMAJE_REQUERIDO_TIPOC,"")))</f>
        <v>60</v>
      </c>
      <c r="AI142" s="227">
        <f t="shared" si="101"/>
        <v>2118</v>
      </c>
      <c r="AJ142" s="227">
        <f t="shared" si="102"/>
        <v>0</v>
      </c>
      <c r="AK142" s="227">
        <f t="shared" si="103"/>
        <v>42360</v>
      </c>
      <c r="AL142" s="448">
        <f t="shared" si="104"/>
        <v>569</v>
      </c>
      <c r="AM142" s="448">
        <f t="shared" si="105"/>
        <v>27.767199999999999</v>
      </c>
      <c r="AN142" s="448">
        <f t="shared" si="106"/>
        <v>0.48934910400000003</v>
      </c>
      <c r="AO142" s="448">
        <f t="shared" si="107"/>
        <v>597</v>
      </c>
      <c r="AP142" s="448">
        <f t="shared" si="108"/>
        <v>24102840</v>
      </c>
      <c r="AQ142" s="228">
        <f t="shared" si="109"/>
        <v>25288920</v>
      </c>
      <c r="AR142" s="391">
        <f t="shared" si="110"/>
        <v>36934960</v>
      </c>
      <c r="AS142" s="391">
        <f t="shared" si="111"/>
        <v>38746820</v>
      </c>
    </row>
    <row r="143" spans="1:45" ht="15.75">
      <c r="A143" s="226">
        <v>16</v>
      </c>
      <c r="B143" s="226" t="str">
        <f t="shared" si="75"/>
        <v>CEREAL EMPACADO_16</v>
      </c>
      <c r="C143" s="333" t="str">
        <f t="shared" si="76"/>
        <v>61_16</v>
      </c>
      <c r="D143" s="392" t="s">
        <v>1607</v>
      </c>
      <c r="E143" s="226">
        <v>61</v>
      </c>
      <c r="F143" s="325" t="s">
        <v>13</v>
      </c>
      <c r="G143" s="226" t="s">
        <v>9</v>
      </c>
      <c r="H143" s="421">
        <f t="shared" si="77"/>
        <v>20</v>
      </c>
      <c r="I143" s="421">
        <f t="shared" si="78"/>
        <v>0</v>
      </c>
      <c r="J143" s="422">
        <f t="array" ref="J143">MAX((IF(MNU_CODIGO_ALIMENTO_ENTREGA=CONCATENATE($E143,"_","S_"),MNU_GRAMAJE_REQUERIDO_TIPOA,"")))</f>
        <v>20</v>
      </c>
      <c r="K143" s="227">
        <f t="shared" si="79"/>
        <v>927</v>
      </c>
      <c r="L143" s="227">
        <f t="shared" si="80"/>
        <v>0</v>
      </c>
      <c r="M143" s="227">
        <f t="shared" si="81"/>
        <v>18540</v>
      </c>
      <c r="N143" s="448">
        <f t="shared" si="82"/>
        <v>222</v>
      </c>
      <c r="O143" s="448">
        <f t="shared" si="83"/>
        <v>10.833600000000001</v>
      </c>
      <c r="P143" s="448">
        <f t="shared" si="84"/>
        <v>0.190923552</v>
      </c>
      <c r="Q143" s="448">
        <f t="shared" si="85"/>
        <v>233</v>
      </c>
      <c r="R143" s="228">
        <f t="shared" si="86"/>
        <v>4115880</v>
      </c>
      <c r="S143" s="228">
        <f t="shared" si="87"/>
        <v>4319820</v>
      </c>
      <c r="T143" s="423">
        <f t="shared" si="88"/>
        <v>20</v>
      </c>
      <c r="U143" s="423">
        <f t="shared" si="89"/>
        <v>0</v>
      </c>
      <c r="V143" s="424">
        <f t="array" ref="V143">MAX((IF(MNU_CODIGO_ALIMENTO_ENTREGA=CONCATENATE($E143,"_","S_"),MNU_GRAMAJE_REQUERIDO_TIPOB,"")))</f>
        <v>30</v>
      </c>
      <c r="W143" s="391">
        <f t="shared" si="90"/>
        <v>1639</v>
      </c>
      <c r="X143" s="391">
        <f t="shared" si="91"/>
        <v>0</v>
      </c>
      <c r="Y143" s="391">
        <f t="shared" si="92"/>
        <v>32780</v>
      </c>
      <c r="Z143" s="448">
        <f t="shared" si="93"/>
        <v>334</v>
      </c>
      <c r="AA143" s="448">
        <f t="shared" si="94"/>
        <v>16.299199999999999</v>
      </c>
      <c r="AB143" s="448">
        <f t="shared" si="95"/>
        <v>0.28724534400000001</v>
      </c>
      <c r="AC143" s="448">
        <f t="shared" si="96"/>
        <v>351</v>
      </c>
      <c r="AD143" s="229">
        <f t="shared" si="97"/>
        <v>10948520</v>
      </c>
      <c r="AE143" s="229">
        <f t="shared" si="98"/>
        <v>11505780</v>
      </c>
      <c r="AF143" s="421">
        <f t="shared" si="99"/>
        <v>20</v>
      </c>
      <c r="AG143" s="421">
        <f t="shared" si="100"/>
        <v>0</v>
      </c>
      <c r="AH143" s="422">
        <f t="array" ref="AH143">MAX((IF(MNU_CODIGO_ALIMENTO_ENTREGA=CONCATENATE($E143,"_","S_"),MNU_GRAMAJE_REQUERIDO_TIPOC,"")))</f>
        <v>70</v>
      </c>
      <c r="AI143" s="227">
        <f t="shared" si="101"/>
        <v>2118</v>
      </c>
      <c r="AJ143" s="227">
        <f t="shared" si="102"/>
        <v>0</v>
      </c>
      <c r="AK143" s="227">
        <f t="shared" si="103"/>
        <v>42360</v>
      </c>
      <c r="AL143" s="448">
        <f t="shared" si="104"/>
        <v>779</v>
      </c>
      <c r="AM143" s="448">
        <f t="shared" si="105"/>
        <v>38.0152</v>
      </c>
      <c r="AN143" s="448">
        <f t="shared" si="106"/>
        <v>0.66995246400000008</v>
      </c>
      <c r="AO143" s="448">
        <f t="shared" si="107"/>
        <v>818</v>
      </c>
      <c r="AP143" s="448">
        <f t="shared" si="108"/>
        <v>32998440</v>
      </c>
      <c r="AQ143" s="228">
        <f t="shared" si="109"/>
        <v>34650480</v>
      </c>
      <c r="AR143" s="391">
        <f t="shared" si="110"/>
        <v>48062840</v>
      </c>
      <c r="AS143" s="391">
        <f t="shared" si="111"/>
        <v>50476080</v>
      </c>
    </row>
    <row r="144" spans="1:45" ht="15.75">
      <c r="A144" s="226">
        <v>17</v>
      </c>
      <c r="B144" s="226" t="str">
        <f t="shared" si="75"/>
        <v>CEREAL EMPACADO_17</v>
      </c>
      <c r="C144" s="333" t="str">
        <f t="shared" si="76"/>
        <v>3_17</v>
      </c>
      <c r="D144" s="392" t="s">
        <v>1607</v>
      </c>
      <c r="E144" s="226">
        <v>3</v>
      </c>
      <c r="F144" s="325" t="s">
        <v>12</v>
      </c>
      <c r="G144" s="226" t="s">
        <v>9</v>
      </c>
      <c r="H144" s="421">
        <f t="shared" si="77"/>
        <v>19</v>
      </c>
      <c r="I144" s="421">
        <f t="shared" si="78"/>
        <v>0</v>
      </c>
      <c r="J144" s="422">
        <f t="array" ref="J144">MAX((IF(MNU_CODIGO_ALIMENTO_ENTREGA=CONCATENATE($E144,"_","S_"),MNU_GRAMAJE_REQUERIDO_TIPOA,"")))</f>
        <v>50</v>
      </c>
      <c r="K144" s="227">
        <f t="shared" si="79"/>
        <v>1199</v>
      </c>
      <c r="L144" s="227">
        <f t="shared" si="80"/>
        <v>0</v>
      </c>
      <c r="M144" s="227">
        <f t="shared" si="81"/>
        <v>22781</v>
      </c>
      <c r="N144" s="448">
        <f t="shared" si="82"/>
        <v>481</v>
      </c>
      <c r="O144" s="448">
        <f t="shared" si="83"/>
        <v>23.472799999999999</v>
      </c>
      <c r="P144" s="448">
        <f t="shared" si="84"/>
        <v>0.41366769599999997</v>
      </c>
      <c r="Q144" s="448">
        <f t="shared" si="85"/>
        <v>505</v>
      </c>
      <c r="R144" s="228">
        <f t="shared" si="86"/>
        <v>10957661</v>
      </c>
      <c r="S144" s="228">
        <f t="shared" si="87"/>
        <v>11504405</v>
      </c>
      <c r="T144" s="423">
        <f t="shared" si="88"/>
        <v>19</v>
      </c>
      <c r="U144" s="423">
        <f t="shared" si="89"/>
        <v>0</v>
      </c>
      <c r="V144" s="424">
        <f t="array" ref="V144">MAX((IF(MNU_CODIGO_ALIMENTO_ENTREGA=CONCATENATE($E144,"_","S_"),MNU_GRAMAJE_REQUERIDO_TIPOB,"")))</f>
        <v>50</v>
      </c>
      <c r="W144" s="391">
        <f t="shared" si="90"/>
        <v>1684</v>
      </c>
      <c r="X144" s="391">
        <f t="shared" si="91"/>
        <v>0</v>
      </c>
      <c r="Y144" s="391">
        <f t="shared" si="92"/>
        <v>31996</v>
      </c>
      <c r="Z144" s="448">
        <f t="shared" si="93"/>
        <v>481</v>
      </c>
      <c r="AA144" s="448">
        <f t="shared" si="94"/>
        <v>23.472799999999999</v>
      </c>
      <c r="AB144" s="448">
        <f t="shared" si="95"/>
        <v>0.41366769599999997</v>
      </c>
      <c r="AC144" s="448">
        <f t="shared" si="96"/>
        <v>505</v>
      </c>
      <c r="AD144" s="229">
        <f t="shared" si="97"/>
        <v>15390076</v>
      </c>
      <c r="AE144" s="229">
        <f t="shared" si="98"/>
        <v>16157980</v>
      </c>
      <c r="AF144" s="421">
        <f t="shared" si="99"/>
        <v>19</v>
      </c>
      <c r="AG144" s="421">
        <f t="shared" si="100"/>
        <v>0</v>
      </c>
      <c r="AH144" s="422">
        <f t="array" ref="AH144">MAX((IF(MNU_CODIGO_ALIMENTO_ENTREGA=CONCATENATE($E144,"_","S_"),MNU_GRAMAJE_REQUERIDO_TIPOC,"")))</f>
        <v>80</v>
      </c>
      <c r="AI144" s="227">
        <f t="shared" si="101"/>
        <v>1651</v>
      </c>
      <c r="AJ144" s="227">
        <f t="shared" si="102"/>
        <v>0</v>
      </c>
      <c r="AK144" s="227">
        <f t="shared" si="103"/>
        <v>31369</v>
      </c>
      <c r="AL144" s="448">
        <f t="shared" si="104"/>
        <v>727</v>
      </c>
      <c r="AM144" s="448">
        <f t="shared" si="105"/>
        <v>35.477600000000002</v>
      </c>
      <c r="AN144" s="448">
        <f t="shared" si="106"/>
        <v>0.62523163200000009</v>
      </c>
      <c r="AO144" s="448">
        <f t="shared" si="107"/>
        <v>763</v>
      </c>
      <c r="AP144" s="448">
        <f t="shared" si="108"/>
        <v>22805263</v>
      </c>
      <c r="AQ144" s="228">
        <f t="shared" si="109"/>
        <v>23934547</v>
      </c>
      <c r="AR144" s="391">
        <f t="shared" si="110"/>
        <v>49153000</v>
      </c>
      <c r="AS144" s="391">
        <f t="shared" si="111"/>
        <v>51596932</v>
      </c>
    </row>
    <row r="145" spans="1:45" ht="15.75">
      <c r="A145" s="226">
        <v>17</v>
      </c>
      <c r="B145" s="226" t="str">
        <f t="shared" si="75"/>
        <v>CEREAL EMPACADO_17</v>
      </c>
      <c r="C145" s="333" t="str">
        <f t="shared" si="76"/>
        <v>15_17</v>
      </c>
      <c r="D145" s="392" t="s">
        <v>1607</v>
      </c>
      <c r="E145" s="226">
        <v>15</v>
      </c>
      <c r="F145" s="325" t="s">
        <v>66</v>
      </c>
      <c r="G145" s="226" t="s">
        <v>9</v>
      </c>
      <c r="H145" s="421">
        <f t="shared" si="77"/>
        <v>11</v>
      </c>
      <c r="I145" s="421">
        <f t="shared" si="78"/>
        <v>11</v>
      </c>
      <c r="J145" s="422">
        <f t="array" ref="J145">MAX((IF(MNU_CODIGO_ALIMENTO_ENTREGA=CONCATENATE($E145,"_","S_"),MNU_GRAMAJE_REQUERIDO_TIPOA,"")))</f>
        <v>50</v>
      </c>
      <c r="K145" s="227">
        <f t="shared" si="79"/>
        <v>1199</v>
      </c>
      <c r="L145" s="227">
        <f t="shared" si="80"/>
        <v>0</v>
      </c>
      <c r="M145" s="227">
        <f t="shared" si="81"/>
        <v>13189</v>
      </c>
      <c r="N145" s="448">
        <f t="shared" si="82"/>
        <v>641</v>
      </c>
      <c r="O145" s="448">
        <f t="shared" si="83"/>
        <v>31.280800000000003</v>
      </c>
      <c r="P145" s="448">
        <f t="shared" si="84"/>
        <v>0.55127025600000001</v>
      </c>
      <c r="Q145" s="448">
        <f t="shared" si="85"/>
        <v>673</v>
      </c>
      <c r="R145" s="228">
        <f t="shared" si="86"/>
        <v>8454149</v>
      </c>
      <c r="S145" s="228">
        <f t="shared" si="87"/>
        <v>8876197</v>
      </c>
      <c r="T145" s="423">
        <f t="shared" si="88"/>
        <v>11</v>
      </c>
      <c r="U145" s="423">
        <f t="shared" si="89"/>
        <v>11</v>
      </c>
      <c r="V145" s="424">
        <f t="array" ref="V145">MAX((IF(MNU_CODIGO_ALIMENTO_ENTREGA=CONCATENATE($E145,"_","S_"),MNU_GRAMAJE_REQUERIDO_TIPOB,"")))</f>
        <v>50</v>
      </c>
      <c r="W145" s="391">
        <f t="shared" si="90"/>
        <v>1684</v>
      </c>
      <c r="X145" s="391">
        <f t="shared" si="91"/>
        <v>0</v>
      </c>
      <c r="Y145" s="391">
        <f t="shared" si="92"/>
        <v>18524</v>
      </c>
      <c r="Z145" s="448">
        <f t="shared" si="93"/>
        <v>641</v>
      </c>
      <c r="AA145" s="448">
        <f t="shared" si="94"/>
        <v>31.280800000000003</v>
      </c>
      <c r="AB145" s="448">
        <f t="shared" si="95"/>
        <v>0.55127025600000001</v>
      </c>
      <c r="AC145" s="448">
        <f t="shared" si="96"/>
        <v>673</v>
      </c>
      <c r="AD145" s="229">
        <f t="shared" si="97"/>
        <v>11873884</v>
      </c>
      <c r="AE145" s="229">
        <f t="shared" si="98"/>
        <v>12466652</v>
      </c>
      <c r="AF145" s="421">
        <f t="shared" si="99"/>
        <v>11</v>
      </c>
      <c r="AG145" s="421">
        <f t="shared" si="100"/>
        <v>11</v>
      </c>
      <c r="AH145" s="422">
        <f t="array" ref="AH145">MAX((IF(MNU_CODIGO_ALIMENTO_ENTREGA=CONCATENATE($E145,"_","S_"),MNU_GRAMAJE_REQUERIDO_TIPOC,"")))</f>
        <v>80</v>
      </c>
      <c r="AI145" s="227">
        <f t="shared" si="101"/>
        <v>1651</v>
      </c>
      <c r="AJ145" s="227">
        <f t="shared" si="102"/>
        <v>0</v>
      </c>
      <c r="AK145" s="227">
        <f t="shared" si="103"/>
        <v>18161</v>
      </c>
      <c r="AL145" s="448">
        <f t="shared" si="104"/>
        <v>1025</v>
      </c>
      <c r="AM145" s="448">
        <f t="shared" si="105"/>
        <v>50.02</v>
      </c>
      <c r="AN145" s="448">
        <f t="shared" si="106"/>
        <v>0.88151640000000009</v>
      </c>
      <c r="AO145" s="448">
        <f t="shared" si="107"/>
        <v>1076</v>
      </c>
      <c r="AP145" s="448">
        <f t="shared" si="108"/>
        <v>18615025</v>
      </c>
      <c r="AQ145" s="228">
        <f t="shared" si="109"/>
        <v>19541236</v>
      </c>
      <c r="AR145" s="391">
        <f t="shared" si="110"/>
        <v>38943058</v>
      </c>
      <c r="AS145" s="391">
        <f t="shared" si="111"/>
        <v>40884085</v>
      </c>
    </row>
    <row r="146" spans="1:45" ht="27">
      <c r="A146" s="226">
        <v>17</v>
      </c>
      <c r="B146" s="226" t="str">
        <f t="shared" si="75"/>
        <v>CEREAL EMPACADO_17</v>
      </c>
      <c r="C146" s="333" t="str">
        <f t="shared" si="76"/>
        <v>21_17</v>
      </c>
      <c r="D146" s="392" t="s">
        <v>1607</v>
      </c>
      <c r="E146" s="226">
        <v>21</v>
      </c>
      <c r="F146" s="325" t="s">
        <v>70</v>
      </c>
      <c r="G146" s="226" t="s">
        <v>9</v>
      </c>
      <c r="H146" s="421">
        <f t="shared" si="77"/>
        <v>22</v>
      </c>
      <c r="I146" s="421">
        <f t="shared" si="78"/>
        <v>0</v>
      </c>
      <c r="J146" s="422">
        <f t="array" ref="J146">MAX((IF(MNU_CODIGO_ALIMENTO_ENTREGA=CONCATENATE($E146,"_","S_"),MNU_GRAMAJE_REQUERIDO_TIPOA,"")))</f>
        <v>30</v>
      </c>
      <c r="K146" s="227">
        <f t="shared" si="79"/>
        <v>1199</v>
      </c>
      <c r="L146" s="227">
        <f t="shared" si="80"/>
        <v>0</v>
      </c>
      <c r="M146" s="227">
        <f t="shared" si="81"/>
        <v>26378</v>
      </c>
      <c r="N146" s="448">
        <f t="shared" si="82"/>
        <v>458</v>
      </c>
      <c r="O146" s="448">
        <f t="shared" si="83"/>
        <v>22.3504</v>
      </c>
      <c r="P146" s="448">
        <f t="shared" si="84"/>
        <v>0.39388732799999998</v>
      </c>
      <c r="Q146" s="448">
        <f t="shared" si="85"/>
        <v>481</v>
      </c>
      <c r="R146" s="228">
        <f t="shared" si="86"/>
        <v>12081124</v>
      </c>
      <c r="S146" s="228">
        <f t="shared" si="87"/>
        <v>12687818</v>
      </c>
      <c r="T146" s="423">
        <f t="shared" si="88"/>
        <v>22</v>
      </c>
      <c r="U146" s="423">
        <f t="shared" si="89"/>
        <v>0</v>
      </c>
      <c r="V146" s="424">
        <f t="array" ref="V146">MAX((IF(MNU_CODIGO_ALIMENTO_ENTREGA=CONCATENATE($E146,"_","S_"),MNU_GRAMAJE_REQUERIDO_TIPOB,"")))</f>
        <v>30</v>
      </c>
      <c r="W146" s="391">
        <f t="shared" si="90"/>
        <v>1684</v>
      </c>
      <c r="X146" s="391">
        <f t="shared" si="91"/>
        <v>0</v>
      </c>
      <c r="Y146" s="391">
        <f t="shared" si="92"/>
        <v>37048</v>
      </c>
      <c r="Z146" s="448">
        <f t="shared" si="93"/>
        <v>458</v>
      </c>
      <c r="AA146" s="448">
        <f t="shared" si="94"/>
        <v>22.3504</v>
      </c>
      <c r="AB146" s="448">
        <f t="shared" si="95"/>
        <v>0.39388732799999998</v>
      </c>
      <c r="AC146" s="448">
        <f t="shared" si="96"/>
        <v>481</v>
      </c>
      <c r="AD146" s="229">
        <f t="shared" si="97"/>
        <v>16967984</v>
      </c>
      <c r="AE146" s="229">
        <f t="shared" si="98"/>
        <v>17820088</v>
      </c>
      <c r="AF146" s="421">
        <f t="shared" si="99"/>
        <v>22</v>
      </c>
      <c r="AG146" s="421">
        <f t="shared" si="100"/>
        <v>0</v>
      </c>
      <c r="AH146" s="422">
        <f t="array" ref="AH146">MAX((IF(MNU_CODIGO_ALIMENTO_ENTREGA=CONCATENATE($E146,"_","S_"),MNU_GRAMAJE_REQUERIDO_TIPOC,"")))</f>
        <v>50</v>
      </c>
      <c r="AI146" s="227">
        <f t="shared" si="101"/>
        <v>1651</v>
      </c>
      <c r="AJ146" s="227">
        <f t="shared" si="102"/>
        <v>0</v>
      </c>
      <c r="AK146" s="227">
        <f t="shared" si="103"/>
        <v>36322</v>
      </c>
      <c r="AL146" s="448">
        <f t="shared" si="104"/>
        <v>764</v>
      </c>
      <c r="AM146" s="448">
        <f t="shared" si="105"/>
        <v>37.283200000000001</v>
      </c>
      <c r="AN146" s="448">
        <f t="shared" si="106"/>
        <v>0.65705222400000007</v>
      </c>
      <c r="AO146" s="448">
        <f t="shared" si="107"/>
        <v>802</v>
      </c>
      <c r="AP146" s="448">
        <f t="shared" si="108"/>
        <v>27750008</v>
      </c>
      <c r="AQ146" s="228">
        <f t="shared" si="109"/>
        <v>29130244</v>
      </c>
      <c r="AR146" s="391">
        <f t="shared" si="110"/>
        <v>56799116</v>
      </c>
      <c r="AS146" s="391">
        <f t="shared" si="111"/>
        <v>59638150</v>
      </c>
    </row>
    <row r="147" spans="1:45" ht="15.75">
      <c r="A147" s="226">
        <v>17</v>
      </c>
      <c r="B147" s="226" t="str">
        <f t="shared" si="75"/>
        <v>CEREAL EMPACADO_17</v>
      </c>
      <c r="C147" s="333" t="str">
        <f t="shared" si="76"/>
        <v>24_17</v>
      </c>
      <c r="D147" s="392" t="s">
        <v>1607</v>
      </c>
      <c r="E147" s="226">
        <v>24</v>
      </c>
      <c r="F147" s="325" t="s">
        <v>61</v>
      </c>
      <c r="G147" s="226" t="s">
        <v>9</v>
      </c>
      <c r="H147" s="421">
        <f t="shared" si="77"/>
        <v>11</v>
      </c>
      <c r="I147" s="421">
        <f t="shared" si="78"/>
        <v>11</v>
      </c>
      <c r="J147" s="422">
        <f t="array" ref="J147">MAX((IF(MNU_CODIGO_ALIMENTO_ENTREGA=CONCATENATE($E147,"_","S_"),MNU_GRAMAJE_REQUERIDO_TIPOA,"")))</f>
        <v>20</v>
      </c>
      <c r="K147" s="227">
        <f t="shared" si="79"/>
        <v>1199</v>
      </c>
      <c r="L147" s="227">
        <f t="shared" si="80"/>
        <v>0</v>
      </c>
      <c r="M147" s="227">
        <f t="shared" si="81"/>
        <v>13189</v>
      </c>
      <c r="N147" s="448">
        <f t="shared" si="82"/>
        <v>122</v>
      </c>
      <c r="O147" s="448">
        <f t="shared" si="83"/>
        <v>5.9535999999999998</v>
      </c>
      <c r="P147" s="448">
        <f t="shared" si="84"/>
        <v>0.104921952</v>
      </c>
      <c r="Q147" s="448">
        <f t="shared" si="85"/>
        <v>128</v>
      </c>
      <c r="R147" s="228">
        <f t="shared" si="86"/>
        <v>1609058</v>
      </c>
      <c r="S147" s="228">
        <f t="shared" si="87"/>
        <v>1688192</v>
      </c>
      <c r="T147" s="423">
        <f t="shared" si="88"/>
        <v>11</v>
      </c>
      <c r="U147" s="423">
        <f t="shared" si="89"/>
        <v>11</v>
      </c>
      <c r="V147" s="424">
        <f t="array" ref="V147">MAX((IF(MNU_CODIGO_ALIMENTO_ENTREGA=CONCATENATE($E147,"_","S_"),MNU_GRAMAJE_REQUERIDO_TIPOB,"")))</f>
        <v>30</v>
      </c>
      <c r="W147" s="391">
        <f t="shared" si="90"/>
        <v>1684</v>
      </c>
      <c r="X147" s="391">
        <f t="shared" si="91"/>
        <v>0</v>
      </c>
      <c r="Y147" s="391">
        <f t="shared" si="92"/>
        <v>18524</v>
      </c>
      <c r="Z147" s="448">
        <f t="shared" si="93"/>
        <v>191</v>
      </c>
      <c r="AA147" s="448">
        <f t="shared" si="94"/>
        <v>9.3208000000000002</v>
      </c>
      <c r="AB147" s="448">
        <f t="shared" si="95"/>
        <v>0.16426305600000002</v>
      </c>
      <c r="AC147" s="448">
        <f t="shared" si="96"/>
        <v>200</v>
      </c>
      <c r="AD147" s="229">
        <f t="shared" si="97"/>
        <v>3538084</v>
      </c>
      <c r="AE147" s="229">
        <f t="shared" si="98"/>
        <v>3704800</v>
      </c>
      <c r="AF147" s="421">
        <f t="shared" si="99"/>
        <v>11</v>
      </c>
      <c r="AG147" s="421">
        <f t="shared" si="100"/>
        <v>11</v>
      </c>
      <c r="AH147" s="422">
        <f t="array" ref="AH147">MAX((IF(MNU_CODIGO_ALIMENTO_ENTREGA=CONCATENATE($E147,"_","S_"),MNU_GRAMAJE_REQUERIDO_TIPOC,"")))</f>
        <v>60</v>
      </c>
      <c r="AI147" s="227">
        <f t="shared" si="101"/>
        <v>1651</v>
      </c>
      <c r="AJ147" s="227">
        <f t="shared" si="102"/>
        <v>0</v>
      </c>
      <c r="AK147" s="227">
        <f t="shared" si="103"/>
        <v>18161</v>
      </c>
      <c r="AL147" s="448">
        <f t="shared" si="104"/>
        <v>367</v>
      </c>
      <c r="AM147" s="448">
        <f t="shared" si="105"/>
        <v>17.909599999999998</v>
      </c>
      <c r="AN147" s="448">
        <f t="shared" si="106"/>
        <v>0.31562587200000003</v>
      </c>
      <c r="AO147" s="448">
        <f t="shared" si="107"/>
        <v>385</v>
      </c>
      <c r="AP147" s="448">
        <f t="shared" si="108"/>
        <v>6665087</v>
      </c>
      <c r="AQ147" s="228">
        <f t="shared" si="109"/>
        <v>6991985</v>
      </c>
      <c r="AR147" s="391">
        <f t="shared" si="110"/>
        <v>11812229</v>
      </c>
      <c r="AS147" s="391">
        <f t="shared" si="111"/>
        <v>12384977</v>
      </c>
    </row>
    <row r="148" spans="1:45" ht="15.75">
      <c r="A148" s="226">
        <v>17</v>
      </c>
      <c r="B148" s="226" t="str">
        <f t="shared" si="75"/>
        <v>CEREAL EMPACADO_17</v>
      </c>
      <c r="C148" s="333" t="str">
        <f t="shared" si="76"/>
        <v>25_17</v>
      </c>
      <c r="D148" s="392" t="s">
        <v>1607</v>
      </c>
      <c r="E148" s="226">
        <v>25</v>
      </c>
      <c r="F148" s="325" t="s">
        <v>64</v>
      </c>
      <c r="G148" s="226" t="s">
        <v>9</v>
      </c>
      <c r="H148" s="421">
        <f t="shared" si="77"/>
        <v>22</v>
      </c>
      <c r="I148" s="421">
        <f t="shared" si="78"/>
        <v>0</v>
      </c>
      <c r="J148" s="422">
        <f t="array" ref="J148">MAX((IF(MNU_CODIGO_ALIMENTO_ENTREGA=CONCATENATE($E148,"_","S_"),MNU_GRAMAJE_REQUERIDO_TIPOA,"")))</f>
        <v>40</v>
      </c>
      <c r="K148" s="227">
        <f t="shared" si="79"/>
        <v>1199</v>
      </c>
      <c r="L148" s="227">
        <f t="shared" si="80"/>
        <v>0</v>
      </c>
      <c r="M148" s="227">
        <f t="shared" si="81"/>
        <v>26378</v>
      </c>
      <c r="N148" s="448">
        <f t="shared" si="82"/>
        <v>244</v>
      </c>
      <c r="O148" s="448">
        <f t="shared" si="83"/>
        <v>11.9072</v>
      </c>
      <c r="P148" s="448">
        <f t="shared" si="84"/>
        <v>0.209843904</v>
      </c>
      <c r="Q148" s="448">
        <f t="shared" si="85"/>
        <v>256</v>
      </c>
      <c r="R148" s="228">
        <f t="shared" si="86"/>
        <v>6436232</v>
      </c>
      <c r="S148" s="228">
        <f t="shared" si="87"/>
        <v>6752768</v>
      </c>
      <c r="T148" s="423">
        <f t="shared" si="88"/>
        <v>22</v>
      </c>
      <c r="U148" s="423">
        <f t="shared" si="89"/>
        <v>0</v>
      </c>
      <c r="V148" s="424">
        <f t="array" ref="V148">MAX((IF(MNU_CODIGO_ALIMENTO_ENTREGA=CONCATENATE($E148,"_","S_"),MNU_GRAMAJE_REQUERIDO_TIPOB,"")))</f>
        <v>40</v>
      </c>
      <c r="W148" s="391">
        <f t="shared" si="90"/>
        <v>1684</v>
      </c>
      <c r="X148" s="391">
        <f t="shared" si="91"/>
        <v>0</v>
      </c>
      <c r="Y148" s="391">
        <f t="shared" si="92"/>
        <v>37048</v>
      </c>
      <c r="Z148" s="448">
        <f t="shared" si="93"/>
        <v>244</v>
      </c>
      <c r="AA148" s="448">
        <f t="shared" si="94"/>
        <v>11.9072</v>
      </c>
      <c r="AB148" s="448">
        <f t="shared" si="95"/>
        <v>0.209843904</v>
      </c>
      <c r="AC148" s="448">
        <f t="shared" si="96"/>
        <v>256</v>
      </c>
      <c r="AD148" s="229">
        <f t="shared" si="97"/>
        <v>9039712</v>
      </c>
      <c r="AE148" s="229">
        <f t="shared" si="98"/>
        <v>9484288</v>
      </c>
      <c r="AF148" s="421">
        <f t="shared" si="99"/>
        <v>22</v>
      </c>
      <c r="AG148" s="421">
        <f t="shared" si="100"/>
        <v>0</v>
      </c>
      <c r="AH148" s="422">
        <f t="array" ref="AH148">MAX((IF(MNU_CODIGO_ALIMENTO_ENTREGA=CONCATENATE($E148,"_","S_"),MNU_GRAMAJE_REQUERIDO_TIPOC,"")))</f>
        <v>60</v>
      </c>
      <c r="AI148" s="227">
        <f t="shared" si="101"/>
        <v>1651</v>
      </c>
      <c r="AJ148" s="227">
        <f t="shared" si="102"/>
        <v>0</v>
      </c>
      <c r="AK148" s="227">
        <f t="shared" si="103"/>
        <v>36322</v>
      </c>
      <c r="AL148" s="448">
        <f t="shared" si="104"/>
        <v>366</v>
      </c>
      <c r="AM148" s="448">
        <f t="shared" si="105"/>
        <v>17.860800000000001</v>
      </c>
      <c r="AN148" s="448">
        <f t="shared" si="106"/>
        <v>0.31476585600000001</v>
      </c>
      <c r="AO148" s="448">
        <f t="shared" si="107"/>
        <v>384</v>
      </c>
      <c r="AP148" s="448">
        <f t="shared" si="108"/>
        <v>13293852</v>
      </c>
      <c r="AQ148" s="228">
        <f t="shared" si="109"/>
        <v>13947648</v>
      </c>
      <c r="AR148" s="391">
        <f t="shared" si="110"/>
        <v>28769796</v>
      </c>
      <c r="AS148" s="391">
        <f t="shared" si="111"/>
        <v>30184704</v>
      </c>
    </row>
    <row r="149" spans="1:45" ht="27">
      <c r="A149" s="226">
        <v>17</v>
      </c>
      <c r="B149" s="226" t="str">
        <f t="shared" si="75"/>
        <v>CEREAL EMPACADO_17</v>
      </c>
      <c r="C149" s="333" t="str">
        <f t="shared" si="76"/>
        <v>28_17</v>
      </c>
      <c r="D149" s="392" t="s">
        <v>1607</v>
      </c>
      <c r="E149" s="226">
        <v>28</v>
      </c>
      <c r="F149" s="325" t="s">
        <v>67</v>
      </c>
      <c r="G149" s="226" t="s">
        <v>9</v>
      </c>
      <c r="H149" s="421">
        <f t="shared" si="77"/>
        <v>19</v>
      </c>
      <c r="I149" s="421">
        <f t="shared" si="78"/>
        <v>0</v>
      </c>
      <c r="J149" s="422">
        <f t="array" ref="J149">MAX((IF(MNU_CODIGO_ALIMENTO_ENTREGA=CONCATENATE($E149,"_","S_"),MNU_GRAMAJE_REQUERIDO_TIPOA,"")))</f>
        <v>30</v>
      </c>
      <c r="K149" s="227">
        <f t="shared" si="79"/>
        <v>1199</v>
      </c>
      <c r="L149" s="227">
        <f t="shared" si="80"/>
        <v>0</v>
      </c>
      <c r="M149" s="227">
        <f t="shared" si="81"/>
        <v>22781</v>
      </c>
      <c r="N149" s="448">
        <f t="shared" si="82"/>
        <v>215</v>
      </c>
      <c r="O149" s="448">
        <f t="shared" si="83"/>
        <v>10.492000000000001</v>
      </c>
      <c r="P149" s="448">
        <f t="shared" si="84"/>
        <v>0.18490343999999997</v>
      </c>
      <c r="Q149" s="448">
        <f t="shared" si="85"/>
        <v>226</v>
      </c>
      <c r="R149" s="228">
        <f t="shared" si="86"/>
        <v>4897915</v>
      </c>
      <c r="S149" s="228">
        <f t="shared" si="87"/>
        <v>5148506</v>
      </c>
      <c r="T149" s="423">
        <f t="shared" si="88"/>
        <v>19</v>
      </c>
      <c r="U149" s="423">
        <f t="shared" si="89"/>
        <v>0</v>
      </c>
      <c r="V149" s="424">
        <f t="array" ref="V149">MAX((IF(MNU_CODIGO_ALIMENTO_ENTREGA=CONCATENATE($E149,"_","S_"),MNU_GRAMAJE_REQUERIDO_TIPOB,"")))</f>
        <v>40</v>
      </c>
      <c r="W149" s="391">
        <f t="shared" si="90"/>
        <v>1684</v>
      </c>
      <c r="X149" s="391">
        <f t="shared" si="91"/>
        <v>0</v>
      </c>
      <c r="Y149" s="391">
        <f t="shared" si="92"/>
        <v>31996</v>
      </c>
      <c r="Z149" s="448">
        <f t="shared" si="93"/>
        <v>287</v>
      </c>
      <c r="AA149" s="448">
        <f t="shared" si="94"/>
        <v>14.005600000000001</v>
      </c>
      <c r="AB149" s="448">
        <f t="shared" si="95"/>
        <v>0.24682459200000004</v>
      </c>
      <c r="AC149" s="448">
        <f t="shared" si="96"/>
        <v>301</v>
      </c>
      <c r="AD149" s="229">
        <f t="shared" si="97"/>
        <v>9182852</v>
      </c>
      <c r="AE149" s="229">
        <f t="shared" si="98"/>
        <v>9630796</v>
      </c>
      <c r="AF149" s="421">
        <f t="shared" si="99"/>
        <v>19</v>
      </c>
      <c r="AG149" s="421">
        <f t="shared" si="100"/>
        <v>0</v>
      </c>
      <c r="AH149" s="422">
        <f t="array" ref="AH149">MAX((IF(MNU_CODIGO_ALIMENTO_ENTREGA=CONCATENATE($E149,"_","S_"),MNU_GRAMAJE_REQUERIDO_TIPOC,"")))</f>
        <v>60</v>
      </c>
      <c r="AI149" s="227">
        <f t="shared" si="101"/>
        <v>1651</v>
      </c>
      <c r="AJ149" s="227">
        <f t="shared" si="102"/>
        <v>0</v>
      </c>
      <c r="AK149" s="227">
        <f t="shared" si="103"/>
        <v>31369</v>
      </c>
      <c r="AL149" s="448">
        <f t="shared" si="104"/>
        <v>430</v>
      </c>
      <c r="AM149" s="448">
        <f t="shared" si="105"/>
        <v>20.984000000000002</v>
      </c>
      <c r="AN149" s="448">
        <f t="shared" si="106"/>
        <v>0.36980687999999995</v>
      </c>
      <c r="AO149" s="448">
        <f t="shared" si="107"/>
        <v>451</v>
      </c>
      <c r="AP149" s="448">
        <f t="shared" si="108"/>
        <v>13488670</v>
      </c>
      <c r="AQ149" s="228">
        <f t="shared" si="109"/>
        <v>14147419</v>
      </c>
      <c r="AR149" s="391">
        <f t="shared" si="110"/>
        <v>27569437</v>
      </c>
      <c r="AS149" s="391">
        <f t="shared" si="111"/>
        <v>28926721</v>
      </c>
    </row>
    <row r="150" spans="1:45" ht="15.75">
      <c r="A150" s="226">
        <v>17</v>
      </c>
      <c r="B150" s="226" t="str">
        <f t="shared" si="75"/>
        <v>CEREAL EMPACADO_17</v>
      </c>
      <c r="C150" s="333" t="str">
        <f t="shared" si="76"/>
        <v>45_17</v>
      </c>
      <c r="D150" s="392" t="s">
        <v>1607</v>
      </c>
      <c r="E150" s="226">
        <v>45</v>
      </c>
      <c r="F150" s="325" t="s">
        <v>10</v>
      </c>
      <c r="G150" s="226" t="s">
        <v>9</v>
      </c>
      <c r="H150" s="421">
        <f t="shared" si="77"/>
        <v>20</v>
      </c>
      <c r="I150" s="421">
        <f t="shared" si="78"/>
        <v>0</v>
      </c>
      <c r="J150" s="422">
        <f t="array" ref="J150">MAX((IF(MNU_CODIGO_ALIMENTO_ENTREGA=CONCATENATE($E150,"_","S_"),MNU_GRAMAJE_REQUERIDO_TIPOA,"")))</f>
        <v>20</v>
      </c>
      <c r="K150" s="227">
        <f t="shared" si="79"/>
        <v>1199</v>
      </c>
      <c r="L150" s="227">
        <f t="shared" si="80"/>
        <v>0</v>
      </c>
      <c r="M150" s="227">
        <f t="shared" si="81"/>
        <v>23980</v>
      </c>
      <c r="N150" s="448">
        <f t="shared" si="82"/>
        <v>190</v>
      </c>
      <c r="O150" s="448">
        <f t="shared" si="83"/>
        <v>9.2720000000000002</v>
      </c>
      <c r="P150" s="448">
        <f t="shared" si="84"/>
        <v>0.16340304</v>
      </c>
      <c r="Q150" s="448">
        <f t="shared" si="85"/>
        <v>199</v>
      </c>
      <c r="R150" s="228">
        <f t="shared" si="86"/>
        <v>4556200</v>
      </c>
      <c r="S150" s="228">
        <f t="shared" si="87"/>
        <v>4772020</v>
      </c>
      <c r="T150" s="423">
        <f t="shared" si="88"/>
        <v>20</v>
      </c>
      <c r="U150" s="423">
        <f t="shared" si="89"/>
        <v>0</v>
      </c>
      <c r="V150" s="424">
        <f t="array" ref="V150">MAX((IF(MNU_CODIGO_ALIMENTO_ENTREGA=CONCATENATE($E150,"_","S_"),MNU_GRAMAJE_REQUERIDO_TIPOB,"")))</f>
        <v>30</v>
      </c>
      <c r="W150" s="391">
        <f t="shared" si="90"/>
        <v>1684</v>
      </c>
      <c r="X150" s="391">
        <f t="shared" si="91"/>
        <v>0</v>
      </c>
      <c r="Y150" s="391">
        <f t="shared" si="92"/>
        <v>33680</v>
      </c>
      <c r="Z150" s="448">
        <f t="shared" si="93"/>
        <v>284</v>
      </c>
      <c r="AA150" s="448">
        <f t="shared" si="94"/>
        <v>13.8592</v>
      </c>
      <c r="AB150" s="448">
        <f t="shared" si="95"/>
        <v>0.24424454399999998</v>
      </c>
      <c r="AC150" s="448">
        <f t="shared" si="96"/>
        <v>298</v>
      </c>
      <c r="AD150" s="229">
        <f t="shared" si="97"/>
        <v>9565120</v>
      </c>
      <c r="AE150" s="229">
        <f t="shared" si="98"/>
        <v>10036640</v>
      </c>
      <c r="AF150" s="421">
        <f t="shared" si="99"/>
        <v>20</v>
      </c>
      <c r="AG150" s="421">
        <f t="shared" si="100"/>
        <v>0</v>
      </c>
      <c r="AH150" s="422">
        <f t="array" ref="AH150">MAX((IF(MNU_CODIGO_ALIMENTO_ENTREGA=CONCATENATE($E150,"_","S_"),MNU_GRAMAJE_REQUERIDO_TIPOC,"")))</f>
        <v>60</v>
      </c>
      <c r="AI150" s="227">
        <f t="shared" si="101"/>
        <v>1651</v>
      </c>
      <c r="AJ150" s="227">
        <f t="shared" si="102"/>
        <v>0</v>
      </c>
      <c r="AK150" s="227">
        <f t="shared" si="103"/>
        <v>33020</v>
      </c>
      <c r="AL150" s="448">
        <f t="shared" si="104"/>
        <v>569</v>
      </c>
      <c r="AM150" s="448">
        <f t="shared" si="105"/>
        <v>27.767199999999999</v>
      </c>
      <c r="AN150" s="448">
        <f t="shared" si="106"/>
        <v>0.48934910400000003</v>
      </c>
      <c r="AO150" s="448">
        <f t="shared" si="107"/>
        <v>597</v>
      </c>
      <c r="AP150" s="448">
        <f t="shared" si="108"/>
        <v>18788380</v>
      </c>
      <c r="AQ150" s="228">
        <f t="shared" si="109"/>
        <v>19712940</v>
      </c>
      <c r="AR150" s="391">
        <f t="shared" si="110"/>
        <v>32909700</v>
      </c>
      <c r="AS150" s="391">
        <f t="shared" si="111"/>
        <v>34521600</v>
      </c>
    </row>
    <row r="151" spans="1:45" ht="15.75">
      <c r="A151" s="226">
        <v>17</v>
      </c>
      <c r="B151" s="226" t="str">
        <f t="shared" si="75"/>
        <v>CEREAL EMPACADO_17</v>
      </c>
      <c r="C151" s="333" t="str">
        <f t="shared" si="76"/>
        <v>61_17</v>
      </c>
      <c r="D151" s="392" t="s">
        <v>1607</v>
      </c>
      <c r="E151" s="226">
        <v>61</v>
      </c>
      <c r="F151" s="325" t="s">
        <v>13</v>
      </c>
      <c r="G151" s="226" t="s">
        <v>9</v>
      </c>
      <c r="H151" s="421">
        <f t="shared" si="77"/>
        <v>20</v>
      </c>
      <c r="I151" s="421">
        <f t="shared" si="78"/>
        <v>0</v>
      </c>
      <c r="J151" s="422">
        <f t="array" ref="J151">MAX((IF(MNU_CODIGO_ALIMENTO_ENTREGA=CONCATENATE($E151,"_","S_"),MNU_GRAMAJE_REQUERIDO_TIPOA,"")))</f>
        <v>20</v>
      </c>
      <c r="K151" s="227">
        <f t="shared" si="79"/>
        <v>1199</v>
      </c>
      <c r="L151" s="227">
        <f t="shared" si="80"/>
        <v>0</v>
      </c>
      <c r="M151" s="227">
        <f t="shared" si="81"/>
        <v>23980</v>
      </c>
      <c r="N151" s="448">
        <f t="shared" si="82"/>
        <v>222</v>
      </c>
      <c r="O151" s="448">
        <f t="shared" si="83"/>
        <v>10.833600000000001</v>
      </c>
      <c r="P151" s="448">
        <f t="shared" si="84"/>
        <v>0.190923552</v>
      </c>
      <c r="Q151" s="448">
        <f t="shared" si="85"/>
        <v>233</v>
      </c>
      <c r="R151" s="228">
        <f t="shared" si="86"/>
        <v>5323560</v>
      </c>
      <c r="S151" s="228">
        <f t="shared" si="87"/>
        <v>5587340</v>
      </c>
      <c r="T151" s="423">
        <f t="shared" si="88"/>
        <v>20</v>
      </c>
      <c r="U151" s="423">
        <f t="shared" si="89"/>
        <v>0</v>
      </c>
      <c r="V151" s="424">
        <f t="array" ref="V151">MAX((IF(MNU_CODIGO_ALIMENTO_ENTREGA=CONCATENATE($E151,"_","S_"),MNU_GRAMAJE_REQUERIDO_TIPOB,"")))</f>
        <v>30</v>
      </c>
      <c r="W151" s="391">
        <f t="shared" si="90"/>
        <v>1684</v>
      </c>
      <c r="X151" s="391">
        <f t="shared" si="91"/>
        <v>0</v>
      </c>
      <c r="Y151" s="391">
        <f t="shared" si="92"/>
        <v>33680</v>
      </c>
      <c r="Z151" s="448">
        <f t="shared" si="93"/>
        <v>334</v>
      </c>
      <c r="AA151" s="448">
        <f t="shared" si="94"/>
        <v>16.299199999999999</v>
      </c>
      <c r="AB151" s="448">
        <f t="shared" si="95"/>
        <v>0.28724534400000001</v>
      </c>
      <c r="AC151" s="448">
        <f t="shared" si="96"/>
        <v>351</v>
      </c>
      <c r="AD151" s="229">
        <f t="shared" si="97"/>
        <v>11249120</v>
      </c>
      <c r="AE151" s="229">
        <f t="shared" si="98"/>
        <v>11821680</v>
      </c>
      <c r="AF151" s="421">
        <f t="shared" si="99"/>
        <v>20</v>
      </c>
      <c r="AG151" s="421">
        <f t="shared" si="100"/>
        <v>0</v>
      </c>
      <c r="AH151" s="422">
        <f t="array" ref="AH151">MAX((IF(MNU_CODIGO_ALIMENTO_ENTREGA=CONCATENATE($E151,"_","S_"),MNU_GRAMAJE_REQUERIDO_TIPOC,"")))</f>
        <v>70</v>
      </c>
      <c r="AI151" s="227">
        <f t="shared" si="101"/>
        <v>1651</v>
      </c>
      <c r="AJ151" s="227">
        <f t="shared" si="102"/>
        <v>0</v>
      </c>
      <c r="AK151" s="227">
        <f t="shared" si="103"/>
        <v>33020</v>
      </c>
      <c r="AL151" s="448">
        <f t="shared" si="104"/>
        <v>779</v>
      </c>
      <c r="AM151" s="448">
        <f t="shared" si="105"/>
        <v>38.0152</v>
      </c>
      <c r="AN151" s="448">
        <f t="shared" si="106"/>
        <v>0.66995246400000008</v>
      </c>
      <c r="AO151" s="448">
        <f t="shared" si="107"/>
        <v>818</v>
      </c>
      <c r="AP151" s="448">
        <f t="shared" si="108"/>
        <v>25722580</v>
      </c>
      <c r="AQ151" s="228">
        <f t="shared" si="109"/>
        <v>27010360</v>
      </c>
      <c r="AR151" s="391">
        <f t="shared" si="110"/>
        <v>42295260</v>
      </c>
      <c r="AS151" s="391">
        <f t="shared" si="111"/>
        <v>44419380</v>
      </c>
    </row>
    <row r="152" spans="1:45" ht="15.75">
      <c r="A152" s="226">
        <v>18</v>
      </c>
      <c r="B152" s="226" t="str">
        <f t="shared" si="75"/>
        <v>CEREAL EMPACADO_18</v>
      </c>
      <c r="C152" s="333" t="str">
        <f t="shared" si="76"/>
        <v>3_18</v>
      </c>
      <c r="D152" s="392" t="s">
        <v>1607</v>
      </c>
      <c r="E152" s="226">
        <v>3</v>
      </c>
      <c r="F152" s="325" t="s">
        <v>12</v>
      </c>
      <c r="G152" s="226" t="s">
        <v>9</v>
      </c>
      <c r="H152" s="421">
        <f t="shared" si="77"/>
        <v>19</v>
      </c>
      <c r="I152" s="421">
        <f t="shared" si="78"/>
        <v>0</v>
      </c>
      <c r="J152" s="422">
        <f t="array" ref="J152">MAX((IF(MNU_CODIGO_ALIMENTO_ENTREGA=CONCATENATE($E152,"_","S_"),MNU_GRAMAJE_REQUERIDO_TIPOA,"")))</f>
        <v>50</v>
      </c>
      <c r="K152" s="227">
        <f t="shared" si="79"/>
        <v>900</v>
      </c>
      <c r="L152" s="227">
        <f t="shared" si="80"/>
        <v>0</v>
      </c>
      <c r="M152" s="227">
        <f t="shared" si="81"/>
        <v>17100</v>
      </c>
      <c r="N152" s="448">
        <f t="shared" si="82"/>
        <v>481</v>
      </c>
      <c r="O152" s="448">
        <f t="shared" si="83"/>
        <v>23.472799999999999</v>
      </c>
      <c r="P152" s="448">
        <f t="shared" si="84"/>
        <v>0.41366769599999997</v>
      </c>
      <c r="Q152" s="448">
        <f t="shared" si="85"/>
        <v>505</v>
      </c>
      <c r="R152" s="228">
        <f t="shared" si="86"/>
        <v>8225100</v>
      </c>
      <c r="S152" s="228">
        <f t="shared" si="87"/>
        <v>8635500</v>
      </c>
      <c r="T152" s="423">
        <f t="shared" si="88"/>
        <v>19</v>
      </c>
      <c r="U152" s="423">
        <f t="shared" si="89"/>
        <v>0</v>
      </c>
      <c r="V152" s="424">
        <f t="array" ref="V152">MAX((IF(MNU_CODIGO_ALIMENTO_ENTREGA=CONCATENATE($E152,"_","S_"),MNU_GRAMAJE_REQUERIDO_TIPOB,"")))</f>
        <v>50</v>
      </c>
      <c r="W152" s="391">
        <f t="shared" si="90"/>
        <v>1076</v>
      </c>
      <c r="X152" s="391">
        <f t="shared" si="91"/>
        <v>210</v>
      </c>
      <c r="Y152" s="391">
        <f t="shared" si="92"/>
        <v>20444</v>
      </c>
      <c r="Z152" s="448">
        <f t="shared" si="93"/>
        <v>481</v>
      </c>
      <c r="AA152" s="448">
        <f t="shared" si="94"/>
        <v>23.472799999999999</v>
      </c>
      <c r="AB152" s="448">
        <f t="shared" si="95"/>
        <v>0.41366769599999997</v>
      </c>
      <c r="AC152" s="448">
        <f t="shared" si="96"/>
        <v>505</v>
      </c>
      <c r="AD152" s="229">
        <f t="shared" si="97"/>
        <v>9833564</v>
      </c>
      <c r="AE152" s="229">
        <f t="shared" si="98"/>
        <v>10324220</v>
      </c>
      <c r="AF152" s="421">
        <f t="shared" si="99"/>
        <v>19</v>
      </c>
      <c r="AG152" s="421">
        <f t="shared" si="100"/>
        <v>0</v>
      </c>
      <c r="AH152" s="422">
        <f t="array" ref="AH152">MAX((IF(MNU_CODIGO_ALIMENTO_ENTREGA=CONCATENATE($E152,"_","S_"),MNU_GRAMAJE_REQUERIDO_TIPOC,"")))</f>
        <v>80</v>
      </c>
      <c r="AI152" s="227">
        <f t="shared" si="101"/>
        <v>908</v>
      </c>
      <c r="AJ152" s="227">
        <f t="shared" si="102"/>
        <v>465</v>
      </c>
      <c r="AK152" s="227">
        <f t="shared" si="103"/>
        <v>17252</v>
      </c>
      <c r="AL152" s="448">
        <f t="shared" si="104"/>
        <v>727</v>
      </c>
      <c r="AM152" s="448">
        <f t="shared" si="105"/>
        <v>35.477600000000002</v>
      </c>
      <c r="AN152" s="448">
        <f t="shared" si="106"/>
        <v>0.62523163200000009</v>
      </c>
      <c r="AO152" s="448">
        <f t="shared" si="107"/>
        <v>763</v>
      </c>
      <c r="AP152" s="448">
        <f t="shared" si="108"/>
        <v>12542204</v>
      </c>
      <c r="AQ152" s="228">
        <f t="shared" si="109"/>
        <v>13163276</v>
      </c>
      <c r="AR152" s="391">
        <f t="shared" si="110"/>
        <v>30600868</v>
      </c>
      <c r="AS152" s="391">
        <f t="shared" si="111"/>
        <v>32122996</v>
      </c>
    </row>
    <row r="153" spans="1:45" ht="15.75">
      <c r="A153" s="226">
        <v>18</v>
      </c>
      <c r="B153" s="226" t="str">
        <f t="shared" si="75"/>
        <v>CEREAL EMPACADO_18</v>
      </c>
      <c r="C153" s="333" t="str">
        <f t="shared" si="76"/>
        <v>15_18</v>
      </c>
      <c r="D153" s="392" t="s">
        <v>1607</v>
      </c>
      <c r="E153" s="226">
        <v>15</v>
      </c>
      <c r="F153" s="325" t="s">
        <v>66</v>
      </c>
      <c r="G153" s="226" t="s">
        <v>9</v>
      </c>
      <c r="H153" s="421">
        <f t="shared" si="77"/>
        <v>11</v>
      </c>
      <c r="I153" s="421">
        <f t="shared" si="78"/>
        <v>11</v>
      </c>
      <c r="J153" s="422">
        <f t="array" ref="J153">MAX((IF(MNU_CODIGO_ALIMENTO_ENTREGA=CONCATENATE($E153,"_","S_"),MNU_GRAMAJE_REQUERIDO_TIPOA,"")))</f>
        <v>50</v>
      </c>
      <c r="K153" s="227">
        <f t="shared" si="79"/>
        <v>900</v>
      </c>
      <c r="L153" s="227">
        <f t="shared" si="80"/>
        <v>0</v>
      </c>
      <c r="M153" s="227">
        <f t="shared" si="81"/>
        <v>9900</v>
      </c>
      <c r="N153" s="448">
        <f t="shared" si="82"/>
        <v>641</v>
      </c>
      <c r="O153" s="448">
        <f t="shared" si="83"/>
        <v>31.280800000000003</v>
      </c>
      <c r="P153" s="448">
        <f t="shared" si="84"/>
        <v>0.55127025600000001</v>
      </c>
      <c r="Q153" s="448">
        <f t="shared" si="85"/>
        <v>673</v>
      </c>
      <c r="R153" s="228">
        <f t="shared" si="86"/>
        <v>6345900</v>
      </c>
      <c r="S153" s="228">
        <f t="shared" si="87"/>
        <v>6662700</v>
      </c>
      <c r="T153" s="423">
        <f t="shared" si="88"/>
        <v>11</v>
      </c>
      <c r="U153" s="423">
        <f t="shared" si="89"/>
        <v>11</v>
      </c>
      <c r="V153" s="424">
        <f t="array" ref="V153">MAX((IF(MNU_CODIGO_ALIMENTO_ENTREGA=CONCATENATE($E153,"_","S_"),MNU_GRAMAJE_REQUERIDO_TIPOB,"")))</f>
        <v>50</v>
      </c>
      <c r="W153" s="391">
        <f t="shared" si="90"/>
        <v>1076</v>
      </c>
      <c r="X153" s="391">
        <f t="shared" si="91"/>
        <v>210</v>
      </c>
      <c r="Y153" s="391">
        <f t="shared" si="92"/>
        <v>14146</v>
      </c>
      <c r="Z153" s="448">
        <f t="shared" si="93"/>
        <v>641</v>
      </c>
      <c r="AA153" s="448">
        <f t="shared" si="94"/>
        <v>31.280800000000003</v>
      </c>
      <c r="AB153" s="448">
        <f t="shared" si="95"/>
        <v>0.55127025600000001</v>
      </c>
      <c r="AC153" s="448">
        <f t="shared" si="96"/>
        <v>673</v>
      </c>
      <c r="AD153" s="229">
        <f t="shared" si="97"/>
        <v>9067586</v>
      </c>
      <c r="AE153" s="229">
        <f t="shared" si="98"/>
        <v>9520258</v>
      </c>
      <c r="AF153" s="421">
        <f t="shared" si="99"/>
        <v>11</v>
      </c>
      <c r="AG153" s="421">
        <f t="shared" si="100"/>
        <v>11</v>
      </c>
      <c r="AH153" s="422">
        <f t="array" ref="AH153">MAX((IF(MNU_CODIGO_ALIMENTO_ENTREGA=CONCATENATE($E153,"_","S_"),MNU_GRAMAJE_REQUERIDO_TIPOC,"")))</f>
        <v>80</v>
      </c>
      <c r="AI153" s="227">
        <f t="shared" si="101"/>
        <v>908</v>
      </c>
      <c r="AJ153" s="227">
        <f t="shared" si="102"/>
        <v>465</v>
      </c>
      <c r="AK153" s="227">
        <f t="shared" si="103"/>
        <v>15103</v>
      </c>
      <c r="AL153" s="448">
        <f t="shared" si="104"/>
        <v>1025</v>
      </c>
      <c r="AM153" s="448">
        <f t="shared" si="105"/>
        <v>50.02</v>
      </c>
      <c r="AN153" s="448">
        <f t="shared" si="106"/>
        <v>0.88151640000000009</v>
      </c>
      <c r="AO153" s="448">
        <f t="shared" si="107"/>
        <v>1076</v>
      </c>
      <c r="AP153" s="448">
        <f t="shared" si="108"/>
        <v>15480575</v>
      </c>
      <c r="AQ153" s="228">
        <f t="shared" si="109"/>
        <v>16250828</v>
      </c>
      <c r="AR153" s="391">
        <f t="shared" si="110"/>
        <v>30894061</v>
      </c>
      <c r="AS153" s="391">
        <f t="shared" si="111"/>
        <v>32433786</v>
      </c>
    </row>
    <row r="154" spans="1:45" ht="27">
      <c r="A154" s="226">
        <v>18</v>
      </c>
      <c r="B154" s="226" t="str">
        <f t="shared" si="75"/>
        <v>CEREAL EMPACADO_18</v>
      </c>
      <c r="C154" s="333" t="str">
        <f t="shared" si="76"/>
        <v>21_18</v>
      </c>
      <c r="D154" s="392" t="s">
        <v>1607</v>
      </c>
      <c r="E154" s="226">
        <v>21</v>
      </c>
      <c r="F154" s="325" t="s">
        <v>70</v>
      </c>
      <c r="G154" s="226" t="s">
        <v>9</v>
      </c>
      <c r="H154" s="421">
        <f t="shared" si="77"/>
        <v>22</v>
      </c>
      <c r="I154" s="421">
        <f t="shared" si="78"/>
        <v>0</v>
      </c>
      <c r="J154" s="422">
        <f t="array" ref="J154">MAX((IF(MNU_CODIGO_ALIMENTO_ENTREGA=CONCATENATE($E154,"_","S_"),MNU_GRAMAJE_REQUERIDO_TIPOA,"")))</f>
        <v>30</v>
      </c>
      <c r="K154" s="227">
        <f t="shared" si="79"/>
        <v>900</v>
      </c>
      <c r="L154" s="227">
        <f t="shared" si="80"/>
        <v>0</v>
      </c>
      <c r="M154" s="227">
        <f t="shared" si="81"/>
        <v>19800</v>
      </c>
      <c r="N154" s="448">
        <f t="shared" si="82"/>
        <v>458</v>
      </c>
      <c r="O154" s="448">
        <f t="shared" si="83"/>
        <v>22.3504</v>
      </c>
      <c r="P154" s="448">
        <f t="shared" si="84"/>
        <v>0.39388732799999998</v>
      </c>
      <c r="Q154" s="448">
        <f t="shared" si="85"/>
        <v>481</v>
      </c>
      <c r="R154" s="228">
        <f t="shared" si="86"/>
        <v>9068400</v>
      </c>
      <c r="S154" s="228">
        <f t="shared" si="87"/>
        <v>9523800</v>
      </c>
      <c r="T154" s="423">
        <f t="shared" si="88"/>
        <v>22</v>
      </c>
      <c r="U154" s="423">
        <f t="shared" si="89"/>
        <v>0</v>
      </c>
      <c r="V154" s="424">
        <f t="array" ref="V154">MAX((IF(MNU_CODIGO_ALIMENTO_ENTREGA=CONCATENATE($E154,"_","S_"),MNU_GRAMAJE_REQUERIDO_TIPOB,"")))</f>
        <v>30</v>
      </c>
      <c r="W154" s="391">
        <f t="shared" si="90"/>
        <v>1076</v>
      </c>
      <c r="X154" s="391">
        <f t="shared" si="91"/>
        <v>210</v>
      </c>
      <c r="Y154" s="391">
        <f t="shared" si="92"/>
        <v>23672</v>
      </c>
      <c r="Z154" s="448">
        <f t="shared" si="93"/>
        <v>458</v>
      </c>
      <c r="AA154" s="448">
        <f t="shared" si="94"/>
        <v>22.3504</v>
      </c>
      <c r="AB154" s="448">
        <f t="shared" si="95"/>
        <v>0.39388732799999998</v>
      </c>
      <c r="AC154" s="448">
        <f t="shared" si="96"/>
        <v>481</v>
      </c>
      <c r="AD154" s="229">
        <f t="shared" si="97"/>
        <v>10841776</v>
      </c>
      <c r="AE154" s="229">
        <f t="shared" si="98"/>
        <v>11386232</v>
      </c>
      <c r="AF154" s="421">
        <f t="shared" si="99"/>
        <v>22</v>
      </c>
      <c r="AG154" s="421">
        <f t="shared" si="100"/>
        <v>0</v>
      </c>
      <c r="AH154" s="422">
        <f t="array" ref="AH154">MAX((IF(MNU_CODIGO_ALIMENTO_ENTREGA=CONCATENATE($E154,"_","S_"),MNU_GRAMAJE_REQUERIDO_TIPOC,"")))</f>
        <v>50</v>
      </c>
      <c r="AI154" s="227">
        <f t="shared" si="101"/>
        <v>908</v>
      </c>
      <c r="AJ154" s="227">
        <f t="shared" si="102"/>
        <v>465</v>
      </c>
      <c r="AK154" s="227">
        <f t="shared" si="103"/>
        <v>19976</v>
      </c>
      <c r="AL154" s="448">
        <f t="shared" si="104"/>
        <v>764</v>
      </c>
      <c r="AM154" s="448">
        <f t="shared" si="105"/>
        <v>37.283200000000001</v>
      </c>
      <c r="AN154" s="448">
        <f t="shared" si="106"/>
        <v>0.65705222400000007</v>
      </c>
      <c r="AO154" s="448">
        <f t="shared" si="107"/>
        <v>802</v>
      </c>
      <c r="AP154" s="448">
        <f t="shared" si="108"/>
        <v>15261664</v>
      </c>
      <c r="AQ154" s="228">
        <f t="shared" si="109"/>
        <v>16020752</v>
      </c>
      <c r="AR154" s="391">
        <f t="shared" si="110"/>
        <v>35171840</v>
      </c>
      <c r="AS154" s="391">
        <f t="shared" si="111"/>
        <v>36930784</v>
      </c>
    </row>
    <row r="155" spans="1:45" ht="15.75">
      <c r="A155" s="226">
        <v>18</v>
      </c>
      <c r="B155" s="226" t="str">
        <f t="shared" si="75"/>
        <v>CEREAL EMPACADO_18</v>
      </c>
      <c r="C155" s="333" t="str">
        <f t="shared" si="76"/>
        <v>24_18</v>
      </c>
      <c r="D155" s="392" t="s">
        <v>1607</v>
      </c>
      <c r="E155" s="226">
        <v>24</v>
      </c>
      <c r="F155" s="325" t="s">
        <v>61</v>
      </c>
      <c r="G155" s="226" t="s">
        <v>9</v>
      </c>
      <c r="H155" s="421">
        <f t="shared" si="77"/>
        <v>11</v>
      </c>
      <c r="I155" s="421">
        <f t="shared" si="78"/>
        <v>11</v>
      </c>
      <c r="J155" s="422">
        <f t="array" ref="J155">MAX((IF(MNU_CODIGO_ALIMENTO_ENTREGA=CONCATENATE($E155,"_","S_"),MNU_GRAMAJE_REQUERIDO_TIPOA,"")))</f>
        <v>20</v>
      </c>
      <c r="K155" s="227">
        <f t="shared" si="79"/>
        <v>900</v>
      </c>
      <c r="L155" s="227">
        <f t="shared" si="80"/>
        <v>0</v>
      </c>
      <c r="M155" s="227">
        <f t="shared" si="81"/>
        <v>9900</v>
      </c>
      <c r="N155" s="448">
        <f t="shared" si="82"/>
        <v>122</v>
      </c>
      <c r="O155" s="448">
        <f t="shared" si="83"/>
        <v>5.9535999999999998</v>
      </c>
      <c r="P155" s="448">
        <f t="shared" si="84"/>
        <v>0.104921952</v>
      </c>
      <c r="Q155" s="448">
        <f t="shared" si="85"/>
        <v>128</v>
      </c>
      <c r="R155" s="228">
        <f t="shared" si="86"/>
        <v>1207800</v>
      </c>
      <c r="S155" s="228">
        <f t="shared" si="87"/>
        <v>1267200</v>
      </c>
      <c r="T155" s="423">
        <f t="shared" si="88"/>
        <v>11</v>
      </c>
      <c r="U155" s="423">
        <f t="shared" si="89"/>
        <v>11</v>
      </c>
      <c r="V155" s="424">
        <f t="array" ref="V155">MAX((IF(MNU_CODIGO_ALIMENTO_ENTREGA=CONCATENATE($E155,"_","S_"),MNU_GRAMAJE_REQUERIDO_TIPOB,"")))</f>
        <v>30</v>
      </c>
      <c r="W155" s="391">
        <f t="shared" si="90"/>
        <v>1076</v>
      </c>
      <c r="X155" s="391">
        <f t="shared" si="91"/>
        <v>210</v>
      </c>
      <c r="Y155" s="391">
        <f t="shared" si="92"/>
        <v>14146</v>
      </c>
      <c r="Z155" s="448">
        <f t="shared" si="93"/>
        <v>191</v>
      </c>
      <c r="AA155" s="448">
        <f t="shared" si="94"/>
        <v>9.3208000000000002</v>
      </c>
      <c r="AB155" s="448">
        <f t="shared" si="95"/>
        <v>0.16426305600000002</v>
      </c>
      <c r="AC155" s="448">
        <f t="shared" si="96"/>
        <v>200</v>
      </c>
      <c r="AD155" s="229">
        <f t="shared" si="97"/>
        <v>2701886</v>
      </c>
      <c r="AE155" s="229">
        <f t="shared" si="98"/>
        <v>2829200</v>
      </c>
      <c r="AF155" s="421">
        <f t="shared" si="99"/>
        <v>11</v>
      </c>
      <c r="AG155" s="421">
        <f t="shared" si="100"/>
        <v>11</v>
      </c>
      <c r="AH155" s="422">
        <f t="array" ref="AH155">MAX((IF(MNU_CODIGO_ALIMENTO_ENTREGA=CONCATENATE($E155,"_","S_"),MNU_GRAMAJE_REQUERIDO_TIPOC,"")))</f>
        <v>60</v>
      </c>
      <c r="AI155" s="227">
        <f t="shared" si="101"/>
        <v>908</v>
      </c>
      <c r="AJ155" s="227">
        <f t="shared" si="102"/>
        <v>465</v>
      </c>
      <c r="AK155" s="227">
        <f t="shared" si="103"/>
        <v>15103</v>
      </c>
      <c r="AL155" s="448">
        <f t="shared" si="104"/>
        <v>367</v>
      </c>
      <c r="AM155" s="448">
        <f t="shared" si="105"/>
        <v>17.909599999999998</v>
      </c>
      <c r="AN155" s="448">
        <f t="shared" si="106"/>
        <v>0.31562587200000003</v>
      </c>
      <c r="AO155" s="448">
        <f t="shared" si="107"/>
        <v>385</v>
      </c>
      <c r="AP155" s="448">
        <f t="shared" si="108"/>
        <v>5542801</v>
      </c>
      <c r="AQ155" s="228">
        <f t="shared" si="109"/>
        <v>5814655</v>
      </c>
      <c r="AR155" s="391">
        <f t="shared" si="110"/>
        <v>9452487</v>
      </c>
      <c r="AS155" s="391">
        <f t="shared" si="111"/>
        <v>9911055</v>
      </c>
    </row>
    <row r="156" spans="1:45" ht="15.75">
      <c r="A156" s="226">
        <v>18</v>
      </c>
      <c r="B156" s="226" t="str">
        <f t="shared" si="75"/>
        <v>CEREAL EMPACADO_18</v>
      </c>
      <c r="C156" s="333" t="str">
        <f t="shared" si="76"/>
        <v>25_18</v>
      </c>
      <c r="D156" s="392" t="s">
        <v>1607</v>
      </c>
      <c r="E156" s="226">
        <v>25</v>
      </c>
      <c r="F156" s="325" t="s">
        <v>64</v>
      </c>
      <c r="G156" s="226" t="s">
        <v>9</v>
      </c>
      <c r="H156" s="421">
        <f t="shared" si="77"/>
        <v>22</v>
      </c>
      <c r="I156" s="421">
        <f t="shared" si="78"/>
        <v>0</v>
      </c>
      <c r="J156" s="422">
        <f t="array" ref="J156">MAX((IF(MNU_CODIGO_ALIMENTO_ENTREGA=CONCATENATE($E156,"_","S_"),MNU_GRAMAJE_REQUERIDO_TIPOA,"")))</f>
        <v>40</v>
      </c>
      <c r="K156" s="227">
        <f t="shared" si="79"/>
        <v>900</v>
      </c>
      <c r="L156" s="227">
        <f t="shared" si="80"/>
        <v>0</v>
      </c>
      <c r="M156" s="227">
        <f t="shared" si="81"/>
        <v>19800</v>
      </c>
      <c r="N156" s="448">
        <f t="shared" si="82"/>
        <v>244</v>
      </c>
      <c r="O156" s="448">
        <f t="shared" si="83"/>
        <v>11.9072</v>
      </c>
      <c r="P156" s="448">
        <f t="shared" si="84"/>
        <v>0.209843904</v>
      </c>
      <c r="Q156" s="448">
        <f t="shared" si="85"/>
        <v>256</v>
      </c>
      <c r="R156" s="228">
        <f t="shared" si="86"/>
        <v>4831200</v>
      </c>
      <c r="S156" s="228">
        <f t="shared" si="87"/>
        <v>5068800</v>
      </c>
      <c r="T156" s="423">
        <f t="shared" si="88"/>
        <v>22</v>
      </c>
      <c r="U156" s="423">
        <f t="shared" si="89"/>
        <v>0</v>
      </c>
      <c r="V156" s="424">
        <f t="array" ref="V156">MAX((IF(MNU_CODIGO_ALIMENTO_ENTREGA=CONCATENATE($E156,"_","S_"),MNU_GRAMAJE_REQUERIDO_TIPOB,"")))</f>
        <v>40</v>
      </c>
      <c r="W156" s="391">
        <f t="shared" si="90"/>
        <v>1076</v>
      </c>
      <c r="X156" s="391">
        <f t="shared" si="91"/>
        <v>210</v>
      </c>
      <c r="Y156" s="391">
        <f t="shared" si="92"/>
        <v>23672</v>
      </c>
      <c r="Z156" s="448">
        <f t="shared" si="93"/>
        <v>244</v>
      </c>
      <c r="AA156" s="448">
        <f t="shared" si="94"/>
        <v>11.9072</v>
      </c>
      <c r="AB156" s="448">
        <f t="shared" si="95"/>
        <v>0.209843904</v>
      </c>
      <c r="AC156" s="448">
        <f t="shared" si="96"/>
        <v>256</v>
      </c>
      <c r="AD156" s="229">
        <f t="shared" si="97"/>
        <v>5775968</v>
      </c>
      <c r="AE156" s="229">
        <f t="shared" si="98"/>
        <v>6060032</v>
      </c>
      <c r="AF156" s="421">
        <f t="shared" si="99"/>
        <v>22</v>
      </c>
      <c r="AG156" s="421">
        <f t="shared" si="100"/>
        <v>0</v>
      </c>
      <c r="AH156" s="422">
        <f t="array" ref="AH156">MAX((IF(MNU_CODIGO_ALIMENTO_ENTREGA=CONCATENATE($E156,"_","S_"),MNU_GRAMAJE_REQUERIDO_TIPOC,"")))</f>
        <v>60</v>
      </c>
      <c r="AI156" s="227">
        <f t="shared" si="101"/>
        <v>908</v>
      </c>
      <c r="AJ156" s="227">
        <f t="shared" si="102"/>
        <v>465</v>
      </c>
      <c r="AK156" s="227">
        <f t="shared" si="103"/>
        <v>19976</v>
      </c>
      <c r="AL156" s="448">
        <f t="shared" si="104"/>
        <v>366</v>
      </c>
      <c r="AM156" s="448">
        <f t="shared" si="105"/>
        <v>17.860800000000001</v>
      </c>
      <c r="AN156" s="448">
        <f t="shared" si="106"/>
        <v>0.31476585600000001</v>
      </c>
      <c r="AO156" s="448">
        <f t="shared" si="107"/>
        <v>384</v>
      </c>
      <c r="AP156" s="448">
        <f t="shared" si="108"/>
        <v>7311216</v>
      </c>
      <c r="AQ156" s="228">
        <f t="shared" si="109"/>
        <v>7670784</v>
      </c>
      <c r="AR156" s="391">
        <f t="shared" si="110"/>
        <v>17918384</v>
      </c>
      <c r="AS156" s="391">
        <f t="shared" si="111"/>
        <v>18799616</v>
      </c>
    </row>
    <row r="157" spans="1:45" ht="27">
      <c r="A157" s="226">
        <v>18</v>
      </c>
      <c r="B157" s="226" t="str">
        <f t="shared" si="75"/>
        <v>CEREAL EMPACADO_18</v>
      </c>
      <c r="C157" s="333" t="str">
        <f t="shared" si="76"/>
        <v>28_18</v>
      </c>
      <c r="D157" s="392" t="s">
        <v>1607</v>
      </c>
      <c r="E157" s="226">
        <v>28</v>
      </c>
      <c r="F157" s="325" t="s">
        <v>67</v>
      </c>
      <c r="G157" s="226" t="s">
        <v>9</v>
      </c>
      <c r="H157" s="421">
        <f t="shared" si="77"/>
        <v>19</v>
      </c>
      <c r="I157" s="421">
        <f t="shared" si="78"/>
        <v>0</v>
      </c>
      <c r="J157" s="422">
        <f t="array" ref="J157">MAX((IF(MNU_CODIGO_ALIMENTO_ENTREGA=CONCATENATE($E157,"_","S_"),MNU_GRAMAJE_REQUERIDO_TIPOA,"")))</f>
        <v>30</v>
      </c>
      <c r="K157" s="227">
        <f t="shared" si="79"/>
        <v>900</v>
      </c>
      <c r="L157" s="227">
        <f t="shared" si="80"/>
        <v>0</v>
      </c>
      <c r="M157" s="227">
        <f t="shared" si="81"/>
        <v>17100</v>
      </c>
      <c r="N157" s="448">
        <f t="shared" si="82"/>
        <v>215</v>
      </c>
      <c r="O157" s="448">
        <f t="shared" si="83"/>
        <v>10.492000000000001</v>
      </c>
      <c r="P157" s="448">
        <f t="shared" si="84"/>
        <v>0.18490343999999997</v>
      </c>
      <c r="Q157" s="448">
        <f t="shared" si="85"/>
        <v>226</v>
      </c>
      <c r="R157" s="228">
        <f t="shared" si="86"/>
        <v>3676500</v>
      </c>
      <c r="S157" s="228">
        <f t="shared" si="87"/>
        <v>3864600</v>
      </c>
      <c r="T157" s="423">
        <f t="shared" si="88"/>
        <v>19</v>
      </c>
      <c r="U157" s="423">
        <f t="shared" si="89"/>
        <v>0</v>
      </c>
      <c r="V157" s="424">
        <f t="array" ref="V157">MAX((IF(MNU_CODIGO_ALIMENTO_ENTREGA=CONCATENATE($E157,"_","S_"),MNU_GRAMAJE_REQUERIDO_TIPOB,"")))</f>
        <v>40</v>
      </c>
      <c r="W157" s="391">
        <f t="shared" si="90"/>
        <v>1076</v>
      </c>
      <c r="X157" s="391">
        <f t="shared" si="91"/>
        <v>210</v>
      </c>
      <c r="Y157" s="391">
        <f t="shared" si="92"/>
        <v>20444</v>
      </c>
      <c r="Z157" s="448">
        <f t="shared" si="93"/>
        <v>287</v>
      </c>
      <c r="AA157" s="448">
        <f t="shared" si="94"/>
        <v>14.005600000000001</v>
      </c>
      <c r="AB157" s="448">
        <f t="shared" si="95"/>
        <v>0.24682459200000004</v>
      </c>
      <c r="AC157" s="448">
        <f t="shared" si="96"/>
        <v>301</v>
      </c>
      <c r="AD157" s="229">
        <f t="shared" si="97"/>
        <v>5867428</v>
      </c>
      <c r="AE157" s="229">
        <f t="shared" si="98"/>
        <v>6153644</v>
      </c>
      <c r="AF157" s="421">
        <f t="shared" si="99"/>
        <v>19</v>
      </c>
      <c r="AG157" s="421">
        <f t="shared" si="100"/>
        <v>0</v>
      </c>
      <c r="AH157" s="422">
        <f t="array" ref="AH157">MAX((IF(MNU_CODIGO_ALIMENTO_ENTREGA=CONCATENATE($E157,"_","S_"),MNU_GRAMAJE_REQUERIDO_TIPOC,"")))</f>
        <v>60</v>
      </c>
      <c r="AI157" s="227">
        <f t="shared" si="101"/>
        <v>908</v>
      </c>
      <c r="AJ157" s="227">
        <f t="shared" si="102"/>
        <v>465</v>
      </c>
      <c r="AK157" s="227">
        <f t="shared" si="103"/>
        <v>17252</v>
      </c>
      <c r="AL157" s="448">
        <f t="shared" si="104"/>
        <v>430</v>
      </c>
      <c r="AM157" s="448">
        <f t="shared" si="105"/>
        <v>20.984000000000002</v>
      </c>
      <c r="AN157" s="448">
        <f t="shared" si="106"/>
        <v>0.36980687999999995</v>
      </c>
      <c r="AO157" s="448">
        <f t="shared" si="107"/>
        <v>451</v>
      </c>
      <c r="AP157" s="448">
        <f t="shared" si="108"/>
        <v>7418360</v>
      </c>
      <c r="AQ157" s="228">
        <f t="shared" si="109"/>
        <v>7780652</v>
      </c>
      <c r="AR157" s="391">
        <f t="shared" si="110"/>
        <v>16962288</v>
      </c>
      <c r="AS157" s="391">
        <f t="shared" si="111"/>
        <v>17798896</v>
      </c>
    </row>
    <row r="158" spans="1:45" ht="15.75">
      <c r="A158" s="226">
        <v>18</v>
      </c>
      <c r="B158" s="226" t="str">
        <f t="shared" si="75"/>
        <v>CEREAL EMPACADO_18</v>
      </c>
      <c r="C158" s="333" t="str">
        <f t="shared" si="76"/>
        <v>45_18</v>
      </c>
      <c r="D158" s="392" t="s">
        <v>1607</v>
      </c>
      <c r="E158" s="226">
        <v>45</v>
      </c>
      <c r="F158" s="325" t="s">
        <v>10</v>
      </c>
      <c r="G158" s="226" t="s">
        <v>9</v>
      </c>
      <c r="H158" s="421">
        <f t="shared" si="77"/>
        <v>20</v>
      </c>
      <c r="I158" s="421">
        <f t="shared" si="78"/>
        <v>0</v>
      </c>
      <c r="J158" s="422">
        <f t="array" ref="J158">MAX((IF(MNU_CODIGO_ALIMENTO_ENTREGA=CONCATENATE($E158,"_","S_"),MNU_GRAMAJE_REQUERIDO_TIPOA,"")))</f>
        <v>20</v>
      </c>
      <c r="K158" s="227">
        <f t="shared" si="79"/>
        <v>900</v>
      </c>
      <c r="L158" s="227">
        <f t="shared" si="80"/>
        <v>0</v>
      </c>
      <c r="M158" s="227">
        <f t="shared" si="81"/>
        <v>18000</v>
      </c>
      <c r="N158" s="448">
        <f t="shared" si="82"/>
        <v>190</v>
      </c>
      <c r="O158" s="448">
        <f t="shared" si="83"/>
        <v>9.2720000000000002</v>
      </c>
      <c r="P158" s="448">
        <f t="shared" si="84"/>
        <v>0.16340304</v>
      </c>
      <c r="Q158" s="448">
        <f t="shared" si="85"/>
        <v>199</v>
      </c>
      <c r="R158" s="228">
        <f t="shared" si="86"/>
        <v>3420000</v>
      </c>
      <c r="S158" s="228">
        <f t="shared" si="87"/>
        <v>3582000</v>
      </c>
      <c r="T158" s="423">
        <f t="shared" si="88"/>
        <v>20</v>
      </c>
      <c r="U158" s="423">
        <f t="shared" si="89"/>
        <v>0</v>
      </c>
      <c r="V158" s="424">
        <f t="array" ref="V158">MAX((IF(MNU_CODIGO_ALIMENTO_ENTREGA=CONCATENATE($E158,"_","S_"),MNU_GRAMAJE_REQUERIDO_TIPOB,"")))</f>
        <v>30</v>
      </c>
      <c r="W158" s="391">
        <f t="shared" si="90"/>
        <v>1076</v>
      </c>
      <c r="X158" s="391">
        <f t="shared" si="91"/>
        <v>210</v>
      </c>
      <c r="Y158" s="391">
        <f t="shared" si="92"/>
        <v>21520</v>
      </c>
      <c r="Z158" s="448">
        <f t="shared" si="93"/>
        <v>284</v>
      </c>
      <c r="AA158" s="448">
        <f t="shared" si="94"/>
        <v>13.8592</v>
      </c>
      <c r="AB158" s="448">
        <f t="shared" si="95"/>
        <v>0.24424454399999998</v>
      </c>
      <c r="AC158" s="448">
        <f t="shared" si="96"/>
        <v>298</v>
      </c>
      <c r="AD158" s="229">
        <f t="shared" si="97"/>
        <v>6111680</v>
      </c>
      <c r="AE158" s="229">
        <f t="shared" si="98"/>
        <v>6412960</v>
      </c>
      <c r="AF158" s="421">
        <f t="shared" si="99"/>
        <v>20</v>
      </c>
      <c r="AG158" s="421">
        <f t="shared" si="100"/>
        <v>0</v>
      </c>
      <c r="AH158" s="422">
        <f t="array" ref="AH158">MAX((IF(MNU_CODIGO_ALIMENTO_ENTREGA=CONCATENATE($E158,"_","S_"),MNU_GRAMAJE_REQUERIDO_TIPOC,"")))</f>
        <v>60</v>
      </c>
      <c r="AI158" s="227">
        <f t="shared" si="101"/>
        <v>908</v>
      </c>
      <c r="AJ158" s="227">
        <f t="shared" si="102"/>
        <v>465</v>
      </c>
      <c r="AK158" s="227">
        <f t="shared" si="103"/>
        <v>18160</v>
      </c>
      <c r="AL158" s="448">
        <f t="shared" si="104"/>
        <v>569</v>
      </c>
      <c r="AM158" s="448">
        <f t="shared" si="105"/>
        <v>27.767199999999999</v>
      </c>
      <c r="AN158" s="448">
        <f t="shared" si="106"/>
        <v>0.48934910400000003</v>
      </c>
      <c r="AO158" s="448">
        <f t="shared" si="107"/>
        <v>597</v>
      </c>
      <c r="AP158" s="448">
        <f t="shared" si="108"/>
        <v>10333040</v>
      </c>
      <c r="AQ158" s="228">
        <f t="shared" si="109"/>
        <v>10841520</v>
      </c>
      <c r="AR158" s="391">
        <f t="shared" si="110"/>
        <v>19864720</v>
      </c>
      <c r="AS158" s="391">
        <f t="shared" si="111"/>
        <v>20836480</v>
      </c>
    </row>
    <row r="159" spans="1:45" ht="15.75">
      <c r="A159" s="226">
        <v>18</v>
      </c>
      <c r="B159" s="226" t="str">
        <f t="shared" si="75"/>
        <v>CEREAL EMPACADO_18</v>
      </c>
      <c r="C159" s="333" t="str">
        <f t="shared" si="76"/>
        <v>61_18</v>
      </c>
      <c r="D159" s="392" t="s">
        <v>1607</v>
      </c>
      <c r="E159" s="226">
        <v>61</v>
      </c>
      <c r="F159" s="325" t="s">
        <v>13</v>
      </c>
      <c r="G159" s="226" t="s">
        <v>9</v>
      </c>
      <c r="H159" s="421">
        <f t="shared" si="77"/>
        <v>20</v>
      </c>
      <c r="I159" s="421">
        <f t="shared" si="78"/>
        <v>0</v>
      </c>
      <c r="J159" s="422">
        <f t="array" ref="J159">MAX((IF(MNU_CODIGO_ALIMENTO_ENTREGA=CONCATENATE($E159,"_","S_"),MNU_GRAMAJE_REQUERIDO_TIPOA,"")))</f>
        <v>20</v>
      </c>
      <c r="K159" s="227">
        <f t="shared" si="79"/>
        <v>900</v>
      </c>
      <c r="L159" s="227">
        <f t="shared" si="80"/>
        <v>0</v>
      </c>
      <c r="M159" s="227">
        <f t="shared" si="81"/>
        <v>18000</v>
      </c>
      <c r="N159" s="448">
        <f t="shared" si="82"/>
        <v>222</v>
      </c>
      <c r="O159" s="448">
        <f t="shared" si="83"/>
        <v>10.833600000000001</v>
      </c>
      <c r="P159" s="448">
        <f t="shared" si="84"/>
        <v>0.190923552</v>
      </c>
      <c r="Q159" s="448">
        <f t="shared" si="85"/>
        <v>233</v>
      </c>
      <c r="R159" s="228">
        <f t="shared" si="86"/>
        <v>3996000</v>
      </c>
      <c r="S159" s="228">
        <f t="shared" si="87"/>
        <v>4194000</v>
      </c>
      <c r="T159" s="423">
        <f t="shared" si="88"/>
        <v>20</v>
      </c>
      <c r="U159" s="423">
        <f t="shared" si="89"/>
        <v>0</v>
      </c>
      <c r="V159" s="424">
        <f t="array" ref="V159">MAX((IF(MNU_CODIGO_ALIMENTO_ENTREGA=CONCATENATE($E159,"_","S_"),MNU_GRAMAJE_REQUERIDO_TIPOB,"")))</f>
        <v>30</v>
      </c>
      <c r="W159" s="391">
        <f t="shared" si="90"/>
        <v>1076</v>
      </c>
      <c r="X159" s="391">
        <f t="shared" si="91"/>
        <v>210</v>
      </c>
      <c r="Y159" s="391">
        <f t="shared" si="92"/>
        <v>21520</v>
      </c>
      <c r="Z159" s="448">
        <f t="shared" si="93"/>
        <v>334</v>
      </c>
      <c r="AA159" s="448">
        <f t="shared" si="94"/>
        <v>16.299199999999999</v>
      </c>
      <c r="AB159" s="448">
        <f t="shared" si="95"/>
        <v>0.28724534400000001</v>
      </c>
      <c r="AC159" s="448">
        <f t="shared" si="96"/>
        <v>351</v>
      </c>
      <c r="AD159" s="229">
        <f t="shared" si="97"/>
        <v>7187680</v>
      </c>
      <c r="AE159" s="229">
        <f t="shared" si="98"/>
        <v>7553520</v>
      </c>
      <c r="AF159" s="421">
        <f t="shared" si="99"/>
        <v>20</v>
      </c>
      <c r="AG159" s="421">
        <f t="shared" si="100"/>
        <v>0</v>
      </c>
      <c r="AH159" s="422">
        <f t="array" ref="AH159">MAX((IF(MNU_CODIGO_ALIMENTO_ENTREGA=CONCATENATE($E159,"_","S_"),MNU_GRAMAJE_REQUERIDO_TIPOC,"")))</f>
        <v>70</v>
      </c>
      <c r="AI159" s="227">
        <f t="shared" si="101"/>
        <v>908</v>
      </c>
      <c r="AJ159" s="227">
        <f t="shared" si="102"/>
        <v>465</v>
      </c>
      <c r="AK159" s="227">
        <f t="shared" si="103"/>
        <v>18160</v>
      </c>
      <c r="AL159" s="448">
        <f t="shared" si="104"/>
        <v>779</v>
      </c>
      <c r="AM159" s="448">
        <f t="shared" si="105"/>
        <v>38.0152</v>
      </c>
      <c r="AN159" s="448">
        <f t="shared" si="106"/>
        <v>0.66995246400000008</v>
      </c>
      <c r="AO159" s="448">
        <f t="shared" si="107"/>
        <v>818</v>
      </c>
      <c r="AP159" s="448">
        <f t="shared" si="108"/>
        <v>14146640</v>
      </c>
      <c r="AQ159" s="228">
        <f t="shared" si="109"/>
        <v>14854880</v>
      </c>
      <c r="AR159" s="391">
        <f t="shared" si="110"/>
        <v>25330320</v>
      </c>
      <c r="AS159" s="391">
        <f t="shared" si="111"/>
        <v>26602400</v>
      </c>
    </row>
    <row r="160" spans="1:45" ht="15.75">
      <c r="A160" s="226">
        <v>19</v>
      </c>
      <c r="B160" s="226" t="str">
        <f t="shared" si="75"/>
        <v>CEREAL EMPACADO_19</v>
      </c>
      <c r="C160" s="333" t="str">
        <f t="shared" si="76"/>
        <v>3_19</v>
      </c>
      <c r="D160" s="392" t="s">
        <v>1607</v>
      </c>
      <c r="E160" s="226">
        <v>3</v>
      </c>
      <c r="F160" s="325" t="s">
        <v>12</v>
      </c>
      <c r="G160" s="226" t="s">
        <v>9</v>
      </c>
      <c r="H160" s="421">
        <f t="shared" si="77"/>
        <v>19</v>
      </c>
      <c r="I160" s="421">
        <f t="shared" si="78"/>
        <v>0</v>
      </c>
      <c r="J160" s="422">
        <f t="array" ref="J160">MAX((IF(MNU_CODIGO_ALIMENTO_ENTREGA=CONCATENATE($E160,"_","S_"),MNU_GRAMAJE_REQUERIDO_TIPOA,"")))</f>
        <v>50</v>
      </c>
      <c r="K160" s="227">
        <f t="shared" si="79"/>
        <v>396</v>
      </c>
      <c r="L160" s="227">
        <f t="shared" si="80"/>
        <v>0</v>
      </c>
      <c r="M160" s="227">
        <f t="shared" si="81"/>
        <v>7524</v>
      </c>
      <c r="N160" s="448">
        <f t="shared" si="82"/>
        <v>481</v>
      </c>
      <c r="O160" s="448">
        <f t="shared" si="83"/>
        <v>23.472799999999999</v>
      </c>
      <c r="P160" s="448">
        <f t="shared" si="84"/>
        <v>0.41366769599999997</v>
      </c>
      <c r="Q160" s="448">
        <f t="shared" si="85"/>
        <v>505</v>
      </c>
      <c r="R160" s="228">
        <f t="shared" si="86"/>
        <v>3619044</v>
      </c>
      <c r="S160" s="228">
        <f t="shared" si="87"/>
        <v>3799620</v>
      </c>
      <c r="T160" s="423">
        <f t="shared" si="88"/>
        <v>19</v>
      </c>
      <c r="U160" s="423">
        <f t="shared" si="89"/>
        <v>0</v>
      </c>
      <c r="V160" s="424">
        <f t="array" ref="V160">MAX((IF(MNU_CODIGO_ALIMENTO_ENTREGA=CONCATENATE($E160,"_","S_"),MNU_GRAMAJE_REQUERIDO_TIPOB,"")))</f>
        <v>50</v>
      </c>
      <c r="W160" s="391">
        <f t="shared" si="90"/>
        <v>891</v>
      </c>
      <c r="X160" s="391">
        <f t="shared" si="91"/>
        <v>0</v>
      </c>
      <c r="Y160" s="391">
        <f t="shared" si="92"/>
        <v>16929</v>
      </c>
      <c r="Z160" s="448">
        <f t="shared" si="93"/>
        <v>481</v>
      </c>
      <c r="AA160" s="448">
        <f t="shared" si="94"/>
        <v>23.472799999999999</v>
      </c>
      <c r="AB160" s="448">
        <f t="shared" si="95"/>
        <v>0.41366769599999997</v>
      </c>
      <c r="AC160" s="448">
        <f t="shared" si="96"/>
        <v>505</v>
      </c>
      <c r="AD160" s="229">
        <f t="shared" si="97"/>
        <v>8142849</v>
      </c>
      <c r="AE160" s="229">
        <f t="shared" si="98"/>
        <v>8549145</v>
      </c>
      <c r="AF160" s="421">
        <f t="shared" si="99"/>
        <v>19</v>
      </c>
      <c r="AG160" s="421">
        <f t="shared" si="100"/>
        <v>0</v>
      </c>
      <c r="AH160" s="422">
        <f t="array" ref="AH160">MAX((IF(MNU_CODIGO_ALIMENTO_ENTREGA=CONCATENATE($E160,"_","S_"),MNU_GRAMAJE_REQUERIDO_TIPOC,"")))</f>
        <v>80</v>
      </c>
      <c r="AI160" s="227">
        <f t="shared" si="101"/>
        <v>1055</v>
      </c>
      <c r="AJ160" s="227">
        <f t="shared" si="102"/>
        <v>0</v>
      </c>
      <c r="AK160" s="227">
        <f t="shared" si="103"/>
        <v>20045</v>
      </c>
      <c r="AL160" s="448">
        <f t="shared" si="104"/>
        <v>727</v>
      </c>
      <c r="AM160" s="448">
        <f t="shared" si="105"/>
        <v>35.477600000000002</v>
      </c>
      <c r="AN160" s="448">
        <f t="shared" si="106"/>
        <v>0.62523163200000009</v>
      </c>
      <c r="AO160" s="448">
        <f t="shared" si="107"/>
        <v>763</v>
      </c>
      <c r="AP160" s="448">
        <f t="shared" si="108"/>
        <v>14572715</v>
      </c>
      <c r="AQ160" s="228">
        <f t="shared" si="109"/>
        <v>15294335</v>
      </c>
      <c r="AR160" s="391">
        <f t="shared" si="110"/>
        <v>26334608</v>
      </c>
      <c r="AS160" s="391">
        <f t="shared" si="111"/>
        <v>27643100</v>
      </c>
    </row>
    <row r="161" spans="1:45" ht="15.75">
      <c r="A161" s="226">
        <v>19</v>
      </c>
      <c r="B161" s="226" t="str">
        <f t="shared" si="75"/>
        <v>CEREAL EMPACADO_19</v>
      </c>
      <c r="C161" s="333" t="str">
        <f t="shared" si="76"/>
        <v>15_19</v>
      </c>
      <c r="D161" s="392" t="s">
        <v>1607</v>
      </c>
      <c r="E161" s="226">
        <v>15</v>
      </c>
      <c r="F161" s="325" t="s">
        <v>66</v>
      </c>
      <c r="G161" s="226" t="s">
        <v>9</v>
      </c>
      <c r="H161" s="421">
        <f t="shared" si="77"/>
        <v>11</v>
      </c>
      <c r="I161" s="421">
        <f t="shared" si="78"/>
        <v>11</v>
      </c>
      <c r="J161" s="422">
        <f t="array" ref="J161">MAX((IF(MNU_CODIGO_ALIMENTO_ENTREGA=CONCATENATE($E161,"_","S_"),MNU_GRAMAJE_REQUERIDO_TIPOA,"")))</f>
        <v>50</v>
      </c>
      <c r="K161" s="227">
        <f t="shared" si="79"/>
        <v>396</v>
      </c>
      <c r="L161" s="227">
        <f t="shared" si="80"/>
        <v>0</v>
      </c>
      <c r="M161" s="227">
        <f t="shared" si="81"/>
        <v>4356</v>
      </c>
      <c r="N161" s="448">
        <f t="shared" si="82"/>
        <v>641</v>
      </c>
      <c r="O161" s="448">
        <f t="shared" si="83"/>
        <v>31.280800000000003</v>
      </c>
      <c r="P161" s="448">
        <f t="shared" si="84"/>
        <v>0.55127025600000001</v>
      </c>
      <c r="Q161" s="448">
        <f t="shared" si="85"/>
        <v>673</v>
      </c>
      <c r="R161" s="228">
        <f t="shared" si="86"/>
        <v>2792196</v>
      </c>
      <c r="S161" s="228">
        <f t="shared" si="87"/>
        <v>2931588</v>
      </c>
      <c r="T161" s="423">
        <f t="shared" si="88"/>
        <v>11</v>
      </c>
      <c r="U161" s="423">
        <f t="shared" si="89"/>
        <v>11</v>
      </c>
      <c r="V161" s="424">
        <f t="array" ref="V161">MAX((IF(MNU_CODIGO_ALIMENTO_ENTREGA=CONCATENATE($E161,"_","S_"),MNU_GRAMAJE_REQUERIDO_TIPOB,"")))</f>
        <v>50</v>
      </c>
      <c r="W161" s="391">
        <f t="shared" si="90"/>
        <v>891</v>
      </c>
      <c r="X161" s="391">
        <f t="shared" si="91"/>
        <v>0</v>
      </c>
      <c r="Y161" s="391">
        <f t="shared" si="92"/>
        <v>9801</v>
      </c>
      <c r="Z161" s="448">
        <f t="shared" si="93"/>
        <v>641</v>
      </c>
      <c r="AA161" s="448">
        <f t="shared" si="94"/>
        <v>31.280800000000003</v>
      </c>
      <c r="AB161" s="448">
        <f t="shared" si="95"/>
        <v>0.55127025600000001</v>
      </c>
      <c r="AC161" s="448">
        <f t="shared" si="96"/>
        <v>673</v>
      </c>
      <c r="AD161" s="229">
        <f t="shared" si="97"/>
        <v>6282441</v>
      </c>
      <c r="AE161" s="229">
        <f t="shared" si="98"/>
        <v>6596073</v>
      </c>
      <c r="AF161" s="421">
        <f t="shared" si="99"/>
        <v>11</v>
      </c>
      <c r="AG161" s="421">
        <f t="shared" si="100"/>
        <v>11</v>
      </c>
      <c r="AH161" s="422">
        <f t="array" ref="AH161">MAX((IF(MNU_CODIGO_ALIMENTO_ENTREGA=CONCATENATE($E161,"_","S_"),MNU_GRAMAJE_REQUERIDO_TIPOC,"")))</f>
        <v>80</v>
      </c>
      <c r="AI161" s="227">
        <f t="shared" si="101"/>
        <v>1055</v>
      </c>
      <c r="AJ161" s="227">
        <f t="shared" si="102"/>
        <v>0</v>
      </c>
      <c r="AK161" s="227">
        <f t="shared" si="103"/>
        <v>11605</v>
      </c>
      <c r="AL161" s="448">
        <f t="shared" si="104"/>
        <v>1025</v>
      </c>
      <c r="AM161" s="448">
        <f t="shared" si="105"/>
        <v>50.02</v>
      </c>
      <c r="AN161" s="448">
        <f t="shared" si="106"/>
        <v>0.88151640000000009</v>
      </c>
      <c r="AO161" s="448">
        <f t="shared" si="107"/>
        <v>1076</v>
      </c>
      <c r="AP161" s="448">
        <f t="shared" si="108"/>
        <v>11895125</v>
      </c>
      <c r="AQ161" s="228">
        <f t="shared" si="109"/>
        <v>12486980</v>
      </c>
      <c r="AR161" s="391">
        <f t="shared" si="110"/>
        <v>20969762</v>
      </c>
      <c r="AS161" s="391">
        <f t="shared" si="111"/>
        <v>22014641</v>
      </c>
    </row>
    <row r="162" spans="1:45" ht="27">
      <c r="A162" s="226">
        <v>19</v>
      </c>
      <c r="B162" s="226" t="str">
        <f t="shared" si="75"/>
        <v>CEREAL EMPACADO_19</v>
      </c>
      <c r="C162" s="333" t="str">
        <f t="shared" si="76"/>
        <v>21_19</v>
      </c>
      <c r="D162" s="392" t="s">
        <v>1607</v>
      </c>
      <c r="E162" s="226">
        <v>21</v>
      </c>
      <c r="F162" s="325" t="s">
        <v>70</v>
      </c>
      <c r="G162" s="226" t="s">
        <v>9</v>
      </c>
      <c r="H162" s="421">
        <f t="shared" si="77"/>
        <v>22</v>
      </c>
      <c r="I162" s="421">
        <f t="shared" si="78"/>
        <v>0</v>
      </c>
      <c r="J162" s="422">
        <f t="array" ref="J162">MAX((IF(MNU_CODIGO_ALIMENTO_ENTREGA=CONCATENATE($E162,"_","S_"),MNU_GRAMAJE_REQUERIDO_TIPOA,"")))</f>
        <v>30</v>
      </c>
      <c r="K162" s="227">
        <f t="shared" si="79"/>
        <v>396</v>
      </c>
      <c r="L162" s="227">
        <f t="shared" si="80"/>
        <v>0</v>
      </c>
      <c r="M162" s="227">
        <f t="shared" si="81"/>
        <v>8712</v>
      </c>
      <c r="N162" s="448">
        <f t="shared" si="82"/>
        <v>458</v>
      </c>
      <c r="O162" s="448">
        <f t="shared" si="83"/>
        <v>22.3504</v>
      </c>
      <c r="P162" s="448">
        <f t="shared" si="84"/>
        <v>0.39388732799999998</v>
      </c>
      <c r="Q162" s="448">
        <f t="shared" si="85"/>
        <v>481</v>
      </c>
      <c r="R162" s="228">
        <f t="shared" si="86"/>
        <v>3990096</v>
      </c>
      <c r="S162" s="228">
        <f t="shared" si="87"/>
        <v>4190472</v>
      </c>
      <c r="T162" s="423">
        <f t="shared" si="88"/>
        <v>22</v>
      </c>
      <c r="U162" s="423">
        <f t="shared" si="89"/>
        <v>0</v>
      </c>
      <c r="V162" s="424">
        <f t="array" ref="V162">MAX((IF(MNU_CODIGO_ALIMENTO_ENTREGA=CONCATENATE($E162,"_","S_"),MNU_GRAMAJE_REQUERIDO_TIPOB,"")))</f>
        <v>30</v>
      </c>
      <c r="W162" s="391">
        <f t="shared" si="90"/>
        <v>891</v>
      </c>
      <c r="X162" s="391">
        <f t="shared" si="91"/>
        <v>0</v>
      </c>
      <c r="Y162" s="391">
        <f t="shared" si="92"/>
        <v>19602</v>
      </c>
      <c r="Z162" s="448">
        <f t="shared" si="93"/>
        <v>458</v>
      </c>
      <c r="AA162" s="448">
        <f t="shared" si="94"/>
        <v>22.3504</v>
      </c>
      <c r="AB162" s="448">
        <f t="shared" si="95"/>
        <v>0.39388732799999998</v>
      </c>
      <c r="AC162" s="448">
        <f t="shared" si="96"/>
        <v>481</v>
      </c>
      <c r="AD162" s="229">
        <f t="shared" si="97"/>
        <v>8977716</v>
      </c>
      <c r="AE162" s="229">
        <f t="shared" si="98"/>
        <v>9428562</v>
      </c>
      <c r="AF162" s="421">
        <f t="shared" si="99"/>
        <v>22</v>
      </c>
      <c r="AG162" s="421">
        <f t="shared" si="100"/>
        <v>0</v>
      </c>
      <c r="AH162" s="422">
        <f t="array" ref="AH162">MAX((IF(MNU_CODIGO_ALIMENTO_ENTREGA=CONCATENATE($E162,"_","S_"),MNU_GRAMAJE_REQUERIDO_TIPOC,"")))</f>
        <v>50</v>
      </c>
      <c r="AI162" s="227">
        <f t="shared" si="101"/>
        <v>1055</v>
      </c>
      <c r="AJ162" s="227">
        <f t="shared" si="102"/>
        <v>0</v>
      </c>
      <c r="AK162" s="227">
        <f t="shared" si="103"/>
        <v>23210</v>
      </c>
      <c r="AL162" s="448">
        <f t="shared" si="104"/>
        <v>764</v>
      </c>
      <c r="AM162" s="448">
        <f t="shared" si="105"/>
        <v>37.283200000000001</v>
      </c>
      <c r="AN162" s="448">
        <f t="shared" si="106"/>
        <v>0.65705222400000007</v>
      </c>
      <c r="AO162" s="448">
        <f t="shared" si="107"/>
        <v>802</v>
      </c>
      <c r="AP162" s="448">
        <f t="shared" si="108"/>
        <v>17732440</v>
      </c>
      <c r="AQ162" s="228">
        <f t="shared" si="109"/>
        <v>18614420</v>
      </c>
      <c r="AR162" s="391">
        <f t="shared" si="110"/>
        <v>30700252</v>
      </c>
      <c r="AS162" s="391">
        <f t="shared" si="111"/>
        <v>32233454</v>
      </c>
    </row>
    <row r="163" spans="1:45" ht="15.75">
      <c r="A163" s="226">
        <v>19</v>
      </c>
      <c r="B163" s="226" t="str">
        <f t="shared" si="75"/>
        <v>CEREAL EMPACADO_19</v>
      </c>
      <c r="C163" s="333" t="str">
        <f t="shared" si="76"/>
        <v>24_19</v>
      </c>
      <c r="D163" s="392" t="s">
        <v>1607</v>
      </c>
      <c r="E163" s="226">
        <v>24</v>
      </c>
      <c r="F163" s="325" t="s">
        <v>61</v>
      </c>
      <c r="G163" s="226" t="s">
        <v>9</v>
      </c>
      <c r="H163" s="421">
        <f t="shared" si="77"/>
        <v>11</v>
      </c>
      <c r="I163" s="421">
        <f t="shared" si="78"/>
        <v>11</v>
      </c>
      <c r="J163" s="422">
        <f t="array" ref="J163">MAX((IF(MNU_CODIGO_ALIMENTO_ENTREGA=CONCATENATE($E163,"_","S_"),MNU_GRAMAJE_REQUERIDO_TIPOA,"")))</f>
        <v>20</v>
      </c>
      <c r="K163" s="227">
        <f t="shared" si="79"/>
        <v>396</v>
      </c>
      <c r="L163" s="227">
        <f t="shared" si="80"/>
        <v>0</v>
      </c>
      <c r="M163" s="227">
        <f t="shared" si="81"/>
        <v>4356</v>
      </c>
      <c r="N163" s="448">
        <f t="shared" si="82"/>
        <v>122</v>
      </c>
      <c r="O163" s="448">
        <f t="shared" si="83"/>
        <v>5.9535999999999998</v>
      </c>
      <c r="P163" s="448">
        <f t="shared" si="84"/>
        <v>0.104921952</v>
      </c>
      <c r="Q163" s="448">
        <f t="shared" si="85"/>
        <v>128</v>
      </c>
      <c r="R163" s="228">
        <f t="shared" si="86"/>
        <v>531432</v>
      </c>
      <c r="S163" s="228">
        <f t="shared" si="87"/>
        <v>557568</v>
      </c>
      <c r="T163" s="423">
        <f t="shared" si="88"/>
        <v>11</v>
      </c>
      <c r="U163" s="423">
        <f t="shared" si="89"/>
        <v>11</v>
      </c>
      <c r="V163" s="424">
        <f t="array" ref="V163">MAX((IF(MNU_CODIGO_ALIMENTO_ENTREGA=CONCATENATE($E163,"_","S_"),MNU_GRAMAJE_REQUERIDO_TIPOB,"")))</f>
        <v>30</v>
      </c>
      <c r="W163" s="391">
        <f t="shared" si="90"/>
        <v>891</v>
      </c>
      <c r="X163" s="391">
        <f t="shared" si="91"/>
        <v>0</v>
      </c>
      <c r="Y163" s="391">
        <f t="shared" si="92"/>
        <v>9801</v>
      </c>
      <c r="Z163" s="448">
        <f t="shared" si="93"/>
        <v>191</v>
      </c>
      <c r="AA163" s="448">
        <f t="shared" si="94"/>
        <v>9.3208000000000002</v>
      </c>
      <c r="AB163" s="448">
        <f t="shared" si="95"/>
        <v>0.16426305600000002</v>
      </c>
      <c r="AC163" s="448">
        <f t="shared" si="96"/>
        <v>200</v>
      </c>
      <c r="AD163" s="229">
        <f t="shared" si="97"/>
        <v>1871991</v>
      </c>
      <c r="AE163" s="229">
        <f t="shared" si="98"/>
        <v>1960200</v>
      </c>
      <c r="AF163" s="421">
        <f t="shared" si="99"/>
        <v>11</v>
      </c>
      <c r="AG163" s="421">
        <f t="shared" si="100"/>
        <v>11</v>
      </c>
      <c r="AH163" s="422">
        <f t="array" ref="AH163">MAX((IF(MNU_CODIGO_ALIMENTO_ENTREGA=CONCATENATE($E163,"_","S_"),MNU_GRAMAJE_REQUERIDO_TIPOC,"")))</f>
        <v>60</v>
      </c>
      <c r="AI163" s="227">
        <f t="shared" si="101"/>
        <v>1055</v>
      </c>
      <c r="AJ163" s="227">
        <f t="shared" si="102"/>
        <v>0</v>
      </c>
      <c r="AK163" s="227">
        <f t="shared" si="103"/>
        <v>11605</v>
      </c>
      <c r="AL163" s="448">
        <f t="shared" si="104"/>
        <v>367</v>
      </c>
      <c r="AM163" s="448">
        <f t="shared" si="105"/>
        <v>17.909599999999998</v>
      </c>
      <c r="AN163" s="448">
        <f t="shared" si="106"/>
        <v>0.31562587200000003</v>
      </c>
      <c r="AO163" s="448">
        <f t="shared" si="107"/>
        <v>385</v>
      </c>
      <c r="AP163" s="448">
        <f t="shared" si="108"/>
        <v>4259035</v>
      </c>
      <c r="AQ163" s="228">
        <f t="shared" si="109"/>
        <v>4467925</v>
      </c>
      <c r="AR163" s="391">
        <f t="shared" si="110"/>
        <v>6662458</v>
      </c>
      <c r="AS163" s="391">
        <f t="shared" si="111"/>
        <v>6985693</v>
      </c>
    </row>
    <row r="164" spans="1:45" ht="15.75">
      <c r="A164" s="226">
        <v>19</v>
      </c>
      <c r="B164" s="226" t="str">
        <f t="shared" ref="B164:B227" si="112">CONCATENATE(D164,"_",A164)</f>
        <v>CEREAL EMPACADO_19</v>
      </c>
      <c r="C164" s="333" t="str">
        <f t="shared" ref="C164:C227" si="113">CONCATENATE(E164,"_",A164)</f>
        <v>25_19</v>
      </c>
      <c r="D164" s="392" t="s">
        <v>1607</v>
      </c>
      <c r="E164" s="226">
        <v>25</v>
      </c>
      <c r="F164" s="325" t="s">
        <v>64</v>
      </c>
      <c r="G164" s="226" t="s">
        <v>9</v>
      </c>
      <c r="H164" s="421">
        <f t="shared" ref="H164:H227" si="114">SUMIF(MNU_CODIGO_ALIMENTO_ENTREGA,CONCATENATE($E164,"_","S_"),MNU_FRECUENCIAS_LAV_TIPOA)</f>
        <v>22</v>
      </c>
      <c r="I164" s="421">
        <f t="shared" ref="I164:I227" si="115">SUMIF(MNU_CODIGO_ALIMENTO_ENTREGA,CONCATENATE($E164,"_","S_"),MNU_FRECUENCIAS_FDS_TIPOA)</f>
        <v>0</v>
      </c>
      <c r="J164" s="422">
        <f t="array" ref="J164">MAX((IF(MNU_CODIGO_ALIMENTO_ENTREGA=CONCATENATE($E164,"_","S_"),MNU_GRAMAJE_REQUERIDO_TIPOA,"")))</f>
        <v>40</v>
      </c>
      <c r="K164" s="227">
        <f t="shared" ref="K164:K227" si="116">SUMIF(VOL_GRUPO,CONCATENATE($A164,"1052-2NO"),VOL_TIPOA)</f>
        <v>396</v>
      </c>
      <c r="L164" s="227">
        <f t="shared" ref="L164:L227" si="117">SUMIF(VOL_GRUPO,CONCATENATE($A164,"1052-2SI"),VOL_TIPOA)</f>
        <v>0</v>
      </c>
      <c r="M164" s="227">
        <f t="shared" ref="M164:M227" si="118">(H164*K164)+(I164*L164)</f>
        <v>8712</v>
      </c>
      <c r="N164" s="448">
        <f t="shared" ref="N164:N227" si="119">IF(ISERROR(AVERAGEIFS(MNU_COSTO_UNITARIO_TIPOA_SELECCIONADO,MNU_CODIGO_ALIMENTO_ENTREGA,CONCATENATE($E164,"_","S_"))),0,AVERAGEIFS(MNU_COSTO_UNITARIO_TIPOA_SELECCIONADO,MNU_CODIGO_ALIMENTO_ENTREGA,CONCATENATE($E164,"_","S_")))</f>
        <v>244</v>
      </c>
      <c r="O164" s="448">
        <f t="shared" ref="O164:O227" si="120">(N164*0.01)+(N164*0.005)+(N164*0.02)+(N164*(13.8/1000))</f>
        <v>11.9072</v>
      </c>
      <c r="P164" s="448">
        <f t="shared" ref="P164:P227" si="121">((N164+O164)*0.00071)+((N164+O164)*0.00011)</f>
        <v>0.209843904</v>
      </c>
      <c r="Q164" s="448">
        <f t="shared" ref="Q164:Q227" si="122">ROUND(N164+O164+P164,0)</f>
        <v>256</v>
      </c>
      <c r="R164" s="228">
        <f t="shared" ref="R164:R227" si="123">(H164*K164*N164)+(I164*L164*N164)</f>
        <v>2125728</v>
      </c>
      <c r="S164" s="228">
        <f t="shared" ref="S164:S227" si="124">(H164*K164*Q164)+(I164*L164*Q164)</f>
        <v>2230272</v>
      </c>
      <c r="T164" s="423">
        <f t="shared" ref="T164:T227" si="125">SUMIF(MNU_CODIGO_ALIMENTO_ENTREGA,CONCATENATE($E164,"_","S_"),MNU_FRECUENCIAS_LAV_TIPOB)</f>
        <v>22</v>
      </c>
      <c r="U164" s="423">
        <f t="shared" ref="U164:U227" si="126">SUMIF(MNU_CODIGO_ALIMENTO_ENTREGA,CONCATENATE($E164,"_","S_"),MNU_FRECUENCIAS_FDS_TIPOB)</f>
        <v>0</v>
      </c>
      <c r="V164" s="424">
        <f t="array" ref="V164">MAX((IF(MNU_CODIGO_ALIMENTO_ENTREGA=CONCATENATE($E164,"_","S_"),MNU_GRAMAJE_REQUERIDO_TIPOB,"")))</f>
        <v>40</v>
      </c>
      <c r="W164" s="391">
        <f t="shared" ref="W164:W227" si="127">SUMIF(VOL_GRUPO,CONCATENATE($A164,"1052-2NO"),VOL_TIPOB)</f>
        <v>891</v>
      </c>
      <c r="X164" s="391">
        <f t="shared" ref="X164:X227" si="128">SUMIF(VOL_GRUPO,CONCATENATE($A164,"1052-2SI"),VOL_TIPOB)</f>
        <v>0</v>
      </c>
      <c r="Y164" s="391">
        <f t="shared" ref="Y164:Y227" si="129">(T164*W164)+(U164*X164)</f>
        <v>19602</v>
      </c>
      <c r="Z164" s="448">
        <f t="shared" ref="Z164:Z227" si="130">IF(ISERROR(AVERAGEIFS(MNU_COSTO_UNITARIO_TIPOB_SELECCIONADO,MNU_CODIGO_ALIMENTO_ENTREGA,CONCATENATE($E164,"_","S_"))),0,AVERAGEIFS(MNU_COSTO_UNITARIO_TIPOB_SELECCIONADO,MNU_CODIGO_ALIMENTO_ENTREGA,CONCATENATE($E164,"_","S_")))</f>
        <v>244</v>
      </c>
      <c r="AA164" s="448">
        <f t="shared" ref="AA164:AA227" si="131">(Z164*0.01)+(Z164*0.005)+(Z164*0.02)+(Z164*(13.8/1000))</f>
        <v>11.9072</v>
      </c>
      <c r="AB164" s="448">
        <f t="shared" ref="AB164:AB227" si="132">((Z164+AA164)*0.00071)+((Z164+AA164)*0.00011)</f>
        <v>0.209843904</v>
      </c>
      <c r="AC164" s="448">
        <f t="shared" ref="AC164:AC227" si="133">ROUND(Z164+AA164+AB164,0)</f>
        <v>256</v>
      </c>
      <c r="AD164" s="229">
        <f t="shared" ref="AD164:AD227" si="134">(T164*W164*Z164)+(U164*X164*Z164)</f>
        <v>4782888</v>
      </c>
      <c r="AE164" s="229">
        <f t="shared" ref="AE164:AE227" si="135">(T164*W164*AC164)+(U164*X164*AC164)</f>
        <v>5018112</v>
      </c>
      <c r="AF164" s="421">
        <f t="shared" ref="AF164:AF227" si="136">SUMIF(MNU_CODIGO_ALIMENTO_ENTREGA,CONCATENATE($E164,"_","S_"),MNU_FRECUENCIAS_LAV_TIPOC)</f>
        <v>22</v>
      </c>
      <c r="AG164" s="421">
        <f t="shared" ref="AG164:AG227" si="137">SUMIF(MNU_CODIGO_ALIMENTO_ENTREGA,CONCATENATE($E164,"_","S_"),MNU_FRECUENCIAS_FDS_TIPOC)</f>
        <v>0</v>
      </c>
      <c r="AH164" s="422">
        <f t="array" ref="AH164">MAX((IF(MNU_CODIGO_ALIMENTO_ENTREGA=CONCATENATE($E164,"_","S_"),MNU_GRAMAJE_REQUERIDO_TIPOC,"")))</f>
        <v>60</v>
      </c>
      <c r="AI164" s="227">
        <f t="shared" ref="AI164:AI227" si="138">SUMIF(VOL_GRUPO,CONCATENATE($A164,"1052-2NO"),VOL_TIPOC)</f>
        <v>1055</v>
      </c>
      <c r="AJ164" s="227">
        <f t="shared" ref="AJ164:AJ227" si="139">SUMIF(VOL_GRUPO,CONCATENATE($A164,"1052-2SI"),VOL_TIPOC)</f>
        <v>0</v>
      </c>
      <c r="AK164" s="227">
        <f t="shared" ref="AK164:AK227" si="140">(AF164*AI164)+(AG164*AJ164)</f>
        <v>23210</v>
      </c>
      <c r="AL164" s="448">
        <f t="shared" ref="AL164:AL227" si="141">IF(ISERROR(AVERAGEIFS(MNU_COSTO_UNITARIO_TIPOC_SELECCIONADO,MNU_CODIGO_ALIMENTO_ENTREGA,CONCATENATE($E164,"_","S_"))),0,AVERAGEIFS(MNU_COSTO_UNITARIO_TIPOC_SELECCIONADO,MNU_CODIGO_ALIMENTO_ENTREGA,CONCATENATE($E164,"_","S_")))</f>
        <v>366</v>
      </c>
      <c r="AM164" s="448">
        <f t="shared" ref="AM164:AM227" si="142">(AL164*0.01)+(AL164*0.005)+(AL164*0.02)+(AL164*(13.8/1000))</f>
        <v>17.860800000000001</v>
      </c>
      <c r="AN164" s="448">
        <f t="shared" ref="AN164:AN227" si="143">((AL164+AM164)*0.00071)+((AL164+AM164)*0.00011)</f>
        <v>0.31476585600000001</v>
      </c>
      <c r="AO164" s="448">
        <f t="shared" ref="AO164:AO227" si="144">ROUND(AL164+AM164+AN164,0)</f>
        <v>384</v>
      </c>
      <c r="AP164" s="448">
        <f t="shared" ref="AP164:AP227" si="145">(AF164*AI164*AL164)+(AG164*AJ164*AL164)</f>
        <v>8494860</v>
      </c>
      <c r="AQ164" s="228">
        <f t="shared" ref="AQ164:AQ227" si="146">(AF164*AI164*AO164)+(AG164*AJ164*AO164)</f>
        <v>8912640</v>
      </c>
      <c r="AR164" s="391">
        <f t="shared" ref="AR164:AR227" si="147">R164+AD164+AP164</f>
        <v>15403476</v>
      </c>
      <c r="AS164" s="391">
        <f t="shared" ref="AS164:AS227" si="148">S164+AE164+AQ164</f>
        <v>16161024</v>
      </c>
    </row>
    <row r="165" spans="1:45" ht="27">
      <c r="A165" s="226">
        <v>19</v>
      </c>
      <c r="B165" s="226" t="str">
        <f t="shared" si="112"/>
        <v>CEREAL EMPACADO_19</v>
      </c>
      <c r="C165" s="333" t="str">
        <f t="shared" si="113"/>
        <v>28_19</v>
      </c>
      <c r="D165" s="392" t="s">
        <v>1607</v>
      </c>
      <c r="E165" s="226">
        <v>28</v>
      </c>
      <c r="F165" s="325" t="s">
        <v>67</v>
      </c>
      <c r="G165" s="226" t="s">
        <v>9</v>
      </c>
      <c r="H165" s="421">
        <f t="shared" si="114"/>
        <v>19</v>
      </c>
      <c r="I165" s="421">
        <f t="shared" si="115"/>
        <v>0</v>
      </c>
      <c r="J165" s="422">
        <f t="array" ref="J165">MAX((IF(MNU_CODIGO_ALIMENTO_ENTREGA=CONCATENATE($E165,"_","S_"),MNU_GRAMAJE_REQUERIDO_TIPOA,"")))</f>
        <v>30</v>
      </c>
      <c r="K165" s="227">
        <f t="shared" si="116"/>
        <v>396</v>
      </c>
      <c r="L165" s="227">
        <f t="shared" si="117"/>
        <v>0</v>
      </c>
      <c r="M165" s="227">
        <f t="shared" si="118"/>
        <v>7524</v>
      </c>
      <c r="N165" s="448">
        <f t="shared" si="119"/>
        <v>215</v>
      </c>
      <c r="O165" s="448">
        <f t="shared" si="120"/>
        <v>10.492000000000001</v>
      </c>
      <c r="P165" s="448">
        <f t="shared" si="121"/>
        <v>0.18490343999999997</v>
      </c>
      <c r="Q165" s="448">
        <f t="shared" si="122"/>
        <v>226</v>
      </c>
      <c r="R165" s="228">
        <f t="shared" si="123"/>
        <v>1617660</v>
      </c>
      <c r="S165" s="228">
        <f t="shared" si="124"/>
        <v>1700424</v>
      </c>
      <c r="T165" s="423">
        <f t="shared" si="125"/>
        <v>19</v>
      </c>
      <c r="U165" s="423">
        <f t="shared" si="126"/>
        <v>0</v>
      </c>
      <c r="V165" s="424">
        <f t="array" ref="V165">MAX((IF(MNU_CODIGO_ALIMENTO_ENTREGA=CONCATENATE($E165,"_","S_"),MNU_GRAMAJE_REQUERIDO_TIPOB,"")))</f>
        <v>40</v>
      </c>
      <c r="W165" s="391">
        <f t="shared" si="127"/>
        <v>891</v>
      </c>
      <c r="X165" s="391">
        <f t="shared" si="128"/>
        <v>0</v>
      </c>
      <c r="Y165" s="391">
        <f t="shared" si="129"/>
        <v>16929</v>
      </c>
      <c r="Z165" s="448">
        <f t="shared" si="130"/>
        <v>287</v>
      </c>
      <c r="AA165" s="448">
        <f t="shared" si="131"/>
        <v>14.005600000000001</v>
      </c>
      <c r="AB165" s="448">
        <f t="shared" si="132"/>
        <v>0.24682459200000004</v>
      </c>
      <c r="AC165" s="448">
        <f t="shared" si="133"/>
        <v>301</v>
      </c>
      <c r="AD165" s="229">
        <f t="shared" si="134"/>
        <v>4858623</v>
      </c>
      <c r="AE165" s="229">
        <f t="shared" si="135"/>
        <v>5095629</v>
      </c>
      <c r="AF165" s="421">
        <f t="shared" si="136"/>
        <v>19</v>
      </c>
      <c r="AG165" s="421">
        <f t="shared" si="137"/>
        <v>0</v>
      </c>
      <c r="AH165" s="422">
        <f t="array" ref="AH165">MAX((IF(MNU_CODIGO_ALIMENTO_ENTREGA=CONCATENATE($E165,"_","S_"),MNU_GRAMAJE_REQUERIDO_TIPOC,"")))</f>
        <v>60</v>
      </c>
      <c r="AI165" s="227">
        <f t="shared" si="138"/>
        <v>1055</v>
      </c>
      <c r="AJ165" s="227">
        <f t="shared" si="139"/>
        <v>0</v>
      </c>
      <c r="AK165" s="227">
        <f t="shared" si="140"/>
        <v>20045</v>
      </c>
      <c r="AL165" s="448">
        <f t="shared" si="141"/>
        <v>430</v>
      </c>
      <c r="AM165" s="448">
        <f t="shared" si="142"/>
        <v>20.984000000000002</v>
      </c>
      <c r="AN165" s="448">
        <f t="shared" si="143"/>
        <v>0.36980687999999995</v>
      </c>
      <c r="AO165" s="448">
        <f t="shared" si="144"/>
        <v>451</v>
      </c>
      <c r="AP165" s="448">
        <f t="shared" si="145"/>
        <v>8619350</v>
      </c>
      <c r="AQ165" s="228">
        <f t="shared" si="146"/>
        <v>9040295</v>
      </c>
      <c r="AR165" s="391">
        <f t="shared" si="147"/>
        <v>15095633</v>
      </c>
      <c r="AS165" s="391">
        <f t="shared" si="148"/>
        <v>15836348</v>
      </c>
    </row>
    <row r="166" spans="1:45" ht="15.75">
      <c r="A166" s="226">
        <v>19</v>
      </c>
      <c r="B166" s="226" t="str">
        <f t="shared" si="112"/>
        <v>CEREAL EMPACADO_19</v>
      </c>
      <c r="C166" s="333" t="str">
        <f t="shared" si="113"/>
        <v>45_19</v>
      </c>
      <c r="D166" s="392" t="s">
        <v>1607</v>
      </c>
      <c r="E166" s="226">
        <v>45</v>
      </c>
      <c r="F166" s="325" t="s">
        <v>10</v>
      </c>
      <c r="G166" s="226" t="s">
        <v>9</v>
      </c>
      <c r="H166" s="421">
        <f t="shared" si="114"/>
        <v>20</v>
      </c>
      <c r="I166" s="421">
        <f t="shared" si="115"/>
        <v>0</v>
      </c>
      <c r="J166" s="422">
        <f t="array" ref="J166">MAX((IF(MNU_CODIGO_ALIMENTO_ENTREGA=CONCATENATE($E166,"_","S_"),MNU_GRAMAJE_REQUERIDO_TIPOA,"")))</f>
        <v>20</v>
      </c>
      <c r="K166" s="227">
        <f t="shared" si="116"/>
        <v>396</v>
      </c>
      <c r="L166" s="227">
        <f t="shared" si="117"/>
        <v>0</v>
      </c>
      <c r="M166" s="227">
        <f t="shared" si="118"/>
        <v>7920</v>
      </c>
      <c r="N166" s="448">
        <f t="shared" si="119"/>
        <v>190</v>
      </c>
      <c r="O166" s="448">
        <f t="shared" si="120"/>
        <v>9.2720000000000002</v>
      </c>
      <c r="P166" s="448">
        <f t="shared" si="121"/>
        <v>0.16340304</v>
      </c>
      <c r="Q166" s="448">
        <f t="shared" si="122"/>
        <v>199</v>
      </c>
      <c r="R166" s="228">
        <f t="shared" si="123"/>
        <v>1504800</v>
      </c>
      <c r="S166" s="228">
        <f t="shared" si="124"/>
        <v>1576080</v>
      </c>
      <c r="T166" s="423">
        <f t="shared" si="125"/>
        <v>20</v>
      </c>
      <c r="U166" s="423">
        <f t="shared" si="126"/>
        <v>0</v>
      </c>
      <c r="V166" s="424">
        <f t="array" ref="V166">MAX((IF(MNU_CODIGO_ALIMENTO_ENTREGA=CONCATENATE($E166,"_","S_"),MNU_GRAMAJE_REQUERIDO_TIPOB,"")))</f>
        <v>30</v>
      </c>
      <c r="W166" s="391">
        <f t="shared" si="127"/>
        <v>891</v>
      </c>
      <c r="X166" s="391">
        <f t="shared" si="128"/>
        <v>0</v>
      </c>
      <c r="Y166" s="391">
        <f t="shared" si="129"/>
        <v>17820</v>
      </c>
      <c r="Z166" s="448">
        <f t="shared" si="130"/>
        <v>284</v>
      </c>
      <c r="AA166" s="448">
        <f t="shared" si="131"/>
        <v>13.8592</v>
      </c>
      <c r="AB166" s="448">
        <f t="shared" si="132"/>
        <v>0.24424454399999998</v>
      </c>
      <c r="AC166" s="448">
        <f t="shared" si="133"/>
        <v>298</v>
      </c>
      <c r="AD166" s="229">
        <f t="shared" si="134"/>
        <v>5060880</v>
      </c>
      <c r="AE166" s="229">
        <f t="shared" si="135"/>
        <v>5310360</v>
      </c>
      <c r="AF166" s="421">
        <f t="shared" si="136"/>
        <v>20</v>
      </c>
      <c r="AG166" s="421">
        <f t="shared" si="137"/>
        <v>0</v>
      </c>
      <c r="AH166" s="422">
        <f t="array" ref="AH166">MAX((IF(MNU_CODIGO_ALIMENTO_ENTREGA=CONCATENATE($E166,"_","S_"),MNU_GRAMAJE_REQUERIDO_TIPOC,"")))</f>
        <v>60</v>
      </c>
      <c r="AI166" s="227">
        <f t="shared" si="138"/>
        <v>1055</v>
      </c>
      <c r="AJ166" s="227">
        <f t="shared" si="139"/>
        <v>0</v>
      </c>
      <c r="AK166" s="227">
        <f t="shared" si="140"/>
        <v>21100</v>
      </c>
      <c r="AL166" s="448">
        <f t="shared" si="141"/>
        <v>569</v>
      </c>
      <c r="AM166" s="448">
        <f t="shared" si="142"/>
        <v>27.767199999999999</v>
      </c>
      <c r="AN166" s="448">
        <f t="shared" si="143"/>
        <v>0.48934910400000003</v>
      </c>
      <c r="AO166" s="448">
        <f t="shared" si="144"/>
        <v>597</v>
      </c>
      <c r="AP166" s="448">
        <f t="shared" si="145"/>
        <v>12005900</v>
      </c>
      <c r="AQ166" s="228">
        <f t="shared" si="146"/>
        <v>12596700</v>
      </c>
      <c r="AR166" s="391">
        <f t="shared" si="147"/>
        <v>18571580</v>
      </c>
      <c r="AS166" s="391">
        <f t="shared" si="148"/>
        <v>19483140</v>
      </c>
    </row>
    <row r="167" spans="1:45" ht="15.75">
      <c r="A167" s="226">
        <v>19</v>
      </c>
      <c r="B167" s="226" t="str">
        <f t="shared" si="112"/>
        <v>CEREAL EMPACADO_19</v>
      </c>
      <c r="C167" s="333" t="str">
        <f t="shared" si="113"/>
        <v>61_19</v>
      </c>
      <c r="D167" s="392" t="s">
        <v>1607</v>
      </c>
      <c r="E167" s="226">
        <v>61</v>
      </c>
      <c r="F167" s="325" t="s">
        <v>13</v>
      </c>
      <c r="G167" s="226" t="s">
        <v>9</v>
      </c>
      <c r="H167" s="421">
        <f t="shared" si="114"/>
        <v>20</v>
      </c>
      <c r="I167" s="421">
        <f t="shared" si="115"/>
        <v>0</v>
      </c>
      <c r="J167" s="422">
        <f t="array" ref="J167">MAX((IF(MNU_CODIGO_ALIMENTO_ENTREGA=CONCATENATE($E167,"_","S_"),MNU_GRAMAJE_REQUERIDO_TIPOA,"")))</f>
        <v>20</v>
      </c>
      <c r="K167" s="227">
        <f t="shared" si="116"/>
        <v>396</v>
      </c>
      <c r="L167" s="227">
        <f t="shared" si="117"/>
        <v>0</v>
      </c>
      <c r="M167" s="227">
        <f t="shared" si="118"/>
        <v>7920</v>
      </c>
      <c r="N167" s="448">
        <f t="shared" si="119"/>
        <v>222</v>
      </c>
      <c r="O167" s="448">
        <f t="shared" si="120"/>
        <v>10.833600000000001</v>
      </c>
      <c r="P167" s="448">
        <f t="shared" si="121"/>
        <v>0.190923552</v>
      </c>
      <c r="Q167" s="448">
        <f t="shared" si="122"/>
        <v>233</v>
      </c>
      <c r="R167" s="228">
        <f t="shared" si="123"/>
        <v>1758240</v>
      </c>
      <c r="S167" s="228">
        <f t="shared" si="124"/>
        <v>1845360</v>
      </c>
      <c r="T167" s="423">
        <f t="shared" si="125"/>
        <v>20</v>
      </c>
      <c r="U167" s="423">
        <f t="shared" si="126"/>
        <v>0</v>
      </c>
      <c r="V167" s="424">
        <f t="array" ref="V167">MAX((IF(MNU_CODIGO_ALIMENTO_ENTREGA=CONCATENATE($E167,"_","S_"),MNU_GRAMAJE_REQUERIDO_TIPOB,"")))</f>
        <v>30</v>
      </c>
      <c r="W167" s="391">
        <f t="shared" si="127"/>
        <v>891</v>
      </c>
      <c r="X167" s="391">
        <f t="shared" si="128"/>
        <v>0</v>
      </c>
      <c r="Y167" s="391">
        <f t="shared" si="129"/>
        <v>17820</v>
      </c>
      <c r="Z167" s="448">
        <f t="shared" si="130"/>
        <v>334</v>
      </c>
      <c r="AA167" s="448">
        <f t="shared" si="131"/>
        <v>16.299199999999999</v>
      </c>
      <c r="AB167" s="448">
        <f t="shared" si="132"/>
        <v>0.28724534400000001</v>
      </c>
      <c r="AC167" s="448">
        <f t="shared" si="133"/>
        <v>351</v>
      </c>
      <c r="AD167" s="229">
        <f t="shared" si="134"/>
        <v>5951880</v>
      </c>
      <c r="AE167" s="229">
        <f t="shared" si="135"/>
        <v>6254820</v>
      </c>
      <c r="AF167" s="421">
        <f t="shared" si="136"/>
        <v>20</v>
      </c>
      <c r="AG167" s="421">
        <f t="shared" si="137"/>
        <v>0</v>
      </c>
      <c r="AH167" s="422">
        <f t="array" ref="AH167">MAX((IF(MNU_CODIGO_ALIMENTO_ENTREGA=CONCATENATE($E167,"_","S_"),MNU_GRAMAJE_REQUERIDO_TIPOC,"")))</f>
        <v>70</v>
      </c>
      <c r="AI167" s="227">
        <f t="shared" si="138"/>
        <v>1055</v>
      </c>
      <c r="AJ167" s="227">
        <f t="shared" si="139"/>
        <v>0</v>
      </c>
      <c r="AK167" s="227">
        <f t="shared" si="140"/>
        <v>21100</v>
      </c>
      <c r="AL167" s="448">
        <f t="shared" si="141"/>
        <v>779</v>
      </c>
      <c r="AM167" s="448">
        <f t="shared" si="142"/>
        <v>38.0152</v>
      </c>
      <c r="AN167" s="448">
        <f t="shared" si="143"/>
        <v>0.66995246400000008</v>
      </c>
      <c r="AO167" s="448">
        <f t="shared" si="144"/>
        <v>818</v>
      </c>
      <c r="AP167" s="448">
        <f t="shared" si="145"/>
        <v>16436900</v>
      </c>
      <c r="AQ167" s="228">
        <f t="shared" si="146"/>
        <v>17259800</v>
      </c>
      <c r="AR167" s="391">
        <f t="shared" si="147"/>
        <v>24147020</v>
      </c>
      <c r="AS167" s="391">
        <f t="shared" si="148"/>
        <v>25359980</v>
      </c>
    </row>
    <row r="168" spans="1:45" ht="15.75">
      <c r="A168" s="226">
        <v>20</v>
      </c>
      <c r="B168" s="226" t="str">
        <f t="shared" si="112"/>
        <v>CEREAL EMPACADO_20</v>
      </c>
      <c r="C168" s="333" t="str">
        <f t="shared" si="113"/>
        <v>3_20</v>
      </c>
      <c r="D168" s="392" t="s">
        <v>1607</v>
      </c>
      <c r="E168" s="226">
        <v>3</v>
      </c>
      <c r="F168" s="325" t="s">
        <v>12</v>
      </c>
      <c r="G168" s="226" t="s">
        <v>9</v>
      </c>
      <c r="H168" s="421">
        <f t="shared" si="114"/>
        <v>19</v>
      </c>
      <c r="I168" s="421">
        <f t="shared" si="115"/>
        <v>0</v>
      </c>
      <c r="J168" s="422">
        <f t="array" ref="J168">MAX((IF(MNU_CODIGO_ALIMENTO_ENTREGA=CONCATENATE($E168,"_","S_"),MNU_GRAMAJE_REQUERIDO_TIPOA,"")))</f>
        <v>50</v>
      </c>
      <c r="K168" s="227">
        <f t="shared" si="116"/>
        <v>1304</v>
      </c>
      <c r="L168" s="227">
        <f t="shared" si="117"/>
        <v>0</v>
      </c>
      <c r="M168" s="227">
        <f t="shared" si="118"/>
        <v>24776</v>
      </c>
      <c r="N168" s="448">
        <f t="shared" si="119"/>
        <v>481</v>
      </c>
      <c r="O168" s="448">
        <f t="shared" si="120"/>
        <v>23.472799999999999</v>
      </c>
      <c r="P168" s="448">
        <f t="shared" si="121"/>
        <v>0.41366769599999997</v>
      </c>
      <c r="Q168" s="448">
        <f t="shared" si="122"/>
        <v>505</v>
      </c>
      <c r="R168" s="228">
        <f t="shared" si="123"/>
        <v>11917256</v>
      </c>
      <c r="S168" s="228">
        <f t="shared" si="124"/>
        <v>12511880</v>
      </c>
      <c r="T168" s="423">
        <f t="shared" si="125"/>
        <v>19</v>
      </c>
      <c r="U168" s="423">
        <f t="shared" si="126"/>
        <v>0</v>
      </c>
      <c r="V168" s="424">
        <f t="array" ref="V168">MAX((IF(MNU_CODIGO_ALIMENTO_ENTREGA=CONCATENATE($E168,"_","S_"),MNU_GRAMAJE_REQUERIDO_TIPOB,"")))</f>
        <v>50</v>
      </c>
      <c r="W168" s="391">
        <f t="shared" si="127"/>
        <v>575</v>
      </c>
      <c r="X168" s="391">
        <f t="shared" si="128"/>
        <v>0</v>
      </c>
      <c r="Y168" s="391">
        <f t="shared" si="129"/>
        <v>10925</v>
      </c>
      <c r="Z168" s="448">
        <f t="shared" si="130"/>
        <v>481</v>
      </c>
      <c r="AA168" s="448">
        <f t="shared" si="131"/>
        <v>23.472799999999999</v>
      </c>
      <c r="AB168" s="448">
        <f t="shared" si="132"/>
        <v>0.41366769599999997</v>
      </c>
      <c r="AC168" s="448">
        <f t="shared" si="133"/>
        <v>505</v>
      </c>
      <c r="AD168" s="229">
        <f t="shared" si="134"/>
        <v>5254925</v>
      </c>
      <c r="AE168" s="229">
        <f t="shared" si="135"/>
        <v>5517125</v>
      </c>
      <c r="AF168" s="421">
        <f t="shared" si="136"/>
        <v>19</v>
      </c>
      <c r="AG168" s="421">
        <f t="shared" si="137"/>
        <v>0</v>
      </c>
      <c r="AH168" s="422">
        <f t="array" ref="AH168">MAX((IF(MNU_CODIGO_ALIMENTO_ENTREGA=CONCATENATE($E168,"_","S_"),MNU_GRAMAJE_REQUERIDO_TIPOC,"")))</f>
        <v>80</v>
      </c>
      <c r="AI168" s="227">
        <f t="shared" si="138"/>
        <v>868</v>
      </c>
      <c r="AJ168" s="227">
        <f t="shared" si="139"/>
        <v>0</v>
      </c>
      <c r="AK168" s="227">
        <f t="shared" si="140"/>
        <v>16492</v>
      </c>
      <c r="AL168" s="448">
        <f t="shared" si="141"/>
        <v>727</v>
      </c>
      <c r="AM168" s="448">
        <f t="shared" si="142"/>
        <v>35.477600000000002</v>
      </c>
      <c r="AN168" s="448">
        <f t="shared" si="143"/>
        <v>0.62523163200000009</v>
      </c>
      <c r="AO168" s="448">
        <f t="shared" si="144"/>
        <v>763</v>
      </c>
      <c r="AP168" s="448">
        <f t="shared" si="145"/>
        <v>11989684</v>
      </c>
      <c r="AQ168" s="228">
        <f t="shared" si="146"/>
        <v>12583396</v>
      </c>
      <c r="AR168" s="391">
        <f t="shared" si="147"/>
        <v>29161865</v>
      </c>
      <c r="AS168" s="391">
        <f t="shared" si="148"/>
        <v>30612401</v>
      </c>
    </row>
    <row r="169" spans="1:45" ht="15.75">
      <c r="A169" s="226">
        <v>20</v>
      </c>
      <c r="B169" s="226" t="str">
        <f t="shared" si="112"/>
        <v>CEREAL EMPACADO_20</v>
      </c>
      <c r="C169" s="333" t="str">
        <f t="shared" si="113"/>
        <v>15_20</v>
      </c>
      <c r="D169" s="392" t="s">
        <v>1607</v>
      </c>
      <c r="E169" s="226">
        <v>15</v>
      </c>
      <c r="F169" s="325" t="s">
        <v>66</v>
      </c>
      <c r="G169" s="226" t="s">
        <v>9</v>
      </c>
      <c r="H169" s="421">
        <f t="shared" si="114"/>
        <v>11</v>
      </c>
      <c r="I169" s="421">
        <f t="shared" si="115"/>
        <v>11</v>
      </c>
      <c r="J169" s="422">
        <f t="array" ref="J169">MAX((IF(MNU_CODIGO_ALIMENTO_ENTREGA=CONCATENATE($E169,"_","S_"),MNU_GRAMAJE_REQUERIDO_TIPOA,"")))</f>
        <v>50</v>
      </c>
      <c r="K169" s="227">
        <f t="shared" si="116"/>
        <v>1304</v>
      </c>
      <c r="L169" s="227">
        <f t="shared" si="117"/>
        <v>0</v>
      </c>
      <c r="M169" s="227">
        <f t="shared" si="118"/>
        <v>14344</v>
      </c>
      <c r="N169" s="448">
        <f t="shared" si="119"/>
        <v>641</v>
      </c>
      <c r="O169" s="448">
        <f t="shared" si="120"/>
        <v>31.280800000000003</v>
      </c>
      <c r="P169" s="448">
        <f t="shared" si="121"/>
        <v>0.55127025600000001</v>
      </c>
      <c r="Q169" s="448">
        <f t="shared" si="122"/>
        <v>673</v>
      </c>
      <c r="R169" s="228">
        <f t="shared" si="123"/>
        <v>9194504</v>
      </c>
      <c r="S169" s="228">
        <f t="shared" si="124"/>
        <v>9653512</v>
      </c>
      <c r="T169" s="423">
        <f t="shared" si="125"/>
        <v>11</v>
      </c>
      <c r="U169" s="423">
        <f t="shared" si="126"/>
        <v>11</v>
      </c>
      <c r="V169" s="424">
        <f t="array" ref="V169">MAX((IF(MNU_CODIGO_ALIMENTO_ENTREGA=CONCATENATE($E169,"_","S_"),MNU_GRAMAJE_REQUERIDO_TIPOB,"")))</f>
        <v>50</v>
      </c>
      <c r="W169" s="391">
        <f t="shared" si="127"/>
        <v>575</v>
      </c>
      <c r="X169" s="391">
        <f t="shared" si="128"/>
        <v>0</v>
      </c>
      <c r="Y169" s="391">
        <f t="shared" si="129"/>
        <v>6325</v>
      </c>
      <c r="Z169" s="448">
        <f t="shared" si="130"/>
        <v>641</v>
      </c>
      <c r="AA169" s="448">
        <f t="shared" si="131"/>
        <v>31.280800000000003</v>
      </c>
      <c r="AB169" s="448">
        <f t="shared" si="132"/>
        <v>0.55127025600000001</v>
      </c>
      <c r="AC169" s="448">
        <f t="shared" si="133"/>
        <v>673</v>
      </c>
      <c r="AD169" s="229">
        <f t="shared" si="134"/>
        <v>4054325</v>
      </c>
      <c r="AE169" s="229">
        <f t="shared" si="135"/>
        <v>4256725</v>
      </c>
      <c r="AF169" s="421">
        <f t="shared" si="136"/>
        <v>11</v>
      </c>
      <c r="AG169" s="421">
        <f t="shared" si="137"/>
        <v>11</v>
      </c>
      <c r="AH169" s="422">
        <f t="array" ref="AH169">MAX((IF(MNU_CODIGO_ALIMENTO_ENTREGA=CONCATENATE($E169,"_","S_"),MNU_GRAMAJE_REQUERIDO_TIPOC,"")))</f>
        <v>80</v>
      </c>
      <c r="AI169" s="227">
        <f t="shared" si="138"/>
        <v>868</v>
      </c>
      <c r="AJ169" s="227">
        <f t="shared" si="139"/>
        <v>0</v>
      </c>
      <c r="AK169" s="227">
        <f t="shared" si="140"/>
        <v>9548</v>
      </c>
      <c r="AL169" s="448">
        <f t="shared" si="141"/>
        <v>1025</v>
      </c>
      <c r="AM169" s="448">
        <f t="shared" si="142"/>
        <v>50.02</v>
      </c>
      <c r="AN169" s="448">
        <f t="shared" si="143"/>
        <v>0.88151640000000009</v>
      </c>
      <c r="AO169" s="448">
        <f t="shared" si="144"/>
        <v>1076</v>
      </c>
      <c r="AP169" s="448">
        <f t="shared" si="145"/>
        <v>9786700</v>
      </c>
      <c r="AQ169" s="228">
        <f t="shared" si="146"/>
        <v>10273648</v>
      </c>
      <c r="AR169" s="391">
        <f t="shared" si="147"/>
        <v>23035529</v>
      </c>
      <c r="AS169" s="391">
        <f t="shared" si="148"/>
        <v>24183885</v>
      </c>
    </row>
    <row r="170" spans="1:45" ht="27">
      <c r="A170" s="226">
        <v>20</v>
      </c>
      <c r="B170" s="226" t="str">
        <f t="shared" si="112"/>
        <v>CEREAL EMPACADO_20</v>
      </c>
      <c r="C170" s="333" t="str">
        <f t="shared" si="113"/>
        <v>21_20</v>
      </c>
      <c r="D170" s="392" t="s">
        <v>1607</v>
      </c>
      <c r="E170" s="226">
        <v>21</v>
      </c>
      <c r="F170" s="325" t="s">
        <v>70</v>
      </c>
      <c r="G170" s="226" t="s">
        <v>9</v>
      </c>
      <c r="H170" s="421">
        <f t="shared" si="114"/>
        <v>22</v>
      </c>
      <c r="I170" s="421">
        <f t="shared" si="115"/>
        <v>0</v>
      </c>
      <c r="J170" s="422">
        <f t="array" ref="J170">MAX((IF(MNU_CODIGO_ALIMENTO_ENTREGA=CONCATENATE($E170,"_","S_"),MNU_GRAMAJE_REQUERIDO_TIPOA,"")))</f>
        <v>30</v>
      </c>
      <c r="K170" s="227">
        <f t="shared" si="116"/>
        <v>1304</v>
      </c>
      <c r="L170" s="227">
        <f t="shared" si="117"/>
        <v>0</v>
      </c>
      <c r="M170" s="227">
        <f t="shared" si="118"/>
        <v>28688</v>
      </c>
      <c r="N170" s="448">
        <f t="shared" si="119"/>
        <v>458</v>
      </c>
      <c r="O170" s="448">
        <f t="shared" si="120"/>
        <v>22.3504</v>
      </c>
      <c r="P170" s="448">
        <f t="shared" si="121"/>
        <v>0.39388732799999998</v>
      </c>
      <c r="Q170" s="448">
        <f t="shared" si="122"/>
        <v>481</v>
      </c>
      <c r="R170" s="228">
        <f t="shared" si="123"/>
        <v>13139104</v>
      </c>
      <c r="S170" s="228">
        <f t="shared" si="124"/>
        <v>13798928</v>
      </c>
      <c r="T170" s="423">
        <f t="shared" si="125"/>
        <v>22</v>
      </c>
      <c r="U170" s="423">
        <f t="shared" si="126"/>
        <v>0</v>
      </c>
      <c r="V170" s="424">
        <f t="array" ref="V170">MAX((IF(MNU_CODIGO_ALIMENTO_ENTREGA=CONCATENATE($E170,"_","S_"),MNU_GRAMAJE_REQUERIDO_TIPOB,"")))</f>
        <v>30</v>
      </c>
      <c r="W170" s="391">
        <f t="shared" si="127"/>
        <v>575</v>
      </c>
      <c r="X170" s="391">
        <f t="shared" si="128"/>
        <v>0</v>
      </c>
      <c r="Y170" s="391">
        <f t="shared" si="129"/>
        <v>12650</v>
      </c>
      <c r="Z170" s="448">
        <f t="shared" si="130"/>
        <v>458</v>
      </c>
      <c r="AA170" s="448">
        <f t="shared" si="131"/>
        <v>22.3504</v>
      </c>
      <c r="AB170" s="448">
        <f t="shared" si="132"/>
        <v>0.39388732799999998</v>
      </c>
      <c r="AC170" s="448">
        <f t="shared" si="133"/>
        <v>481</v>
      </c>
      <c r="AD170" s="229">
        <f t="shared" si="134"/>
        <v>5793700</v>
      </c>
      <c r="AE170" s="229">
        <f t="shared" si="135"/>
        <v>6084650</v>
      </c>
      <c r="AF170" s="421">
        <f t="shared" si="136"/>
        <v>22</v>
      </c>
      <c r="AG170" s="421">
        <f t="shared" si="137"/>
        <v>0</v>
      </c>
      <c r="AH170" s="422">
        <f t="array" ref="AH170">MAX((IF(MNU_CODIGO_ALIMENTO_ENTREGA=CONCATENATE($E170,"_","S_"),MNU_GRAMAJE_REQUERIDO_TIPOC,"")))</f>
        <v>50</v>
      </c>
      <c r="AI170" s="227">
        <f t="shared" si="138"/>
        <v>868</v>
      </c>
      <c r="AJ170" s="227">
        <f t="shared" si="139"/>
        <v>0</v>
      </c>
      <c r="AK170" s="227">
        <f t="shared" si="140"/>
        <v>19096</v>
      </c>
      <c r="AL170" s="448">
        <f t="shared" si="141"/>
        <v>764</v>
      </c>
      <c r="AM170" s="448">
        <f t="shared" si="142"/>
        <v>37.283200000000001</v>
      </c>
      <c r="AN170" s="448">
        <f t="shared" si="143"/>
        <v>0.65705222400000007</v>
      </c>
      <c r="AO170" s="448">
        <f t="shared" si="144"/>
        <v>802</v>
      </c>
      <c r="AP170" s="448">
        <f t="shared" si="145"/>
        <v>14589344</v>
      </c>
      <c r="AQ170" s="228">
        <f t="shared" si="146"/>
        <v>15314992</v>
      </c>
      <c r="AR170" s="391">
        <f t="shared" si="147"/>
        <v>33522148</v>
      </c>
      <c r="AS170" s="391">
        <f t="shared" si="148"/>
        <v>35198570</v>
      </c>
    </row>
    <row r="171" spans="1:45" ht="15.75">
      <c r="A171" s="226">
        <v>20</v>
      </c>
      <c r="B171" s="226" t="str">
        <f t="shared" si="112"/>
        <v>CEREAL EMPACADO_20</v>
      </c>
      <c r="C171" s="333" t="str">
        <f t="shared" si="113"/>
        <v>24_20</v>
      </c>
      <c r="D171" s="392" t="s">
        <v>1607</v>
      </c>
      <c r="E171" s="256">
        <v>24</v>
      </c>
      <c r="F171" s="322" t="s">
        <v>61</v>
      </c>
      <c r="G171" s="226" t="s">
        <v>9</v>
      </c>
      <c r="H171" s="421">
        <f t="shared" si="114"/>
        <v>11</v>
      </c>
      <c r="I171" s="421">
        <f t="shared" si="115"/>
        <v>11</v>
      </c>
      <c r="J171" s="422">
        <f t="array" ref="J171">MAX((IF(MNU_CODIGO_ALIMENTO_ENTREGA=CONCATENATE($E171,"_","S_"),MNU_GRAMAJE_REQUERIDO_TIPOA,"")))</f>
        <v>20</v>
      </c>
      <c r="K171" s="227">
        <f t="shared" si="116"/>
        <v>1304</v>
      </c>
      <c r="L171" s="227">
        <f t="shared" si="117"/>
        <v>0</v>
      </c>
      <c r="M171" s="227">
        <f t="shared" si="118"/>
        <v>14344</v>
      </c>
      <c r="N171" s="448">
        <f t="shared" si="119"/>
        <v>122</v>
      </c>
      <c r="O171" s="448">
        <f t="shared" si="120"/>
        <v>5.9535999999999998</v>
      </c>
      <c r="P171" s="448">
        <f t="shared" si="121"/>
        <v>0.104921952</v>
      </c>
      <c r="Q171" s="448">
        <f t="shared" si="122"/>
        <v>128</v>
      </c>
      <c r="R171" s="228">
        <f t="shared" si="123"/>
        <v>1749968</v>
      </c>
      <c r="S171" s="228">
        <f t="shared" si="124"/>
        <v>1836032</v>
      </c>
      <c r="T171" s="423">
        <f t="shared" si="125"/>
        <v>11</v>
      </c>
      <c r="U171" s="423">
        <f t="shared" si="126"/>
        <v>11</v>
      </c>
      <c r="V171" s="424">
        <f t="array" ref="V171">MAX((IF(MNU_CODIGO_ALIMENTO_ENTREGA=CONCATENATE($E171,"_","S_"),MNU_GRAMAJE_REQUERIDO_TIPOB,"")))</f>
        <v>30</v>
      </c>
      <c r="W171" s="391">
        <f t="shared" si="127"/>
        <v>575</v>
      </c>
      <c r="X171" s="391">
        <f t="shared" si="128"/>
        <v>0</v>
      </c>
      <c r="Y171" s="391">
        <f t="shared" si="129"/>
        <v>6325</v>
      </c>
      <c r="Z171" s="448">
        <f t="shared" si="130"/>
        <v>191</v>
      </c>
      <c r="AA171" s="448">
        <f t="shared" si="131"/>
        <v>9.3208000000000002</v>
      </c>
      <c r="AB171" s="448">
        <f t="shared" si="132"/>
        <v>0.16426305600000002</v>
      </c>
      <c r="AC171" s="448">
        <f t="shared" si="133"/>
        <v>200</v>
      </c>
      <c r="AD171" s="229">
        <f t="shared" si="134"/>
        <v>1208075</v>
      </c>
      <c r="AE171" s="229">
        <f t="shared" si="135"/>
        <v>1265000</v>
      </c>
      <c r="AF171" s="421">
        <f t="shared" si="136"/>
        <v>11</v>
      </c>
      <c r="AG171" s="421">
        <f t="shared" si="137"/>
        <v>11</v>
      </c>
      <c r="AH171" s="422">
        <f t="array" ref="AH171">MAX((IF(MNU_CODIGO_ALIMENTO_ENTREGA=CONCATENATE($E171,"_","S_"),MNU_GRAMAJE_REQUERIDO_TIPOC,"")))</f>
        <v>60</v>
      </c>
      <c r="AI171" s="227">
        <f t="shared" si="138"/>
        <v>868</v>
      </c>
      <c r="AJ171" s="227">
        <f t="shared" si="139"/>
        <v>0</v>
      </c>
      <c r="AK171" s="227">
        <f t="shared" si="140"/>
        <v>9548</v>
      </c>
      <c r="AL171" s="448">
        <f t="shared" si="141"/>
        <v>367</v>
      </c>
      <c r="AM171" s="448">
        <f t="shared" si="142"/>
        <v>17.909599999999998</v>
      </c>
      <c r="AN171" s="448">
        <f t="shared" si="143"/>
        <v>0.31562587200000003</v>
      </c>
      <c r="AO171" s="448">
        <f t="shared" si="144"/>
        <v>385</v>
      </c>
      <c r="AP171" s="448">
        <f t="shared" si="145"/>
        <v>3504116</v>
      </c>
      <c r="AQ171" s="228">
        <f t="shared" si="146"/>
        <v>3675980</v>
      </c>
      <c r="AR171" s="391">
        <f t="shared" si="147"/>
        <v>6462159</v>
      </c>
      <c r="AS171" s="391">
        <f t="shared" si="148"/>
        <v>6777012</v>
      </c>
    </row>
    <row r="172" spans="1:45" ht="15.75">
      <c r="A172" s="226">
        <v>20</v>
      </c>
      <c r="B172" s="226" t="str">
        <f t="shared" si="112"/>
        <v>CEREAL EMPACADO_20</v>
      </c>
      <c r="C172" s="333" t="str">
        <f t="shared" si="113"/>
        <v>25_20</v>
      </c>
      <c r="D172" s="392" t="s">
        <v>1607</v>
      </c>
      <c r="E172" s="226">
        <v>25</v>
      </c>
      <c r="F172" s="325" t="s">
        <v>64</v>
      </c>
      <c r="G172" s="226" t="s">
        <v>9</v>
      </c>
      <c r="H172" s="421">
        <f t="shared" si="114"/>
        <v>22</v>
      </c>
      <c r="I172" s="421">
        <f t="shared" si="115"/>
        <v>0</v>
      </c>
      <c r="J172" s="422">
        <f t="array" ref="J172">MAX((IF(MNU_CODIGO_ALIMENTO_ENTREGA=CONCATENATE($E172,"_","S_"),MNU_GRAMAJE_REQUERIDO_TIPOA,"")))</f>
        <v>40</v>
      </c>
      <c r="K172" s="227">
        <f t="shared" si="116"/>
        <v>1304</v>
      </c>
      <c r="L172" s="227">
        <f t="shared" si="117"/>
        <v>0</v>
      </c>
      <c r="M172" s="227">
        <f t="shared" si="118"/>
        <v>28688</v>
      </c>
      <c r="N172" s="448">
        <f t="shared" si="119"/>
        <v>244</v>
      </c>
      <c r="O172" s="448">
        <f t="shared" si="120"/>
        <v>11.9072</v>
      </c>
      <c r="P172" s="448">
        <f t="shared" si="121"/>
        <v>0.209843904</v>
      </c>
      <c r="Q172" s="448">
        <f t="shared" si="122"/>
        <v>256</v>
      </c>
      <c r="R172" s="228">
        <f t="shared" si="123"/>
        <v>6999872</v>
      </c>
      <c r="S172" s="228">
        <f t="shared" si="124"/>
        <v>7344128</v>
      </c>
      <c r="T172" s="423">
        <f t="shared" si="125"/>
        <v>22</v>
      </c>
      <c r="U172" s="423">
        <f t="shared" si="126"/>
        <v>0</v>
      </c>
      <c r="V172" s="424">
        <f t="array" ref="V172">MAX((IF(MNU_CODIGO_ALIMENTO_ENTREGA=CONCATENATE($E172,"_","S_"),MNU_GRAMAJE_REQUERIDO_TIPOB,"")))</f>
        <v>40</v>
      </c>
      <c r="W172" s="391">
        <f t="shared" si="127"/>
        <v>575</v>
      </c>
      <c r="X172" s="391">
        <f t="shared" si="128"/>
        <v>0</v>
      </c>
      <c r="Y172" s="391">
        <f t="shared" si="129"/>
        <v>12650</v>
      </c>
      <c r="Z172" s="448">
        <f t="shared" si="130"/>
        <v>244</v>
      </c>
      <c r="AA172" s="448">
        <f t="shared" si="131"/>
        <v>11.9072</v>
      </c>
      <c r="AB172" s="448">
        <f t="shared" si="132"/>
        <v>0.209843904</v>
      </c>
      <c r="AC172" s="448">
        <f t="shared" si="133"/>
        <v>256</v>
      </c>
      <c r="AD172" s="229">
        <f t="shared" si="134"/>
        <v>3086600</v>
      </c>
      <c r="AE172" s="229">
        <f t="shared" si="135"/>
        <v>3238400</v>
      </c>
      <c r="AF172" s="421">
        <f t="shared" si="136"/>
        <v>22</v>
      </c>
      <c r="AG172" s="421">
        <f t="shared" si="137"/>
        <v>0</v>
      </c>
      <c r="AH172" s="422">
        <f t="array" ref="AH172">MAX((IF(MNU_CODIGO_ALIMENTO_ENTREGA=CONCATENATE($E172,"_","S_"),MNU_GRAMAJE_REQUERIDO_TIPOC,"")))</f>
        <v>60</v>
      </c>
      <c r="AI172" s="227">
        <f t="shared" si="138"/>
        <v>868</v>
      </c>
      <c r="AJ172" s="227">
        <f t="shared" si="139"/>
        <v>0</v>
      </c>
      <c r="AK172" s="227">
        <f t="shared" si="140"/>
        <v>19096</v>
      </c>
      <c r="AL172" s="448">
        <f t="shared" si="141"/>
        <v>366</v>
      </c>
      <c r="AM172" s="448">
        <f t="shared" si="142"/>
        <v>17.860800000000001</v>
      </c>
      <c r="AN172" s="448">
        <f t="shared" si="143"/>
        <v>0.31476585600000001</v>
      </c>
      <c r="AO172" s="448">
        <f t="shared" si="144"/>
        <v>384</v>
      </c>
      <c r="AP172" s="448">
        <f t="shared" si="145"/>
        <v>6989136</v>
      </c>
      <c r="AQ172" s="228">
        <f t="shared" si="146"/>
        <v>7332864</v>
      </c>
      <c r="AR172" s="391">
        <f t="shared" si="147"/>
        <v>17075608</v>
      </c>
      <c r="AS172" s="391">
        <f t="shared" si="148"/>
        <v>17915392</v>
      </c>
    </row>
    <row r="173" spans="1:45" ht="27">
      <c r="A173" s="226">
        <v>20</v>
      </c>
      <c r="B173" s="226" t="str">
        <f t="shared" si="112"/>
        <v>CEREAL EMPACADO_20</v>
      </c>
      <c r="C173" s="333" t="str">
        <f t="shared" si="113"/>
        <v>28_20</v>
      </c>
      <c r="D173" s="392" t="s">
        <v>1607</v>
      </c>
      <c r="E173" s="226">
        <v>28</v>
      </c>
      <c r="F173" s="325" t="s">
        <v>67</v>
      </c>
      <c r="G173" s="226" t="s">
        <v>9</v>
      </c>
      <c r="H173" s="421">
        <f t="shared" si="114"/>
        <v>19</v>
      </c>
      <c r="I173" s="421">
        <f t="shared" si="115"/>
        <v>0</v>
      </c>
      <c r="J173" s="422">
        <f t="array" ref="J173">MAX((IF(MNU_CODIGO_ALIMENTO_ENTREGA=CONCATENATE($E173,"_","S_"),MNU_GRAMAJE_REQUERIDO_TIPOA,"")))</f>
        <v>30</v>
      </c>
      <c r="K173" s="227">
        <f t="shared" si="116"/>
        <v>1304</v>
      </c>
      <c r="L173" s="227">
        <f t="shared" si="117"/>
        <v>0</v>
      </c>
      <c r="M173" s="227">
        <f t="shared" si="118"/>
        <v>24776</v>
      </c>
      <c r="N173" s="448">
        <f t="shared" si="119"/>
        <v>215</v>
      </c>
      <c r="O173" s="448">
        <f t="shared" si="120"/>
        <v>10.492000000000001</v>
      </c>
      <c r="P173" s="448">
        <f t="shared" si="121"/>
        <v>0.18490343999999997</v>
      </c>
      <c r="Q173" s="448">
        <f t="shared" si="122"/>
        <v>226</v>
      </c>
      <c r="R173" s="228">
        <f t="shared" si="123"/>
        <v>5326840</v>
      </c>
      <c r="S173" s="228">
        <f t="shared" si="124"/>
        <v>5599376</v>
      </c>
      <c r="T173" s="423">
        <f t="shared" si="125"/>
        <v>19</v>
      </c>
      <c r="U173" s="423">
        <f t="shared" si="126"/>
        <v>0</v>
      </c>
      <c r="V173" s="424">
        <f t="array" ref="V173">MAX((IF(MNU_CODIGO_ALIMENTO_ENTREGA=CONCATENATE($E173,"_","S_"),MNU_GRAMAJE_REQUERIDO_TIPOB,"")))</f>
        <v>40</v>
      </c>
      <c r="W173" s="391">
        <f t="shared" si="127"/>
        <v>575</v>
      </c>
      <c r="X173" s="391">
        <f t="shared" si="128"/>
        <v>0</v>
      </c>
      <c r="Y173" s="391">
        <f t="shared" si="129"/>
        <v>10925</v>
      </c>
      <c r="Z173" s="448">
        <f t="shared" si="130"/>
        <v>287</v>
      </c>
      <c r="AA173" s="448">
        <f t="shared" si="131"/>
        <v>14.005600000000001</v>
      </c>
      <c r="AB173" s="448">
        <f t="shared" si="132"/>
        <v>0.24682459200000004</v>
      </c>
      <c r="AC173" s="448">
        <f t="shared" si="133"/>
        <v>301</v>
      </c>
      <c r="AD173" s="229">
        <f t="shared" si="134"/>
        <v>3135475</v>
      </c>
      <c r="AE173" s="229">
        <f t="shared" si="135"/>
        <v>3288425</v>
      </c>
      <c r="AF173" s="421">
        <f t="shared" si="136"/>
        <v>19</v>
      </c>
      <c r="AG173" s="421">
        <f t="shared" si="137"/>
        <v>0</v>
      </c>
      <c r="AH173" s="422">
        <f t="array" ref="AH173">MAX((IF(MNU_CODIGO_ALIMENTO_ENTREGA=CONCATENATE($E173,"_","S_"),MNU_GRAMAJE_REQUERIDO_TIPOC,"")))</f>
        <v>60</v>
      </c>
      <c r="AI173" s="227">
        <f t="shared" si="138"/>
        <v>868</v>
      </c>
      <c r="AJ173" s="227">
        <f t="shared" si="139"/>
        <v>0</v>
      </c>
      <c r="AK173" s="227">
        <f t="shared" si="140"/>
        <v>16492</v>
      </c>
      <c r="AL173" s="448">
        <f t="shared" si="141"/>
        <v>430</v>
      </c>
      <c r="AM173" s="448">
        <f t="shared" si="142"/>
        <v>20.984000000000002</v>
      </c>
      <c r="AN173" s="448">
        <f t="shared" si="143"/>
        <v>0.36980687999999995</v>
      </c>
      <c r="AO173" s="448">
        <f t="shared" si="144"/>
        <v>451</v>
      </c>
      <c r="AP173" s="448">
        <f t="shared" si="145"/>
        <v>7091560</v>
      </c>
      <c r="AQ173" s="228">
        <f t="shared" si="146"/>
        <v>7437892</v>
      </c>
      <c r="AR173" s="391">
        <f t="shared" si="147"/>
        <v>15553875</v>
      </c>
      <c r="AS173" s="391">
        <f t="shared" si="148"/>
        <v>16325693</v>
      </c>
    </row>
    <row r="174" spans="1:45" ht="15.75">
      <c r="A174" s="226">
        <v>20</v>
      </c>
      <c r="B174" s="226" t="str">
        <f t="shared" si="112"/>
        <v>CEREAL EMPACADO_20</v>
      </c>
      <c r="C174" s="333" t="str">
        <f t="shared" si="113"/>
        <v>45_20</v>
      </c>
      <c r="D174" s="392" t="s">
        <v>1607</v>
      </c>
      <c r="E174" s="226">
        <v>45</v>
      </c>
      <c r="F174" s="325" t="s">
        <v>10</v>
      </c>
      <c r="G174" s="226" t="s">
        <v>9</v>
      </c>
      <c r="H174" s="421">
        <f t="shared" si="114"/>
        <v>20</v>
      </c>
      <c r="I174" s="421">
        <f t="shared" si="115"/>
        <v>0</v>
      </c>
      <c r="J174" s="422">
        <f t="array" ref="J174">MAX((IF(MNU_CODIGO_ALIMENTO_ENTREGA=CONCATENATE($E174,"_","S_"),MNU_GRAMAJE_REQUERIDO_TIPOA,"")))</f>
        <v>20</v>
      </c>
      <c r="K174" s="227">
        <f t="shared" si="116"/>
        <v>1304</v>
      </c>
      <c r="L174" s="227">
        <f t="shared" si="117"/>
        <v>0</v>
      </c>
      <c r="M174" s="227">
        <f t="shared" si="118"/>
        <v>26080</v>
      </c>
      <c r="N174" s="448">
        <f t="shared" si="119"/>
        <v>190</v>
      </c>
      <c r="O174" s="448">
        <f t="shared" si="120"/>
        <v>9.2720000000000002</v>
      </c>
      <c r="P174" s="448">
        <f t="shared" si="121"/>
        <v>0.16340304</v>
      </c>
      <c r="Q174" s="448">
        <f t="shared" si="122"/>
        <v>199</v>
      </c>
      <c r="R174" s="228">
        <f t="shared" si="123"/>
        <v>4955200</v>
      </c>
      <c r="S174" s="228">
        <f t="shared" si="124"/>
        <v>5189920</v>
      </c>
      <c r="T174" s="423">
        <f t="shared" si="125"/>
        <v>20</v>
      </c>
      <c r="U174" s="423">
        <f t="shared" si="126"/>
        <v>0</v>
      </c>
      <c r="V174" s="424">
        <f t="array" ref="V174">MAX((IF(MNU_CODIGO_ALIMENTO_ENTREGA=CONCATENATE($E174,"_","S_"),MNU_GRAMAJE_REQUERIDO_TIPOB,"")))</f>
        <v>30</v>
      </c>
      <c r="W174" s="391">
        <f t="shared" si="127"/>
        <v>575</v>
      </c>
      <c r="X174" s="391">
        <f t="shared" si="128"/>
        <v>0</v>
      </c>
      <c r="Y174" s="391">
        <f t="shared" si="129"/>
        <v>11500</v>
      </c>
      <c r="Z174" s="448">
        <f t="shared" si="130"/>
        <v>284</v>
      </c>
      <c r="AA174" s="448">
        <f t="shared" si="131"/>
        <v>13.8592</v>
      </c>
      <c r="AB174" s="448">
        <f t="shared" si="132"/>
        <v>0.24424454399999998</v>
      </c>
      <c r="AC174" s="448">
        <f t="shared" si="133"/>
        <v>298</v>
      </c>
      <c r="AD174" s="229">
        <f t="shared" si="134"/>
        <v>3266000</v>
      </c>
      <c r="AE174" s="229">
        <f t="shared" si="135"/>
        <v>3427000</v>
      </c>
      <c r="AF174" s="421">
        <f t="shared" si="136"/>
        <v>20</v>
      </c>
      <c r="AG174" s="421">
        <f t="shared" si="137"/>
        <v>0</v>
      </c>
      <c r="AH174" s="422">
        <f t="array" ref="AH174">MAX((IF(MNU_CODIGO_ALIMENTO_ENTREGA=CONCATENATE($E174,"_","S_"),MNU_GRAMAJE_REQUERIDO_TIPOC,"")))</f>
        <v>60</v>
      </c>
      <c r="AI174" s="227">
        <f t="shared" si="138"/>
        <v>868</v>
      </c>
      <c r="AJ174" s="227">
        <f t="shared" si="139"/>
        <v>0</v>
      </c>
      <c r="AK174" s="227">
        <f t="shared" si="140"/>
        <v>17360</v>
      </c>
      <c r="AL174" s="448">
        <f t="shared" si="141"/>
        <v>569</v>
      </c>
      <c r="AM174" s="448">
        <f t="shared" si="142"/>
        <v>27.767199999999999</v>
      </c>
      <c r="AN174" s="448">
        <f t="shared" si="143"/>
        <v>0.48934910400000003</v>
      </c>
      <c r="AO174" s="448">
        <f t="shared" si="144"/>
        <v>597</v>
      </c>
      <c r="AP174" s="448">
        <f t="shared" si="145"/>
        <v>9877840</v>
      </c>
      <c r="AQ174" s="228">
        <f t="shared" si="146"/>
        <v>10363920</v>
      </c>
      <c r="AR174" s="391">
        <f t="shared" si="147"/>
        <v>18099040</v>
      </c>
      <c r="AS174" s="391">
        <f t="shared" si="148"/>
        <v>18980840</v>
      </c>
    </row>
    <row r="175" spans="1:45" ht="15.75">
      <c r="A175" s="226">
        <v>20</v>
      </c>
      <c r="B175" s="226" t="str">
        <f t="shared" si="112"/>
        <v>CEREAL EMPACADO_20</v>
      </c>
      <c r="C175" s="333" t="str">
        <f t="shared" si="113"/>
        <v>61_20</v>
      </c>
      <c r="D175" s="392" t="s">
        <v>1607</v>
      </c>
      <c r="E175" s="226">
        <v>61</v>
      </c>
      <c r="F175" s="325" t="s">
        <v>13</v>
      </c>
      <c r="G175" s="226" t="s">
        <v>9</v>
      </c>
      <c r="H175" s="421">
        <f t="shared" si="114"/>
        <v>20</v>
      </c>
      <c r="I175" s="421">
        <f t="shared" si="115"/>
        <v>0</v>
      </c>
      <c r="J175" s="422">
        <f t="array" ref="J175">MAX((IF(MNU_CODIGO_ALIMENTO_ENTREGA=CONCATENATE($E175,"_","S_"),MNU_GRAMAJE_REQUERIDO_TIPOA,"")))</f>
        <v>20</v>
      </c>
      <c r="K175" s="227">
        <f t="shared" si="116"/>
        <v>1304</v>
      </c>
      <c r="L175" s="227">
        <f t="shared" si="117"/>
        <v>0</v>
      </c>
      <c r="M175" s="227">
        <f t="shared" si="118"/>
        <v>26080</v>
      </c>
      <c r="N175" s="448">
        <f t="shared" si="119"/>
        <v>222</v>
      </c>
      <c r="O175" s="448">
        <f t="shared" si="120"/>
        <v>10.833600000000001</v>
      </c>
      <c r="P175" s="448">
        <f t="shared" si="121"/>
        <v>0.190923552</v>
      </c>
      <c r="Q175" s="448">
        <f t="shared" si="122"/>
        <v>233</v>
      </c>
      <c r="R175" s="228">
        <f t="shared" si="123"/>
        <v>5789760</v>
      </c>
      <c r="S175" s="228">
        <f t="shared" si="124"/>
        <v>6076640</v>
      </c>
      <c r="T175" s="423">
        <f t="shared" si="125"/>
        <v>20</v>
      </c>
      <c r="U175" s="423">
        <f t="shared" si="126"/>
        <v>0</v>
      </c>
      <c r="V175" s="424">
        <f t="array" ref="V175">MAX((IF(MNU_CODIGO_ALIMENTO_ENTREGA=CONCATENATE($E175,"_","S_"),MNU_GRAMAJE_REQUERIDO_TIPOB,"")))</f>
        <v>30</v>
      </c>
      <c r="W175" s="391">
        <f t="shared" si="127"/>
        <v>575</v>
      </c>
      <c r="X175" s="391">
        <f t="shared" si="128"/>
        <v>0</v>
      </c>
      <c r="Y175" s="391">
        <f t="shared" si="129"/>
        <v>11500</v>
      </c>
      <c r="Z175" s="448">
        <f t="shared" si="130"/>
        <v>334</v>
      </c>
      <c r="AA175" s="448">
        <f t="shared" si="131"/>
        <v>16.299199999999999</v>
      </c>
      <c r="AB175" s="448">
        <f t="shared" si="132"/>
        <v>0.28724534400000001</v>
      </c>
      <c r="AC175" s="448">
        <f t="shared" si="133"/>
        <v>351</v>
      </c>
      <c r="AD175" s="229">
        <f t="shared" si="134"/>
        <v>3841000</v>
      </c>
      <c r="AE175" s="229">
        <f t="shared" si="135"/>
        <v>4036500</v>
      </c>
      <c r="AF175" s="421">
        <f t="shared" si="136"/>
        <v>20</v>
      </c>
      <c r="AG175" s="421">
        <f t="shared" si="137"/>
        <v>0</v>
      </c>
      <c r="AH175" s="422">
        <f t="array" ref="AH175">MAX((IF(MNU_CODIGO_ALIMENTO_ENTREGA=CONCATENATE($E175,"_","S_"),MNU_GRAMAJE_REQUERIDO_TIPOC,"")))</f>
        <v>70</v>
      </c>
      <c r="AI175" s="227">
        <f t="shared" si="138"/>
        <v>868</v>
      </c>
      <c r="AJ175" s="227">
        <f t="shared" si="139"/>
        <v>0</v>
      </c>
      <c r="AK175" s="227">
        <f t="shared" si="140"/>
        <v>17360</v>
      </c>
      <c r="AL175" s="448">
        <f t="shared" si="141"/>
        <v>779</v>
      </c>
      <c r="AM175" s="448">
        <f t="shared" si="142"/>
        <v>38.0152</v>
      </c>
      <c r="AN175" s="448">
        <f t="shared" si="143"/>
        <v>0.66995246400000008</v>
      </c>
      <c r="AO175" s="448">
        <f t="shared" si="144"/>
        <v>818</v>
      </c>
      <c r="AP175" s="448">
        <f t="shared" si="145"/>
        <v>13523440</v>
      </c>
      <c r="AQ175" s="228">
        <f t="shared" si="146"/>
        <v>14200480</v>
      </c>
      <c r="AR175" s="391">
        <f t="shared" si="147"/>
        <v>23154200</v>
      </c>
      <c r="AS175" s="391">
        <f t="shared" si="148"/>
        <v>24313620</v>
      </c>
    </row>
    <row r="176" spans="1:45" ht="15.75">
      <c r="A176" s="226">
        <v>21</v>
      </c>
      <c r="B176" s="226" t="str">
        <f t="shared" si="112"/>
        <v>CEREAL EMPACADO_21</v>
      </c>
      <c r="C176" s="333" t="str">
        <f t="shared" si="113"/>
        <v>3_21</v>
      </c>
      <c r="D176" s="392" t="s">
        <v>1607</v>
      </c>
      <c r="E176" s="226">
        <v>3</v>
      </c>
      <c r="F176" s="325" t="s">
        <v>12</v>
      </c>
      <c r="G176" s="226" t="s">
        <v>9</v>
      </c>
      <c r="H176" s="421">
        <f t="shared" si="114"/>
        <v>19</v>
      </c>
      <c r="I176" s="421">
        <f t="shared" si="115"/>
        <v>0</v>
      </c>
      <c r="J176" s="422">
        <f t="array" ref="J176">MAX((IF(MNU_CODIGO_ALIMENTO_ENTREGA=CONCATENATE($E176,"_","S_"),MNU_GRAMAJE_REQUERIDO_TIPOA,"")))</f>
        <v>50</v>
      </c>
      <c r="K176" s="227">
        <f t="shared" si="116"/>
        <v>1193</v>
      </c>
      <c r="L176" s="227">
        <f t="shared" si="117"/>
        <v>0</v>
      </c>
      <c r="M176" s="227">
        <f t="shared" si="118"/>
        <v>22667</v>
      </c>
      <c r="N176" s="448">
        <f t="shared" si="119"/>
        <v>481</v>
      </c>
      <c r="O176" s="448">
        <f t="shared" si="120"/>
        <v>23.472799999999999</v>
      </c>
      <c r="P176" s="448">
        <f t="shared" si="121"/>
        <v>0.41366769599999997</v>
      </c>
      <c r="Q176" s="448">
        <f t="shared" si="122"/>
        <v>505</v>
      </c>
      <c r="R176" s="228">
        <f t="shared" si="123"/>
        <v>10902827</v>
      </c>
      <c r="S176" s="228">
        <f t="shared" si="124"/>
        <v>11446835</v>
      </c>
      <c r="T176" s="423">
        <f t="shared" si="125"/>
        <v>19</v>
      </c>
      <c r="U176" s="423">
        <f t="shared" si="126"/>
        <v>0</v>
      </c>
      <c r="V176" s="424">
        <f t="array" ref="V176">MAX((IF(MNU_CODIGO_ALIMENTO_ENTREGA=CONCATENATE($E176,"_","S_"),MNU_GRAMAJE_REQUERIDO_TIPOB,"")))</f>
        <v>50</v>
      </c>
      <c r="W176" s="391">
        <f t="shared" si="127"/>
        <v>704</v>
      </c>
      <c r="X176" s="391">
        <f t="shared" si="128"/>
        <v>0</v>
      </c>
      <c r="Y176" s="391">
        <f t="shared" si="129"/>
        <v>13376</v>
      </c>
      <c r="Z176" s="448">
        <f t="shared" si="130"/>
        <v>481</v>
      </c>
      <c r="AA176" s="448">
        <f t="shared" si="131"/>
        <v>23.472799999999999</v>
      </c>
      <c r="AB176" s="448">
        <f t="shared" si="132"/>
        <v>0.41366769599999997</v>
      </c>
      <c r="AC176" s="448">
        <f t="shared" si="133"/>
        <v>505</v>
      </c>
      <c r="AD176" s="229">
        <f t="shared" si="134"/>
        <v>6433856</v>
      </c>
      <c r="AE176" s="229">
        <f t="shared" si="135"/>
        <v>6754880</v>
      </c>
      <c r="AF176" s="421">
        <f t="shared" si="136"/>
        <v>19</v>
      </c>
      <c r="AG176" s="421">
        <f t="shared" si="137"/>
        <v>0</v>
      </c>
      <c r="AH176" s="422">
        <f t="array" ref="AH176">MAX((IF(MNU_CODIGO_ALIMENTO_ENTREGA=CONCATENATE($E176,"_","S_"),MNU_GRAMAJE_REQUERIDO_TIPOC,"")))</f>
        <v>80</v>
      </c>
      <c r="AI176" s="227">
        <f t="shared" si="138"/>
        <v>1101</v>
      </c>
      <c r="AJ176" s="227">
        <f t="shared" si="139"/>
        <v>0</v>
      </c>
      <c r="AK176" s="227">
        <f t="shared" si="140"/>
        <v>20919</v>
      </c>
      <c r="AL176" s="448">
        <f t="shared" si="141"/>
        <v>727</v>
      </c>
      <c r="AM176" s="448">
        <f t="shared" si="142"/>
        <v>35.477600000000002</v>
      </c>
      <c r="AN176" s="448">
        <f t="shared" si="143"/>
        <v>0.62523163200000009</v>
      </c>
      <c r="AO176" s="448">
        <f t="shared" si="144"/>
        <v>763</v>
      </c>
      <c r="AP176" s="448">
        <f t="shared" si="145"/>
        <v>15208113</v>
      </c>
      <c r="AQ176" s="228">
        <f t="shared" si="146"/>
        <v>15961197</v>
      </c>
      <c r="AR176" s="391">
        <f t="shared" si="147"/>
        <v>32544796</v>
      </c>
      <c r="AS176" s="391">
        <f t="shared" si="148"/>
        <v>34162912</v>
      </c>
    </row>
    <row r="177" spans="1:45" ht="15.75">
      <c r="A177" s="226">
        <v>21</v>
      </c>
      <c r="B177" s="226" t="str">
        <f t="shared" si="112"/>
        <v>CEREAL EMPACADO_21</v>
      </c>
      <c r="C177" s="333" t="str">
        <f t="shared" si="113"/>
        <v>15_21</v>
      </c>
      <c r="D177" s="392" t="s">
        <v>1607</v>
      </c>
      <c r="E177" s="226">
        <v>15</v>
      </c>
      <c r="F177" s="325" t="s">
        <v>66</v>
      </c>
      <c r="G177" s="226" t="s">
        <v>9</v>
      </c>
      <c r="H177" s="421">
        <f t="shared" si="114"/>
        <v>11</v>
      </c>
      <c r="I177" s="421">
        <f t="shared" si="115"/>
        <v>11</v>
      </c>
      <c r="J177" s="422">
        <f t="array" ref="J177">MAX((IF(MNU_CODIGO_ALIMENTO_ENTREGA=CONCATENATE($E177,"_","S_"),MNU_GRAMAJE_REQUERIDO_TIPOA,"")))</f>
        <v>50</v>
      </c>
      <c r="K177" s="227">
        <f t="shared" si="116"/>
        <v>1193</v>
      </c>
      <c r="L177" s="227">
        <f t="shared" si="117"/>
        <v>0</v>
      </c>
      <c r="M177" s="227">
        <f t="shared" si="118"/>
        <v>13123</v>
      </c>
      <c r="N177" s="448">
        <f t="shared" si="119"/>
        <v>641</v>
      </c>
      <c r="O177" s="448">
        <f t="shared" si="120"/>
        <v>31.280800000000003</v>
      </c>
      <c r="P177" s="448">
        <f t="shared" si="121"/>
        <v>0.55127025600000001</v>
      </c>
      <c r="Q177" s="448">
        <f t="shared" si="122"/>
        <v>673</v>
      </c>
      <c r="R177" s="228">
        <f t="shared" si="123"/>
        <v>8411843</v>
      </c>
      <c r="S177" s="228">
        <f t="shared" si="124"/>
        <v>8831779</v>
      </c>
      <c r="T177" s="423">
        <f t="shared" si="125"/>
        <v>11</v>
      </c>
      <c r="U177" s="423">
        <f t="shared" si="126"/>
        <v>11</v>
      </c>
      <c r="V177" s="424">
        <f t="array" ref="V177">MAX((IF(MNU_CODIGO_ALIMENTO_ENTREGA=CONCATENATE($E177,"_","S_"),MNU_GRAMAJE_REQUERIDO_TIPOB,"")))</f>
        <v>50</v>
      </c>
      <c r="W177" s="391">
        <f t="shared" si="127"/>
        <v>704</v>
      </c>
      <c r="X177" s="391">
        <f t="shared" si="128"/>
        <v>0</v>
      </c>
      <c r="Y177" s="391">
        <f t="shared" si="129"/>
        <v>7744</v>
      </c>
      <c r="Z177" s="448">
        <f t="shared" si="130"/>
        <v>641</v>
      </c>
      <c r="AA177" s="448">
        <f t="shared" si="131"/>
        <v>31.280800000000003</v>
      </c>
      <c r="AB177" s="448">
        <f t="shared" si="132"/>
        <v>0.55127025600000001</v>
      </c>
      <c r="AC177" s="448">
        <f t="shared" si="133"/>
        <v>673</v>
      </c>
      <c r="AD177" s="229">
        <f t="shared" si="134"/>
        <v>4963904</v>
      </c>
      <c r="AE177" s="229">
        <f t="shared" si="135"/>
        <v>5211712</v>
      </c>
      <c r="AF177" s="421">
        <f t="shared" si="136"/>
        <v>11</v>
      </c>
      <c r="AG177" s="421">
        <f t="shared" si="137"/>
        <v>11</v>
      </c>
      <c r="AH177" s="422">
        <f t="array" ref="AH177">MAX((IF(MNU_CODIGO_ALIMENTO_ENTREGA=CONCATENATE($E177,"_","S_"),MNU_GRAMAJE_REQUERIDO_TIPOC,"")))</f>
        <v>80</v>
      </c>
      <c r="AI177" s="227">
        <f t="shared" si="138"/>
        <v>1101</v>
      </c>
      <c r="AJ177" s="227">
        <f t="shared" si="139"/>
        <v>0</v>
      </c>
      <c r="AK177" s="227">
        <f t="shared" si="140"/>
        <v>12111</v>
      </c>
      <c r="AL177" s="448">
        <f t="shared" si="141"/>
        <v>1025</v>
      </c>
      <c r="AM177" s="448">
        <f t="shared" si="142"/>
        <v>50.02</v>
      </c>
      <c r="AN177" s="448">
        <f t="shared" si="143"/>
        <v>0.88151640000000009</v>
      </c>
      <c r="AO177" s="448">
        <f t="shared" si="144"/>
        <v>1076</v>
      </c>
      <c r="AP177" s="448">
        <f t="shared" si="145"/>
        <v>12413775</v>
      </c>
      <c r="AQ177" s="228">
        <f t="shared" si="146"/>
        <v>13031436</v>
      </c>
      <c r="AR177" s="391">
        <f t="shared" si="147"/>
        <v>25789522</v>
      </c>
      <c r="AS177" s="391">
        <f t="shared" si="148"/>
        <v>27074927</v>
      </c>
    </row>
    <row r="178" spans="1:45" ht="27">
      <c r="A178" s="226">
        <v>21</v>
      </c>
      <c r="B178" s="226" t="str">
        <f t="shared" si="112"/>
        <v>CEREAL EMPACADO_21</v>
      </c>
      <c r="C178" s="333" t="str">
        <f t="shared" si="113"/>
        <v>21_21</v>
      </c>
      <c r="D178" s="392" t="s">
        <v>1607</v>
      </c>
      <c r="E178" s="226">
        <v>21</v>
      </c>
      <c r="F178" s="325" t="s">
        <v>70</v>
      </c>
      <c r="G178" s="226" t="s">
        <v>9</v>
      </c>
      <c r="H178" s="421">
        <f t="shared" si="114"/>
        <v>22</v>
      </c>
      <c r="I178" s="421">
        <f t="shared" si="115"/>
        <v>0</v>
      </c>
      <c r="J178" s="422">
        <f t="array" ref="J178">MAX((IF(MNU_CODIGO_ALIMENTO_ENTREGA=CONCATENATE($E178,"_","S_"),MNU_GRAMAJE_REQUERIDO_TIPOA,"")))</f>
        <v>30</v>
      </c>
      <c r="K178" s="227">
        <f t="shared" si="116"/>
        <v>1193</v>
      </c>
      <c r="L178" s="227">
        <f t="shared" si="117"/>
        <v>0</v>
      </c>
      <c r="M178" s="227">
        <f t="shared" si="118"/>
        <v>26246</v>
      </c>
      <c r="N178" s="448">
        <f t="shared" si="119"/>
        <v>458</v>
      </c>
      <c r="O178" s="448">
        <f t="shared" si="120"/>
        <v>22.3504</v>
      </c>
      <c r="P178" s="448">
        <f t="shared" si="121"/>
        <v>0.39388732799999998</v>
      </c>
      <c r="Q178" s="448">
        <f t="shared" si="122"/>
        <v>481</v>
      </c>
      <c r="R178" s="228">
        <f t="shared" si="123"/>
        <v>12020668</v>
      </c>
      <c r="S178" s="228">
        <f t="shared" si="124"/>
        <v>12624326</v>
      </c>
      <c r="T178" s="423">
        <f t="shared" si="125"/>
        <v>22</v>
      </c>
      <c r="U178" s="423">
        <f t="shared" si="126"/>
        <v>0</v>
      </c>
      <c r="V178" s="424">
        <f t="array" ref="V178">MAX((IF(MNU_CODIGO_ALIMENTO_ENTREGA=CONCATENATE($E178,"_","S_"),MNU_GRAMAJE_REQUERIDO_TIPOB,"")))</f>
        <v>30</v>
      </c>
      <c r="W178" s="391">
        <f t="shared" si="127"/>
        <v>704</v>
      </c>
      <c r="X178" s="391">
        <f t="shared" si="128"/>
        <v>0</v>
      </c>
      <c r="Y178" s="391">
        <f t="shared" si="129"/>
        <v>15488</v>
      </c>
      <c r="Z178" s="448">
        <f t="shared" si="130"/>
        <v>458</v>
      </c>
      <c r="AA178" s="448">
        <f t="shared" si="131"/>
        <v>22.3504</v>
      </c>
      <c r="AB178" s="448">
        <f t="shared" si="132"/>
        <v>0.39388732799999998</v>
      </c>
      <c r="AC178" s="448">
        <f t="shared" si="133"/>
        <v>481</v>
      </c>
      <c r="AD178" s="229">
        <f t="shared" si="134"/>
        <v>7093504</v>
      </c>
      <c r="AE178" s="229">
        <f t="shared" si="135"/>
        <v>7449728</v>
      </c>
      <c r="AF178" s="421">
        <f t="shared" si="136"/>
        <v>22</v>
      </c>
      <c r="AG178" s="421">
        <f t="shared" si="137"/>
        <v>0</v>
      </c>
      <c r="AH178" s="422">
        <f t="array" ref="AH178">MAX((IF(MNU_CODIGO_ALIMENTO_ENTREGA=CONCATENATE($E178,"_","S_"),MNU_GRAMAJE_REQUERIDO_TIPOC,"")))</f>
        <v>50</v>
      </c>
      <c r="AI178" s="227">
        <f t="shared" si="138"/>
        <v>1101</v>
      </c>
      <c r="AJ178" s="227">
        <f t="shared" si="139"/>
        <v>0</v>
      </c>
      <c r="AK178" s="227">
        <f t="shared" si="140"/>
        <v>24222</v>
      </c>
      <c r="AL178" s="448">
        <f t="shared" si="141"/>
        <v>764</v>
      </c>
      <c r="AM178" s="448">
        <f t="shared" si="142"/>
        <v>37.283200000000001</v>
      </c>
      <c r="AN178" s="448">
        <f t="shared" si="143"/>
        <v>0.65705222400000007</v>
      </c>
      <c r="AO178" s="448">
        <f t="shared" si="144"/>
        <v>802</v>
      </c>
      <c r="AP178" s="448">
        <f t="shared" si="145"/>
        <v>18505608</v>
      </c>
      <c r="AQ178" s="228">
        <f t="shared" si="146"/>
        <v>19426044</v>
      </c>
      <c r="AR178" s="391">
        <f t="shared" si="147"/>
        <v>37619780</v>
      </c>
      <c r="AS178" s="391">
        <f t="shared" si="148"/>
        <v>39500098</v>
      </c>
    </row>
    <row r="179" spans="1:45" ht="15.75">
      <c r="A179" s="226">
        <v>21</v>
      </c>
      <c r="B179" s="226" t="str">
        <f t="shared" si="112"/>
        <v>CEREAL EMPACADO_21</v>
      </c>
      <c r="C179" s="333" t="str">
        <f t="shared" si="113"/>
        <v>24_21</v>
      </c>
      <c r="D179" s="392" t="s">
        <v>1607</v>
      </c>
      <c r="E179" s="226">
        <v>24</v>
      </c>
      <c r="F179" s="325" t="s">
        <v>61</v>
      </c>
      <c r="G179" s="226" t="s">
        <v>9</v>
      </c>
      <c r="H179" s="421">
        <f t="shared" si="114"/>
        <v>11</v>
      </c>
      <c r="I179" s="421">
        <f t="shared" si="115"/>
        <v>11</v>
      </c>
      <c r="J179" s="422">
        <f t="array" ref="J179">MAX((IF(MNU_CODIGO_ALIMENTO_ENTREGA=CONCATENATE($E179,"_","S_"),MNU_GRAMAJE_REQUERIDO_TIPOA,"")))</f>
        <v>20</v>
      </c>
      <c r="K179" s="227">
        <f t="shared" si="116"/>
        <v>1193</v>
      </c>
      <c r="L179" s="227">
        <f t="shared" si="117"/>
        <v>0</v>
      </c>
      <c r="M179" s="227">
        <f t="shared" si="118"/>
        <v>13123</v>
      </c>
      <c r="N179" s="448">
        <f t="shared" si="119"/>
        <v>122</v>
      </c>
      <c r="O179" s="448">
        <f t="shared" si="120"/>
        <v>5.9535999999999998</v>
      </c>
      <c r="P179" s="448">
        <f t="shared" si="121"/>
        <v>0.104921952</v>
      </c>
      <c r="Q179" s="448">
        <f t="shared" si="122"/>
        <v>128</v>
      </c>
      <c r="R179" s="228">
        <f t="shared" si="123"/>
        <v>1601006</v>
      </c>
      <c r="S179" s="228">
        <f t="shared" si="124"/>
        <v>1679744</v>
      </c>
      <c r="T179" s="423">
        <f t="shared" si="125"/>
        <v>11</v>
      </c>
      <c r="U179" s="423">
        <f t="shared" si="126"/>
        <v>11</v>
      </c>
      <c r="V179" s="424">
        <f t="array" ref="V179">MAX((IF(MNU_CODIGO_ALIMENTO_ENTREGA=CONCATENATE($E179,"_","S_"),MNU_GRAMAJE_REQUERIDO_TIPOB,"")))</f>
        <v>30</v>
      </c>
      <c r="W179" s="391">
        <f t="shared" si="127"/>
        <v>704</v>
      </c>
      <c r="X179" s="391">
        <f t="shared" si="128"/>
        <v>0</v>
      </c>
      <c r="Y179" s="391">
        <f t="shared" si="129"/>
        <v>7744</v>
      </c>
      <c r="Z179" s="448">
        <f t="shared" si="130"/>
        <v>191</v>
      </c>
      <c r="AA179" s="448">
        <f t="shared" si="131"/>
        <v>9.3208000000000002</v>
      </c>
      <c r="AB179" s="448">
        <f t="shared" si="132"/>
        <v>0.16426305600000002</v>
      </c>
      <c r="AC179" s="448">
        <f t="shared" si="133"/>
        <v>200</v>
      </c>
      <c r="AD179" s="229">
        <f t="shared" si="134"/>
        <v>1479104</v>
      </c>
      <c r="AE179" s="229">
        <f t="shared" si="135"/>
        <v>1548800</v>
      </c>
      <c r="AF179" s="421">
        <f t="shared" si="136"/>
        <v>11</v>
      </c>
      <c r="AG179" s="421">
        <f t="shared" si="137"/>
        <v>11</v>
      </c>
      <c r="AH179" s="422">
        <f t="array" ref="AH179">MAX((IF(MNU_CODIGO_ALIMENTO_ENTREGA=CONCATENATE($E179,"_","S_"),MNU_GRAMAJE_REQUERIDO_TIPOC,"")))</f>
        <v>60</v>
      </c>
      <c r="AI179" s="227">
        <f t="shared" si="138"/>
        <v>1101</v>
      </c>
      <c r="AJ179" s="227">
        <f t="shared" si="139"/>
        <v>0</v>
      </c>
      <c r="AK179" s="227">
        <f t="shared" si="140"/>
        <v>12111</v>
      </c>
      <c r="AL179" s="448">
        <f t="shared" si="141"/>
        <v>367</v>
      </c>
      <c r="AM179" s="448">
        <f t="shared" si="142"/>
        <v>17.909599999999998</v>
      </c>
      <c r="AN179" s="448">
        <f t="shared" si="143"/>
        <v>0.31562587200000003</v>
      </c>
      <c r="AO179" s="448">
        <f t="shared" si="144"/>
        <v>385</v>
      </c>
      <c r="AP179" s="448">
        <f t="shared" si="145"/>
        <v>4444737</v>
      </c>
      <c r="AQ179" s="228">
        <f t="shared" si="146"/>
        <v>4662735</v>
      </c>
      <c r="AR179" s="391">
        <f t="shared" si="147"/>
        <v>7524847</v>
      </c>
      <c r="AS179" s="391">
        <f t="shared" si="148"/>
        <v>7891279</v>
      </c>
    </row>
    <row r="180" spans="1:45" ht="15.75">
      <c r="A180" s="226">
        <v>21</v>
      </c>
      <c r="B180" s="226" t="str">
        <f t="shared" si="112"/>
        <v>CEREAL EMPACADO_21</v>
      </c>
      <c r="C180" s="333" t="str">
        <f t="shared" si="113"/>
        <v>25_21</v>
      </c>
      <c r="D180" s="392" t="s">
        <v>1607</v>
      </c>
      <c r="E180" s="226">
        <v>25</v>
      </c>
      <c r="F180" s="325" t="s">
        <v>64</v>
      </c>
      <c r="G180" s="226" t="s">
        <v>9</v>
      </c>
      <c r="H180" s="421">
        <f t="shared" si="114"/>
        <v>22</v>
      </c>
      <c r="I180" s="421">
        <f t="shared" si="115"/>
        <v>0</v>
      </c>
      <c r="J180" s="422">
        <f t="array" ref="J180">MAX((IF(MNU_CODIGO_ALIMENTO_ENTREGA=CONCATENATE($E180,"_","S_"),MNU_GRAMAJE_REQUERIDO_TIPOA,"")))</f>
        <v>40</v>
      </c>
      <c r="K180" s="227">
        <f t="shared" si="116"/>
        <v>1193</v>
      </c>
      <c r="L180" s="227">
        <f t="shared" si="117"/>
        <v>0</v>
      </c>
      <c r="M180" s="227">
        <f t="shared" si="118"/>
        <v>26246</v>
      </c>
      <c r="N180" s="448">
        <f t="shared" si="119"/>
        <v>244</v>
      </c>
      <c r="O180" s="448">
        <f t="shared" si="120"/>
        <v>11.9072</v>
      </c>
      <c r="P180" s="448">
        <f t="shared" si="121"/>
        <v>0.209843904</v>
      </c>
      <c r="Q180" s="448">
        <f t="shared" si="122"/>
        <v>256</v>
      </c>
      <c r="R180" s="228">
        <f t="shared" si="123"/>
        <v>6404024</v>
      </c>
      <c r="S180" s="228">
        <f t="shared" si="124"/>
        <v>6718976</v>
      </c>
      <c r="T180" s="423">
        <f t="shared" si="125"/>
        <v>22</v>
      </c>
      <c r="U180" s="423">
        <f t="shared" si="126"/>
        <v>0</v>
      </c>
      <c r="V180" s="424">
        <f t="array" ref="V180">MAX((IF(MNU_CODIGO_ALIMENTO_ENTREGA=CONCATENATE($E180,"_","S_"),MNU_GRAMAJE_REQUERIDO_TIPOB,"")))</f>
        <v>40</v>
      </c>
      <c r="W180" s="391">
        <f t="shared" si="127"/>
        <v>704</v>
      </c>
      <c r="X180" s="391">
        <f t="shared" si="128"/>
        <v>0</v>
      </c>
      <c r="Y180" s="391">
        <f t="shared" si="129"/>
        <v>15488</v>
      </c>
      <c r="Z180" s="448">
        <f t="shared" si="130"/>
        <v>244</v>
      </c>
      <c r="AA180" s="448">
        <f t="shared" si="131"/>
        <v>11.9072</v>
      </c>
      <c r="AB180" s="448">
        <f t="shared" si="132"/>
        <v>0.209843904</v>
      </c>
      <c r="AC180" s="448">
        <f t="shared" si="133"/>
        <v>256</v>
      </c>
      <c r="AD180" s="229">
        <f t="shared" si="134"/>
        <v>3779072</v>
      </c>
      <c r="AE180" s="229">
        <f t="shared" si="135"/>
        <v>3964928</v>
      </c>
      <c r="AF180" s="421">
        <f t="shared" si="136"/>
        <v>22</v>
      </c>
      <c r="AG180" s="421">
        <f t="shared" si="137"/>
        <v>0</v>
      </c>
      <c r="AH180" s="422">
        <f t="array" ref="AH180">MAX((IF(MNU_CODIGO_ALIMENTO_ENTREGA=CONCATENATE($E180,"_","S_"),MNU_GRAMAJE_REQUERIDO_TIPOC,"")))</f>
        <v>60</v>
      </c>
      <c r="AI180" s="227">
        <f t="shared" si="138"/>
        <v>1101</v>
      </c>
      <c r="AJ180" s="227">
        <f t="shared" si="139"/>
        <v>0</v>
      </c>
      <c r="AK180" s="227">
        <f t="shared" si="140"/>
        <v>24222</v>
      </c>
      <c r="AL180" s="448">
        <f t="shared" si="141"/>
        <v>366</v>
      </c>
      <c r="AM180" s="448">
        <f t="shared" si="142"/>
        <v>17.860800000000001</v>
      </c>
      <c r="AN180" s="448">
        <f t="shared" si="143"/>
        <v>0.31476585600000001</v>
      </c>
      <c r="AO180" s="448">
        <f t="shared" si="144"/>
        <v>384</v>
      </c>
      <c r="AP180" s="448">
        <f t="shared" si="145"/>
        <v>8865252</v>
      </c>
      <c r="AQ180" s="228">
        <f t="shared" si="146"/>
        <v>9301248</v>
      </c>
      <c r="AR180" s="391">
        <f t="shared" si="147"/>
        <v>19048348</v>
      </c>
      <c r="AS180" s="391">
        <f t="shared" si="148"/>
        <v>19985152</v>
      </c>
    </row>
    <row r="181" spans="1:45" ht="27">
      <c r="A181" s="226">
        <v>21</v>
      </c>
      <c r="B181" s="226" t="str">
        <f t="shared" si="112"/>
        <v>CEREAL EMPACADO_21</v>
      </c>
      <c r="C181" s="333" t="str">
        <f t="shared" si="113"/>
        <v>28_21</v>
      </c>
      <c r="D181" s="392" t="s">
        <v>1607</v>
      </c>
      <c r="E181" s="226">
        <v>28</v>
      </c>
      <c r="F181" s="325" t="s">
        <v>67</v>
      </c>
      <c r="G181" s="226" t="s">
        <v>9</v>
      </c>
      <c r="H181" s="421">
        <f t="shared" si="114"/>
        <v>19</v>
      </c>
      <c r="I181" s="421">
        <f t="shared" si="115"/>
        <v>0</v>
      </c>
      <c r="J181" s="422">
        <f t="array" ref="J181">MAX((IF(MNU_CODIGO_ALIMENTO_ENTREGA=CONCATENATE($E181,"_","S_"),MNU_GRAMAJE_REQUERIDO_TIPOA,"")))</f>
        <v>30</v>
      </c>
      <c r="K181" s="227">
        <f t="shared" si="116"/>
        <v>1193</v>
      </c>
      <c r="L181" s="227">
        <f t="shared" si="117"/>
        <v>0</v>
      </c>
      <c r="M181" s="227">
        <f t="shared" si="118"/>
        <v>22667</v>
      </c>
      <c r="N181" s="448">
        <f t="shared" si="119"/>
        <v>215</v>
      </c>
      <c r="O181" s="448">
        <f t="shared" si="120"/>
        <v>10.492000000000001</v>
      </c>
      <c r="P181" s="448">
        <f t="shared" si="121"/>
        <v>0.18490343999999997</v>
      </c>
      <c r="Q181" s="448">
        <f t="shared" si="122"/>
        <v>226</v>
      </c>
      <c r="R181" s="228">
        <f t="shared" si="123"/>
        <v>4873405</v>
      </c>
      <c r="S181" s="228">
        <f t="shared" si="124"/>
        <v>5122742</v>
      </c>
      <c r="T181" s="423">
        <f t="shared" si="125"/>
        <v>19</v>
      </c>
      <c r="U181" s="423">
        <f t="shared" si="126"/>
        <v>0</v>
      </c>
      <c r="V181" s="424">
        <f t="array" ref="V181">MAX((IF(MNU_CODIGO_ALIMENTO_ENTREGA=CONCATENATE($E181,"_","S_"),MNU_GRAMAJE_REQUERIDO_TIPOB,"")))</f>
        <v>40</v>
      </c>
      <c r="W181" s="391">
        <f t="shared" si="127"/>
        <v>704</v>
      </c>
      <c r="X181" s="391">
        <f t="shared" si="128"/>
        <v>0</v>
      </c>
      <c r="Y181" s="391">
        <f t="shared" si="129"/>
        <v>13376</v>
      </c>
      <c r="Z181" s="448">
        <f t="shared" si="130"/>
        <v>287</v>
      </c>
      <c r="AA181" s="448">
        <f t="shared" si="131"/>
        <v>14.005600000000001</v>
      </c>
      <c r="AB181" s="448">
        <f t="shared" si="132"/>
        <v>0.24682459200000004</v>
      </c>
      <c r="AC181" s="448">
        <f t="shared" si="133"/>
        <v>301</v>
      </c>
      <c r="AD181" s="229">
        <f t="shared" si="134"/>
        <v>3838912</v>
      </c>
      <c r="AE181" s="229">
        <f t="shared" si="135"/>
        <v>4026176</v>
      </c>
      <c r="AF181" s="421">
        <f t="shared" si="136"/>
        <v>19</v>
      </c>
      <c r="AG181" s="421">
        <f t="shared" si="137"/>
        <v>0</v>
      </c>
      <c r="AH181" s="422">
        <f t="array" ref="AH181">MAX((IF(MNU_CODIGO_ALIMENTO_ENTREGA=CONCATENATE($E181,"_","S_"),MNU_GRAMAJE_REQUERIDO_TIPOC,"")))</f>
        <v>60</v>
      </c>
      <c r="AI181" s="227">
        <f t="shared" si="138"/>
        <v>1101</v>
      </c>
      <c r="AJ181" s="227">
        <f t="shared" si="139"/>
        <v>0</v>
      </c>
      <c r="AK181" s="227">
        <f t="shared" si="140"/>
        <v>20919</v>
      </c>
      <c r="AL181" s="448">
        <f t="shared" si="141"/>
        <v>430</v>
      </c>
      <c r="AM181" s="448">
        <f t="shared" si="142"/>
        <v>20.984000000000002</v>
      </c>
      <c r="AN181" s="448">
        <f t="shared" si="143"/>
        <v>0.36980687999999995</v>
      </c>
      <c r="AO181" s="448">
        <f t="shared" si="144"/>
        <v>451</v>
      </c>
      <c r="AP181" s="448">
        <f t="shared" si="145"/>
        <v>8995170</v>
      </c>
      <c r="AQ181" s="228">
        <f t="shared" si="146"/>
        <v>9434469</v>
      </c>
      <c r="AR181" s="391">
        <f t="shared" si="147"/>
        <v>17707487</v>
      </c>
      <c r="AS181" s="391">
        <f t="shared" si="148"/>
        <v>18583387</v>
      </c>
    </row>
    <row r="182" spans="1:45" ht="15.75">
      <c r="A182" s="226">
        <v>21</v>
      </c>
      <c r="B182" s="226" t="str">
        <f t="shared" si="112"/>
        <v>CEREAL EMPACADO_21</v>
      </c>
      <c r="C182" s="333" t="str">
        <f t="shared" si="113"/>
        <v>45_21</v>
      </c>
      <c r="D182" s="392" t="s">
        <v>1607</v>
      </c>
      <c r="E182" s="226">
        <v>45</v>
      </c>
      <c r="F182" s="325" t="s">
        <v>10</v>
      </c>
      <c r="G182" s="226" t="s">
        <v>9</v>
      </c>
      <c r="H182" s="421">
        <f t="shared" si="114"/>
        <v>20</v>
      </c>
      <c r="I182" s="421">
        <f t="shared" si="115"/>
        <v>0</v>
      </c>
      <c r="J182" s="422">
        <f t="array" ref="J182">MAX((IF(MNU_CODIGO_ALIMENTO_ENTREGA=CONCATENATE($E182,"_","S_"),MNU_GRAMAJE_REQUERIDO_TIPOA,"")))</f>
        <v>20</v>
      </c>
      <c r="K182" s="227">
        <f t="shared" si="116"/>
        <v>1193</v>
      </c>
      <c r="L182" s="227">
        <f t="shared" si="117"/>
        <v>0</v>
      </c>
      <c r="M182" s="227">
        <f t="shared" si="118"/>
        <v>23860</v>
      </c>
      <c r="N182" s="448">
        <f t="shared" si="119"/>
        <v>190</v>
      </c>
      <c r="O182" s="448">
        <f t="shared" si="120"/>
        <v>9.2720000000000002</v>
      </c>
      <c r="P182" s="448">
        <f t="shared" si="121"/>
        <v>0.16340304</v>
      </c>
      <c r="Q182" s="448">
        <f t="shared" si="122"/>
        <v>199</v>
      </c>
      <c r="R182" s="228">
        <f t="shared" si="123"/>
        <v>4533400</v>
      </c>
      <c r="S182" s="228">
        <f t="shared" si="124"/>
        <v>4748140</v>
      </c>
      <c r="T182" s="423">
        <f t="shared" si="125"/>
        <v>20</v>
      </c>
      <c r="U182" s="423">
        <f t="shared" si="126"/>
        <v>0</v>
      </c>
      <c r="V182" s="424">
        <f t="array" ref="V182">MAX((IF(MNU_CODIGO_ALIMENTO_ENTREGA=CONCATENATE($E182,"_","S_"),MNU_GRAMAJE_REQUERIDO_TIPOB,"")))</f>
        <v>30</v>
      </c>
      <c r="W182" s="391">
        <f t="shared" si="127"/>
        <v>704</v>
      </c>
      <c r="X182" s="391">
        <f t="shared" si="128"/>
        <v>0</v>
      </c>
      <c r="Y182" s="391">
        <f t="shared" si="129"/>
        <v>14080</v>
      </c>
      <c r="Z182" s="448">
        <f t="shared" si="130"/>
        <v>284</v>
      </c>
      <c r="AA182" s="448">
        <f t="shared" si="131"/>
        <v>13.8592</v>
      </c>
      <c r="AB182" s="448">
        <f t="shared" si="132"/>
        <v>0.24424454399999998</v>
      </c>
      <c r="AC182" s="448">
        <f t="shared" si="133"/>
        <v>298</v>
      </c>
      <c r="AD182" s="229">
        <f t="shared" si="134"/>
        <v>3998720</v>
      </c>
      <c r="AE182" s="229">
        <f t="shared" si="135"/>
        <v>4195840</v>
      </c>
      <c r="AF182" s="421">
        <f t="shared" si="136"/>
        <v>20</v>
      </c>
      <c r="AG182" s="421">
        <f t="shared" si="137"/>
        <v>0</v>
      </c>
      <c r="AH182" s="422">
        <f t="array" ref="AH182">MAX((IF(MNU_CODIGO_ALIMENTO_ENTREGA=CONCATENATE($E182,"_","S_"),MNU_GRAMAJE_REQUERIDO_TIPOC,"")))</f>
        <v>60</v>
      </c>
      <c r="AI182" s="227">
        <f t="shared" si="138"/>
        <v>1101</v>
      </c>
      <c r="AJ182" s="227">
        <f t="shared" si="139"/>
        <v>0</v>
      </c>
      <c r="AK182" s="227">
        <f t="shared" si="140"/>
        <v>22020</v>
      </c>
      <c r="AL182" s="448">
        <f t="shared" si="141"/>
        <v>569</v>
      </c>
      <c r="AM182" s="448">
        <f t="shared" si="142"/>
        <v>27.767199999999999</v>
      </c>
      <c r="AN182" s="448">
        <f t="shared" si="143"/>
        <v>0.48934910400000003</v>
      </c>
      <c r="AO182" s="448">
        <f t="shared" si="144"/>
        <v>597</v>
      </c>
      <c r="AP182" s="448">
        <f t="shared" si="145"/>
        <v>12529380</v>
      </c>
      <c r="AQ182" s="228">
        <f t="shared" si="146"/>
        <v>13145940</v>
      </c>
      <c r="AR182" s="391">
        <f t="shared" si="147"/>
        <v>21061500</v>
      </c>
      <c r="AS182" s="391">
        <f t="shared" si="148"/>
        <v>22089920</v>
      </c>
    </row>
    <row r="183" spans="1:45" ht="15.75">
      <c r="A183" s="226">
        <v>21</v>
      </c>
      <c r="B183" s="226" t="str">
        <f t="shared" si="112"/>
        <v>CEREAL EMPACADO_21</v>
      </c>
      <c r="C183" s="333" t="str">
        <f t="shared" si="113"/>
        <v>61_21</v>
      </c>
      <c r="D183" s="392" t="s">
        <v>1607</v>
      </c>
      <c r="E183" s="226">
        <v>61</v>
      </c>
      <c r="F183" s="325" t="s">
        <v>13</v>
      </c>
      <c r="G183" s="226" t="s">
        <v>9</v>
      </c>
      <c r="H183" s="421">
        <f t="shared" si="114"/>
        <v>20</v>
      </c>
      <c r="I183" s="421">
        <f t="shared" si="115"/>
        <v>0</v>
      </c>
      <c r="J183" s="422">
        <f t="array" ref="J183">MAX((IF(MNU_CODIGO_ALIMENTO_ENTREGA=CONCATENATE($E183,"_","S_"),MNU_GRAMAJE_REQUERIDO_TIPOA,"")))</f>
        <v>20</v>
      </c>
      <c r="K183" s="227">
        <f t="shared" si="116"/>
        <v>1193</v>
      </c>
      <c r="L183" s="227">
        <f t="shared" si="117"/>
        <v>0</v>
      </c>
      <c r="M183" s="227">
        <f t="shared" si="118"/>
        <v>23860</v>
      </c>
      <c r="N183" s="448">
        <f t="shared" si="119"/>
        <v>222</v>
      </c>
      <c r="O183" s="448">
        <f t="shared" si="120"/>
        <v>10.833600000000001</v>
      </c>
      <c r="P183" s="448">
        <f t="shared" si="121"/>
        <v>0.190923552</v>
      </c>
      <c r="Q183" s="448">
        <f t="shared" si="122"/>
        <v>233</v>
      </c>
      <c r="R183" s="228">
        <f t="shared" si="123"/>
        <v>5296920</v>
      </c>
      <c r="S183" s="228">
        <f t="shared" si="124"/>
        <v>5559380</v>
      </c>
      <c r="T183" s="423">
        <f t="shared" si="125"/>
        <v>20</v>
      </c>
      <c r="U183" s="423">
        <f t="shared" si="126"/>
        <v>0</v>
      </c>
      <c r="V183" s="424">
        <f t="array" ref="V183">MAX((IF(MNU_CODIGO_ALIMENTO_ENTREGA=CONCATENATE($E183,"_","S_"),MNU_GRAMAJE_REQUERIDO_TIPOB,"")))</f>
        <v>30</v>
      </c>
      <c r="W183" s="391">
        <f t="shared" si="127"/>
        <v>704</v>
      </c>
      <c r="X183" s="391">
        <f t="shared" si="128"/>
        <v>0</v>
      </c>
      <c r="Y183" s="391">
        <f t="shared" si="129"/>
        <v>14080</v>
      </c>
      <c r="Z183" s="448">
        <f t="shared" si="130"/>
        <v>334</v>
      </c>
      <c r="AA183" s="448">
        <f t="shared" si="131"/>
        <v>16.299199999999999</v>
      </c>
      <c r="AB183" s="448">
        <f t="shared" si="132"/>
        <v>0.28724534400000001</v>
      </c>
      <c r="AC183" s="448">
        <f t="shared" si="133"/>
        <v>351</v>
      </c>
      <c r="AD183" s="229">
        <f t="shared" si="134"/>
        <v>4702720</v>
      </c>
      <c r="AE183" s="229">
        <f t="shared" si="135"/>
        <v>4942080</v>
      </c>
      <c r="AF183" s="421">
        <f t="shared" si="136"/>
        <v>20</v>
      </c>
      <c r="AG183" s="421">
        <f t="shared" si="137"/>
        <v>0</v>
      </c>
      <c r="AH183" s="422">
        <f t="array" ref="AH183">MAX((IF(MNU_CODIGO_ALIMENTO_ENTREGA=CONCATENATE($E183,"_","S_"),MNU_GRAMAJE_REQUERIDO_TIPOC,"")))</f>
        <v>70</v>
      </c>
      <c r="AI183" s="227">
        <f t="shared" si="138"/>
        <v>1101</v>
      </c>
      <c r="AJ183" s="227">
        <f t="shared" si="139"/>
        <v>0</v>
      </c>
      <c r="AK183" s="227">
        <f t="shared" si="140"/>
        <v>22020</v>
      </c>
      <c r="AL183" s="448">
        <f t="shared" si="141"/>
        <v>779</v>
      </c>
      <c r="AM183" s="448">
        <f t="shared" si="142"/>
        <v>38.0152</v>
      </c>
      <c r="AN183" s="448">
        <f t="shared" si="143"/>
        <v>0.66995246400000008</v>
      </c>
      <c r="AO183" s="448">
        <f t="shared" si="144"/>
        <v>818</v>
      </c>
      <c r="AP183" s="448">
        <f t="shared" si="145"/>
        <v>17153580</v>
      </c>
      <c r="AQ183" s="228">
        <f t="shared" si="146"/>
        <v>18012360</v>
      </c>
      <c r="AR183" s="391">
        <f t="shared" si="147"/>
        <v>27153220</v>
      </c>
      <c r="AS183" s="391">
        <f t="shared" si="148"/>
        <v>28513820</v>
      </c>
    </row>
    <row r="184" spans="1:45" ht="15.75">
      <c r="A184" s="226">
        <v>22</v>
      </c>
      <c r="B184" s="226" t="str">
        <f t="shared" si="112"/>
        <v>CEREAL EMPACADO_22</v>
      </c>
      <c r="C184" s="333" t="str">
        <f t="shared" si="113"/>
        <v>3_22</v>
      </c>
      <c r="D184" s="392" t="s">
        <v>1607</v>
      </c>
      <c r="E184" s="226">
        <v>3</v>
      </c>
      <c r="F184" s="325" t="s">
        <v>12</v>
      </c>
      <c r="G184" s="226" t="s">
        <v>9</v>
      </c>
      <c r="H184" s="421">
        <f t="shared" si="114"/>
        <v>19</v>
      </c>
      <c r="I184" s="421">
        <f t="shared" si="115"/>
        <v>0</v>
      </c>
      <c r="J184" s="422">
        <f t="array" ref="J184">MAX((IF(MNU_CODIGO_ALIMENTO_ENTREGA=CONCATENATE($E184,"_","S_"),MNU_GRAMAJE_REQUERIDO_TIPOA,"")))</f>
        <v>50</v>
      </c>
      <c r="K184" s="227">
        <f t="shared" si="116"/>
        <v>1112</v>
      </c>
      <c r="L184" s="227">
        <f t="shared" si="117"/>
        <v>0</v>
      </c>
      <c r="M184" s="227">
        <f t="shared" si="118"/>
        <v>21128</v>
      </c>
      <c r="N184" s="448">
        <f t="shared" si="119"/>
        <v>481</v>
      </c>
      <c r="O184" s="448">
        <f t="shared" si="120"/>
        <v>23.472799999999999</v>
      </c>
      <c r="P184" s="448">
        <f t="shared" si="121"/>
        <v>0.41366769599999997</v>
      </c>
      <c r="Q184" s="448">
        <f t="shared" si="122"/>
        <v>505</v>
      </c>
      <c r="R184" s="228">
        <f t="shared" si="123"/>
        <v>10162568</v>
      </c>
      <c r="S184" s="228">
        <f t="shared" si="124"/>
        <v>10669640</v>
      </c>
      <c r="T184" s="423">
        <f t="shared" si="125"/>
        <v>19</v>
      </c>
      <c r="U184" s="423">
        <f t="shared" si="126"/>
        <v>0</v>
      </c>
      <c r="V184" s="424">
        <f t="array" ref="V184">MAX((IF(MNU_CODIGO_ALIMENTO_ENTREGA=CONCATENATE($E184,"_","S_"),MNU_GRAMAJE_REQUERIDO_TIPOB,"")))</f>
        <v>50</v>
      </c>
      <c r="W184" s="391">
        <f t="shared" si="127"/>
        <v>1205</v>
      </c>
      <c r="X184" s="391">
        <f t="shared" si="128"/>
        <v>0</v>
      </c>
      <c r="Y184" s="391">
        <f t="shared" si="129"/>
        <v>22895</v>
      </c>
      <c r="Z184" s="448">
        <f t="shared" si="130"/>
        <v>481</v>
      </c>
      <c r="AA184" s="448">
        <f t="shared" si="131"/>
        <v>23.472799999999999</v>
      </c>
      <c r="AB184" s="448">
        <f t="shared" si="132"/>
        <v>0.41366769599999997</v>
      </c>
      <c r="AC184" s="448">
        <f t="shared" si="133"/>
        <v>505</v>
      </c>
      <c r="AD184" s="229">
        <f t="shared" si="134"/>
        <v>11012495</v>
      </c>
      <c r="AE184" s="229">
        <f t="shared" si="135"/>
        <v>11561975</v>
      </c>
      <c r="AF184" s="421">
        <f t="shared" si="136"/>
        <v>19</v>
      </c>
      <c r="AG184" s="421">
        <f t="shared" si="137"/>
        <v>0</v>
      </c>
      <c r="AH184" s="422">
        <f t="array" ref="AH184">MAX((IF(MNU_CODIGO_ALIMENTO_ENTREGA=CONCATENATE($E184,"_","S_"),MNU_GRAMAJE_REQUERIDO_TIPOC,"")))</f>
        <v>80</v>
      </c>
      <c r="AI184" s="227">
        <f t="shared" si="138"/>
        <v>1724</v>
      </c>
      <c r="AJ184" s="227">
        <f t="shared" si="139"/>
        <v>0</v>
      </c>
      <c r="AK184" s="227">
        <f t="shared" si="140"/>
        <v>32756</v>
      </c>
      <c r="AL184" s="448">
        <f t="shared" si="141"/>
        <v>727</v>
      </c>
      <c r="AM184" s="448">
        <f t="shared" si="142"/>
        <v>35.477600000000002</v>
      </c>
      <c r="AN184" s="448">
        <f t="shared" si="143"/>
        <v>0.62523163200000009</v>
      </c>
      <c r="AO184" s="448">
        <f t="shared" si="144"/>
        <v>763</v>
      </c>
      <c r="AP184" s="448">
        <f t="shared" si="145"/>
        <v>23813612</v>
      </c>
      <c r="AQ184" s="228">
        <f t="shared" si="146"/>
        <v>24992828</v>
      </c>
      <c r="AR184" s="391">
        <f t="shared" si="147"/>
        <v>44988675</v>
      </c>
      <c r="AS184" s="391">
        <f t="shared" si="148"/>
        <v>47224443</v>
      </c>
    </row>
    <row r="185" spans="1:45" ht="15.75">
      <c r="A185" s="226">
        <v>22</v>
      </c>
      <c r="B185" s="226" t="str">
        <f t="shared" si="112"/>
        <v>CEREAL EMPACADO_22</v>
      </c>
      <c r="C185" s="333" t="str">
        <f t="shared" si="113"/>
        <v>15_22</v>
      </c>
      <c r="D185" s="392" t="s">
        <v>1607</v>
      </c>
      <c r="E185" s="226">
        <v>15</v>
      </c>
      <c r="F185" s="325" t="s">
        <v>66</v>
      </c>
      <c r="G185" s="226" t="s">
        <v>9</v>
      </c>
      <c r="H185" s="421">
        <f t="shared" si="114"/>
        <v>11</v>
      </c>
      <c r="I185" s="421">
        <f t="shared" si="115"/>
        <v>11</v>
      </c>
      <c r="J185" s="422">
        <f t="array" ref="J185">MAX((IF(MNU_CODIGO_ALIMENTO_ENTREGA=CONCATENATE($E185,"_","S_"),MNU_GRAMAJE_REQUERIDO_TIPOA,"")))</f>
        <v>50</v>
      </c>
      <c r="K185" s="227">
        <f t="shared" si="116"/>
        <v>1112</v>
      </c>
      <c r="L185" s="227">
        <f t="shared" si="117"/>
        <v>0</v>
      </c>
      <c r="M185" s="227">
        <f t="shared" si="118"/>
        <v>12232</v>
      </c>
      <c r="N185" s="448">
        <f t="shared" si="119"/>
        <v>641</v>
      </c>
      <c r="O185" s="448">
        <f t="shared" si="120"/>
        <v>31.280800000000003</v>
      </c>
      <c r="P185" s="448">
        <f t="shared" si="121"/>
        <v>0.55127025600000001</v>
      </c>
      <c r="Q185" s="448">
        <f t="shared" si="122"/>
        <v>673</v>
      </c>
      <c r="R185" s="228">
        <f t="shared" si="123"/>
        <v>7840712</v>
      </c>
      <c r="S185" s="228">
        <f t="shared" si="124"/>
        <v>8232136</v>
      </c>
      <c r="T185" s="423">
        <f t="shared" si="125"/>
        <v>11</v>
      </c>
      <c r="U185" s="423">
        <f t="shared" si="126"/>
        <v>11</v>
      </c>
      <c r="V185" s="424">
        <f t="array" ref="V185">MAX((IF(MNU_CODIGO_ALIMENTO_ENTREGA=CONCATENATE($E185,"_","S_"),MNU_GRAMAJE_REQUERIDO_TIPOB,"")))</f>
        <v>50</v>
      </c>
      <c r="W185" s="391">
        <f t="shared" si="127"/>
        <v>1205</v>
      </c>
      <c r="X185" s="391">
        <f t="shared" si="128"/>
        <v>0</v>
      </c>
      <c r="Y185" s="391">
        <f t="shared" si="129"/>
        <v>13255</v>
      </c>
      <c r="Z185" s="448">
        <f t="shared" si="130"/>
        <v>641</v>
      </c>
      <c r="AA185" s="448">
        <f t="shared" si="131"/>
        <v>31.280800000000003</v>
      </c>
      <c r="AB185" s="448">
        <f t="shared" si="132"/>
        <v>0.55127025600000001</v>
      </c>
      <c r="AC185" s="448">
        <f t="shared" si="133"/>
        <v>673</v>
      </c>
      <c r="AD185" s="229">
        <f t="shared" si="134"/>
        <v>8496455</v>
      </c>
      <c r="AE185" s="229">
        <f t="shared" si="135"/>
        <v>8920615</v>
      </c>
      <c r="AF185" s="421">
        <f t="shared" si="136"/>
        <v>11</v>
      </c>
      <c r="AG185" s="421">
        <f t="shared" si="137"/>
        <v>11</v>
      </c>
      <c r="AH185" s="422">
        <f t="array" ref="AH185">MAX((IF(MNU_CODIGO_ALIMENTO_ENTREGA=CONCATENATE($E185,"_","S_"),MNU_GRAMAJE_REQUERIDO_TIPOC,"")))</f>
        <v>80</v>
      </c>
      <c r="AI185" s="227">
        <f t="shared" si="138"/>
        <v>1724</v>
      </c>
      <c r="AJ185" s="227">
        <f t="shared" si="139"/>
        <v>0</v>
      </c>
      <c r="AK185" s="227">
        <f t="shared" si="140"/>
        <v>18964</v>
      </c>
      <c r="AL185" s="448">
        <f t="shared" si="141"/>
        <v>1025</v>
      </c>
      <c r="AM185" s="448">
        <f t="shared" si="142"/>
        <v>50.02</v>
      </c>
      <c r="AN185" s="448">
        <f t="shared" si="143"/>
        <v>0.88151640000000009</v>
      </c>
      <c r="AO185" s="448">
        <f t="shared" si="144"/>
        <v>1076</v>
      </c>
      <c r="AP185" s="448">
        <f t="shared" si="145"/>
        <v>19438100</v>
      </c>
      <c r="AQ185" s="228">
        <f t="shared" si="146"/>
        <v>20405264</v>
      </c>
      <c r="AR185" s="391">
        <f t="shared" si="147"/>
        <v>35775267</v>
      </c>
      <c r="AS185" s="391">
        <f t="shared" si="148"/>
        <v>37558015</v>
      </c>
    </row>
    <row r="186" spans="1:45" ht="27">
      <c r="A186" s="226">
        <v>22</v>
      </c>
      <c r="B186" s="226" t="str">
        <f t="shared" si="112"/>
        <v>CEREAL EMPACADO_22</v>
      </c>
      <c r="C186" s="333" t="str">
        <f t="shared" si="113"/>
        <v>21_22</v>
      </c>
      <c r="D186" s="392" t="s">
        <v>1607</v>
      </c>
      <c r="E186" s="226">
        <v>21</v>
      </c>
      <c r="F186" s="325" t="s">
        <v>70</v>
      </c>
      <c r="G186" s="226" t="s">
        <v>9</v>
      </c>
      <c r="H186" s="421">
        <f t="shared" si="114"/>
        <v>22</v>
      </c>
      <c r="I186" s="421">
        <f t="shared" si="115"/>
        <v>0</v>
      </c>
      <c r="J186" s="422">
        <f t="array" ref="J186">MAX((IF(MNU_CODIGO_ALIMENTO_ENTREGA=CONCATENATE($E186,"_","S_"),MNU_GRAMAJE_REQUERIDO_TIPOA,"")))</f>
        <v>30</v>
      </c>
      <c r="K186" s="227">
        <f t="shared" si="116"/>
        <v>1112</v>
      </c>
      <c r="L186" s="227">
        <f t="shared" si="117"/>
        <v>0</v>
      </c>
      <c r="M186" s="227">
        <f t="shared" si="118"/>
        <v>24464</v>
      </c>
      <c r="N186" s="448">
        <f t="shared" si="119"/>
        <v>458</v>
      </c>
      <c r="O186" s="448">
        <f t="shared" si="120"/>
        <v>22.3504</v>
      </c>
      <c r="P186" s="448">
        <f t="shared" si="121"/>
        <v>0.39388732799999998</v>
      </c>
      <c r="Q186" s="448">
        <f t="shared" si="122"/>
        <v>481</v>
      </c>
      <c r="R186" s="228">
        <f t="shared" si="123"/>
        <v>11204512</v>
      </c>
      <c r="S186" s="228">
        <f t="shared" si="124"/>
        <v>11767184</v>
      </c>
      <c r="T186" s="423">
        <f t="shared" si="125"/>
        <v>22</v>
      </c>
      <c r="U186" s="423">
        <f t="shared" si="126"/>
        <v>0</v>
      </c>
      <c r="V186" s="424">
        <f t="array" ref="V186">MAX((IF(MNU_CODIGO_ALIMENTO_ENTREGA=CONCATENATE($E186,"_","S_"),MNU_GRAMAJE_REQUERIDO_TIPOB,"")))</f>
        <v>30</v>
      </c>
      <c r="W186" s="391">
        <f t="shared" si="127"/>
        <v>1205</v>
      </c>
      <c r="X186" s="391">
        <f t="shared" si="128"/>
        <v>0</v>
      </c>
      <c r="Y186" s="391">
        <f t="shared" si="129"/>
        <v>26510</v>
      </c>
      <c r="Z186" s="448">
        <f t="shared" si="130"/>
        <v>458</v>
      </c>
      <c r="AA186" s="448">
        <f t="shared" si="131"/>
        <v>22.3504</v>
      </c>
      <c r="AB186" s="448">
        <f t="shared" si="132"/>
        <v>0.39388732799999998</v>
      </c>
      <c r="AC186" s="448">
        <f t="shared" si="133"/>
        <v>481</v>
      </c>
      <c r="AD186" s="229">
        <f t="shared" si="134"/>
        <v>12141580</v>
      </c>
      <c r="AE186" s="229">
        <f t="shared" si="135"/>
        <v>12751310</v>
      </c>
      <c r="AF186" s="421">
        <f t="shared" si="136"/>
        <v>22</v>
      </c>
      <c r="AG186" s="421">
        <f t="shared" si="137"/>
        <v>0</v>
      </c>
      <c r="AH186" s="422">
        <f t="array" ref="AH186">MAX((IF(MNU_CODIGO_ALIMENTO_ENTREGA=CONCATENATE($E186,"_","S_"),MNU_GRAMAJE_REQUERIDO_TIPOC,"")))</f>
        <v>50</v>
      </c>
      <c r="AI186" s="227">
        <f t="shared" si="138"/>
        <v>1724</v>
      </c>
      <c r="AJ186" s="227">
        <f t="shared" si="139"/>
        <v>0</v>
      </c>
      <c r="AK186" s="227">
        <f t="shared" si="140"/>
        <v>37928</v>
      </c>
      <c r="AL186" s="448">
        <f t="shared" si="141"/>
        <v>764</v>
      </c>
      <c r="AM186" s="448">
        <f t="shared" si="142"/>
        <v>37.283200000000001</v>
      </c>
      <c r="AN186" s="448">
        <f t="shared" si="143"/>
        <v>0.65705222400000007</v>
      </c>
      <c r="AO186" s="448">
        <f t="shared" si="144"/>
        <v>802</v>
      </c>
      <c r="AP186" s="448">
        <f t="shared" si="145"/>
        <v>28976992</v>
      </c>
      <c r="AQ186" s="228">
        <f t="shared" si="146"/>
        <v>30418256</v>
      </c>
      <c r="AR186" s="391">
        <f t="shared" si="147"/>
        <v>52323084</v>
      </c>
      <c r="AS186" s="391">
        <f t="shared" si="148"/>
        <v>54936750</v>
      </c>
    </row>
    <row r="187" spans="1:45" ht="15.75">
      <c r="A187" s="226">
        <v>22</v>
      </c>
      <c r="B187" s="226" t="str">
        <f t="shared" si="112"/>
        <v>CEREAL EMPACADO_22</v>
      </c>
      <c r="C187" s="333" t="str">
        <f t="shared" si="113"/>
        <v>24_22</v>
      </c>
      <c r="D187" s="392" t="s">
        <v>1607</v>
      </c>
      <c r="E187" s="226">
        <v>24</v>
      </c>
      <c r="F187" s="325" t="s">
        <v>61</v>
      </c>
      <c r="G187" s="226" t="s">
        <v>9</v>
      </c>
      <c r="H187" s="421">
        <f t="shared" si="114"/>
        <v>11</v>
      </c>
      <c r="I187" s="421">
        <f t="shared" si="115"/>
        <v>11</v>
      </c>
      <c r="J187" s="422">
        <f t="array" ref="J187">MAX((IF(MNU_CODIGO_ALIMENTO_ENTREGA=CONCATENATE($E187,"_","S_"),MNU_GRAMAJE_REQUERIDO_TIPOA,"")))</f>
        <v>20</v>
      </c>
      <c r="K187" s="227">
        <f t="shared" si="116"/>
        <v>1112</v>
      </c>
      <c r="L187" s="227">
        <f t="shared" si="117"/>
        <v>0</v>
      </c>
      <c r="M187" s="227">
        <f t="shared" si="118"/>
        <v>12232</v>
      </c>
      <c r="N187" s="448">
        <f t="shared" si="119"/>
        <v>122</v>
      </c>
      <c r="O187" s="448">
        <f t="shared" si="120"/>
        <v>5.9535999999999998</v>
      </c>
      <c r="P187" s="448">
        <f t="shared" si="121"/>
        <v>0.104921952</v>
      </c>
      <c r="Q187" s="448">
        <f t="shared" si="122"/>
        <v>128</v>
      </c>
      <c r="R187" s="228">
        <f t="shared" si="123"/>
        <v>1492304</v>
      </c>
      <c r="S187" s="228">
        <f t="shared" si="124"/>
        <v>1565696</v>
      </c>
      <c r="T187" s="423">
        <f t="shared" si="125"/>
        <v>11</v>
      </c>
      <c r="U187" s="423">
        <f t="shared" si="126"/>
        <v>11</v>
      </c>
      <c r="V187" s="424">
        <f t="array" ref="V187">MAX((IF(MNU_CODIGO_ALIMENTO_ENTREGA=CONCATENATE($E187,"_","S_"),MNU_GRAMAJE_REQUERIDO_TIPOB,"")))</f>
        <v>30</v>
      </c>
      <c r="W187" s="391">
        <f t="shared" si="127"/>
        <v>1205</v>
      </c>
      <c r="X187" s="391">
        <f t="shared" si="128"/>
        <v>0</v>
      </c>
      <c r="Y187" s="391">
        <f t="shared" si="129"/>
        <v>13255</v>
      </c>
      <c r="Z187" s="448">
        <f t="shared" si="130"/>
        <v>191</v>
      </c>
      <c r="AA187" s="448">
        <f t="shared" si="131"/>
        <v>9.3208000000000002</v>
      </c>
      <c r="AB187" s="448">
        <f t="shared" si="132"/>
        <v>0.16426305600000002</v>
      </c>
      <c r="AC187" s="448">
        <f t="shared" si="133"/>
        <v>200</v>
      </c>
      <c r="AD187" s="229">
        <f t="shared" si="134"/>
        <v>2531705</v>
      </c>
      <c r="AE187" s="229">
        <f t="shared" si="135"/>
        <v>2651000</v>
      </c>
      <c r="AF187" s="421">
        <f t="shared" si="136"/>
        <v>11</v>
      </c>
      <c r="AG187" s="421">
        <f t="shared" si="137"/>
        <v>11</v>
      </c>
      <c r="AH187" s="422">
        <f t="array" ref="AH187">MAX((IF(MNU_CODIGO_ALIMENTO_ENTREGA=CONCATENATE($E187,"_","S_"),MNU_GRAMAJE_REQUERIDO_TIPOC,"")))</f>
        <v>60</v>
      </c>
      <c r="AI187" s="227">
        <f t="shared" si="138"/>
        <v>1724</v>
      </c>
      <c r="AJ187" s="227">
        <f t="shared" si="139"/>
        <v>0</v>
      </c>
      <c r="AK187" s="227">
        <f t="shared" si="140"/>
        <v>18964</v>
      </c>
      <c r="AL187" s="448">
        <f t="shared" si="141"/>
        <v>367</v>
      </c>
      <c r="AM187" s="448">
        <f t="shared" si="142"/>
        <v>17.909599999999998</v>
      </c>
      <c r="AN187" s="448">
        <f t="shared" si="143"/>
        <v>0.31562587200000003</v>
      </c>
      <c r="AO187" s="448">
        <f t="shared" si="144"/>
        <v>385</v>
      </c>
      <c r="AP187" s="448">
        <f t="shared" si="145"/>
        <v>6959788</v>
      </c>
      <c r="AQ187" s="228">
        <f t="shared" si="146"/>
        <v>7301140</v>
      </c>
      <c r="AR187" s="391">
        <f t="shared" si="147"/>
        <v>10983797</v>
      </c>
      <c r="AS187" s="391">
        <f t="shared" si="148"/>
        <v>11517836</v>
      </c>
    </row>
    <row r="188" spans="1:45" ht="15.75">
      <c r="A188" s="226">
        <v>22</v>
      </c>
      <c r="B188" s="226" t="str">
        <f t="shared" si="112"/>
        <v>CEREAL EMPACADO_22</v>
      </c>
      <c r="C188" s="333" t="str">
        <f t="shared" si="113"/>
        <v>25_22</v>
      </c>
      <c r="D188" s="392" t="s">
        <v>1607</v>
      </c>
      <c r="E188" s="226">
        <v>25</v>
      </c>
      <c r="F188" s="325" t="s">
        <v>64</v>
      </c>
      <c r="G188" s="226" t="s">
        <v>9</v>
      </c>
      <c r="H188" s="421">
        <f t="shared" si="114"/>
        <v>22</v>
      </c>
      <c r="I188" s="421">
        <f t="shared" si="115"/>
        <v>0</v>
      </c>
      <c r="J188" s="422">
        <f t="array" ref="J188">MAX((IF(MNU_CODIGO_ALIMENTO_ENTREGA=CONCATENATE($E188,"_","S_"),MNU_GRAMAJE_REQUERIDO_TIPOA,"")))</f>
        <v>40</v>
      </c>
      <c r="K188" s="227">
        <f t="shared" si="116"/>
        <v>1112</v>
      </c>
      <c r="L188" s="227">
        <f t="shared" si="117"/>
        <v>0</v>
      </c>
      <c r="M188" s="227">
        <f t="shared" si="118"/>
        <v>24464</v>
      </c>
      <c r="N188" s="448">
        <f t="shared" si="119"/>
        <v>244</v>
      </c>
      <c r="O188" s="448">
        <f t="shared" si="120"/>
        <v>11.9072</v>
      </c>
      <c r="P188" s="448">
        <f t="shared" si="121"/>
        <v>0.209843904</v>
      </c>
      <c r="Q188" s="448">
        <f t="shared" si="122"/>
        <v>256</v>
      </c>
      <c r="R188" s="228">
        <f t="shared" si="123"/>
        <v>5969216</v>
      </c>
      <c r="S188" s="228">
        <f t="shared" si="124"/>
        <v>6262784</v>
      </c>
      <c r="T188" s="423">
        <f t="shared" si="125"/>
        <v>22</v>
      </c>
      <c r="U188" s="423">
        <f t="shared" si="126"/>
        <v>0</v>
      </c>
      <c r="V188" s="424">
        <f t="array" ref="V188">MAX((IF(MNU_CODIGO_ALIMENTO_ENTREGA=CONCATENATE($E188,"_","S_"),MNU_GRAMAJE_REQUERIDO_TIPOB,"")))</f>
        <v>40</v>
      </c>
      <c r="W188" s="391">
        <f t="shared" si="127"/>
        <v>1205</v>
      </c>
      <c r="X188" s="391">
        <f t="shared" si="128"/>
        <v>0</v>
      </c>
      <c r="Y188" s="391">
        <f t="shared" si="129"/>
        <v>26510</v>
      </c>
      <c r="Z188" s="448">
        <f t="shared" si="130"/>
        <v>244</v>
      </c>
      <c r="AA188" s="448">
        <f t="shared" si="131"/>
        <v>11.9072</v>
      </c>
      <c r="AB188" s="448">
        <f t="shared" si="132"/>
        <v>0.209843904</v>
      </c>
      <c r="AC188" s="448">
        <f t="shared" si="133"/>
        <v>256</v>
      </c>
      <c r="AD188" s="229">
        <f t="shared" si="134"/>
        <v>6468440</v>
      </c>
      <c r="AE188" s="229">
        <f t="shared" si="135"/>
        <v>6786560</v>
      </c>
      <c r="AF188" s="421">
        <f t="shared" si="136"/>
        <v>22</v>
      </c>
      <c r="AG188" s="421">
        <f t="shared" si="137"/>
        <v>0</v>
      </c>
      <c r="AH188" s="422">
        <f t="array" ref="AH188">MAX((IF(MNU_CODIGO_ALIMENTO_ENTREGA=CONCATENATE($E188,"_","S_"),MNU_GRAMAJE_REQUERIDO_TIPOC,"")))</f>
        <v>60</v>
      </c>
      <c r="AI188" s="227">
        <f t="shared" si="138"/>
        <v>1724</v>
      </c>
      <c r="AJ188" s="227">
        <f t="shared" si="139"/>
        <v>0</v>
      </c>
      <c r="AK188" s="227">
        <f t="shared" si="140"/>
        <v>37928</v>
      </c>
      <c r="AL188" s="448">
        <f t="shared" si="141"/>
        <v>366</v>
      </c>
      <c r="AM188" s="448">
        <f t="shared" si="142"/>
        <v>17.860800000000001</v>
      </c>
      <c r="AN188" s="448">
        <f t="shared" si="143"/>
        <v>0.31476585600000001</v>
      </c>
      <c r="AO188" s="448">
        <f t="shared" si="144"/>
        <v>384</v>
      </c>
      <c r="AP188" s="448">
        <f t="shared" si="145"/>
        <v>13881648</v>
      </c>
      <c r="AQ188" s="228">
        <f t="shared" si="146"/>
        <v>14564352</v>
      </c>
      <c r="AR188" s="391">
        <f t="shared" si="147"/>
        <v>26319304</v>
      </c>
      <c r="AS188" s="391">
        <f t="shared" si="148"/>
        <v>27613696</v>
      </c>
    </row>
    <row r="189" spans="1:45" ht="27">
      <c r="A189" s="226">
        <v>22</v>
      </c>
      <c r="B189" s="226" t="str">
        <f t="shared" si="112"/>
        <v>CEREAL EMPACADO_22</v>
      </c>
      <c r="C189" s="333" t="str">
        <f t="shared" si="113"/>
        <v>28_22</v>
      </c>
      <c r="D189" s="392" t="s">
        <v>1607</v>
      </c>
      <c r="E189" s="226">
        <v>28</v>
      </c>
      <c r="F189" s="325" t="s">
        <v>67</v>
      </c>
      <c r="G189" s="226" t="s">
        <v>9</v>
      </c>
      <c r="H189" s="421">
        <f t="shared" si="114"/>
        <v>19</v>
      </c>
      <c r="I189" s="421">
        <f t="shared" si="115"/>
        <v>0</v>
      </c>
      <c r="J189" s="422">
        <f t="array" ref="J189">MAX((IF(MNU_CODIGO_ALIMENTO_ENTREGA=CONCATENATE($E189,"_","S_"),MNU_GRAMAJE_REQUERIDO_TIPOA,"")))</f>
        <v>30</v>
      </c>
      <c r="K189" s="227">
        <f t="shared" si="116"/>
        <v>1112</v>
      </c>
      <c r="L189" s="227">
        <f t="shared" si="117"/>
        <v>0</v>
      </c>
      <c r="M189" s="227">
        <f t="shared" si="118"/>
        <v>21128</v>
      </c>
      <c r="N189" s="448">
        <f t="shared" si="119"/>
        <v>215</v>
      </c>
      <c r="O189" s="448">
        <f t="shared" si="120"/>
        <v>10.492000000000001</v>
      </c>
      <c r="P189" s="448">
        <f t="shared" si="121"/>
        <v>0.18490343999999997</v>
      </c>
      <c r="Q189" s="448">
        <f t="shared" si="122"/>
        <v>226</v>
      </c>
      <c r="R189" s="228">
        <f t="shared" si="123"/>
        <v>4542520</v>
      </c>
      <c r="S189" s="228">
        <f t="shared" si="124"/>
        <v>4774928</v>
      </c>
      <c r="T189" s="423">
        <f t="shared" si="125"/>
        <v>19</v>
      </c>
      <c r="U189" s="423">
        <f t="shared" si="126"/>
        <v>0</v>
      </c>
      <c r="V189" s="424">
        <f t="array" ref="V189">MAX((IF(MNU_CODIGO_ALIMENTO_ENTREGA=CONCATENATE($E189,"_","S_"),MNU_GRAMAJE_REQUERIDO_TIPOB,"")))</f>
        <v>40</v>
      </c>
      <c r="W189" s="391">
        <f t="shared" si="127"/>
        <v>1205</v>
      </c>
      <c r="X189" s="391">
        <f t="shared" si="128"/>
        <v>0</v>
      </c>
      <c r="Y189" s="391">
        <f t="shared" si="129"/>
        <v>22895</v>
      </c>
      <c r="Z189" s="448">
        <f t="shared" si="130"/>
        <v>287</v>
      </c>
      <c r="AA189" s="448">
        <f t="shared" si="131"/>
        <v>14.005600000000001</v>
      </c>
      <c r="AB189" s="448">
        <f t="shared" si="132"/>
        <v>0.24682459200000004</v>
      </c>
      <c r="AC189" s="448">
        <f t="shared" si="133"/>
        <v>301</v>
      </c>
      <c r="AD189" s="229">
        <f t="shared" si="134"/>
        <v>6570865</v>
      </c>
      <c r="AE189" s="229">
        <f t="shared" si="135"/>
        <v>6891395</v>
      </c>
      <c r="AF189" s="421">
        <f t="shared" si="136"/>
        <v>19</v>
      </c>
      <c r="AG189" s="421">
        <f t="shared" si="137"/>
        <v>0</v>
      </c>
      <c r="AH189" s="422">
        <f t="array" ref="AH189">MAX((IF(MNU_CODIGO_ALIMENTO_ENTREGA=CONCATENATE($E189,"_","S_"),MNU_GRAMAJE_REQUERIDO_TIPOC,"")))</f>
        <v>60</v>
      </c>
      <c r="AI189" s="227">
        <f t="shared" si="138"/>
        <v>1724</v>
      </c>
      <c r="AJ189" s="227">
        <f t="shared" si="139"/>
        <v>0</v>
      </c>
      <c r="AK189" s="227">
        <f t="shared" si="140"/>
        <v>32756</v>
      </c>
      <c r="AL189" s="448">
        <f t="shared" si="141"/>
        <v>430</v>
      </c>
      <c r="AM189" s="448">
        <f t="shared" si="142"/>
        <v>20.984000000000002</v>
      </c>
      <c r="AN189" s="448">
        <f t="shared" si="143"/>
        <v>0.36980687999999995</v>
      </c>
      <c r="AO189" s="448">
        <f t="shared" si="144"/>
        <v>451</v>
      </c>
      <c r="AP189" s="448">
        <f t="shared" si="145"/>
        <v>14085080</v>
      </c>
      <c r="AQ189" s="228">
        <f t="shared" si="146"/>
        <v>14772956</v>
      </c>
      <c r="AR189" s="391">
        <f t="shared" si="147"/>
        <v>25198465</v>
      </c>
      <c r="AS189" s="391">
        <f t="shared" si="148"/>
        <v>26439279</v>
      </c>
    </row>
    <row r="190" spans="1:45" ht="15.75">
      <c r="A190" s="226">
        <v>22</v>
      </c>
      <c r="B190" s="226" t="str">
        <f t="shared" si="112"/>
        <v>CEREAL EMPACADO_22</v>
      </c>
      <c r="C190" s="333" t="str">
        <f t="shared" si="113"/>
        <v>45_22</v>
      </c>
      <c r="D190" s="392" t="s">
        <v>1607</v>
      </c>
      <c r="E190" s="226">
        <v>45</v>
      </c>
      <c r="F190" s="325" t="s">
        <v>10</v>
      </c>
      <c r="G190" s="226" t="s">
        <v>9</v>
      </c>
      <c r="H190" s="421">
        <f t="shared" si="114"/>
        <v>20</v>
      </c>
      <c r="I190" s="421">
        <f t="shared" si="115"/>
        <v>0</v>
      </c>
      <c r="J190" s="422">
        <f t="array" ref="J190">MAX((IF(MNU_CODIGO_ALIMENTO_ENTREGA=CONCATENATE($E190,"_","S_"),MNU_GRAMAJE_REQUERIDO_TIPOA,"")))</f>
        <v>20</v>
      </c>
      <c r="K190" s="227">
        <f t="shared" si="116"/>
        <v>1112</v>
      </c>
      <c r="L190" s="227">
        <f t="shared" si="117"/>
        <v>0</v>
      </c>
      <c r="M190" s="227">
        <f t="shared" si="118"/>
        <v>22240</v>
      </c>
      <c r="N190" s="448">
        <f t="shared" si="119"/>
        <v>190</v>
      </c>
      <c r="O190" s="448">
        <f t="shared" si="120"/>
        <v>9.2720000000000002</v>
      </c>
      <c r="P190" s="448">
        <f t="shared" si="121"/>
        <v>0.16340304</v>
      </c>
      <c r="Q190" s="448">
        <f t="shared" si="122"/>
        <v>199</v>
      </c>
      <c r="R190" s="228">
        <f t="shared" si="123"/>
        <v>4225600</v>
      </c>
      <c r="S190" s="228">
        <f t="shared" si="124"/>
        <v>4425760</v>
      </c>
      <c r="T190" s="423">
        <f t="shared" si="125"/>
        <v>20</v>
      </c>
      <c r="U190" s="423">
        <f t="shared" si="126"/>
        <v>0</v>
      </c>
      <c r="V190" s="424">
        <f t="array" ref="V190">MAX((IF(MNU_CODIGO_ALIMENTO_ENTREGA=CONCATENATE($E190,"_","S_"),MNU_GRAMAJE_REQUERIDO_TIPOB,"")))</f>
        <v>30</v>
      </c>
      <c r="W190" s="391">
        <f t="shared" si="127"/>
        <v>1205</v>
      </c>
      <c r="X190" s="391">
        <f t="shared" si="128"/>
        <v>0</v>
      </c>
      <c r="Y190" s="391">
        <f t="shared" si="129"/>
        <v>24100</v>
      </c>
      <c r="Z190" s="448">
        <f t="shared" si="130"/>
        <v>284</v>
      </c>
      <c r="AA190" s="448">
        <f t="shared" si="131"/>
        <v>13.8592</v>
      </c>
      <c r="AB190" s="448">
        <f t="shared" si="132"/>
        <v>0.24424454399999998</v>
      </c>
      <c r="AC190" s="448">
        <f t="shared" si="133"/>
        <v>298</v>
      </c>
      <c r="AD190" s="229">
        <f t="shared" si="134"/>
        <v>6844400</v>
      </c>
      <c r="AE190" s="229">
        <f t="shared" si="135"/>
        <v>7181800</v>
      </c>
      <c r="AF190" s="421">
        <f t="shared" si="136"/>
        <v>20</v>
      </c>
      <c r="AG190" s="421">
        <f t="shared" si="137"/>
        <v>0</v>
      </c>
      <c r="AH190" s="422">
        <f t="array" ref="AH190">MAX((IF(MNU_CODIGO_ALIMENTO_ENTREGA=CONCATENATE($E190,"_","S_"),MNU_GRAMAJE_REQUERIDO_TIPOC,"")))</f>
        <v>60</v>
      </c>
      <c r="AI190" s="227">
        <f t="shared" si="138"/>
        <v>1724</v>
      </c>
      <c r="AJ190" s="227">
        <f t="shared" si="139"/>
        <v>0</v>
      </c>
      <c r="AK190" s="227">
        <f t="shared" si="140"/>
        <v>34480</v>
      </c>
      <c r="AL190" s="448">
        <f t="shared" si="141"/>
        <v>569</v>
      </c>
      <c r="AM190" s="448">
        <f t="shared" si="142"/>
        <v>27.767199999999999</v>
      </c>
      <c r="AN190" s="448">
        <f t="shared" si="143"/>
        <v>0.48934910400000003</v>
      </c>
      <c r="AO190" s="448">
        <f t="shared" si="144"/>
        <v>597</v>
      </c>
      <c r="AP190" s="448">
        <f t="shared" si="145"/>
        <v>19619120</v>
      </c>
      <c r="AQ190" s="228">
        <f t="shared" si="146"/>
        <v>20584560</v>
      </c>
      <c r="AR190" s="391">
        <f t="shared" si="147"/>
        <v>30689120</v>
      </c>
      <c r="AS190" s="391">
        <f t="shared" si="148"/>
        <v>32192120</v>
      </c>
    </row>
    <row r="191" spans="1:45" ht="15.75">
      <c r="A191" s="226">
        <v>22</v>
      </c>
      <c r="B191" s="226" t="str">
        <f t="shared" si="112"/>
        <v>CEREAL EMPACADO_22</v>
      </c>
      <c r="C191" s="333" t="str">
        <f t="shared" si="113"/>
        <v>61_22</v>
      </c>
      <c r="D191" s="392" t="s">
        <v>1607</v>
      </c>
      <c r="E191" s="226">
        <v>61</v>
      </c>
      <c r="F191" s="325" t="s">
        <v>13</v>
      </c>
      <c r="G191" s="226" t="s">
        <v>9</v>
      </c>
      <c r="H191" s="421">
        <f t="shared" si="114"/>
        <v>20</v>
      </c>
      <c r="I191" s="421">
        <f t="shared" si="115"/>
        <v>0</v>
      </c>
      <c r="J191" s="422">
        <f t="array" ref="J191">MAX((IF(MNU_CODIGO_ALIMENTO_ENTREGA=CONCATENATE($E191,"_","S_"),MNU_GRAMAJE_REQUERIDO_TIPOA,"")))</f>
        <v>20</v>
      </c>
      <c r="K191" s="227">
        <f t="shared" si="116"/>
        <v>1112</v>
      </c>
      <c r="L191" s="227">
        <f t="shared" si="117"/>
        <v>0</v>
      </c>
      <c r="M191" s="227">
        <f t="shared" si="118"/>
        <v>22240</v>
      </c>
      <c r="N191" s="448">
        <f t="shared" si="119"/>
        <v>222</v>
      </c>
      <c r="O191" s="448">
        <f t="shared" si="120"/>
        <v>10.833600000000001</v>
      </c>
      <c r="P191" s="448">
        <f t="shared" si="121"/>
        <v>0.190923552</v>
      </c>
      <c r="Q191" s="448">
        <f t="shared" si="122"/>
        <v>233</v>
      </c>
      <c r="R191" s="228">
        <f t="shared" si="123"/>
        <v>4937280</v>
      </c>
      <c r="S191" s="228">
        <f t="shared" si="124"/>
        <v>5181920</v>
      </c>
      <c r="T191" s="423">
        <f t="shared" si="125"/>
        <v>20</v>
      </c>
      <c r="U191" s="423">
        <f t="shared" si="126"/>
        <v>0</v>
      </c>
      <c r="V191" s="424">
        <f t="array" ref="V191">MAX((IF(MNU_CODIGO_ALIMENTO_ENTREGA=CONCATENATE($E191,"_","S_"),MNU_GRAMAJE_REQUERIDO_TIPOB,"")))</f>
        <v>30</v>
      </c>
      <c r="W191" s="391">
        <f t="shared" si="127"/>
        <v>1205</v>
      </c>
      <c r="X191" s="391">
        <f t="shared" si="128"/>
        <v>0</v>
      </c>
      <c r="Y191" s="391">
        <f t="shared" si="129"/>
        <v>24100</v>
      </c>
      <c r="Z191" s="448">
        <f t="shared" si="130"/>
        <v>334</v>
      </c>
      <c r="AA191" s="448">
        <f t="shared" si="131"/>
        <v>16.299199999999999</v>
      </c>
      <c r="AB191" s="448">
        <f t="shared" si="132"/>
        <v>0.28724534400000001</v>
      </c>
      <c r="AC191" s="448">
        <f t="shared" si="133"/>
        <v>351</v>
      </c>
      <c r="AD191" s="229">
        <f t="shared" si="134"/>
        <v>8049400</v>
      </c>
      <c r="AE191" s="229">
        <f t="shared" si="135"/>
        <v>8459100</v>
      </c>
      <c r="AF191" s="421">
        <f t="shared" si="136"/>
        <v>20</v>
      </c>
      <c r="AG191" s="421">
        <f t="shared" si="137"/>
        <v>0</v>
      </c>
      <c r="AH191" s="422">
        <f t="array" ref="AH191">MAX((IF(MNU_CODIGO_ALIMENTO_ENTREGA=CONCATENATE($E191,"_","S_"),MNU_GRAMAJE_REQUERIDO_TIPOC,"")))</f>
        <v>70</v>
      </c>
      <c r="AI191" s="227">
        <f t="shared" si="138"/>
        <v>1724</v>
      </c>
      <c r="AJ191" s="227">
        <f t="shared" si="139"/>
        <v>0</v>
      </c>
      <c r="AK191" s="227">
        <f t="shared" si="140"/>
        <v>34480</v>
      </c>
      <c r="AL191" s="448">
        <f t="shared" si="141"/>
        <v>779</v>
      </c>
      <c r="AM191" s="448">
        <f t="shared" si="142"/>
        <v>38.0152</v>
      </c>
      <c r="AN191" s="448">
        <f t="shared" si="143"/>
        <v>0.66995246400000008</v>
      </c>
      <c r="AO191" s="448">
        <f t="shared" si="144"/>
        <v>818</v>
      </c>
      <c r="AP191" s="448">
        <f t="shared" si="145"/>
        <v>26859920</v>
      </c>
      <c r="AQ191" s="228">
        <f t="shared" si="146"/>
        <v>28204640</v>
      </c>
      <c r="AR191" s="391">
        <f t="shared" si="147"/>
        <v>39846600</v>
      </c>
      <c r="AS191" s="391">
        <f t="shared" si="148"/>
        <v>41845660</v>
      </c>
    </row>
    <row r="192" spans="1:45" ht="15.75">
      <c r="A192" s="226">
        <v>23</v>
      </c>
      <c r="B192" s="226" t="str">
        <f t="shared" si="112"/>
        <v>CEREAL EMPACADO_23</v>
      </c>
      <c r="C192" s="333" t="str">
        <f t="shared" si="113"/>
        <v>3_23</v>
      </c>
      <c r="D192" s="392" t="s">
        <v>1607</v>
      </c>
      <c r="E192" s="226">
        <v>3</v>
      </c>
      <c r="F192" s="325" t="s">
        <v>12</v>
      </c>
      <c r="G192" s="226" t="s">
        <v>9</v>
      </c>
      <c r="H192" s="421">
        <f t="shared" si="114"/>
        <v>19</v>
      </c>
      <c r="I192" s="421">
        <f t="shared" si="115"/>
        <v>0</v>
      </c>
      <c r="J192" s="422">
        <f t="array" ref="J192">MAX((IF(MNU_CODIGO_ALIMENTO_ENTREGA=CONCATENATE($E192,"_","S_"),MNU_GRAMAJE_REQUERIDO_TIPOA,"")))</f>
        <v>50</v>
      </c>
      <c r="K192" s="227">
        <f t="shared" si="116"/>
        <v>893</v>
      </c>
      <c r="L192" s="227">
        <f t="shared" si="117"/>
        <v>0</v>
      </c>
      <c r="M192" s="227">
        <f t="shared" si="118"/>
        <v>16967</v>
      </c>
      <c r="N192" s="448">
        <f t="shared" si="119"/>
        <v>481</v>
      </c>
      <c r="O192" s="448">
        <f t="shared" si="120"/>
        <v>23.472799999999999</v>
      </c>
      <c r="P192" s="448">
        <f t="shared" si="121"/>
        <v>0.41366769599999997</v>
      </c>
      <c r="Q192" s="448">
        <f t="shared" si="122"/>
        <v>505</v>
      </c>
      <c r="R192" s="228">
        <f t="shared" si="123"/>
        <v>8161127</v>
      </c>
      <c r="S192" s="228">
        <f t="shared" si="124"/>
        <v>8568335</v>
      </c>
      <c r="T192" s="423">
        <f t="shared" si="125"/>
        <v>19</v>
      </c>
      <c r="U192" s="423">
        <f t="shared" si="126"/>
        <v>0</v>
      </c>
      <c r="V192" s="424">
        <f t="array" ref="V192">MAX((IF(MNU_CODIGO_ALIMENTO_ENTREGA=CONCATENATE($E192,"_","S_"),MNU_GRAMAJE_REQUERIDO_TIPOB,"")))</f>
        <v>50</v>
      </c>
      <c r="W192" s="391">
        <f t="shared" si="127"/>
        <v>873</v>
      </c>
      <c r="X192" s="391">
        <f t="shared" si="128"/>
        <v>0</v>
      </c>
      <c r="Y192" s="391">
        <f t="shared" si="129"/>
        <v>16587</v>
      </c>
      <c r="Z192" s="448">
        <f t="shared" si="130"/>
        <v>481</v>
      </c>
      <c r="AA192" s="448">
        <f t="shared" si="131"/>
        <v>23.472799999999999</v>
      </c>
      <c r="AB192" s="448">
        <f t="shared" si="132"/>
        <v>0.41366769599999997</v>
      </c>
      <c r="AC192" s="448">
        <f t="shared" si="133"/>
        <v>505</v>
      </c>
      <c r="AD192" s="229">
        <f t="shared" si="134"/>
        <v>7978347</v>
      </c>
      <c r="AE192" s="229">
        <f t="shared" si="135"/>
        <v>8376435</v>
      </c>
      <c r="AF192" s="421">
        <f t="shared" si="136"/>
        <v>19</v>
      </c>
      <c r="AG192" s="421">
        <f t="shared" si="137"/>
        <v>0</v>
      </c>
      <c r="AH192" s="422">
        <f t="array" ref="AH192">MAX((IF(MNU_CODIGO_ALIMENTO_ENTREGA=CONCATENATE($E192,"_","S_"),MNU_GRAMAJE_REQUERIDO_TIPOC,"")))</f>
        <v>80</v>
      </c>
      <c r="AI192" s="227">
        <f t="shared" si="138"/>
        <v>1104</v>
      </c>
      <c r="AJ192" s="227">
        <f t="shared" si="139"/>
        <v>0</v>
      </c>
      <c r="AK192" s="227">
        <f t="shared" si="140"/>
        <v>20976</v>
      </c>
      <c r="AL192" s="448">
        <f t="shared" si="141"/>
        <v>727</v>
      </c>
      <c r="AM192" s="448">
        <f t="shared" si="142"/>
        <v>35.477600000000002</v>
      </c>
      <c r="AN192" s="448">
        <f t="shared" si="143"/>
        <v>0.62523163200000009</v>
      </c>
      <c r="AO192" s="448">
        <f t="shared" si="144"/>
        <v>763</v>
      </c>
      <c r="AP192" s="448">
        <f t="shared" si="145"/>
        <v>15249552</v>
      </c>
      <c r="AQ192" s="228">
        <f t="shared" si="146"/>
        <v>16004688</v>
      </c>
      <c r="AR192" s="391">
        <f t="shared" si="147"/>
        <v>31389026</v>
      </c>
      <c r="AS192" s="391">
        <f t="shared" si="148"/>
        <v>32949458</v>
      </c>
    </row>
    <row r="193" spans="1:45" ht="15.75">
      <c r="A193" s="226">
        <v>23</v>
      </c>
      <c r="B193" s="226" t="str">
        <f t="shared" si="112"/>
        <v>CEREAL EMPACADO_23</v>
      </c>
      <c r="C193" s="333" t="str">
        <f t="shared" si="113"/>
        <v>15_23</v>
      </c>
      <c r="D193" s="392" t="s">
        <v>1607</v>
      </c>
      <c r="E193" s="226">
        <v>15</v>
      </c>
      <c r="F193" s="325" t="s">
        <v>66</v>
      </c>
      <c r="G193" s="226" t="s">
        <v>9</v>
      </c>
      <c r="H193" s="421">
        <f t="shared" si="114"/>
        <v>11</v>
      </c>
      <c r="I193" s="421">
        <f t="shared" si="115"/>
        <v>11</v>
      </c>
      <c r="J193" s="422">
        <f t="array" ref="J193">MAX((IF(MNU_CODIGO_ALIMENTO_ENTREGA=CONCATENATE($E193,"_","S_"),MNU_GRAMAJE_REQUERIDO_TIPOA,"")))</f>
        <v>50</v>
      </c>
      <c r="K193" s="227">
        <f t="shared" si="116"/>
        <v>893</v>
      </c>
      <c r="L193" s="227">
        <f t="shared" si="117"/>
        <v>0</v>
      </c>
      <c r="M193" s="227">
        <f t="shared" si="118"/>
        <v>9823</v>
      </c>
      <c r="N193" s="448">
        <f t="shared" si="119"/>
        <v>641</v>
      </c>
      <c r="O193" s="448">
        <f t="shared" si="120"/>
        <v>31.280800000000003</v>
      </c>
      <c r="P193" s="448">
        <f t="shared" si="121"/>
        <v>0.55127025600000001</v>
      </c>
      <c r="Q193" s="448">
        <f t="shared" si="122"/>
        <v>673</v>
      </c>
      <c r="R193" s="228">
        <f t="shared" si="123"/>
        <v>6296543</v>
      </c>
      <c r="S193" s="228">
        <f t="shared" si="124"/>
        <v>6610879</v>
      </c>
      <c r="T193" s="423">
        <f t="shared" si="125"/>
        <v>11</v>
      </c>
      <c r="U193" s="423">
        <f t="shared" si="126"/>
        <v>11</v>
      </c>
      <c r="V193" s="424">
        <f t="array" ref="V193">MAX((IF(MNU_CODIGO_ALIMENTO_ENTREGA=CONCATENATE($E193,"_","S_"),MNU_GRAMAJE_REQUERIDO_TIPOB,"")))</f>
        <v>50</v>
      </c>
      <c r="W193" s="391">
        <f t="shared" si="127"/>
        <v>873</v>
      </c>
      <c r="X193" s="391">
        <f t="shared" si="128"/>
        <v>0</v>
      </c>
      <c r="Y193" s="391">
        <f t="shared" si="129"/>
        <v>9603</v>
      </c>
      <c r="Z193" s="448">
        <f t="shared" si="130"/>
        <v>641</v>
      </c>
      <c r="AA193" s="448">
        <f t="shared" si="131"/>
        <v>31.280800000000003</v>
      </c>
      <c r="AB193" s="448">
        <f t="shared" si="132"/>
        <v>0.55127025600000001</v>
      </c>
      <c r="AC193" s="448">
        <f t="shared" si="133"/>
        <v>673</v>
      </c>
      <c r="AD193" s="229">
        <f t="shared" si="134"/>
        <v>6155523</v>
      </c>
      <c r="AE193" s="229">
        <f t="shared" si="135"/>
        <v>6462819</v>
      </c>
      <c r="AF193" s="421">
        <f t="shared" si="136"/>
        <v>11</v>
      </c>
      <c r="AG193" s="421">
        <f t="shared" si="137"/>
        <v>11</v>
      </c>
      <c r="AH193" s="422">
        <f t="array" ref="AH193">MAX((IF(MNU_CODIGO_ALIMENTO_ENTREGA=CONCATENATE($E193,"_","S_"),MNU_GRAMAJE_REQUERIDO_TIPOC,"")))</f>
        <v>80</v>
      </c>
      <c r="AI193" s="227">
        <f t="shared" si="138"/>
        <v>1104</v>
      </c>
      <c r="AJ193" s="227">
        <f t="shared" si="139"/>
        <v>0</v>
      </c>
      <c r="AK193" s="227">
        <f t="shared" si="140"/>
        <v>12144</v>
      </c>
      <c r="AL193" s="448">
        <f t="shared" si="141"/>
        <v>1025</v>
      </c>
      <c r="AM193" s="448">
        <f t="shared" si="142"/>
        <v>50.02</v>
      </c>
      <c r="AN193" s="448">
        <f t="shared" si="143"/>
        <v>0.88151640000000009</v>
      </c>
      <c r="AO193" s="448">
        <f t="shared" si="144"/>
        <v>1076</v>
      </c>
      <c r="AP193" s="448">
        <f t="shared" si="145"/>
        <v>12447600</v>
      </c>
      <c r="AQ193" s="228">
        <f t="shared" si="146"/>
        <v>13066944</v>
      </c>
      <c r="AR193" s="391">
        <f t="shared" si="147"/>
        <v>24899666</v>
      </c>
      <c r="AS193" s="391">
        <f t="shared" si="148"/>
        <v>26140642</v>
      </c>
    </row>
    <row r="194" spans="1:45" ht="27">
      <c r="A194" s="226">
        <v>23</v>
      </c>
      <c r="B194" s="226" t="str">
        <f t="shared" si="112"/>
        <v>CEREAL EMPACADO_23</v>
      </c>
      <c r="C194" s="333" t="str">
        <f t="shared" si="113"/>
        <v>21_23</v>
      </c>
      <c r="D194" s="392" t="s">
        <v>1607</v>
      </c>
      <c r="E194" s="226">
        <v>21</v>
      </c>
      <c r="F194" s="325" t="s">
        <v>70</v>
      </c>
      <c r="G194" s="226" t="s">
        <v>9</v>
      </c>
      <c r="H194" s="421">
        <f t="shared" si="114"/>
        <v>22</v>
      </c>
      <c r="I194" s="421">
        <f t="shared" si="115"/>
        <v>0</v>
      </c>
      <c r="J194" s="422">
        <f t="array" ref="J194">MAX((IF(MNU_CODIGO_ALIMENTO_ENTREGA=CONCATENATE($E194,"_","S_"),MNU_GRAMAJE_REQUERIDO_TIPOA,"")))</f>
        <v>30</v>
      </c>
      <c r="K194" s="227">
        <f t="shared" si="116"/>
        <v>893</v>
      </c>
      <c r="L194" s="227">
        <f t="shared" si="117"/>
        <v>0</v>
      </c>
      <c r="M194" s="227">
        <f t="shared" si="118"/>
        <v>19646</v>
      </c>
      <c r="N194" s="448">
        <f t="shared" si="119"/>
        <v>458</v>
      </c>
      <c r="O194" s="448">
        <f t="shared" si="120"/>
        <v>22.3504</v>
      </c>
      <c r="P194" s="448">
        <f t="shared" si="121"/>
        <v>0.39388732799999998</v>
      </c>
      <c r="Q194" s="448">
        <f t="shared" si="122"/>
        <v>481</v>
      </c>
      <c r="R194" s="228">
        <f t="shared" si="123"/>
        <v>8997868</v>
      </c>
      <c r="S194" s="228">
        <f t="shared" si="124"/>
        <v>9449726</v>
      </c>
      <c r="T194" s="423">
        <f t="shared" si="125"/>
        <v>22</v>
      </c>
      <c r="U194" s="423">
        <f t="shared" si="126"/>
        <v>0</v>
      </c>
      <c r="V194" s="424">
        <f t="array" ref="V194">MAX((IF(MNU_CODIGO_ALIMENTO_ENTREGA=CONCATENATE($E194,"_","S_"),MNU_GRAMAJE_REQUERIDO_TIPOB,"")))</f>
        <v>30</v>
      </c>
      <c r="W194" s="391">
        <f t="shared" si="127"/>
        <v>873</v>
      </c>
      <c r="X194" s="391">
        <f t="shared" si="128"/>
        <v>0</v>
      </c>
      <c r="Y194" s="391">
        <f t="shared" si="129"/>
        <v>19206</v>
      </c>
      <c r="Z194" s="448">
        <f t="shared" si="130"/>
        <v>458</v>
      </c>
      <c r="AA194" s="448">
        <f t="shared" si="131"/>
        <v>22.3504</v>
      </c>
      <c r="AB194" s="448">
        <f t="shared" si="132"/>
        <v>0.39388732799999998</v>
      </c>
      <c r="AC194" s="448">
        <f t="shared" si="133"/>
        <v>481</v>
      </c>
      <c r="AD194" s="229">
        <f t="shared" si="134"/>
        <v>8796348</v>
      </c>
      <c r="AE194" s="229">
        <f t="shared" si="135"/>
        <v>9238086</v>
      </c>
      <c r="AF194" s="421">
        <f t="shared" si="136"/>
        <v>22</v>
      </c>
      <c r="AG194" s="421">
        <f t="shared" si="137"/>
        <v>0</v>
      </c>
      <c r="AH194" s="422">
        <f t="array" ref="AH194">MAX((IF(MNU_CODIGO_ALIMENTO_ENTREGA=CONCATENATE($E194,"_","S_"),MNU_GRAMAJE_REQUERIDO_TIPOC,"")))</f>
        <v>50</v>
      </c>
      <c r="AI194" s="227">
        <f t="shared" si="138"/>
        <v>1104</v>
      </c>
      <c r="AJ194" s="227">
        <f t="shared" si="139"/>
        <v>0</v>
      </c>
      <c r="AK194" s="227">
        <f t="shared" si="140"/>
        <v>24288</v>
      </c>
      <c r="AL194" s="448">
        <f t="shared" si="141"/>
        <v>764</v>
      </c>
      <c r="AM194" s="448">
        <f t="shared" si="142"/>
        <v>37.283200000000001</v>
      </c>
      <c r="AN194" s="448">
        <f t="shared" si="143"/>
        <v>0.65705222400000007</v>
      </c>
      <c r="AO194" s="448">
        <f t="shared" si="144"/>
        <v>802</v>
      </c>
      <c r="AP194" s="448">
        <f t="shared" si="145"/>
        <v>18556032</v>
      </c>
      <c r="AQ194" s="228">
        <f t="shared" si="146"/>
        <v>19478976</v>
      </c>
      <c r="AR194" s="391">
        <f t="shared" si="147"/>
        <v>36350248</v>
      </c>
      <c r="AS194" s="391">
        <f t="shared" si="148"/>
        <v>38166788</v>
      </c>
    </row>
    <row r="195" spans="1:45" ht="15.75">
      <c r="A195" s="226">
        <v>23</v>
      </c>
      <c r="B195" s="226" t="str">
        <f t="shared" si="112"/>
        <v>CEREAL EMPACADO_23</v>
      </c>
      <c r="C195" s="333" t="str">
        <f t="shared" si="113"/>
        <v>24_23</v>
      </c>
      <c r="D195" s="392" t="s">
        <v>1607</v>
      </c>
      <c r="E195" s="226">
        <v>24</v>
      </c>
      <c r="F195" s="325" t="s">
        <v>61</v>
      </c>
      <c r="G195" s="226" t="s">
        <v>9</v>
      </c>
      <c r="H195" s="421">
        <f t="shared" si="114"/>
        <v>11</v>
      </c>
      <c r="I195" s="421">
        <f t="shared" si="115"/>
        <v>11</v>
      </c>
      <c r="J195" s="422">
        <f t="array" ref="J195">MAX((IF(MNU_CODIGO_ALIMENTO_ENTREGA=CONCATENATE($E195,"_","S_"),MNU_GRAMAJE_REQUERIDO_TIPOA,"")))</f>
        <v>20</v>
      </c>
      <c r="K195" s="227">
        <f t="shared" si="116"/>
        <v>893</v>
      </c>
      <c r="L195" s="227">
        <f t="shared" si="117"/>
        <v>0</v>
      </c>
      <c r="M195" s="227">
        <f t="shared" si="118"/>
        <v>9823</v>
      </c>
      <c r="N195" s="448">
        <f t="shared" si="119"/>
        <v>122</v>
      </c>
      <c r="O195" s="448">
        <f t="shared" si="120"/>
        <v>5.9535999999999998</v>
      </c>
      <c r="P195" s="448">
        <f t="shared" si="121"/>
        <v>0.104921952</v>
      </c>
      <c r="Q195" s="448">
        <f t="shared" si="122"/>
        <v>128</v>
      </c>
      <c r="R195" s="228">
        <f t="shared" si="123"/>
        <v>1198406</v>
      </c>
      <c r="S195" s="228">
        <f t="shared" si="124"/>
        <v>1257344</v>
      </c>
      <c r="T195" s="423">
        <f t="shared" si="125"/>
        <v>11</v>
      </c>
      <c r="U195" s="423">
        <f t="shared" si="126"/>
        <v>11</v>
      </c>
      <c r="V195" s="424">
        <f t="array" ref="V195">MAX((IF(MNU_CODIGO_ALIMENTO_ENTREGA=CONCATENATE($E195,"_","S_"),MNU_GRAMAJE_REQUERIDO_TIPOB,"")))</f>
        <v>30</v>
      </c>
      <c r="W195" s="391">
        <f t="shared" si="127"/>
        <v>873</v>
      </c>
      <c r="X195" s="391">
        <f t="shared" si="128"/>
        <v>0</v>
      </c>
      <c r="Y195" s="391">
        <f t="shared" si="129"/>
        <v>9603</v>
      </c>
      <c r="Z195" s="448">
        <f t="shared" si="130"/>
        <v>191</v>
      </c>
      <c r="AA195" s="448">
        <f t="shared" si="131"/>
        <v>9.3208000000000002</v>
      </c>
      <c r="AB195" s="448">
        <f t="shared" si="132"/>
        <v>0.16426305600000002</v>
      </c>
      <c r="AC195" s="448">
        <f t="shared" si="133"/>
        <v>200</v>
      </c>
      <c r="AD195" s="229">
        <f t="shared" si="134"/>
        <v>1834173</v>
      </c>
      <c r="AE195" s="229">
        <f t="shared" si="135"/>
        <v>1920600</v>
      </c>
      <c r="AF195" s="421">
        <f t="shared" si="136"/>
        <v>11</v>
      </c>
      <c r="AG195" s="421">
        <f t="shared" si="137"/>
        <v>11</v>
      </c>
      <c r="AH195" s="422">
        <f t="array" ref="AH195">MAX((IF(MNU_CODIGO_ALIMENTO_ENTREGA=CONCATENATE($E195,"_","S_"),MNU_GRAMAJE_REQUERIDO_TIPOC,"")))</f>
        <v>60</v>
      </c>
      <c r="AI195" s="227">
        <f t="shared" si="138"/>
        <v>1104</v>
      </c>
      <c r="AJ195" s="227">
        <f t="shared" si="139"/>
        <v>0</v>
      </c>
      <c r="AK195" s="227">
        <f t="shared" si="140"/>
        <v>12144</v>
      </c>
      <c r="AL195" s="448">
        <f t="shared" si="141"/>
        <v>367</v>
      </c>
      <c r="AM195" s="448">
        <f t="shared" si="142"/>
        <v>17.909599999999998</v>
      </c>
      <c r="AN195" s="448">
        <f t="shared" si="143"/>
        <v>0.31562587200000003</v>
      </c>
      <c r="AO195" s="448">
        <f t="shared" si="144"/>
        <v>385</v>
      </c>
      <c r="AP195" s="448">
        <f t="shared" si="145"/>
        <v>4456848</v>
      </c>
      <c r="AQ195" s="228">
        <f t="shared" si="146"/>
        <v>4675440</v>
      </c>
      <c r="AR195" s="391">
        <f t="shared" si="147"/>
        <v>7489427</v>
      </c>
      <c r="AS195" s="391">
        <f t="shared" si="148"/>
        <v>7853384</v>
      </c>
    </row>
    <row r="196" spans="1:45" ht="15.75">
      <c r="A196" s="226">
        <v>23</v>
      </c>
      <c r="B196" s="226" t="str">
        <f t="shared" si="112"/>
        <v>CEREAL EMPACADO_23</v>
      </c>
      <c r="C196" s="333" t="str">
        <f t="shared" si="113"/>
        <v>25_23</v>
      </c>
      <c r="D196" s="392" t="s">
        <v>1607</v>
      </c>
      <c r="E196" s="226">
        <v>25</v>
      </c>
      <c r="F196" s="325" t="s">
        <v>64</v>
      </c>
      <c r="G196" s="226" t="s">
        <v>9</v>
      </c>
      <c r="H196" s="421">
        <f t="shared" si="114"/>
        <v>22</v>
      </c>
      <c r="I196" s="421">
        <f t="shared" si="115"/>
        <v>0</v>
      </c>
      <c r="J196" s="422">
        <f t="array" ref="J196">MAX((IF(MNU_CODIGO_ALIMENTO_ENTREGA=CONCATENATE($E196,"_","S_"),MNU_GRAMAJE_REQUERIDO_TIPOA,"")))</f>
        <v>40</v>
      </c>
      <c r="K196" s="227">
        <f t="shared" si="116"/>
        <v>893</v>
      </c>
      <c r="L196" s="227">
        <f t="shared" si="117"/>
        <v>0</v>
      </c>
      <c r="M196" s="227">
        <f t="shared" si="118"/>
        <v>19646</v>
      </c>
      <c r="N196" s="448">
        <f t="shared" si="119"/>
        <v>244</v>
      </c>
      <c r="O196" s="448">
        <f t="shared" si="120"/>
        <v>11.9072</v>
      </c>
      <c r="P196" s="448">
        <f t="shared" si="121"/>
        <v>0.209843904</v>
      </c>
      <c r="Q196" s="448">
        <f t="shared" si="122"/>
        <v>256</v>
      </c>
      <c r="R196" s="228">
        <f t="shared" si="123"/>
        <v>4793624</v>
      </c>
      <c r="S196" s="228">
        <f t="shared" si="124"/>
        <v>5029376</v>
      </c>
      <c r="T196" s="423">
        <f t="shared" si="125"/>
        <v>22</v>
      </c>
      <c r="U196" s="423">
        <f t="shared" si="126"/>
        <v>0</v>
      </c>
      <c r="V196" s="424">
        <f t="array" ref="V196">MAX((IF(MNU_CODIGO_ALIMENTO_ENTREGA=CONCATENATE($E196,"_","S_"),MNU_GRAMAJE_REQUERIDO_TIPOB,"")))</f>
        <v>40</v>
      </c>
      <c r="W196" s="391">
        <f t="shared" si="127"/>
        <v>873</v>
      </c>
      <c r="X196" s="391">
        <f t="shared" si="128"/>
        <v>0</v>
      </c>
      <c r="Y196" s="391">
        <f t="shared" si="129"/>
        <v>19206</v>
      </c>
      <c r="Z196" s="448">
        <f t="shared" si="130"/>
        <v>244</v>
      </c>
      <c r="AA196" s="448">
        <f t="shared" si="131"/>
        <v>11.9072</v>
      </c>
      <c r="AB196" s="448">
        <f t="shared" si="132"/>
        <v>0.209843904</v>
      </c>
      <c r="AC196" s="448">
        <f t="shared" si="133"/>
        <v>256</v>
      </c>
      <c r="AD196" s="229">
        <f t="shared" si="134"/>
        <v>4686264</v>
      </c>
      <c r="AE196" s="229">
        <f t="shared" si="135"/>
        <v>4916736</v>
      </c>
      <c r="AF196" s="421">
        <f t="shared" si="136"/>
        <v>22</v>
      </c>
      <c r="AG196" s="421">
        <f t="shared" si="137"/>
        <v>0</v>
      </c>
      <c r="AH196" s="422">
        <f t="array" ref="AH196">MAX((IF(MNU_CODIGO_ALIMENTO_ENTREGA=CONCATENATE($E196,"_","S_"),MNU_GRAMAJE_REQUERIDO_TIPOC,"")))</f>
        <v>60</v>
      </c>
      <c r="AI196" s="227">
        <f t="shared" si="138"/>
        <v>1104</v>
      </c>
      <c r="AJ196" s="227">
        <f t="shared" si="139"/>
        <v>0</v>
      </c>
      <c r="AK196" s="227">
        <f t="shared" si="140"/>
        <v>24288</v>
      </c>
      <c r="AL196" s="448">
        <f t="shared" si="141"/>
        <v>366</v>
      </c>
      <c r="AM196" s="448">
        <f t="shared" si="142"/>
        <v>17.860800000000001</v>
      </c>
      <c r="AN196" s="448">
        <f t="shared" si="143"/>
        <v>0.31476585600000001</v>
      </c>
      <c r="AO196" s="448">
        <f t="shared" si="144"/>
        <v>384</v>
      </c>
      <c r="AP196" s="448">
        <f t="shared" si="145"/>
        <v>8889408</v>
      </c>
      <c r="AQ196" s="228">
        <f t="shared" si="146"/>
        <v>9326592</v>
      </c>
      <c r="AR196" s="391">
        <f t="shared" si="147"/>
        <v>18369296</v>
      </c>
      <c r="AS196" s="391">
        <f t="shared" si="148"/>
        <v>19272704</v>
      </c>
    </row>
    <row r="197" spans="1:45" ht="27">
      <c r="A197" s="226">
        <v>23</v>
      </c>
      <c r="B197" s="226" t="str">
        <f t="shared" si="112"/>
        <v>CEREAL EMPACADO_23</v>
      </c>
      <c r="C197" s="333" t="str">
        <f t="shared" si="113"/>
        <v>28_23</v>
      </c>
      <c r="D197" s="392" t="s">
        <v>1607</v>
      </c>
      <c r="E197" s="226">
        <v>28</v>
      </c>
      <c r="F197" s="325" t="s">
        <v>67</v>
      </c>
      <c r="G197" s="226" t="s">
        <v>9</v>
      </c>
      <c r="H197" s="421">
        <f t="shared" si="114"/>
        <v>19</v>
      </c>
      <c r="I197" s="421">
        <f t="shared" si="115"/>
        <v>0</v>
      </c>
      <c r="J197" s="422">
        <f t="array" ref="J197">MAX((IF(MNU_CODIGO_ALIMENTO_ENTREGA=CONCATENATE($E197,"_","S_"),MNU_GRAMAJE_REQUERIDO_TIPOA,"")))</f>
        <v>30</v>
      </c>
      <c r="K197" s="227">
        <f t="shared" si="116"/>
        <v>893</v>
      </c>
      <c r="L197" s="227">
        <f t="shared" si="117"/>
        <v>0</v>
      </c>
      <c r="M197" s="227">
        <f t="shared" si="118"/>
        <v>16967</v>
      </c>
      <c r="N197" s="448">
        <f t="shared" si="119"/>
        <v>215</v>
      </c>
      <c r="O197" s="448">
        <f t="shared" si="120"/>
        <v>10.492000000000001</v>
      </c>
      <c r="P197" s="448">
        <f t="shared" si="121"/>
        <v>0.18490343999999997</v>
      </c>
      <c r="Q197" s="448">
        <f t="shared" si="122"/>
        <v>226</v>
      </c>
      <c r="R197" s="228">
        <f t="shared" si="123"/>
        <v>3647905</v>
      </c>
      <c r="S197" s="228">
        <f t="shared" si="124"/>
        <v>3834542</v>
      </c>
      <c r="T197" s="423">
        <f t="shared" si="125"/>
        <v>19</v>
      </c>
      <c r="U197" s="423">
        <f t="shared" si="126"/>
        <v>0</v>
      </c>
      <c r="V197" s="424">
        <f t="array" ref="V197">MAX((IF(MNU_CODIGO_ALIMENTO_ENTREGA=CONCATENATE($E197,"_","S_"),MNU_GRAMAJE_REQUERIDO_TIPOB,"")))</f>
        <v>40</v>
      </c>
      <c r="W197" s="391">
        <f t="shared" si="127"/>
        <v>873</v>
      </c>
      <c r="X197" s="391">
        <f t="shared" si="128"/>
        <v>0</v>
      </c>
      <c r="Y197" s="391">
        <f t="shared" si="129"/>
        <v>16587</v>
      </c>
      <c r="Z197" s="448">
        <f t="shared" si="130"/>
        <v>287</v>
      </c>
      <c r="AA197" s="448">
        <f t="shared" si="131"/>
        <v>14.005600000000001</v>
      </c>
      <c r="AB197" s="448">
        <f t="shared" si="132"/>
        <v>0.24682459200000004</v>
      </c>
      <c r="AC197" s="448">
        <f t="shared" si="133"/>
        <v>301</v>
      </c>
      <c r="AD197" s="229">
        <f t="shared" si="134"/>
        <v>4760469</v>
      </c>
      <c r="AE197" s="229">
        <f t="shared" si="135"/>
        <v>4992687</v>
      </c>
      <c r="AF197" s="421">
        <f t="shared" si="136"/>
        <v>19</v>
      </c>
      <c r="AG197" s="421">
        <f t="shared" si="137"/>
        <v>0</v>
      </c>
      <c r="AH197" s="422">
        <f t="array" ref="AH197">MAX((IF(MNU_CODIGO_ALIMENTO_ENTREGA=CONCATENATE($E197,"_","S_"),MNU_GRAMAJE_REQUERIDO_TIPOC,"")))</f>
        <v>60</v>
      </c>
      <c r="AI197" s="227">
        <f t="shared" si="138"/>
        <v>1104</v>
      </c>
      <c r="AJ197" s="227">
        <f t="shared" si="139"/>
        <v>0</v>
      </c>
      <c r="AK197" s="227">
        <f t="shared" si="140"/>
        <v>20976</v>
      </c>
      <c r="AL197" s="448">
        <f t="shared" si="141"/>
        <v>430</v>
      </c>
      <c r="AM197" s="448">
        <f t="shared" si="142"/>
        <v>20.984000000000002</v>
      </c>
      <c r="AN197" s="448">
        <f t="shared" si="143"/>
        <v>0.36980687999999995</v>
      </c>
      <c r="AO197" s="448">
        <f t="shared" si="144"/>
        <v>451</v>
      </c>
      <c r="AP197" s="448">
        <f t="shared" si="145"/>
        <v>9019680</v>
      </c>
      <c r="AQ197" s="228">
        <f t="shared" si="146"/>
        <v>9460176</v>
      </c>
      <c r="AR197" s="391">
        <f t="shared" si="147"/>
        <v>17428054</v>
      </c>
      <c r="AS197" s="391">
        <f t="shared" si="148"/>
        <v>18287405</v>
      </c>
    </row>
    <row r="198" spans="1:45" ht="15.75">
      <c r="A198" s="226">
        <v>23</v>
      </c>
      <c r="B198" s="226" t="str">
        <f t="shared" si="112"/>
        <v>CEREAL EMPACADO_23</v>
      </c>
      <c r="C198" s="333" t="str">
        <f t="shared" si="113"/>
        <v>45_23</v>
      </c>
      <c r="D198" s="392" t="s">
        <v>1607</v>
      </c>
      <c r="E198" s="226">
        <v>45</v>
      </c>
      <c r="F198" s="325" t="s">
        <v>10</v>
      </c>
      <c r="G198" s="226" t="s">
        <v>9</v>
      </c>
      <c r="H198" s="421">
        <f t="shared" si="114"/>
        <v>20</v>
      </c>
      <c r="I198" s="421">
        <f t="shared" si="115"/>
        <v>0</v>
      </c>
      <c r="J198" s="422">
        <f t="array" ref="J198">MAX((IF(MNU_CODIGO_ALIMENTO_ENTREGA=CONCATENATE($E198,"_","S_"),MNU_GRAMAJE_REQUERIDO_TIPOA,"")))</f>
        <v>20</v>
      </c>
      <c r="K198" s="227">
        <f t="shared" si="116"/>
        <v>893</v>
      </c>
      <c r="L198" s="227">
        <f t="shared" si="117"/>
        <v>0</v>
      </c>
      <c r="M198" s="227">
        <f t="shared" si="118"/>
        <v>17860</v>
      </c>
      <c r="N198" s="448">
        <f t="shared" si="119"/>
        <v>190</v>
      </c>
      <c r="O198" s="448">
        <f t="shared" si="120"/>
        <v>9.2720000000000002</v>
      </c>
      <c r="P198" s="448">
        <f t="shared" si="121"/>
        <v>0.16340304</v>
      </c>
      <c r="Q198" s="448">
        <f t="shared" si="122"/>
        <v>199</v>
      </c>
      <c r="R198" s="228">
        <f t="shared" si="123"/>
        <v>3393400</v>
      </c>
      <c r="S198" s="228">
        <f t="shared" si="124"/>
        <v>3554140</v>
      </c>
      <c r="T198" s="423">
        <f t="shared" si="125"/>
        <v>20</v>
      </c>
      <c r="U198" s="423">
        <f t="shared" si="126"/>
        <v>0</v>
      </c>
      <c r="V198" s="424">
        <f t="array" ref="V198">MAX((IF(MNU_CODIGO_ALIMENTO_ENTREGA=CONCATENATE($E198,"_","S_"),MNU_GRAMAJE_REQUERIDO_TIPOB,"")))</f>
        <v>30</v>
      </c>
      <c r="W198" s="391">
        <f t="shared" si="127"/>
        <v>873</v>
      </c>
      <c r="X198" s="391">
        <f t="shared" si="128"/>
        <v>0</v>
      </c>
      <c r="Y198" s="391">
        <f t="shared" si="129"/>
        <v>17460</v>
      </c>
      <c r="Z198" s="448">
        <f t="shared" si="130"/>
        <v>284</v>
      </c>
      <c r="AA198" s="448">
        <f t="shared" si="131"/>
        <v>13.8592</v>
      </c>
      <c r="AB198" s="448">
        <f t="shared" si="132"/>
        <v>0.24424454399999998</v>
      </c>
      <c r="AC198" s="448">
        <f t="shared" si="133"/>
        <v>298</v>
      </c>
      <c r="AD198" s="229">
        <f t="shared" si="134"/>
        <v>4958640</v>
      </c>
      <c r="AE198" s="229">
        <f t="shared" si="135"/>
        <v>5203080</v>
      </c>
      <c r="AF198" s="421">
        <f t="shared" si="136"/>
        <v>20</v>
      </c>
      <c r="AG198" s="421">
        <f t="shared" si="137"/>
        <v>0</v>
      </c>
      <c r="AH198" s="422">
        <f t="array" ref="AH198">MAX((IF(MNU_CODIGO_ALIMENTO_ENTREGA=CONCATENATE($E198,"_","S_"),MNU_GRAMAJE_REQUERIDO_TIPOC,"")))</f>
        <v>60</v>
      </c>
      <c r="AI198" s="227">
        <f t="shared" si="138"/>
        <v>1104</v>
      </c>
      <c r="AJ198" s="227">
        <f t="shared" si="139"/>
        <v>0</v>
      </c>
      <c r="AK198" s="227">
        <f t="shared" si="140"/>
        <v>22080</v>
      </c>
      <c r="AL198" s="448">
        <f t="shared" si="141"/>
        <v>569</v>
      </c>
      <c r="AM198" s="448">
        <f t="shared" si="142"/>
        <v>27.767199999999999</v>
      </c>
      <c r="AN198" s="448">
        <f t="shared" si="143"/>
        <v>0.48934910400000003</v>
      </c>
      <c r="AO198" s="448">
        <f t="shared" si="144"/>
        <v>597</v>
      </c>
      <c r="AP198" s="448">
        <f t="shared" si="145"/>
        <v>12563520</v>
      </c>
      <c r="AQ198" s="228">
        <f t="shared" si="146"/>
        <v>13181760</v>
      </c>
      <c r="AR198" s="391">
        <f t="shared" si="147"/>
        <v>20915560</v>
      </c>
      <c r="AS198" s="391">
        <f t="shared" si="148"/>
        <v>21938980</v>
      </c>
    </row>
    <row r="199" spans="1:45" ht="15.75">
      <c r="A199" s="226">
        <v>23</v>
      </c>
      <c r="B199" s="226" t="str">
        <f t="shared" si="112"/>
        <v>CEREAL EMPACADO_23</v>
      </c>
      <c r="C199" s="333" t="str">
        <f t="shared" si="113"/>
        <v>61_23</v>
      </c>
      <c r="D199" s="392" t="s">
        <v>1607</v>
      </c>
      <c r="E199" s="226">
        <v>61</v>
      </c>
      <c r="F199" s="325" t="s">
        <v>13</v>
      </c>
      <c r="G199" s="226" t="s">
        <v>9</v>
      </c>
      <c r="H199" s="421">
        <f t="shared" si="114"/>
        <v>20</v>
      </c>
      <c r="I199" s="421">
        <f t="shared" si="115"/>
        <v>0</v>
      </c>
      <c r="J199" s="422">
        <f t="array" ref="J199">MAX((IF(MNU_CODIGO_ALIMENTO_ENTREGA=CONCATENATE($E199,"_","S_"),MNU_GRAMAJE_REQUERIDO_TIPOA,"")))</f>
        <v>20</v>
      </c>
      <c r="K199" s="227">
        <f t="shared" si="116"/>
        <v>893</v>
      </c>
      <c r="L199" s="227">
        <f t="shared" si="117"/>
        <v>0</v>
      </c>
      <c r="M199" s="227">
        <f t="shared" si="118"/>
        <v>17860</v>
      </c>
      <c r="N199" s="448">
        <f t="shared" si="119"/>
        <v>222</v>
      </c>
      <c r="O199" s="448">
        <f t="shared" si="120"/>
        <v>10.833600000000001</v>
      </c>
      <c r="P199" s="448">
        <f t="shared" si="121"/>
        <v>0.190923552</v>
      </c>
      <c r="Q199" s="448">
        <f t="shared" si="122"/>
        <v>233</v>
      </c>
      <c r="R199" s="228">
        <f t="shared" si="123"/>
        <v>3964920</v>
      </c>
      <c r="S199" s="228">
        <f t="shared" si="124"/>
        <v>4161380</v>
      </c>
      <c r="T199" s="423">
        <f t="shared" si="125"/>
        <v>20</v>
      </c>
      <c r="U199" s="423">
        <f t="shared" si="126"/>
        <v>0</v>
      </c>
      <c r="V199" s="424">
        <f t="array" ref="V199">MAX((IF(MNU_CODIGO_ALIMENTO_ENTREGA=CONCATENATE($E199,"_","S_"),MNU_GRAMAJE_REQUERIDO_TIPOB,"")))</f>
        <v>30</v>
      </c>
      <c r="W199" s="391">
        <f t="shared" si="127"/>
        <v>873</v>
      </c>
      <c r="X199" s="391">
        <f t="shared" si="128"/>
        <v>0</v>
      </c>
      <c r="Y199" s="391">
        <f t="shared" si="129"/>
        <v>17460</v>
      </c>
      <c r="Z199" s="448">
        <f t="shared" si="130"/>
        <v>334</v>
      </c>
      <c r="AA199" s="448">
        <f t="shared" si="131"/>
        <v>16.299199999999999</v>
      </c>
      <c r="AB199" s="448">
        <f t="shared" si="132"/>
        <v>0.28724534400000001</v>
      </c>
      <c r="AC199" s="448">
        <f t="shared" si="133"/>
        <v>351</v>
      </c>
      <c r="AD199" s="229">
        <f t="shared" si="134"/>
        <v>5831640</v>
      </c>
      <c r="AE199" s="229">
        <f t="shared" si="135"/>
        <v>6128460</v>
      </c>
      <c r="AF199" s="421">
        <f t="shared" si="136"/>
        <v>20</v>
      </c>
      <c r="AG199" s="421">
        <f t="shared" si="137"/>
        <v>0</v>
      </c>
      <c r="AH199" s="422">
        <f t="array" ref="AH199">MAX((IF(MNU_CODIGO_ALIMENTO_ENTREGA=CONCATENATE($E199,"_","S_"),MNU_GRAMAJE_REQUERIDO_TIPOC,"")))</f>
        <v>70</v>
      </c>
      <c r="AI199" s="227">
        <f t="shared" si="138"/>
        <v>1104</v>
      </c>
      <c r="AJ199" s="227">
        <f t="shared" si="139"/>
        <v>0</v>
      </c>
      <c r="AK199" s="227">
        <f t="shared" si="140"/>
        <v>22080</v>
      </c>
      <c r="AL199" s="448">
        <f t="shared" si="141"/>
        <v>779</v>
      </c>
      <c r="AM199" s="448">
        <f t="shared" si="142"/>
        <v>38.0152</v>
      </c>
      <c r="AN199" s="448">
        <f t="shared" si="143"/>
        <v>0.66995246400000008</v>
      </c>
      <c r="AO199" s="448">
        <f t="shared" si="144"/>
        <v>818</v>
      </c>
      <c r="AP199" s="448">
        <f t="shared" si="145"/>
        <v>17200320</v>
      </c>
      <c r="AQ199" s="228">
        <f t="shared" si="146"/>
        <v>18061440</v>
      </c>
      <c r="AR199" s="391">
        <f t="shared" si="147"/>
        <v>26996880</v>
      </c>
      <c r="AS199" s="391">
        <f t="shared" si="148"/>
        <v>28351280</v>
      </c>
    </row>
    <row r="200" spans="1:45" ht="15.75">
      <c r="A200" s="226">
        <v>24</v>
      </c>
      <c r="B200" s="226" t="str">
        <f t="shared" si="112"/>
        <v>CEREAL EMPACADO_24</v>
      </c>
      <c r="C200" s="333" t="str">
        <f t="shared" si="113"/>
        <v>3_24</v>
      </c>
      <c r="D200" s="392" t="s">
        <v>1607</v>
      </c>
      <c r="E200" s="226">
        <v>3</v>
      </c>
      <c r="F200" s="325" t="s">
        <v>12</v>
      </c>
      <c r="G200" s="226" t="s">
        <v>9</v>
      </c>
      <c r="H200" s="421">
        <f t="shared" si="114"/>
        <v>19</v>
      </c>
      <c r="I200" s="421">
        <f t="shared" si="115"/>
        <v>0</v>
      </c>
      <c r="J200" s="422">
        <f t="array" ref="J200">MAX((IF(MNU_CODIGO_ALIMENTO_ENTREGA=CONCATENATE($E200,"_","S_"),MNU_GRAMAJE_REQUERIDO_TIPOA,"")))</f>
        <v>50</v>
      </c>
      <c r="K200" s="227">
        <f t="shared" si="116"/>
        <v>264</v>
      </c>
      <c r="L200" s="227">
        <f t="shared" si="117"/>
        <v>0</v>
      </c>
      <c r="M200" s="227">
        <f t="shared" si="118"/>
        <v>5016</v>
      </c>
      <c r="N200" s="448">
        <f t="shared" si="119"/>
        <v>481</v>
      </c>
      <c r="O200" s="448">
        <f t="shared" si="120"/>
        <v>23.472799999999999</v>
      </c>
      <c r="P200" s="448">
        <f t="shared" si="121"/>
        <v>0.41366769599999997</v>
      </c>
      <c r="Q200" s="448">
        <f t="shared" si="122"/>
        <v>505</v>
      </c>
      <c r="R200" s="228">
        <f t="shared" si="123"/>
        <v>2412696</v>
      </c>
      <c r="S200" s="228">
        <f t="shared" si="124"/>
        <v>2533080</v>
      </c>
      <c r="T200" s="423">
        <f t="shared" si="125"/>
        <v>19</v>
      </c>
      <c r="U200" s="423">
        <f t="shared" si="126"/>
        <v>0</v>
      </c>
      <c r="V200" s="424">
        <f t="array" ref="V200">MAX((IF(MNU_CODIGO_ALIMENTO_ENTREGA=CONCATENATE($E200,"_","S_"),MNU_GRAMAJE_REQUERIDO_TIPOB,"")))</f>
        <v>50</v>
      </c>
      <c r="W200" s="391">
        <f t="shared" si="127"/>
        <v>765</v>
      </c>
      <c r="X200" s="391">
        <f t="shared" si="128"/>
        <v>0</v>
      </c>
      <c r="Y200" s="391">
        <f t="shared" si="129"/>
        <v>14535</v>
      </c>
      <c r="Z200" s="448">
        <f t="shared" si="130"/>
        <v>481</v>
      </c>
      <c r="AA200" s="448">
        <f t="shared" si="131"/>
        <v>23.472799999999999</v>
      </c>
      <c r="AB200" s="448">
        <f t="shared" si="132"/>
        <v>0.41366769599999997</v>
      </c>
      <c r="AC200" s="448">
        <f t="shared" si="133"/>
        <v>505</v>
      </c>
      <c r="AD200" s="229">
        <f t="shared" si="134"/>
        <v>6991335</v>
      </c>
      <c r="AE200" s="229">
        <f t="shared" si="135"/>
        <v>7340175</v>
      </c>
      <c r="AF200" s="421">
        <f t="shared" si="136"/>
        <v>19</v>
      </c>
      <c r="AG200" s="421">
        <f t="shared" si="137"/>
        <v>0</v>
      </c>
      <c r="AH200" s="422">
        <f t="array" ref="AH200">MAX((IF(MNU_CODIGO_ALIMENTO_ENTREGA=CONCATENATE($E200,"_","S_"),MNU_GRAMAJE_REQUERIDO_TIPOC,"")))</f>
        <v>80</v>
      </c>
      <c r="AI200" s="227">
        <f t="shared" si="138"/>
        <v>1254</v>
      </c>
      <c r="AJ200" s="227">
        <f t="shared" si="139"/>
        <v>0</v>
      </c>
      <c r="AK200" s="227">
        <f t="shared" si="140"/>
        <v>23826</v>
      </c>
      <c r="AL200" s="448">
        <f t="shared" si="141"/>
        <v>727</v>
      </c>
      <c r="AM200" s="448">
        <f t="shared" si="142"/>
        <v>35.477600000000002</v>
      </c>
      <c r="AN200" s="448">
        <f t="shared" si="143"/>
        <v>0.62523163200000009</v>
      </c>
      <c r="AO200" s="448">
        <f t="shared" si="144"/>
        <v>763</v>
      </c>
      <c r="AP200" s="448">
        <f t="shared" si="145"/>
        <v>17321502</v>
      </c>
      <c r="AQ200" s="228">
        <f t="shared" si="146"/>
        <v>18179238</v>
      </c>
      <c r="AR200" s="391">
        <f t="shared" si="147"/>
        <v>26725533</v>
      </c>
      <c r="AS200" s="391">
        <f t="shared" si="148"/>
        <v>28052493</v>
      </c>
    </row>
    <row r="201" spans="1:45" ht="15.75">
      <c r="A201" s="226">
        <v>24</v>
      </c>
      <c r="B201" s="226" t="str">
        <f t="shared" si="112"/>
        <v>CEREAL EMPACADO_24</v>
      </c>
      <c r="C201" s="333" t="str">
        <f t="shared" si="113"/>
        <v>15_24</v>
      </c>
      <c r="D201" s="392" t="s">
        <v>1607</v>
      </c>
      <c r="E201" s="226">
        <v>15</v>
      </c>
      <c r="F201" s="325" t="s">
        <v>66</v>
      </c>
      <c r="G201" s="226" t="s">
        <v>9</v>
      </c>
      <c r="H201" s="421">
        <f t="shared" si="114"/>
        <v>11</v>
      </c>
      <c r="I201" s="421">
        <f t="shared" si="115"/>
        <v>11</v>
      </c>
      <c r="J201" s="422">
        <f t="array" ref="J201">MAX((IF(MNU_CODIGO_ALIMENTO_ENTREGA=CONCATENATE($E201,"_","S_"),MNU_GRAMAJE_REQUERIDO_TIPOA,"")))</f>
        <v>50</v>
      </c>
      <c r="K201" s="227">
        <f t="shared" si="116"/>
        <v>264</v>
      </c>
      <c r="L201" s="227">
        <f t="shared" si="117"/>
        <v>0</v>
      </c>
      <c r="M201" s="227">
        <f t="shared" si="118"/>
        <v>2904</v>
      </c>
      <c r="N201" s="448">
        <f t="shared" si="119"/>
        <v>641</v>
      </c>
      <c r="O201" s="448">
        <f t="shared" si="120"/>
        <v>31.280800000000003</v>
      </c>
      <c r="P201" s="448">
        <f t="shared" si="121"/>
        <v>0.55127025600000001</v>
      </c>
      <c r="Q201" s="448">
        <f t="shared" si="122"/>
        <v>673</v>
      </c>
      <c r="R201" s="228">
        <f t="shared" si="123"/>
        <v>1861464</v>
      </c>
      <c r="S201" s="228">
        <f t="shared" si="124"/>
        <v>1954392</v>
      </c>
      <c r="T201" s="423">
        <f t="shared" si="125"/>
        <v>11</v>
      </c>
      <c r="U201" s="423">
        <f t="shared" si="126"/>
        <v>11</v>
      </c>
      <c r="V201" s="424">
        <f t="array" ref="V201">MAX((IF(MNU_CODIGO_ALIMENTO_ENTREGA=CONCATENATE($E201,"_","S_"),MNU_GRAMAJE_REQUERIDO_TIPOB,"")))</f>
        <v>50</v>
      </c>
      <c r="W201" s="391">
        <f t="shared" si="127"/>
        <v>765</v>
      </c>
      <c r="X201" s="391">
        <f t="shared" si="128"/>
        <v>0</v>
      </c>
      <c r="Y201" s="391">
        <f t="shared" si="129"/>
        <v>8415</v>
      </c>
      <c r="Z201" s="448">
        <f t="shared" si="130"/>
        <v>641</v>
      </c>
      <c r="AA201" s="448">
        <f t="shared" si="131"/>
        <v>31.280800000000003</v>
      </c>
      <c r="AB201" s="448">
        <f t="shared" si="132"/>
        <v>0.55127025600000001</v>
      </c>
      <c r="AC201" s="448">
        <f t="shared" si="133"/>
        <v>673</v>
      </c>
      <c r="AD201" s="229">
        <f t="shared" si="134"/>
        <v>5394015</v>
      </c>
      <c r="AE201" s="229">
        <f t="shared" si="135"/>
        <v>5663295</v>
      </c>
      <c r="AF201" s="421">
        <f t="shared" si="136"/>
        <v>11</v>
      </c>
      <c r="AG201" s="421">
        <f t="shared" si="137"/>
        <v>11</v>
      </c>
      <c r="AH201" s="422">
        <f t="array" ref="AH201">MAX((IF(MNU_CODIGO_ALIMENTO_ENTREGA=CONCATENATE($E201,"_","S_"),MNU_GRAMAJE_REQUERIDO_TIPOC,"")))</f>
        <v>80</v>
      </c>
      <c r="AI201" s="227">
        <f t="shared" si="138"/>
        <v>1254</v>
      </c>
      <c r="AJ201" s="227">
        <f t="shared" si="139"/>
        <v>0</v>
      </c>
      <c r="AK201" s="227">
        <f t="shared" si="140"/>
        <v>13794</v>
      </c>
      <c r="AL201" s="448">
        <f t="shared" si="141"/>
        <v>1025</v>
      </c>
      <c r="AM201" s="448">
        <f t="shared" si="142"/>
        <v>50.02</v>
      </c>
      <c r="AN201" s="448">
        <f t="shared" si="143"/>
        <v>0.88151640000000009</v>
      </c>
      <c r="AO201" s="448">
        <f t="shared" si="144"/>
        <v>1076</v>
      </c>
      <c r="AP201" s="448">
        <f t="shared" si="145"/>
        <v>14138850</v>
      </c>
      <c r="AQ201" s="228">
        <f t="shared" si="146"/>
        <v>14842344</v>
      </c>
      <c r="AR201" s="391">
        <f t="shared" si="147"/>
        <v>21394329</v>
      </c>
      <c r="AS201" s="391">
        <f t="shared" si="148"/>
        <v>22460031</v>
      </c>
    </row>
    <row r="202" spans="1:45" ht="27">
      <c r="A202" s="226">
        <v>24</v>
      </c>
      <c r="B202" s="226" t="str">
        <f t="shared" si="112"/>
        <v>CEREAL EMPACADO_24</v>
      </c>
      <c r="C202" s="333" t="str">
        <f t="shared" si="113"/>
        <v>21_24</v>
      </c>
      <c r="D202" s="392" t="s">
        <v>1607</v>
      </c>
      <c r="E202" s="226">
        <v>21</v>
      </c>
      <c r="F202" s="325" t="s">
        <v>70</v>
      </c>
      <c r="G202" s="226" t="s">
        <v>9</v>
      </c>
      <c r="H202" s="421">
        <f t="shared" si="114"/>
        <v>22</v>
      </c>
      <c r="I202" s="421">
        <f t="shared" si="115"/>
        <v>0</v>
      </c>
      <c r="J202" s="422">
        <f t="array" ref="J202">MAX((IF(MNU_CODIGO_ALIMENTO_ENTREGA=CONCATENATE($E202,"_","S_"),MNU_GRAMAJE_REQUERIDO_TIPOA,"")))</f>
        <v>30</v>
      </c>
      <c r="K202" s="227">
        <f t="shared" si="116"/>
        <v>264</v>
      </c>
      <c r="L202" s="227">
        <f t="shared" si="117"/>
        <v>0</v>
      </c>
      <c r="M202" s="227">
        <f t="shared" si="118"/>
        <v>5808</v>
      </c>
      <c r="N202" s="448">
        <f t="shared" si="119"/>
        <v>458</v>
      </c>
      <c r="O202" s="448">
        <f t="shared" si="120"/>
        <v>22.3504</v>
      </c>
      <c r="P202" s="448">
        <f t="shared" si="121"/>
        <v>0.39388732799999998</v>
      </c>
      <c r="Q202" s="448">
        <f t="shared" si="122"/>
        <v>481</v>
      </c>
      <c r="R202" s="228">
        <f t="shared" si="123"/>
        <v>2660064</v>
      </c>
      <c r="S202" s="228">
        <f t="shared" si="124"/>
        <v>2793648</v>
      </c>
      <c r="T202" s="423">
        <f t="shared" si="125"/>
        <v>22</v>
      </c>
      <c r="U202" s="423">
        <f t="shared" si="126"/>
        <v>0</v>
      </c>
      <c r="V202" s="424">
        <f t="array" ref="V202">MAX((IF(MNU_CODIGO_ALIMENTO_ENTREGA=CONCATENATE($E202,"_","S_"),MNU_GRAMAJE_REQUERIDO_TIPOB,"")))</f>
        <v>30</v>
      </c>
      <c r="W202" s="391">
        <f t="shared" si="127"/>
        <v>765</v>
      </c>
      <c r="X202" s="391">
        <f t="shared" si="128"/>
        <v>0</v>
      </c>
      <c r="Y202" s="391">
        <f t="shared" si="129"/>
        <v>16830</v>
      </c>
      <c r="Z202" s="448">
        <f t="shared" si="130"/>
        <v>458</v>
      </c>
      <c r="AA202" s="448">
        <f t="shared" si="131"/>
        <v>22.3504</v>
      </c>
      <c r="AB202" s="448">
        <f t="shared" si="132"/>
        <v>0.39388732799999998</v>
      </c>
      <c r="AC202" s="448">
        <f t="shared" si="133"/>
        <v>481</v>
      </c>
      <c r="AD202" s="229">
        <f t="shared" si="134"/>
        <v>7708140</v>
      </c>
      <c r="AE202" s="229">
        <f t="shared" si="135"/>
        <v>8095230</v>
      </c>
      <c r="AF202" s="421">
        <f t="shared" si="136"/>
        <v>22</v>
      </c>
      <c r="AG202" s="421">
        <f t="shared" si="137"/>
        <v>0</v>
      </c>
      <c r="AH202" s="422">
        <f t="array" ref="AH202">MAX((IF(MNU_CODIGO_ALIMENTO_ENTREGA=CONCATENATE($E202,"_","S_"),MNU_GRAMAJE_REQUERIDO_TIPOC,"")))</f>
        <v>50</v>
      </c>
      <c r="AI202" s="227">
        <f t="shared" si="138"/>
        <v>1254</v>
      </c>
      <c r="AJ202" s="227">
        <f t="shared" si="139"/>
        <v>0</v>
      </c>
      <c r="AK202" s="227">
        <f t="shared" si="140"/>
        <v>27588</v>
      </c>
      <c r="AL202" s="448">
        <f t="shared" si="141"/>
        <v>764</v>
      </c>
      <c r="AM202" s="448">
        <f t="shared" si="142"/>
        <v>37.283200000000001</v>
      </c>
      <c r="AN202" s="448">
        <f t="shared" si="143"/>
        <v>0.65705222400000007</v>
      </c>
      <c r="AO202" s="448">
        <f t="shared" si="144"/>
        <v>802</v>
      </c>
      <c r="AP202" s="448">
        <f t="shared" si="145"/>
        <v>21077232</v>
      </c>
      <c r="AQ202" s="228">
        <f t="shared" si="146"/>
        <v>22125576</v>
      </c>
      <c r="AR202" s="391">
        <f t="shared" si="147"/>
        <v>31445436</v>
      </c>
      <c r="AS202" s="391">
        <f t="shared" si="148"/>
        <v>33014454</v>
      </c>
    </row>
    <row r="203" spans="1:45" ht="15.75">
      <c r="A203" s="226">
        <v>24</v>
      </c>
      <c r="B203" s="226" t="str">
        <f t="shared" si="112"/>
        <v>CEREAL EMPACADO_24</v>
      </c>
      <c r="C203" s="333" t="str">
        <f t="shared" si="113"/>
        <v>24_24</v>
      </c>
      <c r="D203" s="392" t="s">
        <v>1607</v>
      </c>
      <c r="E203" s="226">
        <v>24</v>
      </c>
      <c r="F203" s="325" t="s">
        <v>61</v>
      </c>
      <c r="G203" s="226" t="s">
        <v>9</v>
      </c>
      <c r="H203" s="421">
        <f t="shared" si="114"/>
        <v>11</v>
      </c>
      <c r="I203" s="421">
        <f t="shared" si="115"/>
        <v>11</v>
      </c>
      <c r="J203" s="422">
        <f t="array" ref="J203">MAX((IF(MNU_CODIGO_ALIMENTO_ENTREGA=CONCATENATE($E203,"_","S_"),MNU_GRAMAJE_REQUERIDO_TIPOA,"")))</f>
        <v>20</v>
      </c>
      <c r="K203" s="227">
        <f t="shared" si="116"/>
        <v>264</v>
      </c>
      <c r="L203" s="227">
        <f t="shared" si="117"/>
        <v>0</v>
      </c>
      <c r="M203" s="227">
        <f t="shared" si="118"/>
        <v>2904</v>
      </c>
      <c r="N203" s="448">
        <f t="shared" si="119"/>
        <v>122</v>
      </c>
      <c r="O203" s="448">
        <f t="shared" si="120"/>
        <v>5.9535999999999998</v>
      </c>
      <c r="P203" s="448">
        <f t="shared" si="121"/>
        <v>0.104921952</v>
      </c>
      <c r="Q203" s="448">
        <f t="shared" si="122"/>
        <v>128</v>
      </c>
      <c r="R203" s="228">
        <f t="shared" si="123"/>
        <v>354288</v>
      </c>
      <c r="S203" s="228">
        <f t="shared" si="124"/>
        <v>371712</v>
      </c>
      <c r="T203" s="423">
        <f t="shared" si="125"/>
        <v>11</v>
      </c>
      <c r="U203" s="423">
        <f t="shared" si="126"/>
        <v>11</v>
      </c>
      <c r="V203" s="424">
        <f t="array" ref="V203">MAX((IF(MNU_CODIGO_ALIMENTO_ENTREGA=CONCATENATE($E203,"_","S_"),MNU_GRAMAJE_REQUERIDO_TIPOB,"")))</f>
        <v>30</v>
      </c>
      <c r="W203" s="391">
        <f t="shared" si="127"/>
        <v>765</v>
      </c>
      <c r="X203" s="391">
        <f t="shared" si="128"/>
        <v>0</v>
      </c>
      <c r="Y203" s="391">
        <f t="shared" si="129"/>
        <v>8415</v>
      </c>
      <c r="Z203" s="448">
        <f t="shared" si="130"/>
        <v>191</v>
      </c>
      <c r="AA203" s="448">
        <f t="shared" si="131"/>
        <v>9.3208000000000002</v>
      </c>
      <c r="AB203" s="448">
        <f t="shared" si="132"/>
        <v>0.16426305600000002</v>
      </c>
      <c r="AC203" s="448">
        <f t="shared" si="133"/>
        <v>200</v>
      </c>
      <c r="AD203" s="229">
        <f t="shared" si="134"/>
        <v>1607265</v>
      </c>
      <c r="AE203" s="229">
        <f t="shared" si="135"/>
        <v>1683000</v>
      </c>
      <c r="AF203" s="421">
        <f t="shared" si="136"/>
        <v>11</v>
      </c>
      <c r="AG203" s="421">
        <f t="shared" si="137"/>
        <v>11</v>
      </c>
      <c r="AH203" s="422">
        <f t="array" ref="AH203">MAX((IF(MNU_CODIGO_ALIMENTO_ENTREGA=CONCATENATE($E203,"_","S_"),MNU_GRAMAJE_REQUERIDO_TIPOC,"")))</f>
        <v>60</v>
      </c>
      <c r="AI203" s="227">
        <f t="shared" si="138"/>
        <v>1254</v>
      </c>
      <c r="AJ203" s="227">
        <f t="shared" si="139"/>
        <v>0</v>
      </c>
      <c r="AK203" s="227">
        <f t="shared" si="140"/>
        <v>13794</v>
      </c>
      <c r="AL203" s="448">
        <f t="shared" si="141"/>
        <v>367</v>
      </c>
      <c r="AM203" s="448">
        <f t="shared" si="142"/>
        <v>17.909599999999998</v>
      </c>
      <c r="AN203" s="448">
        <f t="shared" si="143"/>
        <v>0.31562587200000003</v>
      </c>
      <c r="AO203" s="448">
        <f t="shared" si="144"/>
        <v>385</v>
      </c>
      <c r="AP203" s="448">
        <f t="shared" si="145"/>
        <v>5062398</v>
      </c>
      <c r="AQ203" s="228">
        <f t="shared" si="146"/>
        <v>5310690</v>
      </c>
      <c r="AR203" s="391">
        <f t="shared" si="147"/>
        <v>7023951</v>
      </c>
      <c r="AS203" s="391">
        <f t="shared" si="148"/>
        <v>7365402</v>
      </c>
    </row>
    <row r="204" spans="1:45" ht="15.75">
      <c r="A204" s="226">
        <v>24</v>
      </c>
      <c r="B204" s="226" t="str">
        <f t="shared" si="112"/>
        <v>CEREAL EMPACADO_24</v>
      </c>
      <c r="C204" s="333" t="str">
        <f t="shared" si="113"/>
        <v>25_24</v>
      </c>
      <c r="D204" s="392" t="s">
        <v>1607</v>
      </c>
      <c r="E204" s="226">
        <v>25</v>
      </c>
      <c r="F204" s="325" t="s">
        <v>64</v>
      </c>
      <c r="G204" s="226" t="s">
        <v>9</v>
      </c>
      <c r="H204" s="421">
        <f t="shared" si="114"/>
        <v>22</v>
      </c>
      <c r="I204" s="421">
        <f t="shared" si="115"/>
        <v>0</v>
      </c>
      <c r="J204" s="422">
        <f t="array" ref="J204">MAX((IF(MNU_CODIGO_ALIMENTO_ENTREGA=CONCATENATE($E204,"_","S_"),MNU_GRAMAJE_REQUERIDO_TIPOA,"")))</f>
        <v>40</v>
      </c>
      <c r="K204" s="227">
        <f t="shared" si="116"/>
        <v>264</v>
      </c>
      <c r="L204" s="227">
        <f t="shared" si="117"/>
        <v>0</v>
      </c>
      <c r="M204" s="227">
        <f t="shared" si="118"/>
        <v>5808</v>
      </c>
      <c r="N204" s="448">
        <f t="shared" si="119"/>
        <v>244</v>
      </c>
      <c r="O204" s="448">
        <f t="shared" si="120"/>
        <v>11.9072</v>
      </c>
      <c r="P204" s="448">
        <f t="shared" si="121"/>
        <v>0.209843904</v>
      </c>
      <c r="Q204" s="448">
        <f t="shared" si="122"/>
        <v>256</v>
      </c>
      <c r="R204" s="228">
        <f t="shared" si="123"/>
        <v>1417152</v>
      </c>
      <c r="S204" s="228">
        <f t="shared" si="124"/>
        <v>1486848</v>
      </c>
      <c r="T204" s="423">
        <f t="shared" si="125"/>
        <v>22</v>
      </c>
      <c r="U204" s="423">
        <f t="shared" si="126"/>
        <v>0</v>
      </c>
      <c r="V204" s="424">
        <f t="array" ref="V204">MAX((IF(MNU_CODIGO_ALIMENTO_ENTREGA=CONCATENATE($E204,"_","S_"),MNU_GRAMAJE_REQUERIDO_TIPOB,"")))</f>
        <v>40</v>
      </c>
      <c r="W204" s="391">
        <f t="shared" si="127"/>
        <v>765</v>
      </c>
      <c r="X204" s="391">
        <f t="shared" si="128"/>
        <v>0</v>
      </c>
      <c r="Y204" s="391">
        <f t="shared" si="129"/>
        <v>16830</v>
      </c>
      <c r="Z204" s="448">
        <f t="shared" si="130"/>
        <v>244</v>
      </c>
      <c r="AA204" s="448">
        <f t="shared" si="131"/>
        <v>11.9072</v>
      </c>
      <c r="AB204" s="448">
        <f t="shared" si="132"/>
        <v>0.209843904</v>
      </c>
      <c r="AC204" s="448">
        <f t="shared" si="133"/>
        <v>256</v>
      </c>
      <c r="AD204" s="229">
        <f t="shared" si="134"/>
        <v>4106520</v>
      </c>
      <c r="AE204" s="229">
        <f t="shared" si="135"/>
        <v>4308480</v>
      </c>
      <c r="AF204" s="421">
        <f t="shared" si="136"/>
        <v>22</v>
      </c>
      <c r="AG204" s="421">
        <f t="shared" si="137"/>
        <v>0</v>
      </c>
      <c r="AH204" s="422">
        <f t="array" ref="AH204">MAX((IF(MNU_CODIGO_ALIMENTO_ENTREGA=CONCATENATE($E204,"_","S_"),MNU_GRAMAJE_REQUERIDO_TIPOC,"")))</f>
        <v>60</v>
      </c>
      <c r="AI204" s="227">
        <f t="shared" si="138"/>
        <v>1254</v>
      </c>
      <c r="AJ204" s="227">
        <f t="shared" si="139"/>
        <v>0</v>
      </c>
      <c r="AK204" s="227">
        <f t="shared" si="140"/>
        <v>27588</v>
      </c>
      <c r="AL204" s="448">
        <f t="shared" si="141"/>
        <v>366</v>
      </c>
      <c r="AM204" s="448">
        <f t="shared" si="142"/>
        <v>17.860800000000001</v>
      </c>
      <c r="AN204" s="448">
        <f t="shared" si="143"/>
        <v>0.31476585600000001</v>
      </c>
      <c r="AO204" s="448">
        <f t="shared" si="144"/>
        <v>384</v>
      </c>
      <c r="AP204" s="448">
        <f t="shared" si="145"/>
        <v>10097208</v>
      </c>
      <c r="AQ204" s="228">
        <f t="shared" si="146"/>
        <v>10593792</v>
      </c>
      <c r="AR204" s="391">
        <f t="shared" si="147"/>
        <v>15620880</v>
      </c>
      <c r="AS204" s="391">
        <f t="shared" si="148"/>
        <v>16389120</v>
      </c>
    </row>
    <row r="205" spans="1:45" ht="27">
      <c r="A205" s="226">
        <v>24</v>
      </c>
      <c r="B205" s="226" t="str">
        <f t="shared" si="112"/>
        <v>CEREAL EMPACADO_24</v>
      </c>
      <c r="C205" s="333" t="str">
        <f t="shared" si="113"/>
        <v>28_24</v>
      </c>
      <c r="D205" s="392" t="s">
        <v>1607</v>
      </c>
      <c r="E205" s="226">
        <v>28</v>
      </c>
      <c r="F205" s="325" t="s">
        <v>67</v>
      </c>
      <c r="G205" s="226" t="s">
        <v>9</v>
      </c>
      <c r="H205" s="421">
        <f t="shared" si="114"/>
        <v>19</v>
      </c>
      <c r="I205" s="421">
        <f t="shared" si="115"/>
        <v>0</v>
      </c>
      <c r="J205" s="422">
        <f t="array" ref="J205">MAX((IF(MNU_CODIGO_ALIMENTO_ENTREGA=CONCATENATE($E205,"_","S_"),MNU_GRAMAJE_REQUERIDO_TIPOA,"")))</f>
        <v>30</v>
      </c>
      <c r="K205" s="227">
        <f t="shared" si="116"/>
        <v>264</v>
      </c>
      <c r="L205" s="227">
        <f t="shared" si="117"/>
        <v>0</v>
      </c>
      <c r="M205" s="227">
        <f t="shared" si="118"/>
        <v>5016</v>
      </c>
      <c r="N205" s="448">
        <f t="shared" si="119"/>
        <v>215</v>
      </c>
      <c r="O205" s="448">
        <f t="shared" si="120"/>
        <v>10.492000000000001</v>
      </c>
      <c r="P205" s="448">
        <f t="shared" si="121"/>
        <v>0.18490343999999997</v>
      </c>
      <c r="Q205" s="448">
        <f t="shared" si="122"/>
        <v>226</v>
      </c>
      <c r="R205" s="228">
        <f t="shared" si="123"/>
        <v>1078440</v>
      </c>
      <c r="S205" s="228">
        <f t="shared" si="124"/>
        <v>1133616</v>
      </c>
      <c r="T205" s="423">
        <f t="shared" si="125"/>
        <v>19</v>
      </c>
      <c r="U205" s="423">
        <f t="shared" si="126"/>
        <v>0</v>
      </c>
      <c r="V205" s="424">
        <f t="array" ref="V205">MAX((IF(MNU_CODIGO_ALIMENTO_ENTREGA=CONCATENATE($E205,"_","S_"),MNU_GRAMAJE_REQUERIDO_TIPOB,"")))</f>
        <v>40</v>
      </c>
      <c r="W205" s="391">
        <f t="shared" si="127"/>
        <v>765</v>
      </c>
      <c r="X205" s="391">
        <f t="shared" si="128"/>
        <v>0</v>
      </c>
      <c r="Y205" s="391">
        <f t="shared" si="129"/>
        <v>14535</v>
      </c>
      <c r="Z205" s="448">
        <f t="shared" si="130"/>
        <v>287</v>
      </c>
      <c r="AA205" s="448">
        <f t="shared" si="131"/>
        <v>14.005600000000001</v>
      </c>
      <c r="AB205" s="448">
        <f t="shared" si="132"/>
        <v>0.24682459200000004</v>
      </c>
      <c r="AC205" s="448">
        <f t="shared" si="133"/>
        <v>301</v>
      </c>
      <c r="AD205" s="229">
        <f t="shared" si="134"/>
        <v>4171545</v>
      </c>
      <c r="AE205" s="229">
        <f t="shared" si="135"/>
        <v>4375035</v>
      </c>
      <c r="AF205" s="421">
        <f t="shared" si="136"/>
        <v>19</v>
      </c>
      <c r="AG205" s="421">
        <f t="shared" si="137"/>
        <v>0</v>
      </c>
      <c r="AH205" s="422">
        <f t="array" ref="AH205">MAX((IF(MNU_CODIGO_ALIMENTO_ENTREGA=CONCATENATE($E205,"_","S_"),MNU_GRAMAJE_REQUERIDO_TIPOC,"")))</f>
        <v>60</v>
      </c>
      <c r="AI205" s="227">
        <f t="shared" si="138"/>
        <v>1254</v>
      </c>
      <c r="AJ205" s="227">
        <f t="shared" si="139"/>
        <v>0</v>
      </c>
      <c r="AK205" s="227">
        <f t="shared" si="140"/>
        <v>23826</v>
      </c>
      <c r="AL205" s="448">
        <f t="shared" si="141"/>
        <v>430</v>
      </c>
      <c r="AM205" s="448">
        <f t="shared" si="142"/>
        <v>20.984000000000002</v>
      </c>
      <c r="AN205" s="448">
        <f t="shared" si="143"/>
        <v>0.36980687999999995</v>
      </c>
      <c r="AO205" s="448">
        <f t="shared" si="144"/>
        <v>451</v>
      </c>
      <c r="AP205" s="448">
        <f t="shared" si="145"/>
        <v>10245180</v>
      </c>
      <c r="AQ205" s="228">
        <f t="shared" si="146"/>
        <v>10745526</v>
      </c>
      <c r="AR205" s="391">
        <f t="shared" si="147"/>
        <v>15495165</v>
      </c>
      <c r="AS205" s="391">
        <f t="shared" si="148"/>
        <v>16254177</v>
      </c>
    </row>
    <row r="206" spans="1:45" ht="15.75">
      <c r="A206" s="226">
        <v>24</v>
      </c>
      <c r="B206" s="226" t="str">
        <f t="shared" si="112"/>
        <v>CEREAL EMPACADO_24</v>
      </c>
      <c r="C206" s="333" t="str">
        <f t="shared" si="113"/>
        <v>45_24</v>
      </c>
      <c r="D206" s="392" t="s">
        <v>1607</v>
      </c>
      <c r="E206" s="226">
        <v>45</v>
      </c>
      <c r="F206" s="325" t="s">
        <v>10</v>
      </c>
      <c r="G206" s="226" t="s">
        <v>9</v>
      </c>
      <c r="H206" s="421">
        <f t="shared" si="114"/>
        <v>20</v>
      </c>
      <c r="I206" s="421">
        <f t="shared" si="115"/>
        <v>0</v>
      </c>
      <c r="J206" s="422">
        <f t="array" ref="J206">MAX((IF(MNU_CODIGO_ALIMENTO_ENTREGA=CONCATENATE($E206,"_","S_"),MNU_GRAMAJE_REQUERIDO_TIPOA,"")))</f>
        <v>20</v>
      </c>
      <c r="K206" s="227">
        <f t="shared" si="116"/>
        <v>264</v>
      </c>
      <c r="L206" s="227">
        <f t="shared" si="117"/>
        <v>0</v>
      </c>
      <c r="M206" s="227">
        <f t="shared" si="118"/>
        <v>5280</v>
      </c>
      <c r="N206" s="448">
        <f t="shared" si="119"/>
        <v>190</v>
      </c>
      <c r="O206" s="448">
        <f t="shared" si="120"/>
        <v>9.2720000000000002</v>
      </c>
      <c r="P206" s="448">
        <f t="shared" si="121"/>
        <v>0.16340304</v>
      </c>
      <c r="Q206" s="448">
        <f t="shared" si="122"/>
        <v>199</v>
      </c>
      <c r="R206" s="228">
        <f t="shared" si="123"/>
        <v>1003200</v>
      </c>
      <c r="S206" s="228">
        <f t="shared" si="124"/>
        <v>1050720</v>
      </c>
      <c r="T206" s="423">
        <f t="shared" si="125"/>
        <v>20</v>
      </c>
      <c r="U206" s="423">
        <f t="shared" si="126"/>
        <v>0</v>
      </c>
      <c r="V206" s="424">
        <f t="array" ref="V206">MAX((IF(MNU_CODIGO_ALIMENTO_ENTREGA=CONCATENATE($E206,"_","S_"),MNU_GRAMAJE_REQUERIDO_TIPOB,"")))</f>
        <v>30</v>
      </c>
      <c r="W206" s="391">
        <f t="shared" si="127"/>
        <v>765</v>
      </c>
      <c r="X206" s="391">
        <f t="shared" si="128"/>
        <v>0</v>
      </c>
      <c r="Y206" s="391">
        <f t="shared" si="129"/>
        <v>15300</v>
      </c>
      <c r="Z206" s="448">
        <f t="shared" si="130"/>
        <v>284</v>
      </c>
      <c r="AA206" s="448">
        <f t="shared" si="131"/>
        <v>13.8592</v>
      </c>
      <c r="AB206" s="448">
        <f t="shared" si="132"/>
        <v>0.24424454399999998</v>
      </c>
      <c r="AC206" s="448">
        <f t="shared" si="133"/>
        <v>298</v>
      </c>
      <c r="AD206" s="229">
        <f t="shared" si="134"/>
        <v>4345200</v>
      </c>
      <c r="AE206" s="229">
        <f t="shared" si="135"/>
        <v>4559400</v>
      </c>
      <c r="AF206" s="421">
        <f t="shared" si="136"/>
        <v>20</v>
      </c>
      <c r="AG206" s="421">
        <f t="shared" si="137"/>
        <v>0</v>
      </c>
      <c r="AH206" s="422">
        <f t="array" ref="AH206">MAX((IF(MNU_CODIGO_ALIMENTO_ENTREGA=CONCATENATE($E206,"_","S_"),MNU_GRAMAJE_REQUERIDO_TIPOC,"")))</f>
        <v>60</v>
      </c>
      <c r="AI206" s="227">
        <f t="shared" si="138"/>
        <v>1254</v>
      </c>
      <c r="AJ206" s="227">
        <f t="shared" si="139"/>
        <v>0</v>
      </c>
      <c r="AK206" s="227">
        <f t="shared" si="140"/>
        <v>25080</v>
      </c>
      <c r="AL206" s="448">
        <f t="shared" si="141"/>
        <v>569</v>
      </c>
      <c r="AM206" s="448">
        <f t="shared" si="142"/>
        <v>27.767199999999999</v>
      </c>
      <c r="AN206" s="448">
        <f t="shared" si="143"/>
        <v>0.48934910400000003</v>
      </c>
      <c r="AO206" s="448">
        <f t="shared" si="144"/>
        <v>597</v>
      </c>
      <c r="AP206" s="448">
        <f t="shared" si="145"/>
        <v>14270520</v>
      </c>
      <c r="AQ206" s="228">
        <f t="shared" si="146"/>
        <v>14972760</v>
      </c>
      <c r="AR206" s="391">
        <f t="shared" si="147"/>
        <v>19618920</v>
      </c>
      <c r="AS206" s="391">
        <f t="shared" si="148"/>
        <v>20582880</v>
      </c>
    </row>
    <row r="207" spans="1:45" ht="15.75">
      <c r="A207" s="226">
        <v>24</v>
      </c>
      <c r="B207" s="226" t="str">
        <f t="shared" si="112"/>
        <v>CEREAL EMPACADO_24</v>
      </c>
      <c r="C207" s="333" t="str">
        <f t="shared" si="113"/>
        <v>61_24</v>
      </c>
      <c r="D207" s="392" t="s">
        <v>1607</v>
      </c>
      <c r="E207" s="226">
        <v>61</v>
      </c>
      <c r="F207" s="325" t="s">
        <v>13</v>
      </c>
      <c r="G207" s="226" t="s">
        <v>9</v>
      </c>
      <c r="H207" s="421">
        <f t="shared" si="114"/>
        <v>20</v>
      </c>
      <c r="I207" s="421">
        <f t="shared" si="115"/>
        <v>0</v>
      </c>
      <c r="J207" s="422">
        <f t="array" ref="J207">MAX((IF(MNU_CODIGO_ALIMENTO_ENTREGA=CONCATENATE($E207,"_","S_"),MNU_GRAMAJE_REQUERIDO_TIPOA,"")))</f>
        <v>20</v>
      </c>
      <c r="K207" s="227">
        <f t="shared" si="116"/>
        <v>264</v>
      </c>
      <c r="L207" s="227">
        <f t="shared" si="117"/>
        <v>0</v>
      </c>
      <c r="M207" s="227">
        <f t="shared" si="118"/>
        <v>5280</v>
      </c>
      <c r="N207" s="448">
        <f t="shared" si="119"/>
        <v>222</v>
      </c>
      <c r="O207" s="448">
        <f t="shared" si="120"/>
        <v>10.833600000000001</v>
      </c>
      <c r="P207" s="448">
        <f t="shared" si="121"/>
        <v>0.190923552</v>
      </c>
      <c r="Q207" s="448">
        <f t="shared" si="122"/>
        <v>233</v>
      </c>
      <c r="R207" s="228">
        <f t="shared" si="123"/>
        <v>1172160</v>
      </c>
      <c r="S207" s="228">
        <f t="shared" si="124"/>
        <v>1230240</v>
      </c>
      <c r="T207" s="423">
        <f t="shared" si="125"/>
        <v>20</v>
      </c>
      <c r="U207" s="423">
        <f t="shared" si="126"/>
        <v>0</v>
      </c>
      <c r="V207" s="424">
        <f t="array" ref="V207">MAX((IF(MNU_CODIGO_ALIMENTO_ENTREGA=CONCATENATE($E207,"_","S_"),MNU_GRAMAJE_REQUERIDO_TIPOB,"")))</f>
        <v>30</v>
      </c>
      <c r="W207" s="391">
        <f t="shared" si="127"/>
        <v>765</v>
      </c>
      <c r="X207" s="391">
        <f t="shared" si="128"/>
        <v>0</v>
      </c>
      <c r="Y207" s="391">
        <f t="shared" si="129"/>
        <v>15300</v>
      </c>
      <c r="Z207" s="448">
        <f t="shared" si="130"/>
        <v>334</v>
      </c>
      <c r="AA207" s="448">
        <f t="shared" si="131"/>
        <v>16.299199999999999</v>
      </c>
      <c r="AB207" s="448">
        <f t="shared" si="132"/>
        <v>0.28724534400000001</v>
      </c>
      <c r="AC207" s="448">
        <f t="shared" si="133"/>
        <v>351</v>
      </c>
      <c r="AD207" s="229">
        <f t="shared" si="134"/>
        <v>5110200</v>
      </c>
      <c r="AE207" s="229">
        <f t="shared" si="135"/>
        <v>5370300</v>
      </c>
      <c r="AF207" s="421">
        <f t="shared" si="136"/>
        <v>20</v>
      </c>
      <c r="AG207" s="421">
        <f t="shared" si="137"/>
        <v>0</v>
      </c>
      <c r="AH207" s="422">
        <f t="array" ref="AH207">MAX((IF(MNU_CODIGO_ALIMENTO_ENTREGA=CONCATENATE($E207,"_","S_"),MNU_GRAMAJE_REQUERIDO_TIPOC,"")))</f>
        <v>70</v>
      </c>
      <c r="AI207" s="227">
        <f t="shared" si="138"/>
        <v>1254</v>
      </c>
      <c r="AJ207" s="227">
        <f t="shared" si="139"/>
        <v>0</v>
      </c>
      <c r="AK207" s="227">
        <f t="shared" si="140"/>
        <v>25080</v>
      </c>
      <c r="AL207" s="448">
        <f t="shared" si="141"/>
        <v>779</v>
      </c>
      <c r="AM207" s="448">
        <f t="shared" si="142"/>
        <v>38.0152</v>
      </c>
      <c r="AN207" s="448">
        <f t="shared" si="143"/>
        <v>0.66995246400000008</v>
      </c>
      <c r="AO207" s="448">
        <f t="shared" si="144"/>
        <v>818</v>
      </c>
      <c r="AP207" s="448">
        <f t="shared" si="145"/>
        <v>19537320</v>
      </c>
      <c r="AQ207" s="228">
        <f t="shared" si="146"/>
        <v>20515440</v>
      </c>
      <c r="AR207" s="391">
        <f t="shared" si="147"/>
        <v>25819680</v>
      </c>
      <c r="AS207" s="391">
        <f t="shared" si="148"/>
        <v>27115980</v>
      </c>
    </row>
    <row r="208" spans="1:45" ht="15.75">
      <c r="A208" s="226">
        <v>25</v>
      </c>
      <c r="B208" s="226" t="str">
        <f t="shared" si="112"/>
        <v>CEREAL EMPACADO_25</v>
      </c>
      <c r="C208" s="333" t="str">
        <f t="shared" si="113"/>
        <v>3_25</v>
      </c>
      <c r="D208" s="392" t="s">
        <v>1607</v>
      </c>
      <c r="E208" s="226">
        <v>3</v>
      </c>
      <c r="F208" s="325" t="s">
        <v>12</v>
      </c>
      <c r="G208" s="226" t="s">
        <v>9</v>
      </c>
      <c r="H208" s="421">
        <f t="shared" si="114"/>
        <v>19</v>
      </c>
      <c r="I208" s="421">
        <f t="shared" si="115"/>
        <v>0</v>
      </c>
      <c r="J208" s="422">
        <f t="array" ref="J208">MAX((IF(MNU_CODIGO_ALIMENTO_ENTREGA=CONCATENATE($E208,"_","S_"),MNU_GRAMAJE_REQUERIDO_TIPOA,"")))</f>
        <v>50</v>
      </c>
      <c r="K208" s="227">
        <f t="shared" si="116"/>
        <v>2170</v>
      </c>
      <c r="L208" s="227">
        <f t="shared" si="117"/>
        <v>0</v>
      </c>
      <c r="M208" s="227">
        <f t="shared" si="118"/>
        <v>41230</v>
      </c>
      <c r="N208" s="448">
        <f t="shared" si="119"/>
        <v>481</v>
      </c>
      <c r="O208" s="448">
        <f t="shared" si="120"/>
        <v>23.472799999999999</v>
      </c>
      <c r="P208" s="448">
        <f t="shared" si="121"/>
        <v>0.41366769599999997</v>
      </c>
      <c r="Q208" s="448">
        <f t="shared" si="122"/>
        <v>505</v>
      </c>
      <c r="R208" s="228">
        <f t="shared" si="123"/>
        <v>19831630</v>
      </c>
      <c r="S208" s="228">
        <f t="shared" si="124"/>
        <v>20821150</v>
      </c>
      <c r="T208" s="423">
        <f t="shared" si="125"/>
        <v>19</v>
      </c>
      <c r="U208" s="423">
        <f t="shared" si="126"/>
        <v>0</v>
      </c>
      <c r="V208" s="424">
        <f t="array" ref="V208">MAX((IF(MNU_CODIGO_ALIMENTO_ENTREGA=CONCATENATE($E208,"_","S_"),MNU_GRAMAJE_REQUERIDO_TIPOB,"")))</f>
        <v>50</v>
      </c>
      <c r="W208" s="391">
        <f t="shared" si="127"/>
        <v>2504</v>
      </c>
      <c r="X208" s="391">
        <f t="shared" si="128"/>
        <v>0</v>
      </c>
      <c r="Y208" s="391">
        <f t="shared" si="129"/>
        <v>47576</v>
      </c>
      <c r="Z208" s="448">
        <f t="shared" si="130"/>
        <v>481</v>
      </c>
      <c r="AA208" s="448">
        <f t="shared" si="131"/>
        <v>23.472799999999999</v>
      </c>
      <c r="AB208" s="448">
        <f t="shared" si="132"/>
        <v>0.41366769599999997</v>
      </c>
      <c r="AC208" s="448">
        <f t="shared" si="133"/>
        <v>505</v>
      </c>
      <c r="AD208" s="229">
        <f t="shared" si="134"/>
        <v>22884056</v>
      </c>
      <c r="AE208" s="229">
        <f t="shared" si="135"/>
        <v>24025880</v>
      </c>
      <c r="AF208" s="421">
        <f t="shared" si="136"/>
        <v>19</v>
      </c>
      <c r="AG208" s="421">
        <f t="shared" si="137"/>
        <v>0</v>
      </c>
      <c r="AH208" s="422">
        <f t="array" ref="AH208">MAX((IF(MNU_CODIGO_ALIMENTO_ENTREGA=CONCATENATE($E208,"_","S_"),MNU_GRAMAJE_REQUERIDO_TIPOC,"")))</f>
        <v>80</v>
      </c>
      <c r="AI208" s="227">
        <f t="shared" si="138"/>
        <v>3093</v>
      </c>
      <c r="AJ208" s="227">
        <f t="shared" si="139"/>
        <v>0</v>
      </c>
      <c r="AK208" s="227">
        <f t="shared" si="140"/>
        <v>58767</v>
      </c>
      <c r="AL208" s="448">
        <f t="shared" si="141"/>
        <v>727</v>
      </c>
      <c r="AM208" s="448">
        <f t="shared" si="142"/>
        <v>35.477600000000002</v>
      </c>
      <c r="AN208" s="448">
        <f t="shared" si="143"/>
        <v>0.62523163200000009</v>
      </c>
      <c r="AO208" s="448">
        <f t="shared" si="144"/>
        <v>763</v>
      </c>
      <c r="AP208" s="448">
        <f t="shared" si="145"/>
        <v>42723609</v>
      </c>
      <c r="AQ208" s="228">
        <f t="shared" si="146"/>
        <v>44839221</v>
      </c>
      <c r="AR208" s="391">
        <f t="shared" si="147"/>
        <v>85439295</v>
      </c>
      <c r="AS208" s="391">
        <f t="shared" si="148"/>
        <v>89686251</v>
      </c>
    </row>
    <row r="209" spans="1:45" ht="15.75">
      <c r="A209" s="226">
        <v>25</v>
      </c>
      <c r="B209" s="226" t="str">
        <f t="shared" si="112"/>
        <v>CEREAL EMPACADO_25</v>
      </c>
      <c r="C209" s="333" t="str">
        <f t="shared" si="113"/>
        <v>15_25</v>
      </c>
      <c r="D209" s="392" t="s">
        <v>1607</v>
      </c>
      <c r="E209" s="226">
        <v>15</v>
      </c>
      <c r="F209" s="325" t="s">
        <v>66</v>
      </c>
      <c r="G209" s="226" t="s">
        <v>9</v>
      </c>
      <c r="H209" s="421">
        <f t="shared" si="114"/>
        <v>11</v>
      </c>
      <c r="I209" s="421">
        <f t="shared" si="115"/>
        <v>11</v>
      </c>
      <c r="J209" s="422">
        <f t="array" ref="J209">MAX((IF(MNU_CODIGO_ALIMENTO_ENTREGA=CONCATENATE($E209,"_","S_"),MNU_GRAMAJE_REQUERIDO_TIPOA,"")))</f>
        <v>50</v>
      </c>
      <c r="K209" s="227">
        <f t="shared" si="116"/>
        <v>2170</v>
      </c>
      <c r="L209" s="227">
        <f t="shared" si="117"/>
        <v>0</v>
      </c>
      <c r="M209" s="227">
        <f t="shared" si="118"/>
        <v>23870</v>
      </c>
      <c r="N209" s="448">
        <f t="shared" si="119"/>
        <v>641</v>
      </c>
      <c r="O209" s="448">
        <f t="shared" si="120"/>
        <v>31.280800000000003</v>
      </c>
      <c r="P209" s="448">
        <f t="shared" si="121"/>
        <v>0.55127025600000001</v>
      </c>
      <c r="Q209" s="448">
        <f t="shared" si="122"/>
        <v>673</v>
      </c>
      <c r="R209" s="228">
        <f t="shared" si="123"/>
        <v>15300670</v>
      </c>
      <c r="S209" s="228">
        <f t="shared" si="124"/>
        <v>16064510</v>
      </c>
      <c r="T209" s="423">
        <f t="shared" si="125"/>
        <v>11</v>
      </c>
      <c r="U209" s="423">
        <f t="shared" si="126"/>
        <v>11</v>
      </c>
      <c r="V209" s="424">
        <f t="array" ref="V209">MAX((IF(MNU_CODIGO_ALIMENTO_ENTREGA=CONCATENATE($E209,"_","S_"),MNU_GRAMAJE_REQUERIDO_TIPOB,"")))</f>
        <v>50</v>
      </c>
      <c r="W209" s="391">
        <f t="shared" si="127"/>
        <v>2504</v>
      </c>
      <c r="X209" s="391">
        <f t="shared" si="128"/>
        <v>0</v>
      </c>
      <c r="Y209" s="391">
        <f t="shared" si="129"/>
        <v>27544</v>
      </c>
      <c r="Z209" s="448">
        <f t="shared" si="130"/>
        <v>641</v>
      </c>
      <c r="AA209" s="448">
        <f t="shared" si="131"/>
        <v>31.280800000000003</v>
      </c>
      <c r="AB209" s="448">
        <f t="shared" si="132"/>
        <v>0.55127025600000001</v>
      </c>
      <c r="AC209" s="448">
        <f t="shared" si="133"/>
        <v>673</v>
      </c>
      <c r="AD209" s="229">
        <f t="shared" si="134"/>
        <v>17655704</v>
      </c>
      <c r="AE209" s="229">
        <f t="shared" si="135"/>
        <v>18537112</v>
      </c>
      <c r="AF209" s="421">
        <f t="shared" si="136"/>
        <v>11</v>
      </c>
      <c r="AG209" s="421">
        <f t="shared" si="137"/>
        <v>11</v>
      </c>
      <c r="AH209" s="422">
        <f t="array" ref="AH209">MAX((IF(MNU_CODIGO_ALIMENTO_ENTREGA=CONCATENATE($E209,"_","S_"),MNU_GRAMAJE_REQUERIDO_TIPOC,"")))</f>
        <v>80</v>
      </c>
      <c r="AI209" s="227">
        <f t="shared" si="138"/>
        <v>3093</v>
      </c>
      <c r="AJ209" s="227">
        <f t="shared" si="139"/>
        <v>0</v>
      </c>
      <c r="AK209" s="227">
        <f t="shared" si="140"/>
        <v>34023</v>
      </c>
      <c r="AL209" s="448">
        <f t="shared" si="141"/>
        <v>1025</v>
      </c>
      <c r="AM209" s="448">
        <f t="shared" si="142"/>
        <v>50.02</v>
      </c>
      <c r="AN209" s="448">
        <f t="shared" si="143"/>
        <v>0.88151640000000009</v>
      </c>
      <c r="AO209" s="448">
        <f t="shared" si="144"/>
        <v>1076</v>
      </c>
      <c r="AP209" s="448">
        <f t="shared" si="145"/>
        <v>34873575</v>
      </c>
      <c r="AQ209" s="228">
        <f t="shared" si="146"/>
        <v>36608748</v>
      </c>
      <c r="AR209" s="391">
        <f t="shared" si="147"/>
        <v>67829949</v>
      </c>
      <c r="AS209" s="391">
        <f t="shared" si="148"/>
        <v>71210370</v>
      </c>
    </row>
    <row r="210" spans="1:45" ht="27">
      <c r="A210" s="226">
        <v>25</v>
      </c>
      <c r="B210" s="226" t="str">
        <f t="shared" si="112"/>
        <v>CEREAL EMPACADO_25</v>
      </c>
      <c r="C210" s="333" t="str">
        <f t="shared" si="113"/>
        <v>21_25</v>
      </c>
      <c r="D210" s="392" t="s">
        <v>1607</v>
      </c>
      <c r="E210" s="226">
        <v>21</v>
      </c>
      <c r="F210" s="325" t="s">
        <v>70</v>
      </c>
      <c r="G210" s="226" t="s">
        <v>9</v>
      </c>
      <c r="H210" s="421">
        <f t="shared" si="114"/>
        <v>22</v>
      </c>
      <c r="I210" s="421">
        <f t="shared" si="115"/>
        <v>0</v>
      </c>
      <c r="J210" s="422">
        <f t="array" ref="J210">MAX((IF(MNU_CODIGO_ALIMENTO_ENTREGA=CONCATENATE($E210,"_","S_"),MNU_GRAMAJE_REQUERIDO_TIPOA,"")))</f>
        <v>30</v>
      </c>
      <c r="K210" s="227">
        <f t="shared" si="116"/>
        <v>2170</v>
      </c>
      <c r="L210" s="227">
        <f t="shared" si="117"/>
        <v>0</v>
      </c>
      <c r="M210" s="227">
        <f t="shared" si="118"/>
        <v>47740</v>
      </c>
      <c r="N210" s="448">
        <f t="shared" si="119"/>
        <v>458</v>
      </c>
      <c r="O210" s="448">
        <f t="shared" si="120"/>
        <v>22.3504</v>
      </c>
      <c r="P210" s="448">
        <f t="shared" si="121"/>
        <v>0.39388732799999998</v>
      </c>
      <c r="Q210" s="448">
        <f t="shared" si="122"/>
        <v>481</v>
      </c>
      <c r="R210" s="228">
        <f t="shared" si="123"/>
        <v>21864920</v>
      </c>
      <c r="S210" s="228">
        <f t="shared" si="124"/>
        <v>22962940</v>
      </c>
      <c r="T210" s="423">
        <f t="shared" si="125"/>
        <v>22</v>
      </c>
      <c r="U210" s="423">
        <f t="shared" si="126"/>
        <v>0</v>
      </c>
      <c r="V210" s="424">
        <f t="array" ref="V210">MAX((IF(MNU_CODIGO_ALIMENTO_ENTREGA=CONCATENATE($E210,"_","S_"),MNU_GRAMAJE_REQUERIDO_TIPOB,"")))</f>
        <v>30</v>
      </c>
      <c r="W210" s="391">
        <f t="shared" si="127"/>
        <v>2504</v>
      </c>
      <c r="X210" s="391">
        <f t="shared" si="128"/>
        <v>0</v>
      </c>
      <c r="Y210" s="391">
        <f t="shared" si="129"/>
        <v>55088</v>
      </c>
      <c r="Z210" s="448">
        <f t="shared" si="130"/>
        <v>458</v>
      </c>
      <c r="AA210" s="448">
        <f t="shared" si="131"/>
        <v>22.3504</v>
      </c>
      <c r="AB210" s="448">
        <f t="shared" si="132"/>
        <v>0.39388732799999998</v>
      </c>
      <c r="AC210" s="448">
        <f t="shared" si="133"/>
        <v>481</v>
      </c>
      <c r="AD210" s="229">
        <f t="shared" si="134"/>
        <v>25230304</v>
      </c>
      <c r="AE210" s="229">
        <f t="shared" si="135"/>
        <v>26497328</v>
      </c>
      <c r="AF210" s="421">
        <f t="shared" si="136"/>
        <v>22</v>
      </c>
      <c r="AG210" s="421">
        <f t="shared" si="137"/>
        <v>0</v>
      </c>
      <c r="AH210" s="422">
        <f t="array" ref="AH210">MAX((IF(MNU_CODIGO_ALIMENTO_ENTREGA=CONCATENATE($E210,"_","S_"),MNU_GRAMAJE_REQUERIDO_TIPOC,"")))</f>
        <v>50</v>
      </c>
      <c r="AI210" s="227">
        <f t="shared" si="138"/>
        <v>3093</v>
      </c>
      <c r="AJ210" s="227">
        <f t="shared" si="139"/>
        <v>0</v>
      </c>
      <c r="AK210" s="227">
        <f t="shared" si="140"/>
        <v>68046</v>
      </c>
      <c r="AL210" s="448">
        <f t="shared" si="141"/>
        <v>764</v>
      </c>
      <c r="AM210" s="448">
        <f t="shared" si="142"/>
        <v>37.283200000000001</v>
      </c>
      <c r="AN210" s="448">
        <f t="shared" si="143"/>
        <v>0.65705222400000007</v>
      </c>
      <c r="AO210" s="448">
        <f t="shared" si="144"/>
        <v>802</v>
      </c>
      <c r="AP210" s="448">
        <f t="shared" si="145"/>
        <v>51987144</v>
      </c>
      <c r="AQ210" s="228">
        <f t="shared" si="146"/>
        <v>54572892</v>
      </c>
      <c r="AR210" s="391">
        <f t="shared" si="147"/>
        <v>99082368</v>
      </c>
      <c r="AS210" s="391">
        <f t="shared" si="148"/>
        <v>104033160</v>
      </c>
    </row>
    <row r="211" spans="1:45" ht="15.75">
      <c r="A211" s="226">
        <v>25</v>
      </c>
      <c r="B211" s="226" t="str">
        <f t="shared" si="112"/>
        <v>CEREAL EMPACADO_25</v>
      </c>
      <c r="C211" s="333" t="str">
        <f t="shared" si="113"/>
        <v>24_25</v>
      </c>
      <c r="D211" s="392" t="s">
        <v>1607</v>
      </c>
      <c r="E211" s="226">
        <v>24</v>
      </c>
      <c r="F211" s="325" t="s">
        <v>61</v>
      </c>
      <c r="G211" s="226" t="s">
        <v>9</v>
      </c>
      <c r="H211" s="421">
        <f t="shared" si="114"/>
        <v>11</v>
      </c>
      <c r="I211" s="421">
        <f t="shared" si="115"/>
        <v>11</v>
      </c>
      <c r="J211" s="422">
        <f t="array" ref="J211">MAX((IF(MNU_CODIGO_ALIMENTO_ENTREGA=CONCATENATE($E211,"_","S_"),MNU_GRAMAJE_REQUERIDO_TIPOA,"")))</f>
        <v>20</v>
      </c>
      <c r="K211" s="227">
        <f t="shared" si="116"/>
        <v>2170</v>
      </c>
      <c r="L211" s="227">
        <f t="shared" si="117"/>
        <v>0</v>
      </c>
      <c r="M211" s="227">
        <f t="shared" si="118"/>
        <v>23870</v>
      </c>
      <c r="N211" s="448">
        <f t="shared" si="119"/>
        <v>122</v>
      </c>
      <c r="O211" s="448">
        <f t="shared" si="120"/>
        <v>5.9535999999999998</v>
      </c>
      <c r="P211" s="448">
        <f t="shared" si="121"/>
        <v>0.104921952</v>
      </c>
      <c r="Q211" s="448">
        <f t="shared" si="122"/>
        <v>128</v>
      </c>
      <c r="R211" s="228">
        <f t="shared" si="123"/>
        <v>2912140</v>
      </c>
      <c r="S211" s="228">
        <f t="shared" si="124"/>
        <v>3055360</v>
      </c>
      <c r="T211" s="423">
        <f t="shared" si="125"/>
        <v>11</v>
      </c>
      <c r="U211" s="423">
        <f t="shared" si="126"/>
        <v>11</v>
      </c>
      <c r="V211" s="424">
        <f t="array" ref="V211">MAX((IF(MNU_CODIGO_ALIMENTO_ENTREGA=CONCATENATE($E211,"_","S_"),MNU_GRAMAJE_REQUERIDO_TIPOB,"")))</f>
        <v>30</v>
      </c>
      <c r="W211" s="391">
        <f t="shared" si="127"/>
        <v>2504</v>
      </c>
      <c r="X211" s="391">
        <f t="shared" si="128"/>
        <v>0</v>
      </c>
      <c r="Y211" s="391">
        <f t="shared" si="129"/>
        <v>27544</v>
      </c>
      <c r="Z211" s="448">
        <f t="shared" si="130"/>
        <v>191</v>
      </c>
      <c r="AA211" s="448">
        <f t="shared" si="131"/>
        <v>9.3208000000000002</v>
      </c>
      <c r="AB211" s="448">
        <f t="shared" si="132"/>
        <v>0.16426305600000002</v>
      </c>
      <c r="AC211" s="448">
        <f t="shared" si="133"/>
        <v>200</v>
      </c>
      <c r="AD211" s="229">
        <f t="shared" si="134"/>
        <v>5260904</v>
      </c>
      <c r="AE211" s="229">
        <f t="shared" si="135"/>
        <v>5508800</v>
      </c>
      <c r="AF211" s="421">
        <f t="shared" si="136"/>
        <v>11</v>
      </c>
      <c r="AG211" s="421">
        <f t="shared" si="137"/>
        <v>11</v>
      </c>
      <c r="AH211" s="422">
        <f t="array" ref="AH211">MAX((IF(MNU_CODIGO_ALIMENTO_ENTREGA=CONCATENATE($E211,"_","S_"),MNU_GRAMAJE_REQUERIDO_TIPOC,"")))</f>
        <v>60</v>
      </c>
      <c r="AI211" s="227">
        <f t="shared" si="138"/>
        <v>3093</v>
      </c>
      <c r="AJ211" s="227">
        <f t="shared" si="139"/>
        <v>0</v>
      </c>
      <c r="AK211" s="227">
        <f t="shared" si="140"/>
        <v>34023</v>
      </c>
      <c r="AL211" s="448">
        <f t="shared" si="141"/>
        <v>367</v>
      </c>
      <c r="AM211" s="448">
        <f t="shared" si="142"/>
        <v>17.909599999999998</v>
      </c>
      <c r="AN211" s="448">
        <f t="shared" si="143"/>
        <v>0.31562587200000003</v>
      </c>
      <c r="AO211" s="448">
        <f t="shared" si="144"/>
        <v>385</v>
      </c>
      <c r="AP211" s="448">
        <f t="shared" si="145"/>
        <v>12486441</v>
      </c>
      <c r="AQ211" s="228">
        <f t="shared" si="146"/>
        <v>13098855</v>
      </c>
      <c r="AR211" s="391">
        <f t="shared" si="147"/>
        <v>20659485</v>
      </c>
      <c r="AS211" s="391">
        <f t="shared" si="148"/>
        <v>21663015</v>
      </c>
    </row>
    <row r="212" spans="1:45" ht="15.75">
      <c r="A212" s="226">
        <v>25</v>
      </c>
      <c r="B212" s="226" t="str">
        <f t="shared" si="112"/>
        <v>CEREAL EMPACADO_25</v>
      </c>
      <c r="C212" s="333" t="str">
        <f t="shared" si="113"/>
        <v>25_25</v>
      </c>
      <c r="D212" s="392" t="s">
        <v>1607</v>
      </c>
      <c r="E212" s="226">
        <v>25</v>
      </c>
      <c r="F212" s="325" t="s">
        <v>64</v>
      </c>
      <c r="G212" s="226" t="s">
        <v>9</v>
      </c>
      <c r="H212" s="421">
        <f t="shared" si="114"/>
        <v>22</v>
      </c>
      <c r="I212" s="421">
        <f t="shared" si="115"/>
        <v>0</v>
      </c>
      <c r="J212" s="422">
        <f t="array" ref="J212">MAX((IF(MNU_CODIGO_ALIMENTO_ENTREGA=CONCATENATE($E212,"_","S_"),MNU_GRAMAJE_REQUERIDO_TIPOA,"")))</f>
        <v>40</v>
      </c>
      <c r="K212" s="227">
        <f t="shared" si="116"/>
        <v>2170</v>
      </c>
      <c r="L212" s="227">
        <f t="shared" si="117"/>
        <v>0</v>
      </c>
      <c r="M212" s="227">
        <f t="shared" si="118"/>
        <v>47740</v>
      </c>
      <c r="N212" s="448">
        <f t="shared" si="119"/>
        <v>244</v>
      </c>
      <c r="O212" s="448">
        <f t="shared" si="120"/>
        <v>11.9072</v>
      </c>
      <c r="P212" s="448">
        <f t="shared" si="121"/>
        <v>0.209843904</v>
      </c>
      <c r="Q212" s="448">
        <f t="shared" si="122"/>
        <v>256</v>
      </c>
      <c r="R212" s="228">
        <f t="shared" si="123"/>
        <v>11648560</v>
      </c>
      <c r="S212" s="228">
        <f t="shared" si="124"/>
        <v>12221440</v>
      </c>
      <c r="T212" s="423">
        <f t="shared" si="125"/>
        <v>22</v>
      </c>
      <c r="U212" s="423">
        <f t="shared" si="126"/>
        <v>0</v>
      </c>
      <c r="V212" s="424">
        <f t="array" ref="V212">MAX((IF(MNU_CODIGO_ALIMENTO_ENTREGA=CONCATENATE($E212,"_","S_"),MNU_GRAMAJE_REQUERIDO_TIPOB,"")))</f>
        <v>40</v>
      </c>
      <c r="W212" s="391">
        <f t="shared" si="127"/>
        <v>2504</v>
      </c>
      <c r="X212" s="391">
        <f t="shared" si="128"/>
        <v>0</v>
      </c>
      <c r="Y212" s="391">
        <f t="shared" si="129"/>
        <v>55088</v>
      </c>
      <c r="Z212" s="448">
        <f t="shared" si="130"/>
        <v>244</v>
      </c>
      <c r="AA212" s="448">
        <f t="shared" si="131"/>
        <v>11.9072</v>
      </c>
      <c r="AB212" s="448">
        <f t="shared" si="132"/>
        <v>0.209843904</v>
      </c>
      <c r="AC212" s="448">
        <f t="shared" si="133"/>
        <v>256</v>
      </c>
      <c r="AD212" s="229">
        <f t="shared" si="134"/>
        <v>13441472</v>
      </c>
      <c r="AE212" s="229">
        <f t="shared" si="135"/>
        <v>14102528</v>
      </c>
      <c r="AF212" s="421">
        <f t="shared" si="136"/>
        <v>22</v>
      </c>
      <c r="AG212" s="421">
        <f t="shared" si="137"/>
        <v>0</v>
      </c>
      <c r="AH212" s="422">
        <f t="array" ref="AH212">MAX((IF(MNU_CODIGO_ALIMENTO_ENTREGA=CONCATENATE($E212,"_","S_"),MNU_GRAMAJE_REQUERIDO_TIPOC,"")))</f>
        <v>60</v>
      </c>
      <c r="AI212" s="227">
        <f t="shared" si="138"/>
        <v>3093</v>
      </c>
      <c r="AJ212" s="227">
        <f t="shared" si="139"/>
        <v>0</v>
      </c>
      <c r="AK212" s="227">
        <f t="shared" si="140"/>
        <v>68046</v>
      </c>
      <c r="AL212" s="448">
        <f t="shared" si="141"/>
        <v>366</v>
      </c>
      <c r="AM212" s="448">
        <f t="shared" si="142"/>
        <v>17.860800000000001</v>
      </c>
      <c r="AN212" s="448">
        <f t="shared" si="143"/>
        <v>0.31476585600000001</v>
      </c>
      <c r="AO212" s="448">
        <f t="shared" si="144"/>
        <v>384</v>
      </c>
      <c r="AP212" s="448">
        <f t="shared" si="145"/>
        <v>24904836</v>
      </c>
      <c r="AQ212" s="228">
        <f t="shared" si="146"/>
        <v>26129664</v>
      </c>
      <c r="AR212" s="391">
        <f t="shared" si="147"/>
        <v>49994868</v>
      </c>
      <c r="AS212" s="391">
        <f t="shared" si="148"/>
        <v>52453632</v>
      </c>
    </row>
    <row r="213" spans="1:45" ht="27">
      <c r="A213" s="226">
        <v>25</v>
      </c>
      <c r="B213" s="226" t="str">
        <f t="shared" si="112"/>
        <v>CEREAL EMPACADO_25</v>
      </c>
      <c r="C213" s="333" t="str">
        <f t="shared" si="113"/>
        <v>28_25</v>
      </c>
      <c r="D213" s="392" t="s">
        <v>1607</v>
      </c>
      <c r="E213" s="226">
        <v>28</v>
      </c>
      <c r="F213" s="325" t="s">
        <v>67</v>
      </c>
      <c r="G213" s="226" t="s">
        <v>9</v>
      </c>
      <c r="H213" s="421">
        <f t="shared" si="114"/>
        <v>19</v>
      </c>
      <c r="I213" s="421">
        <f t="shared" si="115"/>
        <v>0</v>
      </c>
      <c r="J213" s="422">
        <f t="array" ref="J213">MAX((IF(MNU_CODIGO_ALIMENTO_ENTREGA=CONCATENATE($E213,"_","S_"),MNU_GRAMAJE_REQUERIDO_TIPOA,"")))</f>
        <v>30</v>
      </c>
      <c r="K213" s="227">
        <f t="shared" si="116"/>
        <v>2170</v>
      </c>
      <c r="L213" s="227">
        <f t="shared" si="117"/>
        <v>0</v>
      </c>
      <c r="M213" s="227">
        <f t="shared" si="118"/>
        <v>41230</v>
      </c>
      <c r="N213" s="448">
        <f t="shared" si="119"/>
        <v>215</v>
      </c>
      <c r="O213" s="448">
        <f t="shared" si="120"/>
        <v>10.492000000000001</v>
      </c>
      <c r="P213" s="448">
        <f t="shared" si="121"/>
        <v>0.18490343999999997</v>
      </c>
      <c r="Q213" s="448">
        <f t="shared" si="122"/>
        <v>226</v>
      </c>
      <c r="R213" s="228">
        <f t="shared" si="123"/>
        <v>8864450</v>
      </c>
      <c r="S213" s="228">
        <f t="shared" si="124"/>
        <v>9317980</v>
      </c>
      <c r="T213" s="423">
        <f t="shared" si="125"/>
        <v>19</v>
      </c>
      <c r="U213" s="423">
        <f t="shared" si="126"/>
        <v>0</v>
      </c>
      <c r="V213" s="424">
        <f t="array" ref="V213">MAX((IF(MNU_CODIGO_ALIMENTO_ENTREGA=CONCATENATE($E213,"_","S_"),MNU_GRAMAJE_REQUERIDO_TIPOB,"")))</f>
        <v>40</v>
      </c>
      <c r="W213" s="391">
        <f t="shared" si="127"/>
        <v>2504</v>
      </c>
      <c r="X213" s="391">
        <f t="shared" si="128"/>
        <v>0</v>
      </c>
      <c r="Y213" s="391">
        <f t="shared" si="129"/>
        <v>47576</v>
      </c>
      <c r="Z213" s="448">
        <f t="shared" si="130"/>
        <v>287</v>
      </c>
      <c r="AA213" s="448">
        <f t="shared" si="131"/>
        <v>14.005600000000001</v>
      </c>
      <c r="AB213" s="448">
        <f t="shared" si="132"/>
        <v>0.24682459200000004</v>
      </c>
      <c r="AC213" s="448">
        <f t="shared" si="133"/>
        <v>301</v>
      </c>
      <c r="AD213" s="229">
        <f t="shared" si="134"/>
        <v>13654312</v>
      </c>
      <c r="AE213" s="229">
        <f t="shared" si="135"/>
        <v>14320376</v>
      </c>
      <c r="AF213" s="421">
        <f t="shared" si="136"/>
        <v>19</v>
      </c>
      <c r="AG213" s="421">
        <f t="shared" si="137"/>
        <v>0</v>
      </c>
      <c r="AH213" s="422">
        <f t="array" ref="AH213">MAX((IF(MNU_CODIGO_ALIMENTO_ENTREGA=CONCATENATE($E213,"_","S_"),MNU_GRAMAJE_REQUERIDO_TIPOC,"")))</f>
        <v>60</v>
      </c>
      <c r="AI213" s="227">
        <f t="shared" si="138"/>
        <v>3093</v>
      </c>
      <c r="AJ213" s="227">
        <f t="shared" si="139"/>
        <v>0</v>
      </c>
      <c r="AK213" s="227">
        <f t="shared" si="140"/>
        <v>58767</v>
      </c>
      <c r="AL213" s="448">
        <f t="shared" si="141"/>
        <v>430</v>
      </c>
      <c r="AM213" s="448">
        <f t="shared" si="142"/>
        <v>20.984000000000002</v>
      </c>
      <c r="AN213" s="448">
        <f t="shared" si="143"/>
        <v>0.36980687999999995</v>
      </c>
      <c r="AO213" s="448">
        <f t="shared" si="144"/>
        <v>451</v>
      </c>
      <c r="AP213" s="448">
        <f t="shared" si="145"/>
        <v>25269810</v>
      </c>
      <c r="AQ213" s="228">
        <f t="shared" si="146"/>
        <v>26503917</v>
      </c>
      <c r="AR213" s="391">
        <f t="shared" si="147"/>
        <v>47788572</v>
      </c>
      <c r="AS213" s="391">
        <f t="shared" si="148"/>
        <v>50142273</v>
      </c>
    </row>
    <row r="214" spans="1:45" ht="15.75">
      <c r="A214" s="226">
        <v>25</v>
      </c>
      <c r="B214" s="226" t="str">
        <f t="shared" si="112"/>
        <v>CEREAL EMPACADO_25</v>
      </c>
      <c r="C214" s="333" t="str">
        <f t="shared" si="113"/>
        <v>45_25</v>
      </c>
      <c r="D214" s="392" t="s">
        <v>1607</v>
      </c>
      <c r="E214" s="226">
        <v>45</v>
      </c>
      <c r="F214" s="325" t="s">
        <v>10</v>
      </c>
      <c r="G214" s="226" t="s">
        <v>9</v>
      </c>
      <c r="H214" s="421">
        <f t="shared" si="114"/>
        <v>20</v>
      </c>
      <c r="I214" s="421">
        <f t="shared" si="115"/>
        <v>0</v>
      </c>
      <c r="J214" s="422">
        <f t="array" ref="J214">MAX((IF(MNU_CODIGO_ALIMENTO_ENTREGA=CONCATENATE($E214,"_","S_"),MNU_GRAMAJE_REQUERIDO_TIPOA,"")))</f>
        <v>20</v>
      </c>
      <c r="K214" s="227">
        <f t="shared" si="116"/>
        <v>2170</v>
      </c>
      <c r="L214" s="227">
        <f t="shared" si="117"/>
        <v>0</v>
      </c>
      <c r="M214" s="227">
        <f t="shared" si="118"/>
        <v>43400</v>
      </c>
      <c r="N214" s="448">
        <f t="shared" si="119"/>
        <v>190</v>
      </c>
      <c r="O214" s="448">
        <f t="shared" si="120"/>
        <v>9.2720000000000002</v>
      </c>
      <c r="P214" s="448">
        <f t="shared" si="121"/>
        <v>0.16340304</v>
      </c>
      <c r="Q214" s="448">
        <f t="shared" si="122"/>
        <v>199</v>
      </c>
      <c r="R214" s="228">
        <f t="shared" si="123"/>
        <v>8246000</v>
      </c>
      <c r="S214" s="228">
        <f t="shared" si="124"/>
        <v>8636600</v>
      </c>
      <c r="T214" s="423">
        <f t="shared" si="125"/>
        <v>20</v>
      </c>
      <c r="U214" s="423">
        <f t="shared" si="126"/>
        <v>0</v>
      </c>
      <c r="V214" s="424">
        <f t="array" ref="V214">MAX((IF(MNU_CODIGO_ALIMENTO_ENTREGA=CONCATENATE($E214,"_","S_"),MNU_GRAMAJE_REQUERIDO_TIPOB,"")))</f>
        <v>30</v>
      </c>
      <c r="W214" s="391">
        <f t="shared" si="127"/>
        <v>2504</v>
      </c>
      <c r="X214" s="391">
        <f t="shared" si="128"/>
        <v>0</v>
      </c>
      <c r="Y214" s="391">
        <f t="shared" si="129"/>
        <v>50080</v>
      </c>
      <c r="Z214" s="448">
        <f t="shared" si="130"/>
        <v>284</v>
      </c>
      <c r="AA214" s="448">
        <f t="shared" si="131"/>
        <v>13.8592</v>
      </c>
      <c r="AB214" s="448">
        <f t="shared" si="132"/>
        <v>0.24424454399999998</v>
      </c>
      <c r="AC214" s="448">
        <f t="shared" si="133"/>
        <v>298</v>
      </c>
      <c r="AD214" s="229">
        <f t="shared" si="134"/>
        <v>14222720</v>
      </c>
      <c r="AE214" s="229">
        <f t="shared" si="135"/>
        <v>14923840</v>
      </c>
      <c r="AF214" s="421">
        <f t="shared" si="136"/>
        <v>20</v>
      </c>
      <c r="AG214" s="421">
        <f t="shared" si="137"/>
        <v>0</v>
      </c>
      <c r="AH214" s="422">
        <f t="array" ref="AH214">MAX((IF(MNU_CODIGO_ALIMENTO_ENTREGA=CONCATENATE($E214,"_","S_"),MNU_GRAMAJE_REQUERIDO_TIPOC,"")))</f>
        <v>60</v>
      </c>
      <c r="AI214" s="227">
        <f t="shared" si="138"/>
        <v>3093</v>
      </c>
      <c r="AJ214" s="227">
        <f t="shared" si="139"/>
        <v>0</v>
      </c>
      <c r="AK214" s="227">
        <f t="shared" si="140"/>
        <v>61860</v>
      </c>
      <c r="AL214" s="448">
        <f t="shared" si="141"/>
        <v>569</v>
      </c>
      <c r="AM214" s="448">
        <f t="shared" si="142"/>
        <v>27.767199999999999</v>
      </c>
      <c r="AN214" s="448">
        <f t="shared" si="143"/>
        <v>0.48934910400000003</v>
      </c>
      <c r="AO214" s="448">
        <f t="shared" si="144"/>
        <v>597</v>
      </c>
      <c r="AP214" s="448">
        <f t="shared" si="145"/>
        <v>35198340</v>
      </c>
      <c r="AQ214" s="228">
        <f t="shared" si="146"/>
        <v>36930420</v>
      </c>
      <c r="AR214" s="391">
        <f t="shared" si="147"/>
        <v>57667060</v>
      </c>
      <c r="AS214" s="391">
        <f t="shared" si="148"/>
        <v>60490860</v>
      </c>
    </row>
    <row r="215" spans="1:45" ht="15.75">
      <c r="A215" s="226">
        <v>25</v>
      </c>
      <c r="B215" s="226" t="str">
        <f t="shared" si="112"/>
        <v>CEREAL EMPACADO_25</v>
      </c>
      <c r="C215" s="333" t="str">
        <f t="shared" si="113"/>
        <v>61_25</v>
      </c>
      <c r="D215" s="392" t="s">
        <v>1607</v>
      </c>
      <c r="E215" s="226">
        <v>61</v>
      </c>
      <c r="F215" s="325" t="s">
        <v>13</v>
      </c>
      <c r="G215" s="226" t="s">
        <v>9</v>
      </c>
      <c r="H215" s="421">
        <f t="shared" si="114"/>
        <v>20</v>
      </c>
      <c r="I215" s="421">
        <f t="shared" si="115"/>
        <v>0</v>
      </c>
      <c r="J215" s="422">
        <f t="array" ref="J215">MAX((IF(MNU_CODIGO_ALIMENTO_ENTREGA=CONCATENATE($E215,"_","S_"),MNU_GRAMAJE_REQUERIDO_TIPOA,"")))</f>
        <v>20</v>
      </c>
      <c r="K215" s="227">
        <f t="shared" si="116"/>
        <v>2170</v>
      </c>
      <c r="L215" s="227">
        <f t="shared" si="117"/>
        <v>0</v>
      </c>
      <c r="M215" s="227">
        <f t="shared" si="118"/>
        <v>43400</v>
      </c>
      <c r="N215" s="448">
        <f t="shared" si="119"/>
        <v>222</v>
      </c>
      <c r="O215" s="448">
        <f t="shared" si="120"/>
        <v>10.833600000000001</v>
      </c>
      <c r="P215" s="448">
        <f t="shared" si="121"/>
        <v>0.190923552</v>
      </c>
      <c r="Q215" s="448">
        <f t="shared" si="122"/>
        <v>233</v>
      </c>
      <c r="R215" s="228">
        <f t="shared" si="123"/>
        <v>9634800</v>
      </c>
      <c r="S215" s="228">
        <f t="shared" si="124"/>
        <v>10112200</v>
      </c>
      <c r="T215" s="423">
        <f t="shared" si="125"/>
        <v>20</v>
      </c>
      <c r="U215" s="423">
        <f t="shared" si="126"/>
        <v>0</v>
      </c>
      <c r="V215" s="424">
        <f t="array" ref="V215">MAX((IF(MNU_CODIGO_ALIMENTO_ENTREGA=CONCATENATE($E215,"_","S_"),MNU_GRAMAJE_REQUERIDO_TIPOB,"")))</f>
        <v>30</v>
      </c>
      <c r="W215" s="391">
        <f t="shared" si="127"/>
        <v>2504</v>
      </c>
      <c r="X215" s="391">
        <f t="shared" si="128"/>
        <v>0</v>
      </c>
      <c r="Y215" s="391">
        <f t="shared" si="129"/>
        <v>50080</v>
      </c>
      <c r="Z215" s="448">
        <f t="shared" si="130"/>
        <v>334</v>
      </c>
      <c r="AA215" s="448">
        <f t="shared" si="131"/>
        <v>16.299199999999999</v>
      </c>
      <c r="AB215" s="448">
        <f t="shared" si="132"/>
        <v>0.28724534400000001</v>
      </c>
      <c r="AC215" s="448">
        <f t="shared" si="133"/>
        <v>351</v>
      </c>
      <c r="AD215" s="229">
        <f t="shared" si="134"/>
        <v>16726720</v>
      </c>
      <c r="AE215" s="229">
        <f t="shared" si="135"/>
        <v>17578080</v>
      </c>
      <c r="AF215" s="421">
        <f t="shared" si="136"/>
        <v>20</v>
      </c>
      <c r="AG215" s="421">
        <f t="shared" si="137"/>
        <v>0</v>
      </c>
      <c r="AH215" s="422">
        <f t="array" ref="AH215">MAX((IF(MNU_CODIGO_ALIMENTO_ENTREGA=CONCATENATE($E215,"_","S_"),MNU_GRAMAJE_REQUERIDO_TIPOC,"")))</f>
        <v>70</v>
      </c>
      <c r="AI215" s="227">
        <f t="shared" si="138"/>
        <v>3093</v>
      </c>
      <c r="AJ215" s="227">
        <f t="shared" si="139"/>
        <v>0</v>
      </c>
      <c r="AK215" s="227">
        <f t="shared" si="140"/>
        <v>61860</v>
      </c>
      <c r="AL215" s="448">
        <f t="shared" si="141"/>
        <v>779</v>
      </c>
      <c r="AM215" s="448">
        <f t="shared" si="142"/>
        <v>38.0152</v>
      </c>
      <c r="AN215" s="448">
        <f t="shared" si="143"/>
        <v>0.66995246400000008</v>
      </c>
      <c r="AO215" s="448">
        <f t="shared" si="144"/>
        <v>818</v>
      </c>
      <c r="AP215" s="448">
        <f t="shared" si="145"/>
        <v>48188940</v>
      </c>
      <c r="AQ215" s="228">
        <f t="shared" si="146"/>
        <v>50601480</v>
      </c>
      <c r="AR215" s="391">
        <f t="shared" si="147"/>
        <v>74550460</v>
      </c>
      <c r="AS215" s="391">
        <f t="shared" si="148"/>
        <v>78291760</v>
      </c>
    </row>
    <row r="216" spans="1:45" ht="15.75">
      <c r="A216" s="226">
        <v>26</v>
      </c>
      <c r="B216" s="226" t="str">
        <f t="shared" si="112"/>
        <v>CEREAL EMPACADO_26</v>
      </c>
      <c r="C216" s="333" t="str">
        <f t="shared" si="113"/>
        <v>3_26</v>
      </c>
      <c r="D216" s="392" t="s">
        <v>1607</v>
      </c>
      <c r="E216" s="226">
        <v>3</v>
      </c>
      <c r="F216" s="325" t="s">
        <v>12</v>
      </c>
      <c r="G216" s="226" t="s">
        <v>9</v>
      </c>
      <c r="H216" s="421">
        <f t="shared" si="114"/>
        <v>19</v>
      </c>
      <c r="I216" s="421">
        <f t="shared" si="115"/>
        <v>0</v>
      </c>
      <c r="J216" s="422">
        <f t="array" ref="J216">MAX((IF(MNU_CODIGO_ALIMENTO_ENTREGA=CONCATENATE($E216,"_","S_"),MNU_GRAMAJE_REQUERIDO_TIPOA,"")))</f>
        <v>50</v>
      </c>
      <c r="K216" s="227">
        <f t="shared" si="116"/>
        <v>1577</v>
      </c>
      <c r="L216" s="227">
        <f t="shared" si="117"/>
        <v>74</v>
      </c>
      <c r="M216" s="227">
        <f t="shared" si="118"/>
        <v>29963</v>
      </c>
      <c r="N216" s="448">
        <f t="shared" si="119"/>
        <v>481</v>
      </c>
      <c r="O216" s="448">
        <f t="shared" si="120"/>
        <v>23.472799999999999</v>
      </c>
      <c r="P216" s="448">
        <f t="shared" si="121"/>
        <v>0.41366769599999997</v>
      </c>
      <c r="Q216" s="448">
        <f t="shared" si="122"/>
        <v>505</v>
      </c>
      <c r="R216" s="228">
        <f t="shared" si="123"/>
        <v>14412203</v>
      </c>
      <c r="S216" s="228">
        <f t="shared" si="124"/>
        <v>15131315</v>
      </c>
      <c r="T216" s="423">
        <f t="shared" si="125"/>
        <v>19</v>
      </c>
      <c r="U216" s="423">
        <f t="shared" si="126"/>
        <v>0</v>
      </c>
      <c r="V216" s="424">
        <f t="array" ref="V216">MAX((IF(MNU_CODIGO_ALIMENTO_ENTREGA=CONCATENATE($E216,"_","S_"),MNU_GRAMAJE_REQUERIDO_TIPOB,"")))</f>
        <v>50</v>
      </c>
      <c r="W216" s="391">
        <f t="shared" si="127"/>
        <v>2774</v>
      </c>
      <c r="X216" s="391">
        <f t="shared" si="128"/>
        <v>223</v>
      </c>
      <c r="Y216" s="391">
        <f t="shared" si="129"/>
        <v>52706</v>
      </c>
      <c r="Z216" s="448">
        <f t="shared" si="130"/>
        <v>481</v>
      </c>
      <c r="AA216" s="448">
        <f t="shared" si="131"/>
        <v>23.472799999999999</v>
      </c>
      <c r="AB216" s="448">
        <f t="shared" si="132"/>
        <v>0.41366769599999997</v>
      </c>
      <c r="AC216" s="448">
        <f t="shared" si="133"/>
        <v>505</v>
      </c>
      <c r="AD216" s="229">
        <f t="shared" si="134"/>
        <v>25351586</v>
      </c>
      <c r="AE216" s="229">
        <f t="shared" si="135"/>
        <v>26616530</v>
      </c>
      <c r="AF216" s="421">
        <f t="shared" si="136"/>
        <v>19</v>
      </c>
      <c r="AG216" s="421">
        <f t="shared" si="137"/>
        <v>0</v>
      </c>
      <c r="AH216" s="422">
        <f t="array" ref="AH216">MAX((IF(MNU_CODIGO_ALIMENTO_ENTREGA=CONCATENATE($E216,"_","S_"),MNU_GRAMAJE_REQUERIDO_TIPOC,"")))</f>
        <v>80</v>
      </c>
      <c r="AI216" s="227">
        <f t="shared" si="138"/>
        <v>3600</v>
      </c>
      <c r="AJ216" s="227">
        <f t="shared" si="139"/>
        <v>182</v>
      </c>
      <c r="AK216" s="227">
        <f t="shared" si="140"/>
        <v>68400</v>
      </c>
      <c r="AL216" s="448">
        <f t="shared" si="141"/>
        <v>727</v>
      </c>
      <c r="AM216" s="448">
        <f t="shared" si="142"/>
        <v>35.477600000000002</v>
      </c>
      <c r="AN216" s="448">
        <f t="shared" si="143"/>
        <v>0.62523163200000009</v>
      </c>
      <c r="AO216" s="448">
        <f t="shared" si="144"/>
        <v>763</v>
      </c>
      <c r="AP216" s="448">
        <f t="shared" si="145"/>
        <v>49726800</v>
      </c>
      <c r="AQ216" s="228">
        <f t="shared" si="146"/>
        <v>52189200</v>
      </c>
      <c r="AR216" s="391">
        <f t="shared" si="147"/>
        <v>89490589</v>
      </c>
      <c r="AS216" s="391">
        <f t="shared" si="148"/>
        <v>93937045</v>
      </c>
    </row>
    <row r="217" spans="1:45" ht="15.75">
      <c r="A217" s="226">
        <v>26</v>
      </c>
      <c r="B217" s="226" t="str">
        <f t="shared" si="112"/>
        <v>CEREAL EMPACADO_26</v>
      </c>
      <c r="C217" s="333" t="str">
        <f t="shared" si="113"/>
        <v>15_26</v>
      </c>
      <c r="D217" s="392" t="s">
        <v>1607</v>
      </c>
      <c r="E217" s="256">
        <v>15</v>
      </c>
      <c r="F217" s="322" t="s">
        <v>66</v>
      </c>
      <c r="G217" s="226" t="s">
        <v>9</v>
      </c>
      <c r="H217" s="421">
        <f t="shared" si="114"/>
        <v>11</v>
      </c>
      <c r="I217" s="421">
        <f t="shared" si="115"/>
        <v>11</v>
      </c>
      <c r="J217" s="422">
        <f t="array" ref="J217">MAX((IF(MNU_CODIGO_ALIMENTO_ENTREGA=CONCATENATE($E217,"_","S_"),MNU_GRAMAJE_REQUERIDO_TIPOA,"")))</f>
        <v>50</v>
      </c>
      <c r="K217" s="227">
        <f t="shared" si="116"/>
        <v>1577</v>
      </c>
      <c r="L217" s="227">
        <f t="shared" si="117"/>
        <v>74</v>
      </c>
      <c r="M217" s="227">
        <f t="shared" si="118"/>
        <v>18161</v>
      </c>
      <c r="N217" s="448">
        <f t="shared" si="119"/>
        <v>641</v>
      </c>
      <c r="O217" s="448">
        <f t="shared" si="120"/>
        <v>31.280800000000003</v>
      </c>
      <c r="P217" s="448">
        <f t="shared" si="121"/>
        <v>0.55127025600000001</v>
      </c>
      <c r="Q217" s="448">
        <f t="shared" si="122"/>
        <v>673</v>
      </c>
      <c r="R217" s="228">
        <f t="shared" si="123"/>
        <v>11641201</v>
      </c>
      <c r="S217" s="228">
        <f t="shared" si="124"/>
        <v>12222353</v>
      </c>
      <c r="T217" s="423">
        <f t="shared" si="125"/>
        <v>11</v>
      </c>
      <c r="U217" s="423">
        <f t="shared" si="126"/>
        <v>11</v>
      </c>
      <c r="V217" s="424">
        <f t="array" ref="V217">MAX((IF(MNU_CODIGO_ALIMENTO_ENTREGA=CONCATENATE($E217,"_","S_"),MNU_GRAMAJE_REQUERIDO_TIPOB,"")))</f>
        <v>50</v>
      </c>
      <c r="W217" s="391">
        <f t="shared" si="127"/>
        <v>2774</v>
      </c>
      <c r="X217" s="391">
        <f t="shared" si="128"/>
        <v>223</v>
      </c>
      <c r="Y217" s="391">
        <f t="shared" si="129"/>
        <v>32967</v>
      </c>
      <c r="Z217" s="448">
        <f t="shared" si="130"/>
        <v>641</v>
      </c>
      <c r="AA217" s="448">
        <f t="shared" si="131"/>
        <v>31.280800000000003</v>
      </c>
      <c r="AB217" s="448">
        <f t="shared" si="132"/>
        <v>0.55127025600000001</v>
      </c>
      <c r="AC217" s="448">
        <f t="shared" si="133"/>
        <v>673</v>
      </c>
      <c r="AD217" s="229">
        <f t="shared" si="134"/>
        <v>21131847</v>
      </c>
      <c r="AE217" s="229">
        <f t="shared" si="135"/>
        <v>22186791</v>
      </c>
      <c r="AF217" s="421">
        <f t="shared" si="136"/>
        <v>11</v>
      </c>
      <c r="AG217" s="421">
        <f t="shared" si="137"/>
        <v>11</v>
      </c>
      <c r="AH217" s="422">
        <f t="array" ref="AH217">MAX((IF(MNU_CODIGO_ALIMENTO_ENTREGA=CONCATENATE($E217,"_","S_"),MNU_GRAMAJE_REQUERIDO_TIPOC,"")))</f>
        <v>80</v>
      </c>
      <c r="AI217" s="227">
        <f t="shared" si="138"/>
        <v>3600</v>
      </c>
      <c r="AJ217" s="227">
        <f t="shared" si="139"/>
        <v>182</v>
      </c>
      <c r="AK217" s="227">
        <f t="shared" si="140"/>
        <v>41602</v>
      </c>
      <c r="AL217" s="448">
        <f t="shared" si="141"/>
        <v>1025</v>
      </c>
      <c r="AM217" s="448">
        <f t="shared" si="142"/>
        <v>50.02</v>
      </c>
      <c r="AN217" s="448">
        <f t="shared" si="143"/>
        <v>0.88151640000000009</v>
      </c>
      <c r="AO217" s="448">
        <f t="shared" si="144"/>
        <v>1076</v>
      </c>
      <c r="AP217" s="448">
        <f t="shared" si="145"/>
        <v>42642050</v>
      </c>
      <c r="AQ217" s="228">
        <f t="shared" si="146"/>
        <v>44763752</v>
      </c>
      <c r="AR217" s="391">
        <f t="shared" si="147"/>
        <v>75415098</v>
      </c>
      <c r="AS217" s="391">
        <f t="shared" si="148"/>
        <v>79172896</v>
      </c>
    </row>
    <row r="218" spans="1:45" ht="27">
      <c r="A218" s="226">
        <v>26</v>
      </c>
      <c r="B218" s="226" t="str">
        <f t="shared" si="112"/>
        <v>CEREAL EMPACADO_26</v>
      </c>
      <c r="C218" s="333" t="str">
        <f t="shared" si="113"/>
        <v>21_26</v>
      </c>
      <c r="D218" s="392" t="s">
        <v>1607</v>
      </c>
      <c r="E218" s="226">
        <v>21</v>
      </c>
      <c r="F218" s="325" t="s">
        <v>70</v>
      </c>
      <c r="G218" s="226" t="s">
        <v>9</v>
      </c>
      <c r="H218" s="421">
        <f t="shared" si="114"/>
        <v>22</v>
      </c>
      <c r="I218" s="421">
        <f t="shared" si="115"/>
        <v>0</v>
      </c>
      <c r="J218" s="422">
        <f t="array" ref="J218">MAX((IF(MNU_CODIGO_ALIMENTO_ENTREGA=CONCATENATE($E218,"_","S_"),MNU_GRAMAJE_REQUERIDO_TIPOA,"")))</f>
        <v>30</v>
      </c>
      <c r="K218" s="227">
        <f t="shared" si="116"/>
        <v>1577</v>
      </c>
      <c r="L218" s="227">
        <f t="shared" si="117"/>
        <v>74</v>
      </c>
      <c r="M218" s="227">
        <f t="shared" si="118"/>
        <v>34694</v>
      </c>
      <c r="N218" s="448">
        <f t="shared" si="119"/>
        <v>458</v>
      </c>
      <c r="O218" s="448">
        <f t="shared" si="120"/>
        <v>22.3504</v>
      </c>
      <c r="P218" s="448">
        <f t="shared" si="121"/>
        <v>0.39388732799999998</v>
      </c>
      <c r="Q218" s="448">
        <f t="shared" si="122"/>
        <v>481</v>
      </c>
      <c r="R218" s="228">
        <f t="shared" si="123"/>
        <v>15889852</v>
      </c>
      <c r="S218" s="228">
        <f t="shared" si="124"/>
        <v>16687814</v>
      </c>
      <c r="T218" s="423">
        <f t="shared" si="125"/>
        <v>22</v>
      </c>
      <c r="U218" s="423">
        <f t="shared" si="126"/>
        <v>0</v>
      </c>
      <c r="V218" s="424">
        <f t="array" ref="V218">MAX((IF(MNU_CODIGO_ALIMENTO_ENTREGA=CONCATENATE($E218,"_","S_"),MNU_GRAMAJE_REQUERIDO_TIPOB,"")))</f>
        <v>30</v>
      </c>
      <c r="W218" s="391">
        <f t="shared" si="127"/>
        <v>2774</v>
      </c>
      <c r="X218" s="391">
        <f t="shared" si="128"/>
        <v>223</v>
      </c>
      <c r="Y218" s="391">
        <f t="shared" si="129"/>
        <v>61028</v>
      </c>
      <c r="Z218" s="448">
        <f t="shared" si="130"/>
        <v>458</v>
      </c>
      <c r="AA218" s="448">
        <f t="shared" si="131"/>
        <v>22.3504</v>
      </c>
      <c r="AB218" s="448">
        <f t="shared" si="132"/>
        <v>0.39388732799999998</v>
      </c>
      <c r="AC218" s="448">
        <f t="shared" si="133"/>
        <v>481</v>
      </c>
      <c r="AD218" s="229">
        <f t="shared" si="134"/>
        <v>27950824</v>
      </c>
      <c r="AE218" s="229">
        <f t="shared" si="135"/>
        <v>29354468</v>
      </c>
      <c r="AF218" s="421">
        <f t="shared" si="136"/>
        <v>22</v>
      </c>
      <c r="AG218" s="421">
        <f t="shared" si="137"/>
        <v>0</v>
      </c>
      <c r="AH218" s="422">
        <f t="array" ref="AH218">MAX((IF(MNU_CODIGO_ALIMENTO_ENTREGA=CONCATENATE($E218,"_","S_"),MNU_GRAMAJE_REQUERIDO_TIPOC,"")))</f>
        <v>50</v>
      </c>
      <c r="AI218" s="227">
        <f t="shared" si="138"/>
        <v>3600</v>
      </c>
      <c r="AJ218" s="227">
        <f t="shared" si="139"/>
        <v>182</v>
      </c>
      <c r="AK218" s="227">
        <f t="shared" si="140"/>
        <v>79200</v>
      </c>
      <c r="AL218" s="448">
        <f t="shared" si="141"/>
        <v>764</v>
      </c>
      <c r="AM218" s="448">
        <f t="shared" si="142"/>
        <v>37.283200000000001</v>
      </c>
      <c r="AN218" s="448">
        <f t="shared" si="143"/>
        <v>0.65705222400000007</v>
      </c>
      <c r="AO218" s="448">
        <f t="shared" si="144"/>
        <v>802</v>
      </c>
      <c r="AP218" s="448">
        <f t="shared" si="145"/>
        <v>60508800</v>
      </c>
      <c r="AQ218" s="228">
        <f t="shared" si="146"/>
        <v>63518400</v>
      </c>
      <c r="AR218" s="391">
        <f t="shared" si="147"/>
        <v>104349476</v>
      </c>
      <c r="AS218" s="391">
        <f t="shared" si="148"/>
        <v>109560682</v>
      </c>
    </row>
    <row r="219" spans="1:45" ht="15.75">
      <c r="A219" s="226">
        <v>26</v>
      </c>
      <c r="B219" s="226" t="str">
        <f t="shared" si="112"/>
        <v>CEREAL EMPACADO_26</v>
      </c>
      <c r="C219" s="333" t="str">
        <f t="shared" si="113"/>
        <v>24_26</v>
      </c>
      <c r="D219" s="392" t="s">
        <v>1607</v>
      </c>
      <c r="E219" s="226">
        <v>24</v>
      </c>
      <c r="F219" s="325" t="s">
        <v>61</v>
      </c>
      <c r="G219" s="226" t="s">
        <v>9</v>
      </c>
      <c r="H219" s="421">
        <f t="shared" si="114"/>
        <v>11</v>
      </c>
      <c r="I219" s="421">
        <f t="shared" si="115"/>
        <v>11</v>
      </c>
      <c r="J219" s="422">
        <f t="array" ref="J219">MAX((IF(MNU_CODIGO_ALIMENTO_ENTREGA=CONCATENATE($E219,"_","S_"),MNU_GRAMAJE_REQUERIDO_TIPOA,"")))</f>
        <v>20</v>
      </c>
      <c r="K219" s="227">
        <f t="shared" si="116"/>
        <v>1577</v>
      </c>
      <c r="L219" s="227">
        <f t="shared" si="117"/>
        <v>74</v>
      </c>
      <c r="M219" s="227">
        <f t="shared" si="118"/>
        <v>18161</v>
      </c>
      <c r="N219" s="448">
        <f t="shared" si="119"/>
        <v>122</v>
      </c>
      <c r="O219" s="448">
        <f t="shared" si="120"/>
        <v>5.9535999999999998</v>
      </c>
      <c r="P219" s="448">
        <f t="shared" si="121"/>
        <v>0.104921952</v>
      </c>
      <c r="Q219" s="448">
        <f t="shared" si="122"/>
        <v>128</v>
      </c>
      <c r="R219" s="228">
        <f t="shared" si="123"/>
        <v>2215642</v>
      </c>
      <c r="S219" s="228">
        <f t="shared" si="124"/>
        <v>2324608</v>
      </c>
      <c r="T219" s="423">
        <f t="shared" si="125"/>
        <v>11</v>
      </c>
      <c r="U219" s="423">
        <f t="shared" si="126"/>
        <v>11</v>
      </c>
      <c r="V219" s="424">
        <f t="array" ref="V219">MAX((IF(MNU_CODIGO_ALIMENTO_ENTREGA=CONCATENATE($E219,"_","S_"),MNU_GRAMAJE_REQUERIDO_TIPOB,"")))</f>
        <v>30</v>
      </c>
      <c r="W219" s="391">
        <f t="shared" si="127"/>
        <v>2774</v>
      </c>
      <c r="X219" s="391">
        <f t="shared" si="128"/>
        <v>223</v>
      </c>
      <c r="Y219" s="391">
        <f t="shared" si="129"/>
        <v>32967</v>
      </c>
      <c r="Z219" s="448">
        <f t="shared" si="130"/>
        <v>191</v>
      </c>
      <c r="AA219" s="448">
        <f t="shared" si="131"/>
        <v>9.3208000000000002</v>
      </c>
      <c r="AB219" s="448">
        <f t="shared" si="132"/>
        <v>0.16426305600000002</v>
      </c>
      <c r="AC219" s="448">
        <f t="shared" si="133"/>
        <v>200</v>
      </c>
      <c r="AD219" s="229">
        <f t="shared" si="134"/>
        <v>6296697</v>
      </c>
      <c r="AE219" s="229">
        <f t="shared" si="135"/>
        <v>6593400</v>
      </c>
      <c r="AF219" s="421">
        <f t="shared" si="136"/>
        <v>11</v>
      </c>
      <c r="AG219" s="421">
        <f t="shared" si="137"/>
        <v>11</v>
      </c>
      <c r="AH219" s="422">
        <f t="array" ref="AH219">MAX((IF(MNU_CODIGO_ALIMENTO_ENTREGA=CONCATENATE($E219,"_","S_"),MNU_GRAMAJE_REQUERIDO_TIPOC,"")))</f>
        <v>60</v>
      </c>
      <c r="AI219" s="227">
        <f t="shared" si="138"/>
        <v>3600</v>
      </c>
      <c r="AJ219" s="227">
        <f t="shared" si="139"/>
        <v>182</v>
      </c>
      <c r="AK219" s="227">
        <f t="shared" si="140"/>
        <v>41602</v>
      </c>
      <c r="AL219" s="448">
        <f t="shared" si="141"/>
        <v>367</v>
      </c>
      <c r="AM219" s="448">
        <f t="shared" si="142"/>
        <v>17.909599999999998</v>
      </c>
      <c r="AN219" s="448">
        <f t="shared" si="143"/>
        <v>0.31562587200000003</v>
      </c>
      <c r="AO219" s="448">
        <f t="shared" si="144"/>
        <v>385</v>
      </c>
      <c r="AP219" s="448">
        <f t="shared" si="145"/>
        <v>15267934</v>
      </c>
      <c r="AQ219" s="228">
        <f t="shared" si="146"/>
        <v>16016770</v>
      </c>
      <c r="AR219" s="391">
        <f t="shared" si="147"/>
        <v>23780273</v>
      </c>
      <c r="AS219" s="391">
        <f t="shared" si="148"/>
        <v>24934778</v>
      </c>
    </row>
    <row r="220" spans="1:45" ht="15.75">
      <c r="A220" s="226">
        <v>26</v>
      </c>
      <c r="B220" s="226" t="str">
        <f t="shared" si="112"/>
        <v>CEREAL EMPACADO_26</v>
      </c>
      <c r="C220" s="333" t="str">
        <f t="shared" si="113"/>
        <v>25_26</v>
      </c>
      <c r="D220" s="392" t="s">
        <v>1607</v>
      </c>
      <c r="E220" s="226">
        <v>25</v>
      </c>
      <c r="F220" s="325" t="s">
        <v>64</v>
      </c>
      <c r="G220" s="226" t="s">
        <v>9</v>
      </c>
      <c r="H220" s="421">
        <f t="shared" si="114"/>
        <v>22</v>
      </c>
      <c r="I220" s="421">
        <f t="shared" si="115"/>
        <v>0</v>
      </c>
      <c r="J220" s="422">
        <f t="array" ref="J220">MAX((IF(MNU_CODIGO_ALIMENTO_ENTREGA=CONCATENATE($E220,"_","S_"),MNU_GRAMAJE_REQUERIDO_TIPOA,"")))</f>
        <v>40</v>
      </c>
      <c r="K220" s="227">
        <f t="shared" si="116"/>
        <v>1577</v>
      </c>
      <c r="L220" s="227">
        <f t="shared" si="117"/>
        <v>74</v>
      </c>
      <c r="M220" s="227">
        <f t="shared" si="118"/>
        <v>34694</v>
      </c>
      <c r="N220" s="448">
        <f t="shared" si="119"/>
        <v>244</v>
      </c>
      <c r="O220" s="448">
        <f t="shared" si="120"/>
        <v>11.9072</v>
      </c>
      <c r="P220" s="448">
        <f t="shared" si="121"/>
        <v>0.209843904</v>
      </c>
      <c r="Q220" s="448">
        <f t="shared" si="122"/>
        <v>256</v>
      </c>
      <c r="R220" s="228">
        <f t="shared" si="123"/>
        <v>8465336</v>
      </c>
      <c r="S220" s="228">
        <f t="shared" si="124"/>
        <v>8881664</v>
      </c>
      <c r="T220" s="423">
        <f t="shared" si="125"/>
        <v>22</v>
      </c>
      <c r="U220" s="423">
        <f t="shared" si="126"/>
        <v>0</v>
      </c>
      <c r="V220" s="424">
        <f t="array" ref="V220">MAX((IF(MNU_CODIGO_ALIMENTO_ENTREGA=CONCATENATE($E220,"_","S_"),MNU_GRAMAJE_REQUERIDO_TIPOB,"")))</f>
        <v>40</v>
      </c>
      <c r="W220" s="391">
        <f t="shared" si="127"/>
        <v>2774</v>
      </c>
      <c r="X220" s="391">
        <f t="shared" si="128"/>
        <v>223</v>
      </c>
      <c r="Y220" s="391">
        <f t="shared" si="129"/>
        <v>61028</v>
      </c>
      <c r="Z220" s="448">
        <f t="shared" si="130"/>
        <v>244</v>
      </c>
      <c r="AA220" s="448">
        <f t="shared" si="131"/>
        <v>11.9072</v>
      </c>
      <c r="AB220" s="448">
        <f t="shared" si="132"/>
        <v>0.209843904</v>
      </c>
      <c r="AC220" s="448">
        <f t="shared" si="133"/>
        <v>256</v>
      </c>
      <c r="AD220" s="229">
        <f t="shared" si="134"/>
        <v>14890832</v>
      </c>
      <c r="AE220" s="229">
        <f t="shared" si="135"/>
        <v>15623168</v>
      </c>
      <c r="AF220" s="421">
        <f t="shared" si="136"/>
        <v>22</v>
      </c>
      <c r="AG220" s="421">
        <f t="shared" si="137"/>
        <v>0</v>
      </c>
      <c r="AH220" s="422">
        <f t="array" ref="AH220">MAX((IF(MNU_CODIGO_ALIMENTO_ENTREGA=CONCATENATE($E220,"_","S_"),MNU_GRAMAJE_REQUERIDO_TIPOC,"")))</f>
        <v>60</v>
      </c>
      <c r="AI220" s="227">
        <f t="shared" si="138"/>
        <v>3600</v>
      </c>
      <c r="AJ220" s="227">
        <f t="shared" si="139"/>
        <v>182</v>
      </c>
      <c r="AK220" s="227">
        <f t="shared" si="140"/>
        <v>79200</v>
      </c>
      <c r="AL220" s="448">
        <f t="shared" si="141"/>
        <v>366</v>
      </c>
      <c r="AM220" s="448">
        <f t="shared" si="142"/>
        <v>17.860800000000001</v>
      </c>
      <c r="AN220" s="448">
        <f t="shared" si="143"/>
        <v>0.31476585600000001</v>
      </c>
      <c r="AO220" s="448">
        <f t="shared" si="144"/>
        <v>384</v>
      </c>
      <c r="AP220" s="448">
        <f t="shared" si="145"/>
        <v>28987200</v>
      </c>
      <c r="AQ220" s="228">
        <f t="shared" si="146"/>
        <v>30412800</v>
      </c>
      <c r="AR220" s="391">
        <f t="shared" si="147"/>
        <v>52343368</v>
      </c>
      <c r="AS220" s="391">
        <f t="shared" si="148"/>
        <v>54917632</v>
      </c>
    </row>
    <row r="221" spans="1:45" ht="27">
      <c r="A221" s="226">
        <v>26</v>
      </c>
      <c r="B221" s="226" t="str">
        <f t="shared" si="112"/>
        <v>CEREAL EMPACADO_26</v>
      </c>
      <c r="C221" s="333" t="str">
        <f t="shared" si="113"/>
        <v>28_26</v>
      </c>
      <c r="D221" s="392" t="s">
        <v>1607</v>
      </c>
      <c r="E221" s="226">
        <v>28</v>
      </c>
      <c r="F221" s="325" t="s">
        <v>67</v>
      </c>
      <c r="G221" s="226" t="s">
        <v>9</v>
      </c>
      <c r="H221" s="421">
        <f t="shared" si="114"/>
        <v>19</v>
      </c>
      <c r="I221" s="421">
        <f t="shared" si="115"/>
        <v>0</v>
      </c>
      <c r="J221" s="422">
        <f t="array" ref="J221">MAX((IF(MNU_CODIGO_ALIMENTO_ENTREGA=CONCATENATE($E221,"_","S_"),MNU_GRAMAJE_REQUERIDO_TIPOA,"")))</f>
        <v>30</v>
      </c>
      <c r="K221" s="227">
        <f t="shared" si="116"/>
        <v>1577</v>
      </c>
      <c r="L221" s="227">
        <f t="shared" si="117"/>
        <v>74</v>
      </c>
      <c r="M221" s="227">
        <f t="shared" si="118"/>
        <v>29963</v>
      </c>
      <c r="N221" s="448">
        <f t="shared" si="119"/>
        <v>215</v>
      </c>
      <c r="O221" s="448">
        <f t="shared" si="120"/>
        <v>10.492000000000001</v>
      </c>
      <c r="P221" s="448">
        <f t="shared" si="121"/>
        <v>0.18490343999999997</v>
      </c>
      <c r="Q221" s="448">
        <f t="shared" si="122"/>
        <v>226</v>
      </c>
      <c r="R221" s="228">
        <f t="shared" si="123"/>
        <v>6442045</v>
      </c>
      <c r="S221" s="228">
        <f t="shared" si="124"/>
        <v>6771638</v>
      </c>
      <c r="T221" s="423">
        <f t="shared" si="125"/>
        <v>19</v>
      </c>
      <c r="U221" s="423">
        <f t="shared" si="126"/>
        <v>0</v>
      </c>
      <c r="V221" s="424">
        <f t="array" ref="V221">MAX((IF(MNU_CODIGO_ALIMENTO_ENTREGA=CONCATENATE($E221,"_","S_"),MNU_GRAMAJE_REQUERIDO_TIPOB,"")))</f>
        <v>40</v>
      </c>
      <c r="W221" s="391">
        <f t="shared" si="127"/>
        <v>2774</v>
      </c>
      <c r="X221" s="391">
        <f t="shared" si="128"/>
        <v>223</v>
      </c>
      <c r="Y221" s="391">
        <f t="shared" si="129"/>
        <v>52706</v>
      </c>
      <c r="Z221" s="448">
        <f t="shared" si="130"/>
        <v>287</v>
      </c>
      <c r="AA221" s="448">
        <f t="shared" si="131"/>
        <v>14.005600000000001</v>
      </c>
      <c r="AB221" s="448">
        <f t="shared" si="132"/>
        <v>0.24682459200000004</v>
      </c>
      <c r="AC221" s="448">
        <f t="shared" si="133"/>
        <v>301</v>
      </c>
      <c r="AD221" s="229">
        <f t="shared" si="134"/>
        <v>15126622</v>
      </c>
      <c r="AE221" s="229">
        <f t="shared" si="135"/>
        <v>15864506</v>
      </c>
      <c r="AF221" s="421">
        <f t="shared" si="136"/>
        <v>19</v>
      </c>
      <c r="AG221" s="421">
        <f t="shared" si="137"/>
        <v>0</v>
      </c>
      <c r="AH221" s="422">
        <f t="array" ref="AH221">MAX((IF(MNU_CODIGO_ALIMENTO_ENTREGA=CONCATENATE($E221,"_","S_"),MNU_GRAMAJE_REQUERIDO_TIPOC,"")))</f>
        <v>60</v>
      </c>
      <c r="AI221" s="227">
        <f t="shared" si="138"/>
        <v>3600</v>
      </c>
      <c r="AJ221" s="227">
        <f t="shared" si="139"/>
        <v>182</v>
      </c>
      <c r="AK221" s="227">
        <f t="shared" si="140"/>
        <v>68400</v>
      </c>
      <c r="AL221" s="448">
        <f t="shared" si="141"/>
        <v>430</v>
      </c>
      <c r="AM221" s="448">
        <f t="shared" si="142"/>
        <v>20.984000000000002</v>
      </c>
      <c r="AN221" s="448">
        <f t="shared" si="143"/>
        <v>0.36980687999999995</v>
      </c>
      <c r="AO221" s="448">
        <f t="shared" si="144"/>
        <v>451</v>
      </c>
      <c r="AP221" s="448">
        <f t="shared" si="145"/>
        <v>29412000</v>
      </c>
      <c r="AQ221" s="228">
        <f t="shared" si="146"/>
        <v>30848400</v>
      </c>
      <c r="AR221" s="391">
        <f t="shared" si="147"/>
        <v>50980667</v>
      </c>
      <c r="AS221" s="391">
        <f t="shared" si="148"/>
        <v>53484544</v>
      </c>
    </row>
    <row r="222" spans="1:45" ht="15.75">
      <c r="A222" s="226">
        <v>26</v>
      </c>
      <c r="B222" s="226" t="str">
        <f t="shared" si="112"/>
        <v>CEREAL EMPACADO_26</v>
      </c>
      <c r="C222" s="333" t="str">
        <f t="shared" si="113"/>
        <v>45_26</v>
      </c>
      <c r="D222" s="392" t="s">
        <v>1607</v>
      </c>
      <c r="E222" s="226">
        <v>45</v>
      </c>
      <c r="F222" s="325" t="s">
        <v>10</v>
      </c>
      <c r="G222" s="226" t="s">
        <v>9</v>
      </c>
      <c r="H222" s="421">
        <f t="shared" si="114"/>
        <v>20</v>
      </c>
      <c r="I222" s="421">
        <f t="shared" si="115"/>
        <v>0</v>
      </c>
      <c r="J222" s="422">
        <f t="array" ref="J222">MAX((IF(MNU_CODIGO_ALIMENTO_ENTREGA=CONCATENATE($E222,"_","S_"),MNU_GRAMAJE_REQUERIDO_TIPOA,"")))</f>
        <v>20</v>
      </c>
      <c r="K222" s="227">
        <f t="shared" si="116"/>
        <v>1577</v>
      </c>
      <c r="L222" s="227">
        <f t="shared" si="117"/>
        <v>74</v>
      </c>
      <c r="M222" s="227">
        <f t="shared" si="118"/>
        <v>31540</v>
      </c>
      <c r="N222" s="448">
        <f t="shared" si="119"/>
        <v>190</v>
      </c>
      <c r="O222" s="448">
        <f t="shared" si="120"/>
        <v>9.2720000000000002</v>
      </c>
      <c r="P222" s="448">
        <f t="shared" si="121"/>
        <v>0.16340304</v>
      </c>
      <c r="Q222" s="448">
        <f t="shared" si="122"/>
        <v>199</v>
      </c>
      <c r="R222" s="228">
        <f t="shared" si="123"/>
        <v>5992600</v>
      </c>
      <c r="S222" s="228">
        <f t="shared" si="124"/>
        <v>6276460</v>
      </c>
      <c r="T222" s="423">
        <f t="shared" si="125"/>
        <v>20</v>
      </c>
      <c r="U222" s="423">
        <f t="shared" si="126"/>
        <v>0</v>
      </c>
      <c r="V222" s="424">
        <f t="array" ref="V222">MAX((IF(MNU_CODIGO_ALIMENTO_ENTREGA=CONCATENATE($E222,"_","S_"),MNU_GRAMAJE_REQUERIDO_TIPOB,"")))</f>
        <v>30</v>
      </c>
      <c r="W222" s="391">
        <f t="shared" si="127"/>
        <v>2774</v>
      </c>
      <c r="X222" s="391">
        <f t="shared" si="128"/>
        <v>223</v>
      </c>
      <c r="Y222" s="391">
        <f t="shared" si="129"/>
        <v>55480</v>
      </c>
      <c r="Z222" s="448">
        <f t="shared" si="130"/>
        <v>284</v>
      </c>
      <c r="AA222" s="448">
        <f t="shared" si="131"/>
        <v>13.8592</v>
      </c>
      <c r="AB222" s="448">
        <f t="shared" si="132"/>
        <v>0.24424454399999998</v>
      </c>
      <c r="AC222" s="448">
        <f t="shared" si="133"/>
        <v>298</v>
      </c>
      <c r="AD222" s="229">
        <f t="shared" si="134"/>
        <v>15756320</v>
      </c>
      <c r="AE222" s="229">
        <f t="shared" si="135"/>
        <v>16533040</v>
      </c>
      <c r="AF222" s="421">
        <f t="shared" si="136"/>
        <v>20</v>
      </c>
      <c r="AG222" s="421">
        <f t="shared" si="137"/>
        <v>0</v>
      </c>
      <c r="AH222" s="422">
        <f t="array" ref="AH222">MAX((IF(MNU_CODIGO_ALIMENTO_ENTREGA=CONCATENATE($E222,"_","S_"),MNU_GRAMAJE_REQUERIDO_TIPOC,"")))</f>
        <v>60</v>
      </c>
      <c r="AI222" s="227">
        <f t="shared" si="138"/>
        <v>3600</v>
      </c>
      <c r="AJ222" s="227">
        <f t="shared" si="139"/>
        <v>182</v>
      </c>
      <c r="AK222" s="227">
        <f t="shared" si="140"/>
        <v>72000</v>
      </c>
      <c r="AL222" s="448">
        <f t="shared" si="141"/>
        <v>569</v>
      </c>
      <c r="AM222" s="448">
        <f t="shared" si="142"/>
        <v>27.767199999999999</v>
      </c>
      <c r="AN222" s="448">
        <f t="shared" si="143"/>
        <v>0.48934910400000003</v>
      </c>
      <c r="AO222" s="448">
        <f t="shared" si="144"/>
        <v>597</v>
      </c>
      <c r="AP222" s="448">
        <f t="shared" si="145"/>
        <v>40968000</v>
      </c>
      <c r="AQ222" s="228">
        <f t="shared" si="146"/>
        <v>42984000</v>
      </c>
      <c r="AR222" s="391">
        <f t="shared" si="147"/>
        <v>62716920</v>
      </c>
      <c r="AS222" s="391">
        <f t="shared" si="148"/>
        <v>65793500</v>
      </c>
    </row>
    <row r="223" spans="1:45" ht="15.75">
      <c r="A223" s="226">
        <v>26</v>
      </c>
      <c r="B223" s="226" t="str">
        <f t="shared" si="112"/>
        <v>CEREAL EMPACADO_26</v>
      </c>
      <c r="C223" s="333" t="str">
        <f t="shared" si="113"/>
        <v>61_26</v>
      </c>
      <c r="D223" s="392" t="s">
        <v>1607</v>
      </c>
      <c r="E223" s="226">
        <v>61</v>
      </c>
      <c r="F223" s="325" t="s">
        <v>13</v>
      </c>
      <c r="G223" s="226" t="s">
        <v>9</v>
      </c>
      <c r="H223" s="421">
        <f t="shared" si="114"/>
        <v>20</v>
      </c>
      <c r="I223" s="421">
        <f t="shared" si="115"/>
        <v>0</v>
      </c>
      <c r="J223" s="422">
        <f t="array" ref="J223">MAX((IF(MNU_CODIGO_ALIMENTO_ENTREGA=CONCATENATE($E223,"_","S_"),MNU_GRAMAJE_REQUERIDO_TIPOA,"")))</f>
        <v>20</v>
      </c>
      <c r="K223" s="227">
        <f t="shared" si="116"/>
        <v>1577</v>
      </c>
      <c r="L223" s="227">
        <f t="shared" si="117"/>
        <v>74</v>
      </c>
      <c r="M223" s="227">
        <f t="shared" si="118"/>
        <v>31540</v>
      </c>
      <c r="N223" s="448">
        <f t="shared" si="119"/>
        <v>222</v>
      </c>
      <c r="O223" s="448">
        <f t="shared" si="120"/>
        <v>10.833600000000001</v>
      </c>
      <c r="P223" s="448">
        <f t="shared" si="121"/>
        <v>0.190923552</v>
      </c>
      <c r="Q223" s="448">
        <f t="shared" si="122"/>
        <v>233</v>
      </c>
      <c r="R223" s="228">
        <f t="shared" si="123"/>
        <v>7001880</v>
      </c>
      <c r="S223" s="228">
        <f t="shared" si="124"/>
        <v>7348820</v>
      </c>
      <c r="T223" s="423">
        <f t="shared" si="125"/>
        <v>20</v>
      </c>
      <c r="U223" s="423">
        <f t="shared" si="126"/>
        <v>0</v>
      </c>
      <c r="V223" s="424">
        <f t="array" ref="V223">MAX((IF(MNU_CODIGO_ALIMENTO_ENTREGA=CONCATENATE($E223,"_","S_"),MNU_GRAMAJE_REQUERIDO_TIPOB,"")))</f>
        <v>30</v>
      </c>
      <c r="W223" s="391">
        <f t="shared" si="127"/>
        <v>2774</v>
      </c>
      <c r="X223" s="391">
        <f t="shared" si="128"/>
        <v>223</v>
      </c>
      <c r="Y223" s="391">
        <f t="shared" si="129"/>
        <v>55480</v>
      </c>
      <c r="Z223" s="448">
        <f t="shared" si="130"/>
        <v>334</v>
      </c>
      <c r="AA223" s="448">
        <f t="shared" si="131"/>
        <v>16.299199999999999</v>
      </c>
      <c r="AB223" s="448">
        <f t="shared" si="132"/>
        <v>0.28724534400000001</v>
      </c>
      <c r="AC223" s="448">
        <f t="shared" si="133"/>
        <v>351</v>
      </c>
      <c r="AD223" s="229">
        <f t="shared" si="134"/>
        <v>18530320</v>
      </c>
      <c r="AE223" s="229">
        <f t="shared" si="135"/>
        <v>19473480</v>
      </c>
      <c r="AF223" s="421">
        <f t="shared" si="136"/>
        <v>20</v>
      </c>
      <c r="AG223" s="421">
        <f t="shared" si="137"/>
        <v>0</v>
      </c>
      <c r="AH223" s="422">
        <f t="array" ref="AH223">MAX((IF(MNU_CODIGO_ALIMENTO_ENTREGA=CONCATENATE($E223,"_","S_"),MNU_GRAMAJE_REQUERIDO_TIPOC,"")))</f>
        <v>70</v>
      </c>
      <c r="AI223" s="227">
        <f t="shared" si="138"/>
        <v>3600</v>
      </c>
      <c r="AJ223" s="227">
        <f t="shared" si="139"/>
        <v>182</v>
      </c>
      <c r="AK223" s="227">
        <f t="shared" si="140"/>
        <v>72000</v>
      </c>
      <c r="AL223" s="448">
        <f t="shared" si="141"/>
        <v>779</v>
      </c>
      <c r="AM223" s="448">
        <f t="shared" si="142"/>
        <v>38.0152</v>
      </c>
      <c r="AN223" s="448">
        <f t="shared" si="143"/>
        <v>0.66995246400000008</v>
      </c>
      <c r="AO223" s="448">
        <f t="shared" si="144"/>
        <v>818</v>
      </c>
      <c r="AP223" s="448">
        <f t="shared" si="145"/>
        <v>56088000</v>
      </c>
      <c r="AQ223" s="228">
        <f t="shared" si="146"/>
        <v>58896000</v>
      </c>
      <c r="AR223" s="391">
        <f t="shared" si="147"/>
        <v>81620200</v>
      </c>
      <c r="AS223" s="391">
        <f t="shared" si="148"/>
        <v>85718300</v>
      </c>
    </row>
    <row r="224" spans="1:45" ht="15.75">
      <c r="A224" s="226">
        <v>27</v>
      </c>
      <c r="B224" s="226" t="str">
        <f t="shared" si="112"/>
        <v>CEREAL EMPACADO_27</v>
      </c>
      <c r="C224" s="333" t="str">
        <f t="shared" si="113"/>
        <v>3_27</v>
      </c>
      <c r="D224" s="392" t="s">
        <v>1607</v>
      </c>
      <c r="E224" s="226">
        <v>3</v>
      </c>
      <c r="F224" s="325" t="s">
        <v>12</v>
      </c>
      <c r="G224" s="226" t="s">
        <v>9</v>
      </c>
      <c r="H224" s="421">
        <f t="shared" si="114"/>
        <v>19</v>
      </c>
      <c r="I224" s="421">
        <f t="shared" si="115"/>
        <v>0</v>
      </c>
      <c r="J224" s="422">
        <f t="array" ref="J224">MAX((IF(MNU_CODIGO_ALIMENTO_ENTREGA=CONCATENATE($E224,"_","S_"),MNU_GRAMAJE_REQUERIDO_TIPOA,"")))</f>
        <v>50</v>
      </c>
      <c r="K224" s="227">
        <f t="shared" si="116"/>
        <v>2587</v>
      </c>
      <c r="L224" s="227">
        <f t="shared" si="117"/>
        <v>0</v>
      </c>
      <c r="M224" s="227">
        <f t="shared" si="118"/>
        <v>49153</v>
      </c>
      <c r="N224" s="448">
        <f t="shared" si="119"/>
        <v>481</v>
      </c>
      <c r="O224" s="448">
        <f t="shared" si="120"/>
        <v>23.472799999999999</v>
      </c>
      <c r="P224" s="448">
        <f t="shared" si="121"/>
        <v>0.41366769599999997</v>
      </c>
      <c r="Q224" s="448">
        <f t="shared" si="122"/>
        <v>505</v>
      </c>
      <c r="R224" s="228">
        <f t="shared" si="123"/>
        <v>23642593</v>
      </c>
      <c r="S224" s="228">
        <f t="shared" si="124"/>
        <v>24822265</v>
      </c>
      <c r="T224" s="423">
        <f t="shared" si="125"/>
        <v>19</v>
      </c>
      <c r="U224" s="423">
        <f t="shared" si="126"/>
        <v>0</v>
      </c>
      <c r="V224" s="424">
        <f t="array" ref="V224">MAX((IF(MNU_CODIGO_ALIMENTO_ENTREGA=CONCATENATE($E224,"_","S_"),MNU_GRAMAJE_REQUERIDO_TIPOB,"")))</f>
        <v>50</v>
      </c>
      <c r="W224" s="391">
        <f t="shared" si="127"/>
        <v>1584</v>
      </c>
      <c r="X224" s="391">
        <f t="shared" si="128"/>
        <v>0</v>
      </c>
      <c r="Y224" s="391">
        <f t="shared" si="129"/>
        <v>30096</v>
      </c>
      <c r="Z224" s="448">
        <f t="shared" si="130"/>
        <v>481</v>
      </c>
      <c r="AA224" s="448">
        <f t="shared" si="131"/>
        <v>23.472799999999999</v>
      </c>
      <c r="AB224" s="448">
        <f t="shared" si="132"/>
        <v>0.41366769599999997</v>
      </c>
      <c r="AC224" s="448">
        <f t="shared" si="133"/>
        <v>505</v>
      </c>
      <c r="AD224" s="229">
        <f t="shared" si="134"/>
        <v>14476176</v>
      </c>
      <c r="AE224" s="229">
        <f t="shared" si="135"/>
        <v>15198480</v>
      </c>
      <c r="AF224" s="421">
        <f t="shared" si="136"/>
        <v>19</v>
      </c>
      <c r="AG224" s="421">
        <f t="shared" si="137"/>
        <v>0</v>
      </c>
      <c r="AH224" s="422">
        <f t="array" ref="AH224">MAX((IF(MNU_CODIGO_ALIMENTO_ENTREGA=CONCATENATE($E224,"_","S_"),MNU_GRAMAJE_REQUERIDO_TIPOC,"")))</f>
        <v>80</v>
      </c>
      <c r="AI224" s="227">
        <f t="shared" si="138"/>
        <v>1132</v>
      </c>
      <c r="AJ224" s="227">
        <f t="shared" si="139"/>
        <v>0</v>
      </c>
      <c r="AK224" s="227">
        <f t="shared" si="140"/>
        <v>21508</v>
      </c>
      <c r="AL224" s="448">
        <f t="shared" si="141"/>
        <v>727</v>
      </c>
      <c r="AM224" s="448">
        <f t="shared" si="142"/>
        <v>35.477600000000002</v>
      </c>
      <c r="AN224" s="448">
        <f t="shared" si="143"/>
        <v>0.62523163200000009</v>
      </c>
      <c r="AO224" s="448">
        <f t="shared" si="144"/>
        <v>763</v>
      </c>
      <c r="AP224" s="448">
        <f t="shared" si="145"/>
        <v>15636316</v>
      </c>
      <c r="AQ224" s="228">
        <f t="shared" si="146"/>
        <v>16410604</v>
      </c>
      <c r="AR224" s="391">
        <f t="shared" si="147"/>
        <v>53755085</v>
      </c>
      <c r="AS224" s="391">
        <f t="shared" si="148"/>
        <v>56431349</v>
      </c>
    </row>
    <row r="225" spans="1:45" ht="15.75">
      <c r="A225" s="226">
        <v>27</v>
      </c>
      <c r="B225" s="226" t="str">
        <f t="shared" si="112"/>
        <v>CEREAL EMPACADO_27</v>
      </c>
      <c r="C225" s="333" t="str">
        <f t="shared" si="113"/>
        <v>15_27</v>
      </c>
      <c r="D225" s="392" t="s">
        <v>1607</v>
      </c>
      <c r="E225" s="226">
        <v>15</v>
      </c>
      <c r="F225" s="325" t="s">
        <v>66</v>
      </c>
      <c r="G225" s="226" t="s">
        <v>9</v>
      </c>
      <c r="H225" s="421">
        <f t="shared" si="114"/>
        <v>11</v>
      </c>
      <c r="I225" s="421">
        <f t="shared" si="115"/>
        <v>11</v>
      </c>
      <c r="J225" s="422">
        <f t="array" ref="J225">MAX((IF(MNU_CODIGO_ALIMENTO_ENTREGA=CONCATENATE($E225,"_","S_"),MNU_GRAMAJE_REQUERIDO_TIPOA,"")))</f>
        <v>50</v>
      </c>
      <c r="K225" s="227">
        <f t="shared" si="116"/>
        <v>2587</v>
      </c>
      <c r="L225" s="227">
        <f t="shared" si="117"/>
        <v>0</v>
      </c>
      <c r="M225" s="227">
        <f t="shared" si="118"/>
        <v>28457</v>
      </c>
      <c r="N225" s="448">
        <f t="shared" si="119"/>
        <v>641</v>
      </c>
      <c r="O225" s="448">
        <f t="shared" si="120"/>
        <v>31.280800000000003</v>
      </c>
      <c r="P225" s="448">
        <f t="shared" si="121"/>
        <v>0.55127025600000001</v>
      </c>
      <c r="Q225" s="448">
        <f t="shared" si="122"/>
        <v>673</v>
      </c>
      <c r="R225" s="228">
        <f t="shared" si="123"/>
        <v>18240937</v>
      </c>
      <c r="S225" s="228">
        <f t="shared" si="124"/>
        <v>19151561</v>
      </c>
      <c r="T225" s="423">
        <f t="shared" si="125"/>
        <v>11</v>
      </c>
      <c r="U225" s="423">
        <f t="shared" si="126"/>
        <v>11</v>
      </c>
      <c r="V225" s="424">
        <f t="array" ref="V225">MAX((IF(MNU_CODIGO_ALIMENTO_ENTREGA=CONCATENATE($E225,"_","S_"),MNU_GRAMAJE_REQUERIDO_TIPOB,"")))</f>
        <v>50</v>
      </c>
      <c r="W225" s="391">
        <f t="shared" si="127"/>
        <v>1584</v>
      </c>
      <c r="X225" s="391">
        <f t="shared" si="128"/>
        <v>0</v>
      </c>
      <c r="Y225" s="391">
        <f t="shared" si="129"/>
        <v>17424</v>
      </c>
      <c r="Z225" s="448">
        <f t="shared" si="130"/>
        <v>641</v>
      </c>
      <c r="AA225" s="448">
        <f t="shared" si="131"/>
        <v>31.280800000000003</v>
      </c>
      <c r="AB225" s="448">
        <f t="shared" si="132"/>
        <v>0.55127025600000001</v>
      </c>
      <c r="AC225" s="448">
        <f t="shared" si="133"/>
        <v>673</v>
      </c>
      <c r="AD225" s="229">
        <f t="shared" si="134"/>
        <v>11168784</v>
      </c>
      <c r="AE225" s="229">
        <f t="shared" si="135"/>
        <v>11726352</v>
      </c>
      <c r="AF225" s="421">
        <f t="shared" si="136"/>
        <v>11</v>
      </c>
      <c r="AG225" s="421">
        <f t="shared" si="137"/>
        <v>11</v>
      </c>
      <c r="AH225" s="422">
        <f t="array" ref="AH225">MAX((IF(MNU_CODIGO_ALIMENTO_ENTREGA=CONCATENATE($E225,"_","S_"),MNU_GRAMAJE_REQUERIDO_TIPOC,"")))</f>
        <v>80</v>
      </c>
      <c r="AI225" s="227">
        <f t="shared" si="138"/>
        <v>1132</v>
      </c>
      <c r="AJ225" s="227">
        <f t="shared" si="139"/>
        <v>0</v>
      </c>
      <c r="AK225" s="227">
        <f t="shared" si="140"/>
        <v>12452</v>
      </c>
      <c r="AL225" s="448">
        <f t="shared" si="141"/>
        <v>1025</v>
      </c>
      <c r="AM225" s="448">
        <f t="shared" si="142"/>
        <v>50.02</v>
      </c>
      <c r="AN225" s="448">
        <f t="shared" si="143"/>
        <v>0.88151640000000009</v>
      </c>
      <c r="AO225" s="448">
        <f t="shared" si="144"/>
        <v>1076</v>
      </c>
      <c r="AP225" s="448">
        <f t="shared" si="145"/>
        <v>12763300</v>
      </c>
      <c r="AQ225" s="228">
        <f t="shared" si="146"/>
        <v>13398352</v>
      </c>
      <c r="AR225" s="391">
        <f t="shared" si="147"/>
        <v>42173021</v>
      </c>
      <c r="AS225" s="391">
        <f t="shared" si="148"/>
        <v>44276265</v>
      </c>
    </row>
    <row r="226" spans="1:45" ht="27">
      <c r="A226" s="226">
        <v>27</v>
      </c>
      <c r="B226" s="226" t="str">
        <f t="shared" si="112"/>
        <v>CEREAL EMPACADO_27</v>
      </c>
      <c r="C226" s="333" t="str">
        <f t="shared" si="113"/>
        <v>21_27</v>
      </c>
      <c r="D226" s="392" t="s">
        <v>1607</v>
      </c>
      <c r="E226" s="226">
        <v>21</v>
      </c>
      <c r="F226" s="325" t="s">
        <v>70</v>
      </c>
      <c r="G226" s="226" t="s">
        <v>9</v>
      </c>
      <c r="H226" s="421">
        <f t="shared" si="114"/>
        <v>22</v>
      </c>
      <c r="I226" s="421">
        <f t="shared" si="115"/>
        <v>0</v>
      </c>
      <c r="J226" s="422">
        <f t="array" ref="J226">MAX((IF(MNU_CODIGO_ALIMENTO_ENTREGA=CONCATENATE($E226,"_","S_"),MNU_GRAMAJE_REQUERIDO_TIPOA,"")))</f>
        <v>30</v>
      </c>
      <c r="K226" s="227">
        <f t="shared" si="116"/>
        <v>2587</v>
      </c>
      <c r="L226" s="227">
        <f t="shared" si="117"/>
        <v>0</v>
      </c>
      <c r="M226" s="227">
        <f t="shared" si="118"/>
        <v>56914</v>
      </c>
      <c r="N226" s="448">
        <f t="shared" si="119"/>
        <v>458</v>
      </c>
      <c r="O226" s="448">
        <f t="shared" si="120"/>
        <v>22.3504</v>
      </c>
      <c r="P226" s="448">
        <f t="shared" si="121"/>
        <v>0.39388732799999998</v>
      </c>
      <c r="Q226" s="448">
        <f t="shared" si="122"/>
        <v>481</v>
      </c>
      <c r="R226" s="228">
        <f t="shared" si="123"/>
        <v>26066612</v>
      </c>
      <c r="S226" s="228">
        <f t="shared" si="124"/>
        <v>27375634</v>
      </c>
      <c r="T226" s="423">
        <f t="shared" si="125"/>
        <v>22</v>
      </c>
      <c r="U226" s="423">
        <f t="shared" si="126"/>
        <v>0</v>
      </c>
      <c r="V226" s="424">
        <f t="array" ref="V226">MAX((IF(MNU_CODIGO_ALIMENTO_ENTREGA=CONCATENATE($E226,"_","S_"),MNU_GRAMAJE_REQUERIDO_TIPOB,"")))</f>
        <v>30</v>
      </c>
      <c r="W226" s="391">
        <f t="shared" si="127"/>
        <v>1584</v>
      </c>
      <c r="X226" s="391">
        <f t="shared" si="128"/>
        <v>0</v>
      </c>
      <c r="Y226" s="391">
        <f t="shared" si="129"/>
        <v>34848</v>
      </c>
      <c r="Z226" s="448">
        <f t="shared" si="130"/>
        <v>458</v>
      </c>
      <c r="AA226" s="448">
        <f t="shared" si="131"/>
        <v>22.3504</v>
      </c>
      <c r="AB226" s="448">
        <f t="shared" si="132"/>
        <v>0.39388732799999998</v>
      </c>
      <c r="AC226" s="448">
        <f t="shared" si="133"/>
        <v>481</v>
      </c>
      <c r="AD226" s="229">
        <f t="shared" si="134"/>
        <v>15960384</v>
      </c>
      <c r="AE226" s="229">
        <f t="shared" si="135"/>
        <v>16761888</v>
      </c>
      <c r="AF226" s="421">
        <f t="shared" si="136"/>
        <v>22</v>
      </c>
      <c r="AG226" s="421">
        <f t="shared" si="137"/>
        <v>0</v>
      </c>
      <c r="AH226" s="422">
        <f t="array" ref="AH226">MAX((IF(MNU_CODIGO_ALIMENTO_ENTREGA=CONCATENATE($E226,"_","S_"),MNU_GRAMAJE_REQUERIDO_TIPOC,"")))</f>
        <v>50</v>
      </c>
      <c r="AI226" s="227">
        <f t="shared" si="138"/>
        <v>1132</v>
      </c>
      <c r="AJ226" s="227">
        <f t="shared" si="139"/>
        <v>0</v>
      </c>
      <c r="AK226" s="227">
        <f t="shared" si="140"/>
        <v>24904</v>
      </c>
      <c r="AL226" s="448">
        <f t="shared" si="141"/>
        <v>764</v>
      </c>
      <c r="AM226" s="448">
        <f t="shared" si="142"/>
        <v>37.283200000000001</v>
      </c>
      <c r="AN226" s="448">
        <f t="shared" si="143"/>
        <v>0.65705222400000007</v>
      </c>
      <c r="AO226" s="448">
        <f t="shared" si="144"/>
        <v>802</v>
      </c>
      <c r="AP226" s="448">
        <f t="shared" si="145"/>
        <v>19026656</v>
      </c>
      <c r="AQ226" s="228">
        <f t="shared" si="146"/>
        <v>19973008</v>
      </c>
      <c r="AR226" s="391">
        <f t="shared" si="147"/>
        <v>61053652</v>
      </c>
      <c r="AS226" s="391">
        <f t="shared" si="148"/>
        <v>64110530</v>
      </c>
    </row>
    <row r="227" spans="1:45" ht="15.75">
      <c r="A227" s="226">
        <v>27</v>
      </c>
      <c r="B227" s="226" t="str">
        <f t="shared" si="112"/>
        <v>CEREAL EMPACADO_27</v>
      </c>
      <c r="C227" s="333" t="str">
        <f t="shared" si="113"/>
        <v>24_27</v>
      </c>
      <c r="D227" s="392" t="s">
        <v>1607</v>
      </c>
      <c r="E227" s="226">
        <v>24</v>
      </c>
      <c r="F227" s="325" t="s">
        <v>61</v>
      </c>
      <c r="G227" s="226" t="s">
        <v>9</v>
      </c>
      <c r="H227" s="421">
        <f t="shared" si="114"/>
        <v>11</v>
      </c>
      <c r="I227" s="421">
        <f t="shared" si="115"/>
        <v>11</v>
      </c>
      <c r="J227" s="422">
        <f t="array" ref="J227">MAX((IF(MNU_CODIGO_ALIMENTO_ENTREGA=CONCATENATE($E227,"_","S_"),MNU_GRAMAJE_REQUERIDO_TIPOA,"")))</f>
        <v>20</v>
      </c>
      <c r="K227" s="227">
        <f t="shared" si="116"/>
        <v>2587</v>
      </c>
      <c r="L227" s="227">
        <f t="shared" si="117"/>
        <v>0</v>
      </c>
      <c r="M227" s="227">
        <f t="shared" si="118"/>
        <v>28457</v>
      </c>
      <c r="N227" s="448">
        <f t="shared" si="119"/>
        <v>122</v>
      </c>
      <c r="O227" s="448">
        <f t="shared" si="120"/>
        <v>5.9535999999999998</v>
      </c>
      <c r="P227" s="448">
        <f t="shared" si="121"/>
        <v>0.104921952</v>
      </c>
      <c r="Q227" s="448">
        <f t="shared" si="122"/>
        <v>128</v>
      </c>
      <c r="R227" s="228">
        <f t="shared" si="123"/>
        <v>3471754</v>
      </c>
      <c r="S227" s="228">
        <f t="shared" si="124"/>
        <v>3642496</v>
      </c>
      <c r="T227" s="423">
        <f t="shared" si="125"/>
        <v>11</v>
      </c>
      <c r="U227" s="423">
        <f t="shared" si="126"/>
        <v>11</v>
      </c>
      <c r="V227" s="424">
        <f t="array" ref="V227">MAX((IF(MNU_CODIGO_ALIMENTO_ENTREGA=CONCATENATE($E227,"_","S_"),MNU_GRAMAJE_REQUERIDO_TIPOB,"")))</f>
        <v>30</v>
      </c>
      <c r="W227" s="391">
        <f t="shared" si="127"/>
        <v>1584</v>
      </c>
      <c r="X227" s="391">
        <f t="shared" si="128"/>
        <v>0</v>
      </c>
      <c r="Y227" s="391">
        <f t="shared" si="129"/>
        <v>17424</v>
      </c>
      <c r="Z227" s="448">
        <f t="shared" si="130"/>
        <v>191</v>
      </c>
      <c r="AA227" s="448">
        <f t="shared" si="131"/>
        <v>9.3208000000000002</v>
      </c>
      <c r="AB227" s="448">
        <f t="shared" si="132"/>
        <v>0.16426305600000002</v>
      </c>
      <c r="AC227" s="448">
        <f t="shared" si="133"/>
        <v>200</v>
      </c>
      <c r="AD227" s="229">
        <f t="shared" si="134"/>
        <v>3327984</v>
      </c>
      <c r="AE227" s="229">
        <f t="shared" si="135"/>
        <v>3484800</v>
      </c>
      <c r="AF227" s="421">
        <f t="shared" si="136"/>
        <v>11</v>
      </c>
      <c r="AG227" s="421">
        <f t="shared" si="137"/>
        <v>11</v>
      </c>
      <c r="AH227" s="422">
        <f t="array" ref="AH227">MAX((IF(MNU_CODIGO_ALIMENTO_ENTREGA=CONCATENATE($E227,"_","S_"),MNU_GRAMAJE_REQUERIDO_TIPOC,"")))</f>
        <v>60</v>
      </c>
      <c r="AI227" s="227">
        <f t="shared" si="138"/>
        <v>1132</v>
      </c>
      <c r="AJ227" s="227">
        <f t="shared" si="139"/>
        <v>0</v>
      </c>
      <c r="AK227" s="227">
        <f t="shared" si="140"/>
        <v>12452</v>
      </c>
      <c r="AL227" s="448">
        <f t="shared" si="141"/>
        <v>367</v>
      </c>
      <c r="AM227" s="448">
        <f t="shared" si="142"/>
        <v>17.909599999999998</v>
      </c>
      <c r="AN227" s="448">
        <f t="shared" si="143"/>
        <v>0.31562587200000003</v>
      </c>
      <c r="AO227" s="448">
        <f t="shared" si="144"/>
        <v>385</v>
      </c>
      <c r="AP227" s="448">
        <f t="shared" si="145"/>
        <v>4569884</v>
      </c>
      <c r="AQ227" s="228">
        <f t="shared" si="146"/>
        <v>4794020</v>
      </c>
      <c r="AR227" s="391">
        <f t="shared" si="147"/>
        <v>11369622</v>
      </c>
      <c r="AS227" s="391">
        <f t="shared" si="148"/>
        <v>11921316</v>
      </c>
    </row>
    <row r="228" spans="1:45" ht="15.75">
      <c r="A228" s="226">
        <v>27</v>
      </c>
      <c r="B228" s="226" t="str">
        <f t="shared" ref="B228:B255" si="149">CONCATENATE(D228,"_",A228)</f>
        <v>CEREAL EMPACADO_27</v>
      </c>
      <c r="C228" s="333" t="str">
        <f t="shared" ref="C228:C255" si="150">CONCATENATE(E228,"_",A228)</f>
        <v>25_27</v>
      </c>
      <c r="D228" s="392" t="s">
        <v>1607</v>
      </c>
      <c r="E228" s="226">
        <v>25</v>
      </c>
      <c r="F228" s="325" t="s">
        <v>64</v>
      </c>
      <c r="G228" s="226" t="s">
        <v>9</v>
      </c>
      <c r="H228" s="421">
        <f t="shared" ref="H228:H255" si="151">SUMIF(MNU_CODIGO_ALIMENTO_ENTREGA,CONCATENATE($E228,"_","S_"),MNU_FRECUENCIAS_LAV_TIPOA)</f>
        <v>22</v>
      </c>
      <c r="I228" s="421">
        <f t="shared" ref="I228:I255" si="152">SUMIF(MNU_CODIGO_ALIMENTO_ENTREGA,CONCATENATE($E228,"_","S_"),MNU_FRECUENCIAS_FDS_TIPOA)</f>
        <v>0</v>
      </c>
      <c r="J228" s="422">
        <f t="array" ref="J228">MAX((IF(MNU_CODIGO_ALIMENTO_ENTREGA=CONCATENATE($E228,"_","S_"),MNU_GRAMAJE_REQUERIDO_TIPOA,"")))</f>
        <v>40</v>
      </c>
      <c r="K228" s="227">
        <f t="shared" ref="K228:K255" si="153">SUMIF(VOL_GRUPO,CONCATENATE($A228,"1052-2NO"),VOL_TIPOA)</f>
        <v>2587</v>
      </c>
      <c r="L228" s="227">
        <f t="shared" ref="L228:L255" si="154">SUMIF(VOL_GRUPO,CONCATENATE($A228,"1052-2SI"),VOL_TIPOA)</f>
        <v>0</v>
      </c>
      <c r="M228" s="227">
        <f t="shared" ref="M228:M255" si="155">(H228*K228)+(I228*L228)</f>
        <v>56914</v>
      </c>
      <c r="N228" s="448">
        <f t="shared" ref="N228:N255" si="156">IF(ISERROR(AVERAGEIFS(MNU_COSTO_UNITARIO_TIPOA_SELECCIONADO,MNU_CODIGO_ALIMENTO_ENTREGA,CONCATENATE($E228,"_","S_"))),0,AVERAGEIFS(MNU_COSTO_UNITARIO_TIPOA_SELECCIONADO,MNU_CODIGO_ALIMENTO_ENTREGA,CONCATENATE($E228,"_","S_")))</f>
        <v>244</v>
      </c>
      <c r="O228" s="448">
        <f t="shared" ref="O228:O255" si="157">(N228*0.01)+(N228*0.005)+(N228*0.02)+(N228*(13.8/1000))</f>
        <v>11.9072</v>
      </c>
      <c r="P228" s="448">
        <f t="shared" ref="P228:P255" si="158">((N228+O228)*0.00071)+((N228+O228)*0.00011)</f>
        <v>0.209843904</v>
      </c>
      <c r="Q228" s="448">
        <f t="shared" ref="Q228:Q255" si="159">ROUND(N228+O228+P228,0)</f>
        <v>256</v>
      </c>
      <c r="R228" s="228">
        <f t="shared" ref="R228:R255" si="160">(H228*K228*N228)+(I228*L228*N228)</f>
        <v>13887016</v>
      </c>
      <c r="S228" s="228">
        <f t="shared" ref="S228:S255" si="161">(H228*K228*Q228)+(I228*L228*Q228)</f>
        <v>14569984</v>
      </c>
      <c r="T228" s="423">
        <f t="shared" ref="T228:T255" si="162">SUMIF(MNU_CODIGO_ALIMENTO_ENTREGA,CONCATENATE($E228,"_","S_"),MNU_FRECUENCIAS_LAV_TIPOB)</f>
        <v>22</v>
      </c>
      <c r="U228" s="423">
        <f t="shared" ref="U228:U255" si="163">SUMIF(MNU_CODIGO_ALIMENTO_ENTREGA,CONCATENATE($E228,"_","S_"),MNU_FRECUENCIAS_FDS_TIPOB)</f>
        <v>0</v>
      </c>
      <c r="V228" s="424">
        <f t="array" ref="V228">MAX((IF(MNU_CODIGO_ALIMENTO_ENTREGA=CONCATENATE($E228,"_","S_"),MNU_GRAMAJE_REQUERIDO_TIPOB,"")))</f>
        <v>40</v>
      </c>
      <c r="W228" s="391">
        <f t="shared" ref="W228:W255" si="164">SUMIF(VOL_GRUPO,CONCATENATE($A228,"1052-2NO"),VOL_TIPOB)</f>
        <v>1584</v>
      </c>
      <c r="X228" s="391">
        <f t="shared" ref="X228:X255" si="165">SUMIF(VOL_GRUPO,CONCATENATE($A228,"1052-2SI"),VOL_TIPOB)</f>
        <v>0</v>
      </c>
      <c r="Y228" s="391">
        <f t="shared" ref="Y228:Y255" si="166">(T228*W228)+(U228*X228)</f>
        <v>34848</v>
      </c>
      <c r="Z228" s="448">
        <f t="shared" ref="Z228:Z255" si="167">IF(ISERROR(AVERAGEIFS(MNU_COSTO_UNITARIO_TIPOB_SELECCIONADO,MNU_CODIGO_ALIMENTO_ENTREGA,CONCATENATE($E228,"_","S_"))),0,AVERAGEIFS(MNU_COSTO_UNITARIO_TIPOB_SELECCIONADO,MNU_CODIGO_ALIMENTO_ENTREGA,CONCATENATE($E228,"_","S_")))</f>
        <v>244</v>
      </c>
      <c r="AA228" s="448">
        <f t="shared" ref="AA228:AA255" si="168">(Z228*0.01)+(Z228*0.005)+(Z228*0.02)+(Z228*(13.8/1000))</f>
        <v>11.9072</v>
      </c>
      <c r="AB228" s="448">
        <f t="shared" ref="AB228:AB255" si="169">((Z228+AA228)*0.00071)+((Z228+AA228)*0.00011)</f>
        <v>0.209843904</v>
      </c>
      <c r="AC228" s="448">
        <f t="shared" ref="AC228:AC255" si="170">ROUND(Z228+AA228+AB228,0)</f>
        <v>256</v>
      </c>
      <c r="AD228" s="229">
        <f t="shared" ref="AD228:AD255" si="171">(T228*W228*Z228)+(U228*X228*Z228)</f>
        <v>8502912</v>
      </c>
      <c r="AE228" s="229">
        <f t="shared" ref="AE228:AE255" si="172">(T228*W228*AC228)+(U228*X228*AC228)</f>
        <v>8921088</v>
      </c>
      <c r="AF228" s="421">
        <f t="shared" ref="AF228:AF255" si="173">SUMIF(MNU_CODIGO_ALIMENTO_ENTREGA,CONCATENATE($E228,"_","S_"),MNU_FRECUENCIAS_LAV_TIPOC)</f>
        <v>22</v>
      </c>
      <c r="AG228" s="421">
        <f t="shared" ref="AG228:AG255" si="174">SUMIF(MNU_CODIGO_ALIMENTO_ENTREGA,CONCATENATE($E228,"_","S_"),MNU_FRECUENCIAS_FDS_TIPOC)</f>
        <v>0</v>
      </c>
      <c r="AH228" s="422">
        <f t="array" ref="AH228">MAX((IF(MNU_CODIGO_ALIMENTO_ENTREGA=CONCATENATE($E228,"_","S_"),MNU_GRAMAJE_REQUERIDO_TIPOC,"")))</f>
        <v>60</v>
      </c>
      <c r="AI228" s="227">
        <f t="shared" ref="AI228:AI255" si="175">SUMIF(VOL_GRUPO,CONCATENATE($A228,"1052-2NO"),VOL_TIPOC)</f>
        <v>1132</v>
      </c>
      <c r="AJ228" s="227">
        <f t="shared" ref="AJ228:AJ255" si="176">SUMIF(VOL_GRUPO,CONCATENATE($A228,"1052-2SI"),VOL_TIPOC)</f>
        <v>0</v>
      </c>
      <c r="AK228" s="227">
        <f t="shared" ref="AK228:AK255" si="177">(AF228*AI228)+(AG228*AJ228)</f>
        <v>24904</v>
      </c>
      <c r="AL228" s="448">
        <f t="shared" ref="AL228:AL255" si="178">IF(ISERROR(AVERAGEIFS(MNU_COSTO_UNITARIO_TIPOC_SELECCIONADO,MNU_CODIGO_ALIMENTO_ENTREGA,CONCATENATE($E228,"_","S_"))),0,AVERAGEIFS(MNU_COSTO_UNITARIO_TIPOC_SELECCIONADO,MNU_CODIGO_ALIMENTO_ENTREGA,CONCATENATE($E228,"_","S_")))</f>
        <v>366</v>
      </c>
      <c r="AM228" s="448">
        <f t="shared" ref="AM228:AM255" si="179">(AL228*0.01)+(AL228*0.005)+(AL228*0.02)+(AL228*(13.8/1000))</f>
        <v>17.860800000000001</v>
      </c>
      <c r="AN228" s="448">
        <f t="shared" ref="AN228:AN255" si="180">((AL228+AM228)*0.00071)+((AL228+AM228)*0.00011)</f>
        <v>0.31476585600000001</v>
      </c>
      <c r="AO228" s="448">
        <f t="shared" ref="AO228:AO255" si="181">ROUND(AL228+AM228+AN228,0)</f>
        <v>384</v>
      </c>
      <c r="AP228" s="448">
        <f t="shared" ref="AP228:AP255" si="182">(AF228*AI228*AL228)+(AG228*AJ228*AL228)</f>
        <v>9114864</v>
      </c>
      <c r="AQ228" s="228">
        <f t="shared" ref="AQ228:AQ255" si="183">(AF228*AI228*AO228)+(AG228*AJ228*AO228)</f>
        <v>9563136</v>
      </c>
      <c r="AR228" s="391">
        <f t="shared" ref="AR228:AR255" si="184">R228+AD228+AP228</f>
        <v>31504792</v>
      </c>
      <c r="AS228" s="391">
        <f t="shared" ref="AS228:AS255" si="185">S228+AE228+AQ228</f>
        <v>33054208</v>
      </c>
    </row>
    <row r="229" spans="1:45" ht="27">
      <c r="A229" s="226">
        <v>27</v>
      </c>
      <c r="B229" s="226" t="str">
        <f t="shared" si="149"/>
        <v>CEREAL EMPACADO_27</v>
      </c>
      <c r="C229" s="333" t="str">
        <f t="shared" si="150"/>
        <v>28_27</v>
      </c>
      <c r="D229" s="392" t="s">
        <v>1607</v>
      </c>
      <c r="E229" s="226">
        <v>28</v>
      </c>
      <c r="F229" s="325" t="s">
        <v>67</v>
      </c>
      <c r="G229" s="226" t="s">
        <v>9</v>
      </c>
      <c r="H229" s="421">
        <f t="shared" si="151"/>
        <v>19</v>
      </c>
      <c r="I229" s="421">
        <f t="shared" si="152"/>
        <v>0</v>
      </c>
      <c r="J229" s="422">
        <f t="array" ref="J229">MAX((IF(MNU_CODIGO_ALIMENTO_ENTREGA=CONCATENATE($E229,"_","S_"),MNU_GRAMAJE_REQUERIDO_TIPOA,"")))</f>
        <v>30</v>
      </c>
      <c r="K229" s="227">
        <f t="shared" si="153"/>
        <v>2587</v>
      </c>
      <c r="L229" s="227">
        <f t="shared" si="154"/>
        <v>0</v>
      </c>
      <c r="M229" s="227">
        <f t="shared" si="155"/>
        <v>49153</v>
      </c>
      <c r="N229" s="448">
        <f t="shared" si="156"/>
        <v>215</v>
      </c>
      <c r="O229" s="448">
        <f t="shared" si="157"/>
        <v>10.492000000000001</v>
      </c>
      <c r="P229" s="448">
        <f t="shared" si="158"/>
        <v>0.18490343999999997</v>
      </c>
      <c r="Q229" s="448">
        <f t="shared" si="159"/>
        <v>226</v>
      </c>
      <c r="R229" s="228">
        <f t="shared" si="160"/>
        <v>10567895</v>
      </c>
      <c r="S229" s="228">
        <f t="shared" si="161"/>
        <v>11108578</v>
      </c>
      <c r="T229" s="423">
        <f t="shared" si="162"/>
        <v>19</v>
      </c>
      <c r="U229" s="423">
        <f t="shared" si="163"/>
        <v>0</v>
      </c>
      <c r="V229" s="424">
        <f t="array" ref="V229">MAX((IF(MNU_CODIGO_ALIMENTO_ENTREGA=CONCATENATE($E229,"_","S_"),MNU_GRAMAJE_REQUERIDO_TIPOB,"")))</f>
        <v>40</v>
      </c>
      <c r="W229" s="391">
        <f t="shared" si="164"/>
        <v>1584</v>
      </c>
      <c r="X229" s="391">
        <f t="shared" si="165"/>
        <v>0</v>
      </c>
      <c r="Y229" s="391">
        <f t="shared" si="166"/>
        <v>30096</v>
      </c>
      <c r="Z229" s="448">
        <f t="shared" si="167"/>
        <v>287</v>
      </c>
      <c r="AA229" s="448">
        <f t="shared" si="168"/>
        <v>14.005600000000001</v>
      </c>
      <c r="AB229" s="448">
        <f t="shared" si="169"/>
        <v>0.24682459200000004</v>
      </c>
      <c r="AC229" s="448">
        <f t="shared" si="170"/>
        <v>301</v>
      </c>
      <c r="AD229" s="229">
        <f t="shared" si="171"/>
        <v>8637552</v>
      </c>
      <c r="AE229" s="229">
        <f t="shared" si="172"/>
        <v>9058896</v>
      </c>
      <c r="AF229" s="421">
        <f t="shared" si="173"/>
        <v>19</v>
      </c>
      <c r="AG229" s="421">
        <f t="shared" si="174"/>
        <v>0</v>
      </c>
      <c r="AH229" s="422">
        <f t="array" ref="AH229">MAX((IF(MNU_CODIGO_ALIMENTO_ENTREGA=CONCATENATE($E229,"_","S_"),MNU_GRAMAJE_REQUERIDO_TIPOC,"")))</f>
        <v>60</v>
      </c>
      <c r="AI229" s="227">
        <f t="shared" si="175"/>
        <v>1132</v>
      </c>
      <c r="AJ229" s="227">
        <f t="shared" si="176"/>
        <v>0</v>
      </c>
      <c r="AK229" s="227">
        <f t="shared" si="177"/>
        <v>21508</v>
      </c>
      <c r="AL229" s="448">
        <f t="shared" si="178"/>
        <v>430</v>
      </c>
      <c r="AM229" s="448">
        <f t="shared" si="179"/>
        <v>20.984000000000002</v>
      </c>
      <c r="AN229" s="448">
        <f t="shared" si="180"/>
        <v>0.36980687999999995</v>
      </c>
      <c r="AO229" s="448">
        <f t="shared" si="181"/>
        <v>451</v>
      </c>
      <c r="AP229" s="448">
        <f t="shared" si="182"/>
        <v>9248440</v>
      </c>
      <c r="AQ229" s="228">
        <f t="shared" si="183"/>
        <v>9700108</v>
      </c>
      <c r="AR229" s="391">
        <f t="shared" si="184"/>
        <v>28453887</v>
      </c>
      <c r="AS229" s="391">
        <f t="shared" si="185"/>
        <v>29867582</v>
      </c>
    </row>
    <row r="230" spans="1:45" ht="15.75">
      <c r="A230" s="226">
        <v>27</v>
      </c>
      <c r="B230" s="226" t="str">
        <f t="shared" si="149"/>
        <v>CEREAL EMPACADO_27</v>
      </c>
      <c r="C230" s="333" t="str">
        <f t="shared" si="150"/>
        <v>45_27</v>
      </c>
      <c r="D230" s="392" t="s">
        <v>1607</v>
      </c>
      <c r="E230" s="226">
        <v>45</v>
      </c>
      <c r="F230" s="325" t="s">
        <v>10</v>
      </c>
      <c r="G230" s="226" t="s">
        <v>9</v>
      </c>
      <c r="H230" s="421">
        <f t="shared" si="151"/>
        <v>20</v>
      </c>
      <c r="I230" s="421">
        <f t="shared" si="152"/>
        <v>0</v>
      </c>
      <c r="J230" s="422">
        <f t="array" ref="J230">MAX((IF(MNU_CODIGO_ALIMENTO_ENTREGA=CONCATENATE($E230,"_","S_"),MNU_GRAMAJE_REQUERIDO_TIPOA,"")))</f>
        <v>20</v>
      </c>
      <c r="K230" s="227">
        <f t="shared" si="153"/>
        <v>2587</v>
      </c>
      <c r="L230" s="227">
        <f t="shared" si="154"/>
        <v>0</v>
      </c>
      <c r="M230" s="227">
        <f t="shared" si="155"/>
        <v>51740</v>
      </c>
      <c r="N230" s="448">
        <f t="shared" si="156"/>
        <v>190</v>
      </c>
      <c r="O230" s="448">
        <f t="shared" si="157"/>
        <v>9.2720000000000002</v>
      </c>
      <c r="P230" s="448">
        <f t="shared" si="158"/>
        <v>0.16340304</v>
      </c>
      <c r="Q230" s="448">
        <f t="shared" si="159"/>
        <v>199</v>
      </c>
      <c r="R230" s="228">
        <f t="shared" si="160"/>
        <v>9830600</v>
      </c>
      <c r="S230" s="228">
        <f t="shared" si="161"/>
        <v>10296260</v>
      </c>
      <c r="T230" s="423">
        <f t="shared" si="162"/>
        <v>20</v>
      </c>
      <c r="U230" s="423">
        <f t="shared" si="163"/>
        <v>0</v>
      </c>
      <c r="V230" s="424">
        <f t="array" ref="V230">MAX((IF(MNU_CODIGO_ALIMENTO_ENTREGA=CONCATENATE($E230,"_","S_"),MNU_GRAMAJE_REQUERIDO_TIPOB,"")))</f>
        <v>30</v>
      </c>
      <c r="W230" s="391">
        <f t="shared" si="164"/>
        <v>1584</v>
      </c>
      <c r="X230" s="391">
        <f t="shared" si="165"/>
        <v>0</v>
      </c>
      <c r="Y230" s="391">
        <f t="shared" si="166"/>
        <v>31680</v>
      </c>
      <c r="Z230" s="448">
        <f t="shared" si="167"/>
        <v>284</v>
      </c>
      <c r="AA230" s="448">
        <f t="shared" si="168"/>
        <v>13.8592</v>
      </c>
      <c r="AB230" s="448">
        <f t="shared" si="169"/>
        <v>0.24424454399999998</v>
      </c>
      <c r="AC230" s="448">
        <f t="shared" si="170"/>
        <v>298</v>
      </c>
      <c r="AD230" s="229">
        <f t="shared" si="171"/>
        <v>8997120</v>
      </c>
      <c r="AE230" s="229">
        <f t="shared" si="172"/>
        <v>9440640</v>
      </c>
      <c r="AF230" s="421">
        <f t="shared" si="173"/>
        <v>20</v>
      </c>
      <c r="AG230" s="421">
        <f t="shared" si="174"/>
        <v>0</v>
      </c>
      <c r="AH230" s="422">
        <f t="array" ref="AH230">MAX((IF(MNU_CODIGO_ALIMENTO_ENTREGA=CONCATENATE($E230,"_","S_"),MNU_GRAMAJE_REQUERIDO_TIPOC,"")))</f>
        <v>60</v>
      </c>
      <c r="AI230" s="227">
        <f t="shared" si="175"/>
        <v>1132</v>
      </c>
      <c r="AJ230" s="227">
        <f t="shared" si="176"/>
        <v>0</v>
      </c>
      <c r="AK230" s="227">
        <f t="shared" si="177"/>
        <v>22640</v>
      </c>
      <c r="AL230" s="448">
        <f t="shared" si="178"/>
        <v>569</v>
      </c>
      <c r="AM230" s="448">
        <f t="shared" si="179"/>
        <v>27.767199999999999</v>
      </c>
      <c r="AN230" s="448">
        <f t="shared" si="180"/>
        <v>0.48934910400000003</v>
      </c>
      <c r="AO230" s="448">
        <f t="shared" si="181"/>
        <v>597</v>
      </c>
      <c r="AP230" s="448">
        <f t="shared" si="182"/>
        <v>12882160</v>
      </c>
      <c r="AQ230" s="228">
        <f t="shared" si="183"/>
        <v>13516080</v>
      </c>
      <c r="AR230" s="391">
        <f t="shared" si="184"/>
        <v>31709880</v>
      </c>
      <c r="AS230" s="391">
        <f t="shared" si="185"/>
        <v>33252980</v>
      </c>
    </row>
    <row r="231" spans="1:45" ht="15.75">
      <c r="A231" s="226">
        <v>27</v>
      </c>
      <c r="B231" s="226" t="str">
        <f t="shared" si="149"/>
        <v>CEREAL EMPACADO_27</v>
      </c>
      <c r="C231" s="333" t="str">
        <f t="shared" si="150"/>
        <v>61_27</v>
      </c>
      <c r="D231" s="392" t="s">
        <v>1607</v>
      </c>
      <c r="E231" s="226">
        <v>61</v>
      </c>
      <c r="F231" s="325" t="s">
        <v>13</v>
      </c>
      <c r="G231" s="226" t="s">
        <v>9</v>
      </c>
      <c r="H231" s="421">
        <f t="shared" si="151"/>
        <v>20</v>
      </c>
      <c r="I231" s="421">
        <f t="shared" si="152"/>
        <v>0</v>
      </c>
      <c r="J231" s="422">
        <f t="array" ref="J231">MAX((IF(MNU_CODIGO_ALIMENTO_ENTREGA=CONCATENATE($E231,"_","S_"),MNU_GRAMAJE_REQUERIDO_TIPOA,"")))</f>
        <v>20</v>
      </c>
      <c r="K231" s="227">
        <f t="shared" si="153"/>
        <v>2587</v>
      </c>
      <c r="L231" s="227">
        <f t="shared" si="154"/>
        <v>0</v>
      </c>
      <c r="M231" s="227">
        <f t="shared" si="155"/>
        <v>51740</v>
      </c>
      <c r="N231" s="448">
        <f t="shared" si="156"/>
        <v>222</v>
      </c>
      <c r="O231" s="448">
        <f t="shared" si="157"/>
        <v>10.833600000000001</v>
      </c>
      <c r="P231" s="448">
        <f t="shared" si="158"/>
        <v>0.190923552</v>
      </c>
      <c r="Q231" s="448">
        <f t="shared" si="159"/>
        <v>233</v>
      </c>
      <c r="R231" s="228">
        <f t="shared" si="160"/>
        <v>11486280</v>
      </c>
      <c r="S231" s="228">
        <f t="shared" si="161"/>
        <v>12055420</v>
      </c>
      <c r="T231" s="423">
        <f t="shared" si="162"/>
        <v>20</v>
      </c>
      <c r="U231" s="423">
        <f t="shared" si="163"/>
        <v>0</v>
      </c>
      <c r="V231" s="424">
        <f t="array" ref="V231">MAX((IF(MNU_CODIGO_ALIMENTO_ENTREGA=CONCATENATE($E231,"_","S_"),MNU_GRAMAJE_REQUERIDO_TIPOB,"")))</f>
        <v>30</v>
      </c>
      <c r="W231" s="391">
        <f t="shared" si="164"/>
        <v>1584</v>
      </c>
      <c r="X231" s="391">
        <f t="shared" si="165"/>
        <v>0</v>
      </c>
      <c r="Y231" s="391">
        <f t="shared" si="166"/>
        <v>31680</v>
      </c>
      <c r="Z231" s="448">
        <f t="shared" si="167"/>
        <v>334</v>
      </c>
      <c r="AA231" s="448">
        <f t="shared" si="168"/>
        <v>16.299199999999999</v>
      </c>
      <c r="AB231" s="448">
        <f t="shared" si="169"/>
        <v>0.28724534400000001</v>
      </c>
      <c r="AC231" s="448">
        <f t="shared" si="170"/>
        <v>351</v>
      </c>
      <c r="AD231" s="229">
        <f t="shared" si="171"/>
        <v>10581120</v>
      </c>
      <c r="AE231" s="229">
        <f t="shared" si="172"/>
        <v>11119680</v>
      </c>
      <c r="AF231" s="421">
        <f t="shared" si="173"/>
        <v>20</v>
      </c>
      <c r="AG231" s="421">
        <f t="shared" si="174"/>
        <v>0</v>
      </c>
      <c r="AH231" s="422">
        <f t="array" ref="AH231">MAX((IF(MNU_CODIGO_ALIMENTO_ENTREGA=CONCATENATE($E231,"_","S_"),MNU_GRAMAJE_REQUERIDO_TIPOC,"")))</f>
        <v>70</v>
      </c>
      <c r="AI231" s="227">
        <f t="shared" si="175"/>
        <v>1132</v>
      </c>
      <c r="AJ231" s="227">
        <f t="shared" si="176"/>
        <v>0</v>
      </c>
      <c r="AK231" s="227">
        <f t="shared" si="177"/>
        <v>22640</v>
      </c>
      <c r="AL231" s="448">
        <f t="shared" si="178"/>
        <v>779</v>
      </c>
      <c r="AM231" s="448">
        <f t="shared" si="179"/>
        <v>38.0152</v>
      </c>
      <c r="AN231" s="448">
        <f t="shared" si="180"/>
        <v>0.66995246400000008</v>
      </c>
      <c r="AO231" s="448">
        <f t="shared" si="181"/>
        <v>818</v>
      </c>
      <c r="AP231" s="448">
        <f t="shared" si="182"/>
        <v>17636560</v>
      </c>
      <c r="AQ231" s="228">
        <f t="shared" si="183"/>
        <v>18519520</v>
      </c>
      <c r="AR231" s="391">
        <f t="shared" si="184"/>
        <v>39703960</v>
      </c>
      <c r="AS231" s="391">
        <f t="shared" si="185"/>
        <v>41694620</v>
      </c>
    </row>
    <row r="232" spans="1:45" ht="15.75">
      <c r="A232" s="226">
        <v>28</v>
      </c>
      <c r="B232" s="226" t="str">
        <f t="shared" si="149"/>
        <v>CEREAL EMPACADO_28</v>
      </c>
      <c r="C232" s="333" t="str">
        <f t="shared" si="150"/>
        <v>3_28</v>
      </c>
      <c r="D232" s="392" t="s">
        <v>1607</v>
      </c>
      <c r="E232" s="226">
        <v>3</v>
      </c>
      <c r="F232" s="325" t="s">
        <v>12</v>
      </c>
      <c r="G232" s="226" t="s">
        <v>9</v>
      </c>
      <c r="H232" s="421">
        <f t="shared" si="151"/>
        <v>19</v>
      </c>
      <c r="I232" s="421">
        <f t="shared" si="152"/>
        <v>0</v>
      </c>
      <c r="J232" s="422">
        <f t="array" ref="J232">MAX((IF(MNU_CODIGO_ALIMENTO_ENTREGA=CONCATENATE($E232,"_","S_"),MNU_GRAMAJE_REQUERIDO_TIPOA,"")))</f>
        <v>50</v>
      </c>
      <c r="K232" s="227">
        <f t="shared" si="153"/>
        <v>1898</v>
      </c>
      <c r="L232" s="227">
        <f t="shared" si="154"/>
        <v>0</v>
      </c>
      <c r="M232" s="227">
        <f t="shared" si="155"/>
        <v>36062</v>
      </c>
      <c r="N232" s="448">
        <f t="shared" si="156"/>
        <v>481</v>
      </c>
      <c r="O232" s="448">
        <f t="shared" si="157"/>
        <v>23.472799999999999</v>
      </c>
      <c r="P232" s="448">
        <f t="shared" si="158"/>
        <v>0.41366769599999997</v>
      </c>
      <c r="Q232" s="448">
        <f t="shared" si="159"/>
        <v>505</v>
      </c>
      <c r="R232" s="228">
        <f t="shared" si="160"/>
        <v>17345822</v>
      </c>
      <c r="S232" s="228">
        <f t="shared" si="161"/>
        <v>18211310</v>
      </c>
      <c r="T232" s="423">
        <f t="shared" si="162"/>
        <v>19</v>
      </c>
      <c r="U232" s="423">
        <f t="shared" si="163"/>
        <v>0</v>
      </c>
      <c r="V232" s="424">
        <f t="array" ref="V232">MAX((IF(MNU_CODIGO_ALIMENTO_ENTREGA=CONCATENATE($E232,"_","S_"),MNU_GRAMAJE_REQUERIDO_TIPOB,"")))</f>
        <v>50</v>
      </c>
      <c r="W232" s="391">
        <f t="shared" si="164"/>
        <v>402</v>
      </c>
      <c r="X232" s="391">
        <f t="shared" si="165"/>
        <v>0</v>
      </c>
      <c r="Y232" s="391">
        <f t="shared" si="166"/>
        <v>7638</v>
      </c>
      <c r="Z232" s="448">
        <f t="shared" si="167"/>
        <v>481</v>
      </c>
      <c r="AA232" s="448">
        <f t="shared" si="168"/>
        <v>23.472799999999999</v>
      </c>
      <c r="AB232" s="448">
        <f t="shared" si="169"/>
        <v>0.41366769599999997</v>
      </c>
      <c r="AC232" s="448">
        <f t="shared" si="170"/>
        <v>505</v>
      </c>
      <c r="AD232" s="229">
        <f t="shared" si="171"/>
        <v>3673878</v>
      </c>
      <c r="AE232" s="229">
        <f t="shared" si="172"/>
        <v>3857190</v>
      </c>
      <c r="AF232" s="421">
        <f t="shared" si="173"/>
        <v>19</v>
      </c>
      <c r="AG232" s="421">
        <f t="shared" si="174"/>
        <v>0</v>
      </c>
      <c r="AH232" s="422">
        <f t="array" ref="AH232">MAX((IF(MNU_CODIGO_ALIMENTO_ENTREGA=CONCATENATE($E232,"_","S_"),MNU_GRAMAJE_REQUERIDO_TIPOC,"")))</f>
        <v>80</v>
      </c>
      <c r="AI232" s="227">
        <f t="shared" si="175"/>
        <v>798</v>
      </c>
      <c r="AJ232" s="227">
        <f t="shared" si="176"/>
        <v>0</v>
      </c>
      <c r="AK232" s="227">
        <f t="shared" si="177"/>
        <v>15162</v>
      </c>
      <c r="AL232" s="448">
        <f t="shared" si="178"/>
        <v>727</v>
      </c>
      <c r="AM232" s="448">
        <f t="shared" si="179"/>
        <v>35.477600000000002</v>
      </c>
      <c r="AN232" s="448">
        <f t="shared" si="180"/>
        <v>0.62523163200000009</v>
      </c>
      <c r="AO232" s="448">
        <f t="shared" si="181"/>
        <v>763</v>
      </c>
      <c r="AP232" s="448">
        <f t="shared" si="182"/>
        <v>11022774</v>
      </c>
      <c r="AQ232" s="228">
        <f t="shared" si="183"/>
        <v>11568606</v>
      </c>
      <c r="AR232" s="391">
        <f t="shared" si="184"/>
        <v>32042474</v>
      </c>
      <c r="AS232" s="391">
        <f t="shared" si="185"/>
        <v>33637106</v>
      </c>
    </row>
    <row r="233" spans="1:45" ht="15.75">
      <c r="A233" s="226">
        <v>28</v>
      </c>
      <c r="B233" s="226" t="str">
        <f t="shared" si="149"/>
        <v>CEREAL EMPACADO_28</v>
      </c>
      <c r="C233" s="333" t="str">
        <f t="shared" si="150"/>
        <v>15_28</v>
      </c>
      <c r="D233" s="392" t="s">
        <v>1607</v>
      </c>
      <c r="E233" s="226">
        <v>15</v>
      </c>
      <c r="F233" s="325" t="s">
        <v>66</v>
      </c>
      <c r="G233" s="226" t="s">
        <v>9</v>
      </c>
      <c r="H233" s="421">
        <f t="shared" si="151"/>
        <v>11</v>
      </c>
      <c r="I233" s="421">
        <f t="shared" si="152"/>
        <v>11</v>
      </c>
      <c r="J233" s="422">
        <f t="array" ref="J233">MAX((IF(MNU_CODIGO_ALIMENTO_ENTREGA=CONCATENATE($E233,"_","S_"),MNU_GRAMAJE_REQUERIDO_TIPOA,"")))</f>
        <v>50</v>
      </c>
      <c r="K233" s="227">
        <f t="shared" si="153"/>
        <v>1898</v>
      </c>
      <c r="L233" s="227">
        <f t="shared" si="154"/>
        <v>0</v>
      </c>
      <c r="M233" s="227">
        <f t="shared" si="155"/>
        <v>20878</v>
      </c>
      <c r="N233" s="448">
        <f t="shared" si="156"/>
        <v>641</v>
      </c>
      <c r="O233" s="448">
        <f t="shared" si="157"/>
        <v>31.280800000000003</v>
      </c>
      <c r="P233" s="448">
        <f t="shared" si="158"/>
        <v>0.55127025600000001</v>
      </c>
      <c r="Q233" s="448">
        <f t="shared" si="159"/>
        <v>673</v>
      </c>
      <c r="R233" s="228">
        <f t="shared" si="160"/>
        <v>13382798</v>
      </c>
      <c r="S233" s="228">
        <f t="shared" si="161"/>
        <v>14050894</v>
      </c>
      <c r="T233" s="423">
        <f t="shared" si="162"/>
        <v>11</v>
      </c>
      <c r="U233" s="423">
        <f t="shared" si="163"/>
        <v>11</v>
      </c>
      <c r="V233" s="424">
        <f t="array" ref="V233">MAX((IF(MNU_CODIGO_ALIMENTO_ENTREGA=CONCATENATE($E233,"_","S_"),MNU_GRAMAJE_REQUERIDO_TIPOB,"")))</f>
        <v>50</v>
      </c>
      <c r="W233" s="391">
        <f t="shared" si="164"/>
        <v>402</v>
      </c>
      <c r="X233" s="391">
        <f t="shared" si="165"/>
        <v>0</v>
      </c>
      <c r="Y233" s="391">
        <f t="shared" si="166"/>
        <v>4422</v>
      </c>
      <c r="Z233" s="448">
        <f t="shared" si="167"/>
        <v>641</v>
      </c>
      <c r="AA233" s="448">
        <f t="shared" si="168"/>
        <v>31.280800000000003</v>
      </c>
      <c r="AB233" s="448">
        <f t="shared" si="169"/>
        <v>0.55127025600000001</v>
      </c>
      <c r="AC233" s="448">
        <f t="shared" si="170"/>
        <v>673</v>
      </c>
      <c r="AD233" s="229">
        <f t="shared" si="171"/>
        <v>2834502</v>
      </c>
      <c r="AE233" s="229">
        <f t="shared" si="172"/>
        <v>2976006</v>
      </c>
      <c r="AF233" s="421">
        <f t="shared" si="173"/>
        <v>11</v>
      </c>
      <c r="AG233" s="421">
        <f t="shared" si="174"/>
        <v>11</v>
      </c>
      <c r="AH233" s="422">
        <f t="array" ref="AH233">MAX((IF(MNU_CODIGO_ALIMENTO_ENTREGA=CONCATENATE($E233,"_","S_"),MNU_GRAMAJE_REQUERIDO_TIPOC,"")))</f>
        <v>80</v>
      </c>
      <c r="AI233" s="227">
        <f t="shared" si="175"/>
        <v>798</v>
      </c>
      <c r="AJ233" s="227">
        <f t="shared" si="176"/>
        <v>0</v>
      </c>
      <c r="AK233" s="227">
        <f t="shared" si="177"/>
        <v>8778</v>
      </c>
      <c r="AL233" s="448">
        <f t="shared" si="178"/>
        <v>1025</v>
      </c>
      <c r="AM233" s="448">
        <f t="shared" si="179"/>
        <v>50.02</v>
      </c>
      <c r="AN233" s="448">
        <f t="shared" si="180"/>
        <v>0.88151640000000009</v>
      </c>
      <c r="AO233" s="448">
        <f t="shared" si="181"/>
        <v>1076</v>
      </c>
      <c r="AP233" s="448">
        <f t="shared" si="182"/>
        <v>8997450</v>
      </c>
      <c r="AQ233" s="228">
        <f t="shared" si="183"/>
        <v>9445128</v>
      </c>
      <c r="AR233" s="391">
        <f t="shared" si="184"/>
        <v>25214750</v>
      </c>
      <c r="AS233" s="391">
        <f t="shared" si="185"/>
        <v>26472028</v>
      </c>
    </row>
    <row r="234" spans="1:45" ht="27">
      <c r="A234" s="226">
        <v>28</v>
      </c>
      <c r="B234" s="226" t="str">
        <f t="shared" si="149"/>
        <v>CEREAL EMPACADO_28</v>
      </c>
      <c r="C234" s="333" t="str">
        <f t="shared" si="150"/>
        <v>21_28</v>
      </c>
      <c r="D234" s="392" t="s">
        <v>1607</v>
      </c>
      <c r="E234" s="226">
        <v>21</v>
      </c>
      <c r="F234" s="325" t="s">
        <v>70</v>
      </c>
      <c r="G234" s="226" t="s">
        <v>9</v>
      </c>
      <c r="H234" s="421">
        <f t="shared" si="151"/>
        <v>22</v>
      </c>
      <c r="I234" s="421">
        <f t="shared" si="152"/>
        <v>0</v>
      </c>
      <c r="J234" s="422">
        <f t="array" ref="J234">MAX((IF(MNU_CODIGO_ALIMENTO_ENTREGA=CONCATENATE($E234,"_","S_"),MNU_GRAMAJE_REQUERIDO_TIPOA,"")))</f>
        <v>30</v>
      </c>
      <c r="K234" s="227">
        <f t="shared" si="153"/>
        <v>1898</v>
      </c>
      <c r="L234" s="227">
        <f t="shared" si="154"/>
        <v>0</v>
      </c>
      <c r="M234" s="227">
        <f t="shared" si="155"/>
        <v>41756</v>
      </c>
      <c r="N234" s="448">
        <f t="shared" si="156"/>
        <v>458</v>
      </c>
      <c r="O234" s="448">
        <f t="shared" si="157"/>
        <v>22.3504</v>
      </c>
      <c r="P234" s="448">
        <f t="shared" si="158"/>
        <v>0.39388732799999998</v>
      </c>
      <c r="Q234" s="448">
        <f t="shared" si="159"/>
        <v>481</v>
      </c>
      <c r="R234" s="228">
        <f t="shared" si="160"/>
        <v>19124248</v>
      </c>
      <c r="S234" s="228">
        <f t="shared" si="161"/>
        <v>20084636</v>
      </c>
      <c r="T234" s="423">
        <f t="shared" si="162"/>
        <v>22</v>
      </c>
      <c r="U234" s="423">
        <f t="shared" si="163"/>
        <v>0</v>
      </c>
      <c r="V234" s="424">
        <f t="array" ref="V234">MAX((IF(MNU_CODIGO_ALIMENTO_ENTREGA=CONCATENATE($E234,"_","S_"),MNU_GRAMAJE_REQUERIDO_TIPOB,"")))</f>
        <v>30</v>
      </c>
      <c r="W234" s="391">
        <f t="shared" si="164"/>
        <v>402</v>
      </c>
      <c r="X234" s="391">
        <f t="shared" si="165"/>
        <v>0</v>
      </c>
      <c r="Y234" s="391">
        <f t="shared" si="166"/>
        <v>8844</v>
      </c>
      <c r="Z234" s="448">
        <f t="shared" si="167"/>
        <v>458</v>
      </c>
      <c r="AA234" s="448">
        <f t="shared" si="168"/>
        <v>22.3504</v>
      </c>
      <c r="AB234" s="448">
        <f t="shared" si="169"/>
        <v>0.39388732799999998</v>
      </c>
      <c r="AC234" s="448">
        <f t="shared" si="170"/>
        <v>481</v>
      </c>
      <c r="AD234" s="229">
        <f t="shared" si="171"/>
        <v>4050552</v>
      </c>
      <c r="AE234" s="229">
        <f t="shared" si="172"/>
        <v>4253964</v>
      </c>
      <c r="AF234" s="421">
        <f t="shared" si="173"/>
        <v>22</v>
      </c>
      <c r="AG234" s="421">
        <f t="shared" si="174"/>
        <v>0</v>
      </c>
      <c r="AH234" s="422">
        <f t="array" ref="AH234">MAX((IF(MNU_CODIGO_ALIMENTO_ENTREGA=CONCATENATE($E234,"_","S_"),MNU_GRAMAJE_REQUERIDO_TIPOC,"")))</f>
        <v>50</v>
      </c>
      <c r="AI234" s="227">
        <f t="shared" si="175"/>
        <v>798</v>
      </c>
      <c r="AJ234" s="227">
        <f t="shared" si="176"/>
        <v>0</v>
      </c>
      <c r="AK234" s="227">
        <f t="shared" si="177"/>
        <v>17556</v>
      </c>
      <c r="AL234" s="448">
        <f t="shared" si="178"/>
        <v>764</v>
      </c>
      <c r="AM234" s="448">
        <f t="shared" si="179"/>
        <v>37.283200000000001</v>
      </c>
      <c r="AN234" s="448">
        <f t="shared" si="180"/>
        <v>0.65705222400000007</v>
      </c>
      <c r="AO234" s="448">
        <f t="shared" si="181"/>
        <v>802</v>
      </c>
      <c r="AP234" s="448">
        <f t="shared" si="182"/>
        <v>13412784</v>
      </c>
      <c r="AQ234" s="228">
        <f t="shared" si="183"/>
        <v>14079912</v>
      </c>
      <c r="AR234" s="391">
        <f t="shared" si="184"/>
        <v>36587584</v>
      </c>
      <c r="AS234" s="391">
        <f t="shared" si="185"/>
        <v>38418512</v>
      </c>
    </row>
    <row r="235" spans="1:45" ht="15.75">
      <c r="A235" s="226">
        <v>28</v>
      </c>
      <c r="B235" s="226" t="str">
        <f t="shared" si="149"/>
        <v>CEREAL EMPACADO_28</v>
      </c>
      <c r="C235" s="333" t="str">
        <f t="shared" si="150"/>
        <v>24_28</v>
      </c>
      <c r="D235" s="392" t="s">
        <v>1607</v>
      </c>
      <c r="E235" s="226">
        <v>24</v>
      </c>
      <c r="F235" s="325" t="s">
        <v>61</v>
      </c>
      <c r="G235" s="226" t="s">
        <v>9</v>
      </c>
      <c r="H235" s="421">
        <f t="shared" si="151"/>
        <v>11</v>
      </c>
      <c r="I235" s="421">
        <f t="shared" si="152"/>
        <v>11</v>
      </c>
      <c r="J235" s="422">
        <f t="array" ref="J235">MAX((IF(MNU_CODIGO_ALIMENTO_ENTREGA=CONCATENATE($E235,"_","S_"),MNU_GRAMAJE_REQUERIDO_TIPOA,"")))</f>
        <v>20</v>
      </c>
      <c r="K235" s="227">
        <f t="shared" si="153"/>
        <v>1898</v>
      </c>
      <c r="L235" s="227">
        <f t="shared" si="154"/>
        <v>0</v>
      </c>
      <c r="M235" s="227">
        <f t="shared" si="155"/>
        <v>20878</v>
      </c>
      <c r="N235" s="448">
        <f t="shared" si="156"/>
        <v>122</v>
      </c>
      <c r="O235" s="448">
        <f t="shared" si="157"/>
        <v>5.9535999999999998</v>
      </c>
      <c r="P235" s="448">
        <f t="shared" si="158"/>
        <v>0.104921952</v>
      </c>
      <c r="Q235" s="448">
        <f t="shared" si="159"/>
        <v>128</v>
      </c>
      <c r="R235" s="228">
        <f t="shared" si="160"/>
        <v>2547116</v>
      </c>
      <c r="S235" s="228">
        <f t="shared" si="161"/>
        <v>2672384</v>
      </c>
      <c r="T235" s="423">
        <f t="shared" si="162"/>
        <v>11</v>
      </c>
      <c r="U235" s="423">
        <f t="shared" si="163"/>
        <v>11</v>
      </c>
      <c r="V235" s="424">
        <f t="array" ref="V235">MAX((IF(MNU_CODIGO_ALIMENTO_ENTREGA=CONCATENATE($E235,"_","S_"),MNU_GRAMAJE_REQUERIDO_TIPOB,"")))</f>
        <v>30</v>
      </c>
      <c r="W235" s="391">
        <f t="shared" si="164"/>
        <v>402</v>
      </c>
      <c r="X235" s="391">
        <f t="shared" si="165"/>
        <v>0</v>
      </c>
      <c r="Y235" s="391">
        <f t="shared" si="166"/>
        <v>4422</v>
      </c>
      <c r="Z235" s="448">
        <f t="shared" si="167"/>
        <v>191</v>
      </c>
      <c r="AA235" s="448">
        <f t="shared" si="168"/>
        <v>9.3208000000000002</v>
      </c>
      <c r="AB235" s="448">
        <f t="shared" si="169"/>
        <v>0.16426305600000002</v>
      </c>
      <c r="AC235" s="448">
        <f t="shared" si="170"/>
        <v>200</v>
      </c>
      <c r="AD235" s="229">
        <f t="shared" si="171"/>
        <v>844602</v>
      </c>
      <c r="AE235" s="229">
        <f t="shared" si="172"/>
        <v>884400</v>
      </c>
      <c r="AF235" s="421">
        <f t="shared" si="173"/>
        <v>11</v>
      </c>
      <c r="AG235" s="421">
        <f t="shared" si="174"/>
        <v>11</v>
      </c>
      <c r="AH235" s="422">
        <f t="array" ref="AH235">MAX((IF(MNU_CODIGO_ALIMENTO_ENTREGA=CONCATENATE($E235,"_","S_"),MNU_GRAMAJE_REQUERIDO_TIPOC,"")))</f>
        <v>60</v>
      </c>
      <c r="AI235" s="227">
        <f t="shared" si="175"/>
        <v>798</v>
      </c>
      <c r="AJ235" s="227">
        <f t="shared" si="176"/>
        <v>0</v>
      </c>
      <c r="AK235" s="227">
        <f t="shared" si="177"/>
        <v>8778</v>
      </c>
      <c r="AL235" s="448">
        <f t="shared" si="178"/>
        <v>367</v>
      </c>
      <c r="AM235" s="448">
        <f t="shared" si="179"/>
        <v>17.909599999999998</v>
      </c>
      <c r="AN235" s="448">
        <f t="shared" si="180"/>
        <v>0.31562587200000003</v>
      </c>
      <c r="AO235" s="448">
        <f t="shared" si="181"/>
        <v>385</v>
      </c>
      <c r="AP235" s="448">
        <f t="shared" si="182"/>
        <v>3221526</v>
      </c>
      <c r="AQ235" s="228">
        <f t="shared" si="183"/>
        <v>3379530</v>
      </c>
      <c r="AR235" s="391">
        <f t="shared" si="184"/>
        <v>6613244</v>
      </c>
      <c r="AS235" s="391">
        <f t="shared" si="185"/>
        <v>6936314</v>
      </c>
    </row>
    <row r="236" spans="1:45" ht="15.75">
      <c r="A236" s="226">
        <v>28</v>
      </c>
      <c r="B236" s="226" t="str">
        <f t="shared" si="149"/>
        <v>CEREAL EMPACADO_28</v>
      </c>
      <c r="C236" s="333" t="str">
        <f t="shared" si="150"/>
        <v>25_28</v>
      </c>
      <c r="D236" s="392" t="s">
        <v>1607</v>
      </c>
      <c r="E236" s="226">
        <v>25</v>
      </c>
      <c r="F236" s="325" t="s">
        <v>64</v>
      </c>
      <c r="G236" s="226" t="s">
        <v>9</v>
      </c>
      <c r="H236" s="421">
        <f t="shared" si="151"/>
        <v>22</v>
      </c>
      <c r="I236" s="421">
        <f t="shared" si="152"/>
        <v>0</v>
      </c>
      <c r="J236" s="422">
        <f t="array" ref="J236">MAX((IF(MNU_CODIGO_ALIMENTO_ENTREGA=CONCATENATE($E236,"_","S_"),MNU_GRAMAJE_REQUERIDO_TIPOA,"")))</f>
        <v>40</v>
      </c>
      <c r="K236" s="227">
        <f t="shared" si="153"/>
        <v>1898</v>
      </c>
      <c r="L236" s="227">
        <f t="shared" si="154"/>
        <v>0</v>
      </c>
      <c r="M236" s="227">
        <f t="shared" si="155"/>
        <v>41756</v>
      </c>
      <c r="N236" s="448">
        <f t="shared" si="156"/>
        <v>244</v>
      </c>
      <c r="O236" s="448">
        <f t="shared" si="157"/>
        <v>11.9072</v>
      </c>
      <c r="P236" s="448">
        <f t="shared" si="158"/>
        <v>0.209843904</v>
      </c>
      <c r="Q236" s="448">
        <f t="shared" si="159"/>
        <v>256</v>
      </c>
      <c r="R236" s="228">
        <f t="shared" si="160"/>
        <v>10188464</v>
      </c>
      <c r="S236" s="228">
        <f t="shared" si="161"/>
        <v>10689536</v>
      </c>
      <c r="T236" s="423">
        <f t="shared" si="162"/>
        <v>22</v>
      </c>
      <c r="U236" s="423">
        <f t="shared" si="163"/>
        <v>0</v>
      </c>
      <c r="V236" s="424">
        <f t="array" ref="V236">MAX((IF(MNU_CODIGO_ALIMENTO_ENTREGA=CONCATENATE($E236,"_","S_"),MNU_GRAMAJE_REQUERIDO_TIPOB,"")))</f>
        <v>40</v>
      </c>
      <c r="W236" s="391">
        <f t="shared" si="164"/>
        <v>402</v>
      </c>
      <c r="X236" s="391">
        <f t="shared" si="165"/>
        <v>0</v>
      </c>
      <c r="Y236" s="391">
        <f t="shared" si="166"/>
        <v>8844</v>
      </c>
      <c r="Z236" s="448">
        <f t="shared" si="167"/>
        <v>244</v>
      </c>
      <c r="AA236" s="448">
        <f t="shared" si="168"/>
        <v>11.9072</v>
      </c>
      <c r="AB236" s="448">
        <f t="shared" si="169"/>
        <v>0.209843904</v>
      </c>
      <c r="AC236" s="448">
        <f t="shared" si="170"/>
        <v>256</v>
      </c>
      <c r="AD236" s="229">
        <f t="shared" si="171"/>
        <v>2157936</v>
      </c>
      <c r="AE236" s="229">
        <f t="shared" si="172"/>
        <v>2264064</v>
      </c>
      <c r="AF236" s="421">
        <f t="shared" si="173"/>
        <v>22</v>
      </c>
      <c r="AG236" s="421">
        <f t="shared" si="174"/>
        <v>0</v>
      </c>
      <c r="AH236" s="422">
        <f t="array" ref="AH236">MAX((IF(MNU_CODIGO_ALIMENTO_ENTREGA=CONCATENATE($E236,"_","S_"),MNU_GRAMAJE_REQUERIDO_TIPOC,"")))</f>
        <v>60</v>
      </c>
      <c r="AI236" s="227">
        <f t="shared" si="175"/>
        <v>798</v>
      </c>
      <c r="AJ236" s="227">
        <f t="shared" si="176"/>
        <v>0</v>
      </c>
      <c r="AK236" s="227">
        <f t="shared" si="177"/>
        <v>17556</v>
      </c>
      <c r="AL236" s="448">
        <f t="shared" si="178"/>
        <v>366</v>
      </c>
      <c r="AM236" s="448">
        <f t="shared" si="179"/>
        <v>17.860800000000001</v>
      </c>
      <c r="AN236" s="448">
        <f t="shared" si="180"/>
        <v>0.31476585600000001</v>
      </c>
      <c r="AO236" s="448">
        <f t="shared" si="181"/>
        <v>384</v>
      </c>
      <c r="AP236" s="448">
        <f t="shared" si="182"/>
        <v>6425496</v>
      </c>
      <c r="AQ236" s="228">
        <f t="shared" si="183"/>
        <v>6741504</v>
      </c>
      <c r="AR236" s="391">
        <f t="shared" si="184"/>
        <v>18771896</v>
      </c>
      <c r="AS236" s="391">
        <f t="shared" si="185"/>
        <v>19695104</v>
      </c>
    </row>
    <row r="237" spans="1:45" ht="27">
      <c r="A237" s="226">
        <v>28</v>
      </c>
      <c r="B237" s="226" t="str">
        <f t="shared" si="149"/>
        <v>CEREAL EMPACADO_28</v>
      </c>
      <c r="C237" s="333" t="str">
        <f t="shared" si="150"/>
        <v>28_28</v>
      </c>
      <c r="D237" s="392" t="s">
        <v>1607</v>
      </c>
      <c r="E237" s="226">
        <v>28</v>
      </c>
      <c r="F237" s="325" t="s">
        <v>67</v>
      </c>
      <c r="G237" s="226" t="s">
        <v>9</v>
      </c>
      <c r="H237" s="421">
        <f t="shared" si="151"/>
        <v>19</v>
      </c>
      <c r="I237" s="421">
        <f t="shared" si="152"/>
        <v>0</v>
      </c>
      <c r="J237" s="422">
        <f t="array" ref="J237">MAX((IF(MNU_CODIGO_ALIMENTO_ENTREGA=CONCATENATE($E237,"_","S_"),MNU_GRAMAJE_REQUERIDO_TIPOA,"")))</f>
        <v>30</v>
      </c>
      <c r="K237" s="227">
        <f t="shared" si="153"/>
        <v>1898</v>
      </c>
      <c r="L237" s="227">
        <f t="shared" si="154"/>
        <v>0</v>
      </c>
      <c r="M237" s="227">
        <f t="shared" si="155"/>
        <v>36062</v>
      </c>
      <c r="N237" s="448">
        <f t="shared" si="156"/>
        <v>215</v>
      </c>
      <c r="O237" s="448">
        <f t="shared" si="157"/>
        <v>10.492000000000001</v>
      </c>
      <c r="P237" s="448">
        <f t="shared" si="158"/>
        <v>0.18490343999999997</v>
      </c>
      <c r="Q237" s="448">
        <f t="shared" si="159"/>
        <v>226</v>
      </c>
      <c r="R237" s="228">
        <f t="shared" si="160"/>
        <v>7753330</v>
      </c>
      <c r="S237" s="228">
        <f t="shared" si="161"/>
        <v>8150012</v>
      </c>
      <c r="T237" s="423">
        <f t="shared" si="162"/>
        <v>19</v>
      </c>
      <c r="U237" s="423">
        <f t="shared" si="163"/>
        <v>0</v>
      </c>
      <c r="V237" s="424">
        <f t="array" ref="V237">MAX((IF(MNU_CODIGO_ALIMENTO_ENTREGA=CONCATENATE($E237,"_","S_"),MNU_GRAMAJE_REQUERIDO_TIPOB,"")))</f>
        <v>40</v>
      </c>
      <c r="W237" s="391">
        <f t="shared" si="164"/>
        <v>402</v>
      </c>
      <c r="X237" s="391">
        <f t="shared" si="165"/>
        <v>0</v>
      </c>
      <c r="Y237" s="391">
        <f t="shared" si="166"/>
        <v>7638</v>
      </c>
      <c r="Z237" s="448">
        <f t="shared" si="167"/>
        <v>287</v>
      </c>
      <c r="AA237" s="448">
        <f t="shared" si="168"/>
        <v>14.005600000000001</v>
      </c>
      <c r="AB237" s="448">
        <f t="shared" si="169"/>
        <v>0.24682459200000004</v>
      </c>
      <c r="AC237" s="448">
        <f t="shared" si="170"/>
        <v>301</v>
      </c>
      <c r="AD237" s="229">
        <f t="shared" si="171"/>
        <v>2192106</v>
      </c>
      <c r="AE237" s="229">
        <f t="shared" si="172"/>
        <v>2299038</v>
      </c>
      <c r="AF237" s="421">
        <f t="shared" si="173"/>
        <v>19</v>
      </c>
      <c r="AG237" s="421">
        <f t="shared" si="174"/>
        <v>0</v>
      </c>
      <c r="AH237" s="422">
        <f t="array" ref="AH237">MAX((IF(MNU_CODIGO_ALIMENTO_ENTREGA=CONCATENATE($E237,"_","S_"),MNU_GRAMAJE_REQUERIDO_TIPOC,"")))</f>
        <v>60</v>
      </c>
      <c r="AI237" s="227">
        <f t="shared" si="175"/>
        <v>798</v>
      </c>
      <c r="AJ237" s="227">
        <f t="shared" si="176"/>
        <v>0</v>
      </c>
      <c r="AK237" s="227">
        <f t="shared" si="177"/>
        <v>15162</v>
      </c>
      <c r="AL237" s="448">
        <f t="shared" si="178"/>
        <v>430</v>
      </c>
      <c r="AM237" s="448">
        <f t="shared" si="179"/>
        <v>20.984000000000002</v>
      </c>
      <c r="AN237" s="448">
        <f t="shared" si="180"/>
        <v>0.36980687999999995</v>
      </c>
      <c r="AO237" s="448">
        <f t="shared" si="181"/>
        <v>451</v>
      </c>
      <c r="AP237" s="448">
        <f t="shared" si="182"/>
        <v>6519660</v>
      </c>
      <c r="AQ237" s="228">
        <f t="shared" si="183"/>
        <v>6838062</v>
      </c>
      <c r="AR237" s="391">
        <f t="shared" si="184"/>
        <v>16465096</v>
      </c>
      <c r="AS237" s="391">
        <f t="shared" si="185"/>
        <v>17287112</v>
      </c>
    </row>
    <row r="238" spans="1:45" ht="15.75">
      <c r="A238" s="226">
        <v>28</v>
      </c>
      <c r="B238" s="226" t="str">
        <f t="shared" si="149"/>
        <v>CEREAL EMPACADO_28</v>
      </c>
      <c r="C238" s="333" t="str">
        <f t="shared" si="150"/>
        <v>45_28</v>
      </c>
      <c r="D238" s="392" t="s">
        <v>1607</v>
      </c>
      <c r="E238" s="226">
        <v>45</v>
      </c>
      <c r="F238" s="325" t="s">
        <v>10</v>
      </c>
      <c r="G238" s="226" t="s">
        <v>9</v>
      </c>
      <c r="H238" s="421">
        <f t="shared" si="151"/>
        <v>20</v>
      </c>
      <c r="I238" s="421">
        <f t="shared" si="152"/>
        <v>0</v>
      </c>
      <c r="J238" s="422">
        <f t="array" ref="J238">MAX((IF(MNU_CODIGO_ALIMENTO_ENTREGA=CONCATENATE($E238,"_","S_"),MNU_GRAMAJE_REQUERIDO_TIPOA,"")))</f>
        <v>20</v>
      </c>
      <c r="K238" s="227">
        <f t="shared" si="153"/>
        <v>1898</v>
      </c>
      <c r="L238" s="227">
        <f t="shared" si="154"/>
        <v>0</v>
      </c>
      <c r="M238" s="227">
        <f t="shared" si="155"/>
        <v>37960</v>
      </c>
      <c r="N238" s="448">
        <f t="shared" si="156"/>
        <v>190</v>
      </c>
      <c r="O238" s="448">
        <f t="shared" si="157"/>
        <v>9.2720000000000002</v>
      </c>
      <c r="P238" s="448">
        <f t="shared" si="158"/>
        <v>0.16340304</v>
      </c>
      <c r="Q238" s="448">
        <f t="shared" si="159"/>
        <v>199</v>
      </c>
      <c r="R238" s="228">
        <f t="shared" si="160"/>
        <v>7212400</v>
      </c>
      <c r="S238" s="228">
        <f t="shared" si="161"/>
        <v>7554040</v>
      </c>
      <c r="T238" s="423">
        <f t="shared" si="162"/>
        <v>20</v>
      </c>
      <c r="U238" s="423">
        <f t="shared" si="163"/>
        <v>0</v>
      </c>
      <c r="V238" s="424">
        <f t="array" ref="V238">MAX((IF(MNU_CODIGO_ALIMENTO_ENTREGA=CONCATENATE($E238,"_","S_"),MNU_GRAMAJE_REQUERIDO_TIPOB,"")))</f>
        <v>30</v>
      </c>
      <c r="W238" s="391">
        <f t="shared" si="164"/>
        <v>402</v>
      </c>
      <c r="X238" s="391">
        <f t="shared" si="165"/>
        <v>0</v>
      </c>
      <c r="Y238" s="391">
        <f t="shared" si="166"/>
        <v>8040</v>
      </c>
      <c r="Z238" s="448">
        <f t="shared" si="167"/>
        <v>284</v>
      </c>
      <c r="AA238" s="448">
        <f t="shared" si="168"/>
        <v>13.8592</v>
      </c>
      <c r="AB238" s="448">
        <f t="shared" si="169"/>
        <v>0.24424454399999998</v>
      </c>
      <c r="AC238" s="448">
        <f t="shared" si="170"/>
        <v>298</v>
      </c>
      <c r="AD238" s="229">
        <f t="shared" si="171"/>
        <v>2283360</v>
      </c>
      <c r="AE238" s="229">
        <f t="shared" si="172"/>
        <v>2395920</v>
      </c>
      <c r="AF238" s="421">
        <f t="shared" si="173"/>
        <v>20</v>
      </c>
      <c r="AG238" s="421">
        <f t="shared" si="174"/>
        <v>0</v>
      </c>
      <c r="AH238" s="422">
        <f t="array" ref="AH238">MAX((IF(MNU_CODIGO_ALIMENTO_ENTREGA=CONCATENATE($E238,"_","S_"),MNU_GRAMAJE_REQUERIDO_TIPOC,"")))</f>
        <v>60</v>
      </c>
      <c r="AI238" s="227">
        <f t="shared" si="175"/>
        <v>798</v>
      </c>
      <c r="AJ238" s="227">
        <f t="shared" si="176"/>
        <v>0</v>
      </c>
      <c r="AK238" s="227">
        <f t="shared" si="177"/>
        <v>15960</v>
      </c>
      <c r="AL238" s="448">
        <f t="shared" si="178"/>
        <v>569</v>
      </c>
      <c r="AM238" s="448">
        <f t="shared" si="179"/>
        <v>27.767199999999999</v>
      </c>
      <c r="AN238" s="448">
        <f t="shared" si="180"/>
        <v>0.48934910400000003</v>
      </c>
      <c r="AO238" s="448">
        <f t="shared" si="181"/>
        <v>597</v>
      </c>
      <c r="AP238" s="448">
        <f t="shared" si="182"/>
        <v>9081240</v>
      </c>
      <c r="AQ238" s="228">
        <f t="shared" si="183"/>
        <v>9528120</v>
      </c>
      <c r="AR238" s="391">
        <f t="shared" si="184"/>
        <v>18577000</v>
      </c>
      <c r="AS238" s="391">
        <f t="shared" si="185"/>
        <v>19478080</v>
      </c>
    </row>
    <row r="239" spans="1:45" ht="15.75">
      <c r="A239" s="226">
        <v>28</v>
      </c>
      <c r="B239" s="226" t="str">
        <f t="shared" si="149"/>
        <v>CEREAL EMPACADO_28</v>
      </c>
      <c r="C239" s="333" t="str">
        <f t="shared" si="150"/>
        <v>61_28</v>
      </c>
      <c r="D239" s="392" t="s">
        <v>1607</v>
      </c>
      <c r="E239" s="226">
        <v>61</v>
      </c>
      <c r="F239" s="325" t="s">
        <v>13</v>
      </c>
      <c r="G239" s="226" t="s">
        <v>9</v>
      </c>
      <c r="H239" s="421">
        <f t="shared" si="151"/>
        <v>20</v>
      </c>
      <c r="I239" s="421">
        <f t="shared" si="152"/>
        <v>0</v>
      </c>
      <c r="J239" s="422">
        <f t="array" ref="J239">MAX((IF(MNU_CODIGO_ALIMENTO_ENTREGA=CONCATENATE($E239,"_","S_"),MNU_GRAMAJE_REQUERIDO_TIPOA,"")))</f>
        <v>20</v>
      </c>
      <c r="K239" s="227">
        <f t="shared" si="153"/>
        <v>1898</v>
      </c>
      <c r="L239" s="227">
        <f t="shared" si="154"/>
        <v>0</v>
      </c>
      <c r="M239" s="227">
        <f t="shared" si="155"/>
        <v>37960</v>
      </c>
      <c r="N239" s="448">
        <f t="shared" si="156"/>
        <v>222</v>
      </c>
      <c r="O239" s="448">
        <f t="shared" si="157"/>
        <v>10.833600000000001</v>
      </c>
      <c r="P239" s="448">
        <f t="shared" si="158"/>
        <v>0.190923552</v>
      </c>
      <c r="Q239" s="448">
        <f t="shared" si="159"/>
        <v>233</v>
      </c>
      <c r="R239" s="228">
        <f t="shared" si="160"/>
        <v>8427120</v>
      </c>
      <c r="S239" s="228">
        <f t="shared" si="161"/>
        <v>8844680</v>
      </c>
      <c r="T239" s="423">
        <f t="shared" si="162"/>
        <v>20</v>
      </c>
      <c r="U239" s="423">
        <f t="shared" si="163"/>
        <v>0</v>
      </c>
      <c r="V239" s="424">
        <f t="array" ref="V239">MAX((IF(MNU_CODIGO_ALIMENTO_ENTREGA=CONCATENATE($E239,"_","S_"),MNU_GRAMAJE_REQUERIDO_TIPOB,"")))</f>
        <v>30</v>
      </c>
      <c r="W239" s="391">
        <f t="shared" si="164"/>
        <v>402</v>
      </c>
      <c r="X239" s="391">
        <f t="shared" si="165"/>
        <v>0</v>
      </c>
      <c r="Y239" s="391">
        <f t="shared" si="166"/>
        <v>8040</v>
      </c>
      <c r="Z239" s="448">
        <f t="shared" si="167"/>
        <v>334</v>
      </c>
      <c r="AA239" s="448">
        <f t="shared" si="168"/>
        <v>16.299199999999999</v>
      </c>
      <c r="AB239" s="448">
        <f t="shared" si="169"/>
        <v>0.28724534400000001</v>
      </c>
      <c r="AC239" s="448">
        <f t="shared" si="170"/>
        <v>351</v>
      </c>
      <c r="AD239" s="229">
        <f t="shared" si="171"/>
        <v>2685360</v>
      </c>
      <c r="AE239" s="229">
        <f t="shared" si="172"/>
        <v>2822040</v>
      </c>
      <c r="AF239" s="421">
        <f t="shared" si="173"/>
        <v>20</v>
      </c>
      <c r="AG239" s="421">
        <f t="shared" si="174"/>
        <v>0</v>
      </c>
      <c r="AH239" s="422">
        <f t="array" ref="AH239">MAX((IF(MNU_CODIGO_ALIMENTO_ENTREGA=CONCATENATE($E239,"_","S_"),MNU_GRAMAJE_REQUERIDO_TIPOC,"")))</f>
        <v>70</v>
      </c>
      <c r="AI239" s="227">
        <f t="shared" si="175"/>
        <v>798</v>
      </c>
      <c r="AJ239" s="227">
        <f t="shared" si="176"/>
        <v>0</v>
      </c>
      <c r="AK239" s="227">
        <f t="shared" si="177"/>
        <v>15960</v>
      </c>
      <c r="AL239" s="448">
        <f t="shared" si="178"/>
        <v>779</v>
      </c>
      <c r="AM239" s="448">
        <f t="shared" si="179"/>
        <v>38.0152</v>
      </c>
      <c r="AN239" s="448">
        <f t="shared" si="180"/>
        <v>0.66995246400000008</v>
      </c>
      <c r="AO239" s="448">
        <f t="shared" si="181"/>
        <v>818</v>
      </c>
      <c r="AP239" s="448">
        <f t="shared" si="182"/>
        <v>12432840</v>
      </c>
      <c r="AQ239" s="228">
        <f t="shared" si="183"/>
        <v>13055280</v>
      </c>
      <c r="AR239" s="391">
        <f t="shared" si="184"/>
        <v>23545320</v>
      </c>
      <c r="AS239" s="391">
        <f t="shared" si="185"/>
        <v>24722000</v>
      </c>
    </row>
    <row r="240" spans="1:45" ht="15.75">
      <c r="A240" s="226">
        <v>29</v>
      </c>
      <c r="B240" s="226" t="str">
        <f t="shared" si="149"/>
        <v>CEREAL EMPACADO_29</v>
      </c>
      <c r="C240" s="333" t="str">
        <f t="shared" si="150"/>
        <v>3_29</v>
      </c>
      <c r="D240" s="392" t="s">
        <v>1607</v>
      </c>
      <c r="E240" s="226">
        <v>3</v>
      </c>
      <c r="F240" s="325" t="s">
        <v>12</v>
      </c>
      <c r="G240" s="226" t="s">
        <v>9</v>
      </c>
      <c r="H240" s="421">
        <f t="shared" si="151"/>
        <v>19</v>
      </c>
      <c r="I240" s="421">
        <f t="shared" si="152"/>
        <v>0</v>
      </c>
      <c r="J240" s="422">
        <f t="array" ref="J240">MAX((IF(MNU_CODIGO_ALIMENTO_ENTREGA=CONCATENATE($E240,"_","S_"),MNU_GRAMAJE_REQUERIDO_TIPOA,"")))</f>
        <v>50</v>
      </c>
      <c r="K240" s="227">
        <f t="shared" si="153"/>
        <v>1277</v>
      </c>
      <c r="L240" s="227">
        <f t="shared" si="154"/>
        <v>0</v>
      </c>
      <c r="M240" s="227">
        <f t="shared" si="155"/>
        <v>24263</v>
      </c>
      <c r="N240" s="448">
        <f t="shared" si="156"/>
        <v>481</v>
      </c>
      <c r="O240" s="448">
        <f t="shared" si="157"/>
        <v>23.472799999999999</v>
      </c>
      <c r="P240" s="448">
        <f t="shared" si="158"/>
        <v>0.41366769599999997</v>
      </c>
      <c r="Q240" s="448">
        <f t="shared" si="159"/>
        <v>505</v>
      </c>
      <c r="R240" s="228">
        <f t="shared" si="160"/>
        <v>11670503</v>
      </c>
      <c r="S240" s="228">
        <f t="shared" si="161"/>
        <v>12252815</v>
      </c>
      <c r="T240" s="423">
        <f t="shared" si="162"/>
        <v>19</v>
      </c>
      <c r="U240" s="423">
        <f t="shared" si="163"/>
        <v>0</v>
      </c>
      <c r="V240" s="424">
        <f t="array" ref="V240">MAX((IF(MNU_CODIGO_ALIMENTO_ENTREGA=CONCATENATE($E240,"_","S_"),MNU_GRAMAJE_REQUERIDO_TIPOB,"")))</f>
        <v>50</v>
      </c>
      <c r="W240" s="391">
        <f t="shared" si="164"/>
        <v>716</v>
      </c>
      <c r="X240" s="391">
        <f t="shared" si="165"/>
        <v>0</v>
      </c>
      <c r="Y240" s="391">
        <f t="shared" si="166"/>
        <v>13604</v>
      </c>
      <c r="Z240" s="448">
        <f t="shared" si="167"/>
        <v>481</v>
      </c>
      <c r="AA240" s="448">
        <f t="shared" si="168"/>
        <v>23.472799999999999</v>
      </c>
      <c r="AB240" s="448">
        <f t="shared" si="169"/>
        <v>0.41366769599999997</v>
      </c>
      <c r="AC240" s="448">
        <f t="shared" si="170"/>
        <v>505</v>
      </c>
      <c r="AD240" s="229">
        <f t="shared" si="171"/>
        <v>6543524</v>
      </c>
      <c r="AE240" s="229">
        <f t="shared" si="172"/>
        <v>6870020</v>
      </c>
      <c r="AF240" s="421">
        <f t="shared" si="173"/>
        <v>19</v>
      </c>
      <c r="AG240" s="421">
        <f t="shared" si="174"/>
        <v>0</v>
      </c>
      <c r="AH240" s="422">
        <f t="array" ref="AH240">MAX((IF(MNU_CODIGO_ALIMENTO_ENTREGA=CONCATENATE($E240,"_","S_"),MNU_GRAMAJE_REQUERIDO_TIPOC,"")))</f>
        <v>80</v>
      </c>
      <c r="AI240" s="227">
        <f t="shared" si="175"/>
        <v>409</v>
      </c>
      <c r="AJ240" s="227">
        <f t="shared" si="176"/>
        <v>0</v>
      </c>
      <c r="AK240" s="227">
        <f t="shared" si="177"/>
        <v>7771</v>
      </c>
      <c r="AL240" s="448">
        <f t="shared" si="178"/>
        <v>727</v>
      </c>
      <c r="AM240" s="448">
        <f t="shared" si="179"/>
        <v>35.477600000000002</v>
      </c>
      <c r="AN240" s="448">
        <f t="shared" si="180"/>
        <v>0.62523163200000009</v>
      </c>
      <c r="AO240" s="448">
        <f t="shared" si="181"/>
        <v>763</v>
      </c>
      <c r="AP240" s="448">
        <f t="shared" si="182"/>
        <v>5649517</v>
      </c>
      <c r="AQ240" s="228">
        <f t="shared" si="183"/>
        <v>5929273</v>
      </c>
      <c r="AR240" s="391">
        <f t="shared" si="184"/>
        <v>23863544</v>
      </c>
      <c r="AS240" s="391">
        <f t="shared" si="185"/>
        <v>25052108</v>
      </c>
    </row>
    <row r="241" spans="1:45" ht="15.75">
      <c r="A241" s="226">
        <v>29</v>
      </c>
      <c r="B241" s="226" t="str">
        <f t="shared" si="149"/>
        <v>CEREAL EMPACADO_29</v>
      </c>
      <c r="C241" s="333" t="str">
        <f t="shared" si="150"/>
        <v>15_29</v>
      </c>
      <c r="D241" s="392" t="s">
        <v>1607</v>
      </c>
      <c r="E241" s="226">
        <v>15</v>
      </c>
      <c r="F241" s="325" t="s">
        <v>66</v>
      </c>
      <c r="G241" s="226" t="s">
        <v>9</v>
      </c>
      <c r="H241" s="421">
        <f t="shared" si="151"/>
        <v>11</v>
      </c>
      <c r="I241" s="421">
        <f t="shared" si="152"/>
        <v>11</v>
      </c>
      <c r="J241" s="422">
        <f t="array" ref="J241">MAX((IF(MNU_CODIGO_ALIMENTO_ENTREGA=CONCATENATE($E241,"_","S_"),MNU_GRAMAJE_REQUERIDO_TIPOA,"")))</f>
        <v>50</v>
      </c>
      <c r="K241" s="227">
        <f t="shared" si="153"/>
        <v>1277</v>
      </c>
      <c r="L241" s="227">
        <f t="shared" si="154"/>
        <v>0</v>
      </c>
      <c r="M241" s="227">
        <f t="shared" si="155"/>
        <v>14047</v>
      </c>
      <c r="N241" s="448">
        <f t="shared" si="156"/>
        <v>641</v>
      </c>
      <c r="O241" s="448">
        <f t="shared" si="157"/>
        <v>31.280800000000003</v>
      </c>
      <c r="P241" s="448">
        <f t="shared" si="158"/>
        <v>0.55127025600000001</v>
      </c>
      <c r="Q241" s="448">
        <f t="shared" si="159"/>
        <v>673</v>
      </c>
      <c r="R241" s="228">
        <f t="shared" si="160"/>
        <v>9004127</v>
      </c>
      <c r="S241" s="228">
        <f t="shared" si="161"/>
        <v>9453631</v>
      </c>
      <c r="T241" s="423">
        <f t="shared" si="162"/>
        <v>11</v>
      </c>
      <c r="U241" s="423">
        <f t="shared" si="163"/>
        <v>11</v>
      </c>
      <c r="V241" s="424">
        <f t="array" ref="V241">MAX((IF(MNU_CODIGO_ALIMENTO_ENTREGA=CONCATENATE($E241,"_","S_"),MNU_GRAMAJE_REQUERIDO_TIPOB,"")))</f>
        <v>50</v>
      </c>
      <c r="W241" s="391">
        <f t="shared" si="164"/>
        <v>716</v>
      </c>
      <c r="X241" s="391">
        <f t="shared" si="165"/>
        <v>0</v>
      </c>
      <c r="Y241" s="391">
        <f t="shared" si="166"/>
        <v>7876</v>
      </c>
      <c r="Z241" s="448">
        <f t="shared" si="167"/>
        <v>641</v>
      </c>
      <c r="AA241" s="448">
        <f t="shared" si="168"/>
        <v>31.280800000000003</v>
      </c>
      <c r="AB241" s="448">
        <f t="shared" si="169"/>
        <v>0.55127025600000001</v>
      </c>
      <c r="AC241" s="448">
        <f t="shared" si="170"/>
        <v>673</v>
      </c>
      <c r="AD241" s="229">
        <f t="shared" si="171"/>
        <v>5048516</v>
      </c>
      <c r="AE241" s="229">
        <f t="shared" si="172"/>
        <v>5300548</v>
      </c>
      <c r="AF241" s="421">
        <f t="shared" si="173"/>
        <v>11</v>
      </c>
      <c r="AG241" s="421">
        <f t="shared" si="174"/>
        <v>11</v>
      </c>
      <c r="AH241" s="422">
        <f t="array" ref="AH241">MAX((IF(MNU_CODIGO_ALIMENTO_ENTREGA=CONCATENATE($E241,"_","S_"),MNU_GRAMAJE_REQUERIDO_TIPOC,"")))</f>
        <v>80</v>
      </c>
      <c r="AI241" s="227">
        <f t="shared" si="175"/>
        <v>409</v>
      </c>
      <c r="AJ241" s="227">
        <f t="shared" si="176"/>
        <v>0</v>
      </c>
      <c r="AK241" s="227">
        <f t="shared" si="177"/>
        <v>4499</v>
      </c>
      <c r="AL241" s="448">
        <f t="shared" si="178"/>
        <v>1025</v>
      </c>
      <c r="AM241" s="448">
        <f t="shared" si="179"/>
        <v>50.02</v>
      </c>
      <c r="AN241" s="448">
        <f t="shared" si="180"/>
        <v>0.88151640000000009</v>
      </c>
      <c r="AO241" s="448">
        <f t="shared" si="181"/>
        <v>1076</v>
      </c>
      <c r="AP241" s="448">
        <f t="shared" si="182"/>
        <v>4611475</v>
      </c>
      <c r="AQ241" s="228">
        <f t="shared" si="183"/>
        <v>4840924</v>
      </c>
      <c r="AR241" s="391">
        <f t="shared" si="184"/>
        <v>18664118</v>
      </c>
      <c r="AS241" s="391">
        <f t="shared" si="185"/>
        <v>19595103</v>
      </c>
    </row>
    <row r="242" spans="1:45" ht="27">
      <c r="A242" s="226">
        <v>29</v>
      </c>
      <c r="B242" s="226" t="str">
        <f t="shared" si="149"/>
        <v>CEREAL EMPACADO_29</v>
      </c>
      <c r="C242" s="333" t="str">
        <f t="shared" si="150"/>
        <v>21_29</v>
      </c>
      <c r="D242" s="392" t="s">
        <v>1607</v>
      </c>
      <c r="E242" s="226">
        <v>21</v>
      </c>
      <c r="F242" s="325" t="s">
        <v>70</v>
      </c>
      <c r="G242" s="226" t="s">
        <v>9</v>
      </c>
      <c r="H242" s="421">
        <f t="shared" si="151"/>
        <v>22</v>
      </c>
      <c r="I242" s="421">
        <f t="shared" si="152"/>
        <v>0</v>
      </c>
      <c r="J242" s="422">
        <f t="array" ref="J242">MAX((IF(MNU_CODIGO_ALIMENTO_ENTREGA=CONCATENATE($E242,"_","S_"),MNU_GRAMAJE_REQUERIDO_TIPOA,"")))</f>
        <v>30</v>
      </c>
      <c r="K242" s="227">
        <f t="shared" si="153"/>
        <v>1277</v>
      </c>
      <c r="L242" s="227">
        <f t="shared" si="154"/>
        <v>0</v>
      </c>
      <c r="M242" s="227">
        <f t="shared" si="155"/>
        <v>28094</v>
      </c>
      <c r="N242" s="448">
        <f t="shared" si="156"/>
        <v>458</v>
      </c>
      <c r="O242" s="448">
        <f t="shared" si="157"/>
        <v>22.3504</v>
      </c>
      <c r="P242" s="448">
        <f t="shared" si="158"/>
        <v>0.39388732799999998</v>
      </c>
      <c r="Q242" s="448">
        <f t="shared" si="159"/>
        <v>481</v>
      </c>
      <c r="R242" s="228">
        <f t="shared" si="160"/>
        <v>12867052</v>
      </c>
      <c r="S242" s="228">
        <f t="shared" si="161"/>
        <v>13513214</v>
      </c>
      <c r="T242" s="423">
        <f t="shared" si="162"/>
        <v>22</v>
      </c>
      <c r="U242" s="423">
        <f t="shared" si="163"/>
        <v>0</v>
      </c>
      <c r="V242" s="424">
        <f t="array" ref="V242">MAX((IF(MNU_CODIGO_ALIMENTO_ENTREGA=CONCATENATE($E242,"_","S_"),MNU_GRAMAJE_REQUERIDO_TIPOB,"")))</f>
        <v>30</v>
      </c>
      <c r="W242" s="391">
        <f t="shared" si="164"/>
        <v>716</v>
      </c>
      <c r="X242" s="391">
        <f t="shared" si="165"/>
        <v>0</v>
      </c>
      <c r="Y242" s="391">
        <f t="shared" si="166"/>
        <v>15752</v>
      </c>
      <c r="Z242" s="448">
        <f t="shared" si="167"/>
        <v>458</v>
      </c>
      <c r="AA242" s="448">
        <f t="shared" si="168"/>
        <v>22.3504</v>
      </c>
      <c r="AB242" s="448">
        <f t="shared" si="169"/>
        <v>0.39388732799999998</v>
      </c>
      <c r="AC242" s="448">
        <f t="shared" si="170"/>
        <v>481</v>
      </c>
      <c r="AD242" s="229">
        <f t="shared" si="171"/>
        <v>7214416</v>
      </c>
      <c r="AE242" s="229">
        <f t="shared" si="172"/>
        <v>7576712</v>
      </c>
      <c r="AF242" s="421">
        <f t="shared" si="173"/>
        <v>22</v>
      </c>
      <c r="AG242" s="421">
        <f t="shared" si="174"/>
        <v>0</v>
      </c>
      <c r="AH242" s="422">
        <f t="array" ref="AH242">MAX((IF(MNU_CODIGO_ALIMENTO_ENTREGA=CONCATENATE($E242,"_","S_"),MNU_GRAMAJE_REQUERIDO_TIPOC,"")))</f>
        <v>50</v>
      </c>
      <c r="AI242" s="227">
        <f t="shared" si="175"/>
        <v>409</v>
      </c>
      <c r="AJ242" s="227">
        <f t="shared" si="176"/>
        <v>0</v>
      </c>
      <c r="AK242" s="227">
        <f t="shared" si="177"/>
        <v>8998</v>
      </c>
      <c r="AL242" s="448">
        <f t="shared" si="178"/>
        <v>764</v>
      </c>
      <c r="AM242" s="448">
        <f t="shared" si="179"/>
        <v>37.283200000000001</v>
      </c>
      <c r="AN242" s="448">
        <f t="shared" si="180"/>
        <v>0.65705222400000007</v>
      </c>
      <c r="AO242" s="448">
        <f t="shared" si="181"/>
        <v>802</v>
      </c>
      <c r="AP242" s="448">
        <f t="shared" si="182"/>
        <v>6874472</v>
      </c>
      <c r="AQ242" s="228">
        <f t="shared" si="183"/>
        <v>7216396</v>
      </c>
      <c r="AR242" s="391">
        <f t="shared" si="184"/>
        <v>26955940</v>
      </c>
      <c r="AS242" s="391">
        <f t="shared" si="185"/>
        <v>28306322</v>
      </c>
    </row>
    <row r="243" spans="1:45" ht="15.75">
      <c r="A243" s="226">
        <v>29</v>
      </c>
      <c r="B243" s="226" t="str">
        <f t="shared" si="149"/>
        <v>CEREAL EMPACADO_29</v>
      </c>
      <c r="C243" s="333" t="str">
        <f t="shared" si="150"/>
        <v>24_29</v>
      </c>
      <c r="D243" s="392" t="s">
        <v>1607</v>
      </c>
      <c r="E243" s="226">
        <v>24</v>
      </c>
      <c r="F243" s="325" t="s">
        <v>61</v>
      </c>
      <c r="G243" s="226" t="s">
        <v>9</v>
      </c>
      <c r="H243" s="421">
        <f t="shared" si="151"/>
        <v>11</v>
      </c>
      <c r="I243" s="421">
        <f t="shared" si="152"/>
        <v>11</v>
      </c>
      <c r="J243" s="422">
        <f t="array" ref="J243">MAX((IF(MNU_CODIGO_ALIMENTO_ENTREGA=CONCATENATE($E243,"_","S_"),MNU_GRAMAJE_REQUERIDO_TIPOA,"")))</f>
        <v>20</v>
      </c>
      <c r="K243" s="227">
        <f t="shared" si="153"/>
        <v>1277</v>
      </c>
      <c r="L243" s="227">
        <f t="shared" si="154"/>
        <v>0</v>
      </c>
      <c r="M243" s="227">
        <f t="shared" si="155"/>
        <v>14047</v>
      </c>
      <c r="N243" s="448">
        <f t="shared" si="156"/>
        <v>122</v>
      </c>
      <c r="O243" s="448">
        <f t="shared" si="157"/>
        <v>5.9535999999999998</v>
      </c>
      <c r="P243" s="448">
        <f t="shared" si="158"/>
        <v>0.104921952</v>
      </c>
      <c r="Q243" s="448">
        <f t="shared" si="159"/>
        <v>128</v>
      </c>
      <c r="R243" s="228">
        <f t="shared" si="160"/>
        <v>1713734</v>
      </c>
      <c r="S243" s="228">
        <f t="shared" si="161"/>
        <v>1798016</v>
      </c>
      <c r="T243" s="423">
        <f t="shared" si="162"/>
        <v>11</v>
      </c>
      <c r="U243" s="423">
        <f t="shared" si="163"/>
        <v>11</v>
      </c>
      <c r="V243" s="424">
        <f t="array" ref="V243">MAX((IF(MNU_CODIGO_ALIMENTO_ENTREGA=CONCATENATE($E243,"_","S_"),MNU_GRAMAJE_REQUERIDO_TIPOB,"")))</f>
        <v>30</v>
      </c>
      <c r="W243" s="391">
        <f t="shared" si="164"/>
        <v>716</v>
      </c>
      <c r="X243" s="391">
        <f t="shared" si="165"/>
        <v>0</v>
      </c>
      <c r="Y243" s="391">
        <f t="shared" si="166"/>
        <v>7876</v>
      </c>
      <c r="Z243" s="448">
        <f t="shared" si="167"/>
        <v>191</v>
      </c>
      <c r="AA243" s="448">
        <f t="shared" si="168"/>
        <v>9.3208000000000002</v>
      </c>
      <c r="AB243" s="448">
        <f t="shared" si="169"/>
        <v>0.16426305600000002</v>
      </c>
      <c r="AC243" s="448">
        <f t="shared" si="170"/>
        <v>200</v>
      </c>
      <c r="AD243" s="229">
        <f t="shared" si="171"/>
        <v>1504316</v>
      </c>
      <c r="AE243" s="229">
        <f t="shared" si="172"/>
        <v>1575200</v>
      </c>
      <c r="AF243" s="421">
        <f t="shared" si="173"/>
        <v>11</v>
      </c>
      <c r="AG243" s="421">
        <f t="shared" si="174"/>
        <v>11</v>
      </c>
      <c r="AH243" s="422">
        <f t="array" ref="AH243">MAX((IF(MNU_CODIGO_ALIMENTO_ENTREGA=CONCATENATE($E243,"_","S_"),MNU_GRAMAJE_REQUERIDO_TIPOC,"")))</f>
        <v>60</v>
      </c>
      <c r="AI243" s="227">
        <f t="shared" si="175"/>
        <v>409</v>
      </c>
      <c r="AJ243" s="227">
        <f t="shared" si="176"/>
        <v>0</v>
      </c>
      <c r="AK243" s="227">
        <f t="shared" si="177"/>
        <v>4499</v>
      </c>
      <c r="AL243" s="448">
        <f t="shared" si="178"/>
        <v>367</v>
      </c>
      <c r="AM243" s="448">
        <f t="shared" si="179"/>
        <v>17.909599999999998</v>
      </c>
      <c r="AN243" s="448">
        <f t="shared" si="180"/>
        <v>0.31562587200000003</v>
      </c>
      <c r="AO243" s="448">
        <f t="shared" si="181"/>
        <v>385</v>
      </c>
      <c r="AP243" s="448">
        <f t="shared" si="182"/>
        <v>1651133</v>
      </c>
      <c r="AQ243" s="228">
        <f t="shared" si="183"/>
        <v>1732115</v>
      </c>
      <c r="AR243" s="391">
        <f t="shared" si="184"/>
        <v>4869183</v>
      </c>
      <c r="AS243" s="391">
        <f t="shared" si="185"/>
        <v>5105331</v>
      </c>
    </row>
    <row r="244" spans="1:45" ht="15.75">
      <c r="A244" s="226">
        <v>29</v>
      </c>
      <c r="B244" s="226" t="str">
        <f t="shared" si="149"/>
        <v>CEREAL EMPACADO_29</v>
      </c>
      <c r="C244" s="333" t="str">
        <f t="shared" si="150"/>
        <v>25_29</v>
      </c>
      <c r="D244" s="392" t="s">
        <v>1607</v>
      </c>
      <c r="E244" s="226">
        <v>25</v>
      </c>
      <c r="F244" s="325" t="s">
        <v>64</v>
      </c>
      <c r="G244" s="226" t="s">
        <v>9</v>
      </c>
      <c r="H244" s="421">
        <f t="shared" si="151"/>
        <v>22</v>
      </c>
      <c r="I244" s="421">
        <f t="shared" si="152"/>
        <v>0</v>
      </c>
      <c r="J244" s="422">
        <f t="array" ref="J244">MAX((IF(MNU_CODIGO_ALIMENTO_ENTREGA=CONCATENATE($E244,"_","S_"),MNU_GRAMAJE_REQUERIDO_TIPOA,"")))</f>
        <v>40</v>
      </c>
      <c r="K244" s="227">
        <f t="shared" si="153"/>
        <v>1277</v>
      </c>
      <c r="L244" s="227">
        <f t="shared" si="154"/>
        <v>0</v>
      </c>
      <c r="M244" s="227">
        <f t="shared" si="155"/>
        <v>28094</v>
      </c>
      <c r="N244" s="448">
        <f t="shared" si="156"/>
        <v>244</v>
      </c>
      <c r="O244" s="448">
        <f t="shared" si="157"/>
        <v>11.9072</v>
      </c>
      <c r="P244" s="448">
        <f t="shared" si="158"/>
        <v>0.209843904</v>
      </c>
      <c r="Q244" s="448">
        <f t="shared" si="159"/>
        <v>256</v>
      </c>
      <c r="R244" s="228">
        <f t="shared" si="160"/>
        <v>6854936</v>
      </c>
      <c r="S244" s="228">
        <f t="shared" si="161"/>
        <v>7192064</v>
      </c>
      <c r="T244" s="423">
        <f t="shared" si="162"/>
        <v>22</v>
      </c>
      <c r="U244" s="423">
        <f t="shared" si="163"/>
        <v>0</v>
      </c>
      <c r="V244" s="424">
        <f t="array" ref="V244">MAX((IF(MNU_CODIGO_ALIMENTO_ENTREGA=CONCATENATE($E244,"_","S_"),MNU_GRAMAJE_REQUERIDO_TIPOB,"")))</f>
        <v>40</v>
      </c>
      <c r="W244" s="391">
        <f t="shared" si="164"/>
        <v>716</v>
      </c>
      <c r="X244" s="391">
        <f t="shared" si="165"/>
        <v>0</v>
      </c>
      <c r="Y244" s="391">
        <f t="shared" si="166"/>
        <v>15752</v>
      </c>
      <c r="Z244" s="448">
        <f t="shared" si="167"/>
        <v>244</v>
      </c>
      <c r="AA244" s="448">
        <f t="shared" si="168"/>
        <v>11.9072</v>
      </c>
      <c r="AB244" s="448">
        <f t="shared" si="169"/>
        <v>0.209843904</v>
      </c>
      <c r="AC244" s="448">
        <f t="shared" si="170"/>
        <v>256</v>
      </c>
      <c r="AD244" s="229">
        <f t="shared" si="171"/>
        <v>3843488</v>
      </c>
      <c r="AE244" s="229">
        <f t="shared" si="172"/>
        <v>4032512</v>
      </c>
      <c r="AF244" s="421">
        <f t="shared" si="173"/>
        <v>22</v>
      </c>
      <c r="AG244" s="421">
        <f t="shared" si="174"/>
        <v>0</v>
      </c>
      <c r="AH244" s="422">
        <f t="array" ref="AH244">MAX((IF(MNU_CODIGO_ALIMENTO_ENTREGA=CONCATENATE($E244,"_","S_"),MNU_GRAMAJE_REQUERIDO_TIPOC,"")))</f>
        <v>60</v>
      </c>
      <c r="AI244" s="227">
        <f t="shared" si="175"/>
        <v>409</v>
      </c>
      <c r="AJ244" s="227">
        <f t="shared" si="176"/>
        <v>0</v>
      </c>
      <c r="AK244" s="227">
        <f t="shared" si="177"/>
        <v>8998</v>
      </c>
      <c r="AL244" s="448">
        <f t="shared" si="178"/>
        <v>366</v>
      </c>
      <c r="AM244" s="448">
        <f t="shared" si="179"/>
        <v>17.860800000000001</v>
      </c>
      <c r="AN244" s="448">
        <f t="shared" si="180"/>
        <v>0.31476585600000001</v>
      </c>
      <c r="AO244" s="448">
        <f t="shared" si="181"/>
        <v>384</v>
      </c>
      <c r="AP244" s="448">
        <f t="shared" si="182"/>
        <v>3293268</v>
      </c>
      <c r="AQ244" s="228">
        <f t="shared" si="183"/>
        <v>3455232</v>
      </c>
      <c r="AR244" s="391">
        <f t="shared" si="184"/>
        <v>13991692</v>
      </c>
      <c r="AS244" s="391">
        <f t="shared" si="185"/>
        <v>14679808</v>
      </c>
    </row>
    <row r="245" spans="1:45" ht="27">
      <c r="A245" s="226">
        <v>29</v>
      </c>
      <c r="B245" s="226" t="str">
        <f t="shared" si="149"/>
        <v>CEREAL EMPACADO_29</v>
      </c>
      <c r="C245" s="333" t="str">
        <f t="shared" si="150"/>
        <v>28_29</v>
      </c>
      <c r="D245" s="392" t="s">
        <v>1607</v>
      </c>
      <c r="E245" s="226">
        <v>28</v>
      </c>
      <c r="F245" s="325" t="s">
        <v>67</v>
      </c>
      <c r="G245" s="226" t="s">
        <v>9</v>
      </c>
      <c r="H245" s="421">
        <f t="shared" si="151"/>
        <v>19</v>
      </c>
      <c r="I245" s="421">
        <f t="shared" si="152"/>
        <v>0</v>
      </c>
      <c r="J245" s="422">
        <f t="array" ref="J245">MAX((IF(MNU_CODIGO_ALIMENTO_ENTREGA=CONCATENATE($E245,"_","S_"),MNU_GRAMAJE_REQUERIDO_TIPOA,"")))</f>
        <v>30</v>
      </c>
      <c r="K245" s="227">
        <f t="shared" si="153"/>
        <v>1277</v>
      </c>
      <c r="L245" s="227">
        <f t="shared" si="154"/>
        <v>0</v>
      </c>
      <c r="M245" s="227">
        <f t="shared" si="155"/>
        <v>24263</v>
      </c>
      <c r="N245" s="448">
        <f t="shared" si="156"/>
        <v>215</v>
      </c>
      <c r="O245" s="448">
        <f t="shared" si="157"/>
        <v>10.492000000000001</v>
      </c>
      <c r="P245" s="448">
        <f t="shared" si="158"/>
        <v>0.18490343999999997</v>
      </c>
      <c r="Q245" s="448">
        <f t="shared" si="159"/>
        <v>226</v>
      </c>
      <c r="R245" s="228">
        <f t="shared" si="160"/>
        <v>5216545</v>
      </c>
      <c r="S245" s="228">
        <f t="shared" si="161"/>
        <v>5483438</v>
      </c>
      <c r="T245" s="423">
        <f t="shared" si="162"/>
        <v>19</v>
      </c>
      <c r="U245" s="423">
        <f t="shared" si="163"/>
        <v>0</v>
      </c>
      <c r="V245" s="424">
        <f t="array" ref="V245">MAX((IF(MNU_CODIGO_ALIMENTO_ENTREGA=CONCATENATE($E245,"_","S_"),MNU_GRAMAJE_REQUERIDO_TIPOB,"")))</f>
        <v>40</v>
      </c>
      <c r="W245" s="391">
        <f t="shared" si="164"/>
        <v>716</v>
      </c>
      <c r="X245" s="391">
        <f t="shared" si="165"/>
        <v>0</v>
      </c>
      <c r="Y245" s="391">
        <f t="shared" si="166"/>
        <v>13604</v>
      </c>
      <c r="Z245" s="448">
        <f t="shared" si="167"/>
        <v>287</v>
      </c>
      <c r="AA245" s="448">
        <f t="shared" si="168"/>
        <v>14.005600000000001</v>
      </c>
      <c r="AB245" s="448">
        <f t="shared" si="169"/>
        <v>0.24682459200000004</v>
      </c>
      <c r="AC245" s="448">
        <f t="shared" si="170"/>
        <v>301</v>
      </c>
      <c r="AD245" s="229">
        <f t="shared" si="171"/>
        <v>3904348</v>
      </c>
      <c r="AE245" s="229">
        <f t="shared" si="172"/>
        <v>4094804</v>
      </c>
      <c r="AF245" s="421">
        <f t="shared" si="173"/>
        <v>19</v>
      </c>
      <c r="AG245" s="421">
        <f t="shared" si="174"/>
        <v>0</v>
      </c>
      <c r="AH245" s="422">
        <f t="array" ref="AH245">MAX((IF(MNU_CODIGO_ALIMENTO_ENTREGA=CONCATENATE($E245,"_","S_"),MNU_GRAMAJE_REQUERIDO_TIPOC,"")))</f>
        <v>60</v>
      </c>
      <c r="AI245" s="227">
        <f t="shared" si="175"/>
        <v>409</v>
      </c>
      <c r="AJ245" s="227">
        <f t="shared" si="176"/>
        <v>0</v>
      </c>
      <c r="AK245" s="227">
        <f t="shared" si="177"/>
        <v>7771</v>
      </c>
      <c r="AL245" s="448">
        <f t="shared" si="178"/>
        <v>430</v>
      </c>
      <c r="AM245" s="448">
        <f t="shared" si="179"/>
        <v>20.984000000000002</v>
      </c>
      <c r="AN245" s="448">
        <f t="shared" si="180"/>
        <v>0.36980687999999995</v>
      </c>
      <c r="AO245" s="448">
        <f t="shared" si="181"/>
        <v>451</v>
      </c>
      <c r="AP245" s="448">
        <f t="shared" si="182"/>
        <v>3341530</v>
      </c>
      <c r="AQ245" s="228">
        <f t="shared" si="183"/>
        <v>3504721</v>
      </c>
      <c r="AR245" s="391">
        <f t="shared" si="184"/>
        <v>12462423</v>
      </c>
      <c r="AS245" s="391">
        <f t="shared" si="185"/>
        <v>13082963</v>
      </c>
    </row>
    <row r="246" spans="1:45" ht="15.75">
      <c r="A246" s="226">
        <v>29</v>
      </c>
      <c r="B246" s="226" t="str">
        <f t="shared" si="149"/>
        <v>CEREAL EMPACADO_29</v>
      </c>
      <c r="C246" s="333" t="str">
        <f t="shared" si="150"/>
        <v>45_29</v>
      </c>
      <c r="D246" s="392" t="s">
        <v>1607</v>
      </c>
      <c r="E246" s="226">
        <v>45</v>
      </c>
      <c r="F246" s="325" t="s">
        <v>10</v>
      </c>
      <c r="G246" s="226" t="s">
        <v>9</v>
      </c>
      <c r="H246" s="421">
        <f t="shared" si="151"/>
        <v>20</v>
      </c>
      <c r="I246" s="421">
        <f t="shared" si="152"/>
        <v>0</v>
      </c>
      <c r="J246" s="422">
        <f t="array" ref="J246">MAX((IF(MNU_CODIGO_ALIMENTO_ENTREGA=CONCATENATE($E246,"_","S_"),MNU_GRAMAJE_REQUERIDO_TIPOA,"")))</f>
        <v>20</v>
      </c>
      <c r="K246" s="227">
        <f t="shared" si="153"/>
        <v>1277</v>
      </c>
      <c r="L246" s="227">
        <f t="shared" si="154"/>
        <v>0</v>
      </c>
      <c r="M246" s="227">
        <f t="shared" si="155"/>
        <v>25540</v>
      </c>
      <c r="N246" s="448">
        <f t="shared" si="156"/>
        <v>190</v>
      </c>
      <c r="O246" s="448">
        <f t="shared" si="157"/>
        <v>9.2720000000000002</v>
      </c>
      <c r="P246" s="448">
        <f t="shared" si="158"/>
        <v>0.16340304</v>
      </c>
      <c r="Q246" s="448">
        <f t="shared" si="159"/>
        <v>199</v>
      </c>
      <c r="R246" s="228">
        <f t="shared" si="160"/>
        <v>4852600</v>
      </c>
      <c r="S246" s="228">
        <f t="shared" si="161"/>
        <v>5082460</v>
      </c>
      <c r="T246" s="423">
        <f t="shared" si="162"/>
        <v>20</v>
      </c>
      <c r="U246" s="423">
        <f t="shared" si="163"/>
        <v>0</v>
      </c>
      <c r="V246" s="424">
        <f t="array" ref="V246">MAX((IF(MNU_CODIGO_ALIMENTO_ENTREGA=CONCATENATE($E246,"_","S_"),MNU_GRAMAJE_REQUERIDO_TIPOB,"")))</f>
        <v>30</v>
      </c>
      <c r="W246" s="391">
        <f t="shared" si="164"/>
        <v>716</v>
      </c>
      <c r="X246" s="391">
        <f t="shared" si="165"/>
        <v>0</v>
      </c>
      <c r="Y246" s="391">
        <f t="shared" si="166"/>
        <v>14320</v>
      </c>
      <c r="Z246" s="448">
        <f t="shared" si="167"/>
        <v>284</v>
      </c>
      <c r="AA246" s="448">
        <f t="shared" si="168"/>
        <v>13.8592</v>
      </c>
      <c r="AB246" s="448">
        <f t="shared" si="169"/>
        <v>0.24424454399999998</v>
      </c>
      <c r="AC246" s="448">
        <f t="shared" si="170"/>
        <v>298</v>
      </c>
      <c r="AD246" s="229">
        <f t="shared" si="171"/>
        <v>4066880</v>
      </c>
      <c r="AE246" s="229">
        <f t="shared" si="172"/>
        <v>4267360</v>
      </c>
      <c r="AF246" s="421">
        <f t="shared" si="173"/>
        <v>20</v>
      </c>
      <c r="AG246" s="421">
        <f t="shared" si="174"/>
        <v>0</v>
      </c>
      <c r="AH246" s="422">
        <f t="array" ref="AH246">MAX((IF(MNU_CODIGO_ALIMENTO_ENTREGA=CONCATENATE($E246,"_","S_"),MNU_GRAMAJE_REQUERIDO_TIPOC,"")))</f>
        <v>60</v>
      </c>
      <c r="AI246" s="227">
        <f t="shared" si="175"/>
        <v>409</v>
      </c>
      <c r="AJ246" s="227">
        <f t="shared" si="176"/>
        <v>0</v>
      </c>
      <c r="AK246" s="227">
        <f t="shared" si="177"/>
        <v>8180</v>
      </c>
      <c r="AL246" s="448">
        <f t="shared" si="178"/>
        <v>569</v>
      </c>
      <c r="AM246" s="448">
        <f t="shared" si="179"/>
        <v>27.767199999999999</v>
      </c>
      <c r="AN246" s="448">
        <f t="shared" si="180"/>
        <v>0.48934910400000003</v>
      </c>
      <c r="AO246" s="448">
        <f t="shared" si="181"/>
        <v>597</v>
      </c>
      <c r="AP246" s="448">
        <f t="shared" si="182"/>
        <v>4654420</v>
      </c>
      <c r="AQ246" s="228">
        <f t="shared" si="183"/>
        <v>4883460</v>
      </c>
      <c r="AR246" s="391">
        <f t="shared" si="184"/>
        <v>13573900</v>
      </c>
      <c r="AS246" s="391">
        <f t="shared" si="185"/>
        <v>14233280</v>
      </c>
    </row>
    <row r="247" spans="1:45" ht="15.75">
      <c r="A247" s="226">
        <v>29</v>
      </c>
      <c r="B247" s="226" t="str">
        <f t="shared" si="149"/>
        <v>CEREAL EMPACADO_29</v>
      </c>
      <c r="C247" s="333" t="str">
        <f t="shared" si="150"/>
        <v>61_29</v>
      </c>
      <c r="D247" s="392" t="s">
        <v>1607</v>
      </c>
      <c r="E247" s="226">
        <v>61</v>
      </c>
      <c r="F247" s="325" t="s">
        <v>13</v>
      </c>
      <c r="G247" s="226" t="s">
        <v>9</v>
      </c>
      <c r="H247" s="421">
        <f t="shared" si="151"/>
        <v>20</v>
      </c>
      <c r="I247" s="421">
        <f t="shared" si="152"/>
        <v>0</v>
      </c>
      <c r="J247" s="422">
        <f t="array" ref="J247">MAX((IF(MNU_CODIGO_ALIMENTO_ENTREGA=CONCATENATE($E247,"_","S_"),MNU_GRAMAJE_REQUERIDO_TIPOA,"")))</f>
        <v>20</v>
      </c>
      <c r="K247" s="227">
        <f t="shared" si="153"/>
        <v>1277</v>
      </c>
      <c r="L247" s="227">
        <f t="shared" si="154"/>
        <v>0</v>
      </c>
      <c r="M247" s="227">
        <f t="shared" si="155"/>
        <v>25540</v>
      </c>
      <c r="N247" s="448">
        <f t="shared" si="156"/>
        <v>222</v>
      </c>
      <c r="O247" s="448">
        <f t="shared" si="157"/>
        <v>10.833600000000001</v>
      </c>
      <c r="P247" s="448">
        <f t="shared" si="158"/>
        <v>0.190923552</v>
      </c>
      <c r="Q247" s="448">
        <f t="shared" si="159"/>
        <v>233</v>
      </c>
      <c r="R247" s="228">
        <f t="shared" si="160"/>
        <v>5669880</v>
      </c>
      <c r="S247" s="228">
        <f t="shared" si="161"/>
        <v>5950820</v>
      </c>
      <c r="T247" s="423">
        <f t="shared" si="162"/>
        <v>20</v>
      </c>
      <c r="U247" s="423">
        <f t="shared" si="163"/>
        <v>0</v>
      </c>
      <c r="V247" s="424">
        <f t="array" ref="V247">MAX((IF(MNU_CODIGO_ALIMENTO_ENTREGA=CONCATENATE($E247,"_","S_"),MNU_GRAMAJE_REQUERIDO_TIPOB,"")))</f>
        <v>30</v>
      </c>
      <c r="W247" s="391">
        <f t="shared" si="164"/>
        <v>716</v>
      </c>
      <c r="X247" s="391">
        <f t="shared" si="165"/>
        <v>0</v>
      </c>
      <c r="Y247" s="391">
        <f t="shared" si="166"/>
        <v>14320</v>
      </c>
      <c r="Z247" s="448">
        <f t="shared" si="167"/>
        <v>334</v>
      </c>
      <c r="AA247" s="448">
        <f t="shared" si="168"/>
        <v>16.299199999999999</v>
      </c>
      <c r="AB247" s="448">
        <f t="shared" si="169"/>
        <v>0.28724534400000001</v>
      </c>
      <c r="AC247" s="448">
        <f t="shared" si="170"/>
        <v>351</v>
      </c>
      <c r="AD247" s="229">
        <f t="shared" si="171"/>
        <v>4782880</v>
      </c>
      <c r="AE247" s="229">
        <f t="shared" si="172"/>
        <v>5026320</v>
      </c>
      <c r="AF247" s="421">
        <f t="shared" si="173"/>
        <v>20</v>
      </c>
      <c r="AG247" s="421">
        <f t="shared" si="174"/>
        <v>0</v>
      </c>
      <c r="AH247" s="422">
        <f t="array" ref="AH247">MAX((IF(MNU_CODIGO_ALIMENTO_ENTREGA=CONCATENATE($E247,"_","S_"),MNU_GRAMAJE_REQUERIDO_TIPOC,"")))</f>
        <v>70</v>
      </c>
      <c r="AI247" s="227">
        <f t="shared" si="175"/>
        <v>409</v>
      </c>
      <c r="AJ247" s="227">
        <f t="shared" si="176"/>
        <v>0</v>
      </c>
      <c r="AK247" s="227">
        <f t="shared" si="177"/>
        <v>8180</v>
      </c>
      <c r="AL247" s="448">
        <f t="shared" si="178"/>
        <v>779</v>
      </c>
      <c r="AM247" s="448">
        <f t="shared" si="179"/>
        <v>38.0152</v>
      </c>
      <c r="AN247" s="448">
        <f t="shared" si="180"/>
        <v>0.66995246400000008</v>
      </c>
      <c r="AO247" s="448">
        <f t="shared" si="181"/>
        <v>818</v>
      </c>
      <c r="AP247" s="448">
        <f t="shared" si="182"/>
        <v>6372220</v>
      </c>
      <c r="AQ247" s="228">
        <f t="shared" si="183"/>
        <v>6691240</v>
      </c>
      <c r="AR247" s="391">
        <f t="shared" si="184"/>
        <v>16824980</v>
      </c>
      <c r="AS247" s="391">
        <f t="shared" si="185"/>
        <v>17668380</v>
      </c>
    </row>
    <row r="248" spans="1:45" ht="15.75">
      <c r="A248" s="226">
        <v>30</v>
      </c>
      <c r="B248" s="226" t="str">
        <f t="shared" si="149"/>
        <v>CEREAL EMPACADO_30</v>
      </c>
      <c r="C248" s="333" t="str">
        <f t="shared" si="150"/>
        <v>3_30</v>
      </c>
      <c r="D248" s="392" t="s">
        <v>1607</v>
      </c>
      <c r="E248" s="226">
        <v>3</v>
      </c>
      <c r="F248" s="325" t="s">
        <v>12</v>
      </c>
      <c r="G248" s="226" t="s">
        <v>9</v>
      </c>
      <c r="H248" s="421">
        <f t="shared" si="151"/>
        <v>19</v>
      </c>
      <c r="I248" s="421">
        <f t="shared" si="152"/>
        <v>0</v>
      </c>
      <c r="J248" s="422">
        <f t="array" ref="J248">MAX((IF(MNU_CODIGO_ALIMENTO_ENTREGA=CONCATENATE($E248,"_","S_"),MNU_GRAMAJE_REQUERIDO_TIPOA,"")))</f>
        <v>50</v>
      </c>
      <c r="K248" s="227">
        <f t="shared" si="153"/>
        <v>304</v>
      </c>
      <c r="L248" s="227">
        <f t="shared" si="154"/>
        <v>0</v>
      </c>
      <c r="M248" s="227">
        <f t="shared" si="155"/>
        <v>5776</v>
      </c>
      <c r="N248" s="448">
        <f t="shared" si="156"/>
        <v>481</v>
      </c>
      <c r="O248" s="448">
        <f t="shared" si="157"/>
        <v>23.472799999999999</v>
      </c>
      <c r="P248" s="448">
        <f t="shared" si="158"/>
        <v>0.41366769599999997</v>
      </c>
      <c r="Q248" s="448">
        <f t="shared" si="159"/>
        <v>505</v>
      </c>
      <c r="R248" s="228">
        <f t="shared" si="160"/>
        <v>2778256</v>
      </c>
      <c r="S248" s="228">
        <f t="shared" si="161"/>
        <v>2916880</v>
      </c>
      <c r="T248" s="423">
        <f t="shared" si="162"/>
        <v>19</v>
      </c>
      <c r="U248" s="423">
        <f t="shared" si="163"/>
        <v>0</v>
      </c>
      <c r="V248" s="424">
        <f t="array" ref="V248">MAX((IF(MNU_CODIGO_ALIMENTO_ENTREGA=CONCATENATE($E248,"_","S_"),MNU_GRAMAJE_REQUERIDO_TIPOB,"")))</f>
        <v>50</v>
      </c>
      <c r="W248" s="391">
        <f t="shared" si="164"/>
        <v>144</v>
      </c>
      <c r="X248" s="391">
        <f t="shared" si="165"/>
        <v>0</v>
      </c>
      <c r="Y248" s="391">
        <f t="shared" si="166"/>
        <v>2736</v>
      </c>
      <c r="Z248" s="448">
        <f t="shared" si="167"/>
        <v>481</v>
      </c>
      <c r="AA248" s="448">
        <f t="shared" si="168"/>
        <v>23.472799999999999</v>
      </c>
      <c r="AB248" s="448">
        <f t="shared" si="169"/>
        <v>0.41366769599999997</v>
      </c>
      <c r="AC248" s="448">
        <f t="shared" si="170"/>
        <v>505</v>
      </c>
      <c r="AD248" s="229">
        <f t="shared" si="171"/>
        <v>1316016</v>
      </c>
      <c r="AE248" s="229">
        <f t="shared" si="172"/>
        <v>1381680</v>
      </c>
      <c r="AF248" s="421">
        <f t="shared" si="173"/>
        <v>19</v>
      </c>
      <c r="AG248" s="421">
        <f t="shared" si="174"/>
        <v>0</v>
      </c>
      <c r="AH248" s="422">
        <f t="array" ref="AH248">MAX((IF(MNU_CODIGO_ALIMENTO_ENTREGA=CONCATENATE($E248,"_","S_"),MNU_GRAMAJE_REQUERIDO_TIPOC,"")))</f>
        <v>80</v>
      </c>
      <c r="AI248" s="227">
        <f t="shared" si="175"/>
        <v>1122</v>
      </c>
      <c r="AJ248" s="227">
        <f t="shared" si="176"/>
        <v>0</v>
      </c>
      <c r="AK248" s="227">
        <f t="shared" si="177"/>
        <v>21318</v>
      </c>
      <c r="AL248" s="448">
        <f t="shared" si="178"/>
        <v>727</v>
      </c>
      <c r="AM248" s="448">
        <f t="shared" si="179"/>
        <v>35.477600000000002</v>
      </c>
      <c r="AN248" s="448">
        <f t="shared" si="180"/>
        <v>0.62523163200000009</v>
      </c>
      <c r="AO248" s="448">
        <f t="shared" si="181"/>
        <v>763</v>
      </c>
      <c r="AP248" s="448">
        <f t="shared" si="182"/>
        <v>15498186</v>
      </c>
      <c r="AQ248" s="228">
        <f t="shared" si="183"/>
        <v>16265634</v>
      </c>
      <c r="AR248" s="391">
        <f t="shared" si="184"/>
        <v>19592458</v>
      </c>
      <c r="AS248" s="391">
        <f t="shared" si="185"/>
        <v>20564194</v>
      </c>
    </row>
    <row r="249" spans="1:45" ht="15.75">
      <c r="A249" s="226">
        <v>30</v>
      </c>
      <c r="B249" s="226" t="str">
        <f t="shared" si="149"/>
        <v>CEREAL EMPACADO_30</v>
      </c>
      <c r="C249" s="333" t="str">
        <f t="shared" si="150"/>
        <v>15_30</v>
      </c>
      <c r="D249" s="392" t="s">
        <v>1607</v>
      </c>
      <c r="E249" s="226">
        <v>15</v>
      </c>
      <c r="F249" s="325" t="s">
        <v>66</v>
      </c>
      <c r="G249" s="226" t="s">
        <v>9</v>
      </c>
      <c r="H249" s="421">
        <f t="shared" si="151"/>
        <v>11</v>
      </c>
      <c r="I249" s="421">
        <f t="shared" si="152"/>
        <v>11</v>
      </c>
      <c r="J249" s="422">
        <f t="array" ref="J249">MAX((IF(MNU_CODIGO_ALIMENTO_ENTREGA=CONCATENATE($E249,"_","S_"),MNU_GRAMAJE_REQUERIDO_TIPOA,"")))</f>
        <v>50</v>
      </c>
      <c r="K249" s="227">
        <f t="shared" si="153"/>
        <v>304</v>
      </c>
      <c r="L249" s="227">
        <f t="shared" si="154"/>
        <v>0</v>
      </c>
      <c r="M249" s="227">
        <f t="shared" si="155"/>
        <v>3344</v>
      </c>
      <c r="N249" s="448">
        <f t="shared" si="156"/>
        <v>641</v>
      </c>
      <c r="O249" s="448">
        <f t="shared" si="157"/>
        <v>31.280800000000003</v>
      </c>
      <c r="P249" s="448">
        <f t="shared" si="158"/>
        <v>0.55127025600000001</v>
      </c>
      <c r="Q249" s="448">
        <f t="shared" si="159"/>
        <v>673</v>
      </c>
      <c r="R249" s="228">
        <f t="shared" si="160"/>
        <v>2143504</v>
      </c>
      <c r="S249" s="228">
        <f t="shared" si="161"/>
        <v>2250512</v>
      </c>
      <c r="T249" s="423">
        <f t="shared" si="162"/>
        <v>11</v>
      </c>
      <c r="U249" s="423">
        <f t="shared" si="163"/>
        <v>11</v>
      </c>
      <c r="V249" s="424">
        <f t="array" ref="V249">MAX((IF(MNU_CODIGO_ALIMENTO_ENTREGA=CONCATENATE($E249,"_","S_"),MNU_GRAMAJE_REQUERIDO_TIPOB,"")))</f>
        <v>50</v>
      </c>
      <c r="W249" s="391">
        <f t="shared" si="164"/>
        <v>144</v>
      </c>
      <c r="X249" s="391">
        <f t="shared" si="165"/>
        <v>0</v>
      </c>
      <c r="Y249" s="391">
        <f t="shared" si="166"/>
        <v>1584</v>
      </c>
      <c r="Z249" s="448">
        <f t="shared" si="167"/>
        <v>641</v>
      </c>
      <c r="AA249" s="448">
        <f t="shared" si="168"/>
        <v>31.280800000000003</v>
      </c>
      <c r="AB249" s="448">
        <f t="shared" si="169"/>
        <v>0.55127025600000001</v>
      </c>
      <c r="AC249" s="448">
        <f t="shared" si="170"/>
        <v>673</v>
      </c>
      <c r="AD249" s="229">
        <f t="shared" si="171"/>
        <v>1015344</v>
      </c>
      <c r="AE249" s="229">
        <f t="shared" si="172"/>
        <v>1066032</v>
      </c>
      <c r="AF249" s="421">
        <f t="shared" si="173"/>
        <v>11</v>
      </c>
      <c r="AG249" s="421">
        <f t="shared" si="174"/>
        <v>11</v>
      </c>
      <c r="AH249" s="422">
        <f t="array" ref="AH249">MAX((IF(MNU_CODIGO_ALIMENTO_ENTREGA=CONCATENATE($E249,"_","S_"),MNU_GRAMAJE_REQUERIDO_TIPOC,"")))</f>
        <v>80</v>
      </c>
      <c r="AI249" s="227">
        <f t="shared" si="175"/>
        <v>1122</v>
      </c>
      <c r="AJ249" s="227">
        <f t="shared" si="176"/>
        <v>0</v>
      </c>
      <c r="AK249" s="227">
        <f t="shared" si="177"/>
        <v>12342</v>
      </c>
      <c r="AL249" s="448">
        <f t="shared" si="178"/>
        <v>1025</v>
      </c>
      <c r="AM249" s="448">
        <f t="shared" si="179"/>
        <v>50.02</v>
      </c>
      <c r="AN249" s="448">
        <f t="shared" si="180"/>
        <v>0.88151640000000009</v>
      </c>
      <c r="AO249" s="448">
        <f t="shared" si="181"/>
        <v>1076</v>
      </c>
      <c r="AP249" s="448">
        <f t="shared" si="182"/>
        <v>12650550</v>
      </c>
      <c r="AQ249" s="228">
        <f t="shared" si="183"/>
        <v>13279992</v>
      </c>
      <c r="AR249" s="391">
        <f t="shared" si="184"/>
        <v>15809398</v>
      </c>
      <c r="AS249" s="391">
        <f t="shared" si="185"/>
        <v>16596536</v>
      </c>
    </row>
    <row r="250" spans="1:45" ht="27">
      <c r="A250" s="226">
        <v>30</v>
      </c>
      <c r="B250" s="226" t="str">
        <f t="shared" si="149"/>
        <v>CEREAL EMPACADO_30</v>
      </c>
      <c r="C250" s="333" t="str">
        <f t="shared" si="150"/>
        <v>21_30</v>
      </c>
      <c r="D250" s="392" t="s">
        <v>1607</v>
      </c>
      <c r="E250" s="226">
        <v>21</v>
      </c>
      <c r="F250" s="325" t="s">
        <v>70</v>
      </c>
      <c r="G250" s="226" t="s">
        <v>9</v>
      </c>
      <c r="H250" s="421">
        <f t="shared" si="151"/>
        <v>22</v>
      </c>
      <c r="I250" s="421">
        <f t="shared" si="152"/>
        <v>0</v>
      </c>
      <c r="J250" s="422">
        <f t="array" ref="J250">MAX((IF(MNU_CODIGO_ALIMENTO_ENTREGA=CONCATENATE($E250,"_","S_"),MNU_GRAMAJE_REQUERIDO_TIPOA,"")))</f>
        <v>30</v>
      </c>
      <c r="K250" s="227">
        <f t="shared" si="153"/>
        <v>304</v>
      </c>
      <c r="L250" s="227">
        <f t="shared" si="154"/>
        <v>0</v>
      </c>
      <c r="M250" s="227">
        <f t="shared" si="155"/>
        <v>6688</v>
      </c>
      <c r="N250" s="448">
        <f t="shared" si="156"/>
        <v>458</v>
      </c>
      <c r="O250" s="448">
        <f t="shared" si="157"/>
        <v>22.3504</v>
      </c>
      <c r="P250" s="448">
        <f t="shared" si="158"/>
        <v>0.39388732799999998</v>
      </c>
      <c r="Q250" s="448">
        <f t="shared" si="159"/>
        <v>481</v>
      </c>
      <c r="R250" s="228">
        <f t="shared" si="160"/>
        <v>3063104</v>
      </c>
      <c r="S250" s="228">
        <f t="shared" si="161"/>
        <v>3216928</v>
      </c>
      <c r="T250" s="423">
        <f t="shared" si="162"/>
        <v>22</v>
      </c>
      <c r="U250" s="423">
        <f t="shared" si="163"/>
        <v>0</v>
      </c>
      <c r="V250" s="424">
        <f t="array" ref="V250">MAX((IF(MNU_CODIGO_ALIMENTO_ENTREGA=CONCATENATE($E250,"_","S_"),MNU_GRAMAJE_REQUERIDO_TIPOB,"")))</f>
        <v>30</v>
      </c>
      <c r="W250" s="391">
        <f t="shared" si="164"/>
        <v>144</v>
      </c>
      <c r="X250" s="391">
        <f t="shared" si="165"/>
        <v>0</v>
      </c>
      <c r="Y250" s="391">
        <f t="shared" si="166"/>
        <v>3168</v>
      </c>
      <c r="Z250" s="448">
        <f t="shared" si="167"/>
        <v>458</v>
      </c>
      <c r="AA250" s="448">
        <f t="shared" si="168"/>
        <v>22.3504</v>
      </c>
      <c r="AB250" s="448">
        <f t="shared" si="169"/>
        <v>0.39388732799999998</v>
      </c>
      <c r="AC250" s="448">
        <f t="shared" si="170"/>
        <v>481</v>
      </c>
      <c r="AD250" s="229">
        <f t="shared" si="171"/>
        <v>1450944</v>
      </c>
      <c r="AE250" s="229">
        <f t="shared" si="172"/>
        <v>1523808</v>
      </c>
      <c r="AF250" s="421">
        <f t="shared" si="173"/>
        <v>22</v>
      </c>
      <c r="AG250" s="421">
        <f t="shared" si="174"/>
        <v>0</v>
      </c>
      <c r="AH250" s="422">
        <f t="array" ref="AH250">MAX((IF(MNU_CODIGO_ALIMENTO_ENTREGA=CONCATENATE($E250,"_","S_"),MNU_GRAMAJE_REQUERIDO_TIPOC,"")))</f>
        <v>50</v>
      </c>
      <c r="AI250" s="227">
        <f t="shared" si="175"/>
        <v>1122</v>
      </c>
      <c r="AJ250" s="227">
        <f t="shared" si="176"/>
        <v>0</v>
      </c>
      <c r="AK250" s="227">
        <f t="shared" si="177"/>
        <v>24684</v>
      </c>
      <c r="AL250" s="448">
        <f t="shared" si="178"/>
        <v>764</v>
      </c>
      <c r="AM250" s="448">
        <f t="shared" si="179"/>
        <v>37.283200000000001</v>
      </c>
      <c r="AN250" s="448">
        <f t="shared" si="180"/>
        <v>0.65705222400000007</v>
      </c>
      <c r="AO250" s="448">
        <f t="shared" si="181"/>
        <v>802</v>
      </c>
      <c r="AP250" s="448">
        <f t="shared" si="182"/>
        <v>18858576</v>
      </c>
      <c r="AQ250" s="228">
        <f t="shared" si="183"/>
        <v>19796568</v>
      </c>
      <c r="AR250" s="391">
        <f t="shared" si="184"/>
        <v>23372624</v>
      </c>
      <c r="AS250" s="391">
        <f t="shared" si="185"/>
        <v>24537304</v>
      </c>
    </row>
    <row r="251" spans="1:45" ht="15.75">
      <c r="A251" s="226">
        <v>30</v>
      </c>
      <c r="B251" s="226" t="str">
        <f t="shared" si="149"/>
        <v>CEREAL EMPACADO_30</v>
      </c>
      <c r="C251" s="333" t="str">
        <f t="shared" si="150"/>
        <v>24_30</v>
      </c>
      <c r="D251" s="392" t="s">
        <v>1607</v>
      </c>
      <c r="E251" s="226">
        <v>24</v>
      </c>
      <c r="F251" s="325" t="s">
        <v>61</v>
      </c>
      <c r="G251" s="226" t="s">
        <v>9</v>
      </c>
      <c r="H251" s="421">
        <f t="shared" si="151"/>
        <v>11</v>
      </c>
      <c r="I251" s="421">
        <f t="shared" si="152"/>
        <v>11</v>
      </c>
      <c r="J251" s="422">
        <f t="array" ref="J251">MAX((IF(MNU_CODIGO_ALIMENTO_ENTREGA=CONCATENATE($E251,"_","S_"),MNU_GRAMAJE_REQUERIDO_TIPOA,"")))</f>
        <v>20</v>
      </c>
      <c r="K251" s="227">
        <f t="shared" si="153"/>
        <v>304</v>
      </c>
      <c r="L251" s="227">
        <f t="shared" si="154"/>
        <v>0</v>
      </c>
      <c r="M251" s="227">
        <f t="shared" si="155"/>
        <v>3344</v>
      </c>
      <c r="N251" s="448">
        <f t="shared" si="156"/>
        <v>122</v>
      </c>
      <c r="O251" s="448">
        <f t="shared" si="157"/>
        <v>5.9535999999999998</v>
      </c>
      <c r="P251" s="448">
        <f t="shared" si="158"/>
        <v>0.104921952</v>
      </c>
      <c r="Q251" s="448">
        <f t="shared" si="159"/>
        <v>128</v>
      </c>
      <c r="R251" s="228">
        <f t="shared" si="160"/>
        <v>407968</v>
      </c>
      <c r="S251" s="228">
        <f t="shared" si="161"/>
        <v>428032</v>
      </c>
      <c r="T251" s="423">
        <f t="shared" si="162"/>
        <v>11</v>
      </c>
      <c r="U251" s="423">
        <f t="shared" si="163"/>
        <v>11</v>
      </c>
      <c r="V251" s="424">
        <f t="array" ref="V251">MAX((IF(MNU_CODIGO_ALIMENTO_ENTREGA=CONCATENATE($E251,"_","S_"),MNU_GRAMAJE_REQUERIDO_TIPOB,"")))</f>
        <v>30</v>
      </c>
      <c r="W251" s="391">
        <f t="shared" si="164"/>
        <v>144</v>
      </c>
      <c r="X251" s="391">
        <f t="shared" si="165"/>
        <v>0</v>
      </c>
      <c r="Y251" s="391">
        <f t="shared" si="166"/>
        <v>1584</v>
      </c>
      <c r="Z251" s="448">
        <f t="shared" si="167"/>
        <v>191</v>
      </c>
      <c r="AA251" s="448">
        <f t="shared" si="168"/>
        <v>9.3208000000000002</v>
      </c>
      <c r="AB251" s="448">
        <f t="shared" si="169"/>
        <v>0.16426305600000002</v>
      </c>
      <c r="AC251" s="448">
        <f t="shared" si="170"/>
        <v>200</v>
      </c>
      <c r="AD251" s="229">
        <f t="shared" si="171"/>
        <v>302544</v>
      </c>
      <c r="AE251" s="229">
        <f t="shared" si="172"/>
        <v>316800</v>
      </c>
      <c r="AF251" s="421">
        <f t="shared" si="173"/>
        <v>11</v>
      </c>
      <c r="AG251" s="421">
        <f t="shared" si="174"/>
        <v>11</v>
      </c>
      <c r="AH251" s="422">
        <f t="array" ref="AH251">MAX((IF(MNU_CODIGO_ALIMENTO_ENTREGA=CONCATENATE($E251,"_","S_"),MNU_GRAMAJE_REQUERIDO_TIPOC,"")))</f>
        <v>60</v>
      </c>
      <c r="AI251" s="227">
        <f t="shared" si="175"/>
        <v>1122</v>
      </c>
      <c r="AJ251" s="227">
        <f t="shared" si="176"/>
        <v>0</v>
      </c>
      <c r="AK251" s="227">
        <f t="shared" si="177"/>
        <v>12342</v>
      </c>
      <c r="AL251" s="448">
        <f t="shared" si="178"/>
        <v>367</v>
      </c>
      <c r="AM251" s="448">
        <f t="shared" si="179"/>
        <v>17.909599999999998</v>
      </c>
      <c r="AN251" s="448">
        <f t="shared" si="180"/>
        <v>0.31562587200000003</v>
      </c>
      <c r="AO251" s="448">
        <f t="shared" si="181"/>
        <v>385</v>
      </c>
      <c r="AP251" s="448">
        <f t="shared" si="182"/>
        <v>4529514</v>
      </c>
      <c r="AQ251" s="228">
        <f t="shared" si="183"/>
        <v>4751670</v>
      </c>
      <c r="AR251" s="391">
        <f t="shared" si="184"/>
        <v>5240026</v>
      </c>
      <c r="AS251" s="391">
        <f t="shared" si="185"/>
        <v>5496502</v>
      </c>
    </row>
    <row r="252" spans="1:45" ht="15.75">
      <c r="A252" s="226">
        <v>30</v>
      </c>
      <c r="B252" s="226" t="str">
        <f t="shared" si="149"/>
        <v>CEREAL EMPACADO_30</v>
      </c>
      <c r="C252" s="333" t="str">
        <f t="shared" si="150"/>
        <v>25_30</v>
      </c>
      <c r="D252" s="392" t="s">
        <v>1607</v>
      </c>
      <c r="E252" s="226">
        <v>25</v>
      </c>
      <c r="F252" s="325" t="s">
        <v>64</v>
      </c>
      <c r="G252" s="226" t="s">
        <v>9</v>
      </c>
      <c r="H252" s="421">
        <f t="shared" si="151"/>
        <v>22</v>
      </c>
      <c r="I252" s="421">
        <f t="shared" si="152"/>
        <v>0</v>
      </c>
      <c r="J252" s="422">
        <f t="array" ref="J252">MAX((IF(MNU_CODIGO_ALIMENTO_ENTREGA=CONCATENATE($E252,"_","S_"),MNU_GRAMAJE_REQUERIDO_TIPOA,"")))</f>
        <v>40</v>
      </c>
      <c r="K252" s="227">
        <f t="shared" si="153"/>
        <v>304</v>
      </c>
      <c r="L252" s="227">
        <f t="shared" si="154"/>
        <v>0</v>
      </c>
      <c r="M252" s="227">
        <f t="shared" si="155"/>
        <v>6688</v>
      </c>
      <c r="N252" s="448">
        <f t="shared" si="156"/>
        <v>244</v>
      </c>
      <c r="O252" s="448">
        <f t="shared" si="157"/>
        <v>11.9072</v>
      </c>
      <c r="P252" s="448">
        <f t="shared" si="158"/>
        <v>0.209843904</v>
      </c>
      <c r="Q252" s="448">
        <f t="shared" si="159"/>
        <v>256</v>
      </c>
      <c r="R252" s="228">
        <f t="shared" si="160"/>
        <v>1631872</v>
      </c>
      <c r="S252" s="228">
        <f t="shared" si="161"/>
        <v>1712128</v>
      </c>
      <c r="T252" s="423">
        <f t="shared" si="162"/>
        <v>22</v>
      </c>
      <c r="U252" s="423">
        <f t="shared" si="163"/>
        <v>0</v>
      </c>
      <c r="V252" s="424">
        <f t="array" ref="V252">MAX((IF(MNU_CODIGO_ALIMENTO_ENTREGA=CONCATENATE($E252,"_","S_"),MNU_GRAMAJE_REQUERIDO_TIPOB,"")))</f>
        <v>40</v>
      </c>
      <c r="W252" s="391">
        <f t="shared" si="164"/>
        <v>144</v>
      </c>
      <c r="X252" s="391">
        <f t="shared" si="165"/>
        <v>0</v>
      </c>
      <c r="Y252" s="391">
        <f t="shared" si="166"/>
        <v>3168</v>
      </c>
      <c r="Z252" s="448">
        <f t="shared" si="167"/>
        <v>244</v>
      </c>
      <c r="AA252" s="448">
        <f t="shared" si="168"/>
        <v>11.9072</v>
      </c>
      <c r="AB252" s="448">
        <f t="shared" si="169"/>
        <v>0.209843904</v>
      </c>
      <c r="AC252" s="448">
        <f t="shared" si="170"/>
        <v>256</v>
      </c>
      <c r="AD252" s="229">
        <f t="shared" si="171"/>
        <v>772992</v>
      </c>
      <c r="AE252" s="229">
        <f t="shared" si="172"/>
        <v>811008</v>
      </c>
      <c r="AF252" s="421">
        <f t="shared" si="173"/>
        <v>22</v>
      </c>
      <c r="AG252" s="421">
        <f t="shared" si="174"/>
        <v>0</v>
      </c>
      <c r="AH252" s="422">
        <f t="array" ref="AH252">MAX((IF(MNU_CODIGO_ALIMENTO_ENTREGA=CONCATENATE($E252,"_","S_"),MNU_GRAMAJE_REQUERIDO_TIPOC,"")))</f>
        <v>60</v>
      </c>
      <c r="AI252" s="227">
        <f t="shared" si="175"/>
        <v>1122</v>
      </c>
      <c r="AJ252" s="227">
        <f t="shared" si="176"/>
        <v>0</v>
      </c>
      <c r="AK252" s="227">
        <f t="shared" si="177"/>
        <v>24684</v>
      </c>
      <c r="AL252" s="448">
        <f t="shared" si="178"/>
        <v>366</v>
      </c>
      <c r="AM252" s="448">
        <f t="shared" si="179"/>
        <v>17.860800000000001</v>
      </c>
      <c r="AN252" s="448">
        <f t="shared" si="180"/>
        <v>0.31476585600000001</v>
      </c>
      <c r="AO252" s="448">
        <f t="shared" si="181"/>
        <v>384</v>
      </c>
      <c r="AP252" s="448">
        <f t="shared" si="182"/>
        <v>9034344</v>
      </c>
      <c r="AQ252" s="228">
        <f t="shared" si="183"/>
        <v>9478656</v>
      </c>
      <c r="AR252" s="391">
        <f t="shared" si="184"/>
        <v>11439208</v>
      </c>
      <c r="AS252" s="391">
        <f t="shared" si="185"/>
        <v>12001792</v>
      </c>
    </row>
    <row r="253" spans="1:45" ht="27">
      <c r="A253" s="226">
        <v>30</v>
      </c>
      <c r="B253" s="226" t="str">
        <f t="shared" si="149"/>
        <v>CEREAL EMPACADO_30</v>
      </c>
      <c r="C253" s="333" t="str">
        <f t="shared" si="150"/>
        <v>28_30</v>
      </c>
      <c r="D253" s="392" t="s">
        <v>1607</v>
      </c>
      <c r="E253" s="226">
        <v>28</v>
      </c>
      <c r="F253" s="325" t="s">
        <v>67</v>
      </c>
      <c r="G253" s="226" t="s">
        <v>9</v>
      </c>
      <c r="H253" s="421">
        <f t="shared" si="151"/>
        <v>19</v>
      </c>
      <c r="I253" s="421">
        <f t="shared" si="152"/>
        <v>0</v>
      </c>
      <c r="J253" s="422">
        <f t="array" ref="J253">MAX((IF(MNU_CODIGO_ALIMENTO_ENTREGA=CONCATENATE($E253,"_","S_"),MNU_GRAMAJE_REQUERIDO_TIPOA,"")))</f>
        <v>30</v>
      </c>
      <c r="K253" s="227">
        <f t="shared" si="153"/>
        <v>304</v>
      </c>
      <c r="L253" s="227">
        <f t="shared" si="154"/>
        <v>0</v>
      </c>
      <c r="M253" s="227">
        <f t="shared" si="155"/>
        <v>5776</v>
      </c>
      <c r="N253" s="448">
        <f t="shared" si="156"/>
        <v>215</v>
      </c>
      <c r="O253" s="448">
        <f t="shared" si="157"/>
        <v>10.492000000000001</v>
      </c>
      <c r="P253" s="448">
        <f t="shared" si="158"/>
        <v>0.18490343999999997</v>
      </c>
      <c r="Q253" s="448">
        <f t="shared" si="159"/>
        <v>226</v>
      </c>
      <c r="R253" s="228">
        <f t="shared" si="160"/>
        <v>1241840</v>
      </c>
      <c r="S253" s="228">
        <f t="shared" si="161"/>
        <v>1305376</v>
      </c>
      <c r="T253" s="423">
        <f t="shared" si="162"/>
        <v>19</v>
      </c>
      <c r="U253" s="423">
        <f t="shared" si="163"/>
        <v>0</v>
      </c>
      <c r="V253" s="424">
        <f t="array" ref="V253">MAX((IF(MNU_CODIGO_ALIMENTO_ENTREGA=CONCATENATE($E253,"_","S_"),MNU_GRAMAJE_REQUERIDO_TIPOB,"")))</f>
        <v>40</v>
      </c>
      <c r="W253" s="391">
        <f t="shared" si="164"/>
        <v>144</v>
      </c>
      <c r="X253" s="391">
        <f t="shared" si="165"/>
        <v>0</v>
      </c>
      <c r="Y253" s="391">
        <f t="shared" si="166"/>
        <v>2736</v>
      </c>
      <c r="Z253" s="448">
        <f t="shared" si="167"/>
        <v>287</v>
      </c>
      <c r="AA253" s="448">
        <f t="shared" si="168"/>
        <v>14.005600000000001</v>
      </c>
      <c r="AB253" s="448">
        <f t="shared" si="169"/>
        <v>0.24682459200000004</v>
      </c>
      <c r="AC253" s="448">
        <f t="shared" si="170"/>
        <v>301</v>
      </c>
      <c r="AD253" s="229">
        <f t="shared" si="171"/>
        <v>785232</v>
      </c>
      <c r="AE253" s="229">
        <f t="shared" si="172"/>
        <v>823536</v>
      </c>
      <c r="AF253" s="421">
        <f t="shared" si="173"/>
        <v>19</v>
      </c>
      <c r="AG253" s="421">
        <f t="shared" si="174"/>
        <v>0</v>
      </c>
      <c r="AH253" s="422">
        <f t="array" ref="AH253">MAX((IF(MNU_CODIGO_ALIMENTO_ENTREGA=CONCATENATE($E253,"_","S_"),MNU_GRAMAJE_REQUERIDO_TIPOC,"")))</f>
        <v>60</v>
      </c>
      <c r="AI253" s="227">
        <f t="shared" si="175"/>
        <v>1122</v>
      </c>
      <c r="AJ253" s="227">
        <f t="shared" si="176"/>
        <v>0</v>
      </c>
      <c r="AK253" s="227">
        <f t="shared" si="177"/>
        <v>21318</v>
      </c>
      <c r="AL253" s="448">
        <f t="shared" si="178"/>
        <v>430</v>
      </c>
      <c r="AM253" s="448">
        <f t="shared" si="179"/>
        <v>20.984000000000002</v>
      </c>
      <c r="AN253" s="448">
        <f t="shared" si="180"/>
        <v>0.36980687999999995</v>
      </c>
      <c r="AO253" s="448">
        <f t="shared" si="181"/>
        <v>451</v>
      </c>
      <c r="AP253" s="448">
        <f t="shared" si="182"/>
        <v>9166740</v>
      </c>
      <c r="AQ253" s="228">
        <f t="shared" si="183"/>
        <v>9614418</v>
      </c>
      <c r="AR253" s="391">
        <f t="shared" si="184"/>
        <v>11193812</v>
      </c>
      <c r="AS253" s="391">
        <f t="shared" si="185"/>
        <v>11743330</v>
      </c>
    </row>
    <row r="254" spans="1:45" ht="15.75">
      <c r="A254" s="226">
        <v>30</v>
      </c>
      <c r="B254" s="226" t="str">
        <f t="shared" si="149"/>
        <v>CEREAL EMPACADO_30</v>
      </c>
      <c r="C254" s="333" t="str">
        <f t="shared" si="150"/>
        <v>45_30</v>
      </c>
      <c r="D254" s="392" t="s">
        <v>1607</v>
      </c>
      <c r="E254" s="226">
        <v>45</v>
      </c>
      <c r="F254" s="325" t="s">
        <v>10</v>
      </c>
      <c r="G254" s="226" t="s">
        <v>9</v>
      </c>
      <c r="H254" s="421">
        <f t="shared" si="151"/>
        <v>20</v>
      </c>
      <c r="I254" s="421">
        <f t="shared" si="152"/>
        <v>0</v>
      </c>
      <c r="J254" s="422">
        <f t="array" ref="J254">MAX((IF(MNU_CODIGO_ALIMENTO_ENTREGA=CONCATENATE($E254,"_","S_"),MNU_GRAMAJE_REQUERIDO_TIPOA,"")))</f>
        <v>20</v>
      </c>
      <c r="K254" s="227">
        <f t="shared" si="153"/>
        <v>304</v>
      </c>
      <c r="L254" s="227">
        <f t="shared" si="154"/>
        <v>0</v>
      </c>
      <c r="M254" s="227">
        <f t="shared" si="155"/>
        <v>6080</v>
      </c>
      <c r="N254" s="448">
        <f t="shared" si="156"/>
        <v>190</v>
      </c>
      <c r="O254" s="448">
        <f t="shared" si="157"/>
        <v>9.2720000000000002</v>
      </c>
      <c r="P254" s="448">
        <f t="shared" si="158"/>
        <v>0.16340304</v>
      </c>
      <c r="Q254" s="448">
        <f t="shared" si="159"/>
        <v>199</v>
      </c>
      <c r="R254" s="228">
        <f t="shared" si="160"/>
        <v>1155200</v>
      </c>
      <c r="S254" s="228">
        <f t="shared" si="161"/>
        <v>1209920</v>
      </c>
      <c r="T254" s="423">
        <f t="shared" si="162"/>
        <v>20</v>
      </c>
      <c r="U254" s="423">
        <f t="shared" si="163"/>
        <v>0</v>
      </c>
      <c r="V254" s="424">
        <f t="array" ref="V254">MAX((IF(MNU_CODIGO_ALIMENTO_ENTREGA=CONCATENATE($E254,"_","S_"),MNU_GRAMAJE_REQUERIDO_TIPOB,"")))</f>
        <v>30</v>
      </c>
      <c r="W254" s="391">
        <f t="shared" si="164"/>
        <v>144</v>
      </c>
      <c r="X254" s="391">
        <f t="shared" si="165"/>
        <v>0</v>
      </c>
      <c r="Y254" s="391">
        <f t="shared" si="166"/>
        <v>2880</v>
      </c>
      <c r="Z254" s="448">
        <f t="shared" si="167"/>
        <v>284</v>
      </c>
      <c r="AA254" s="448">
        <f t="shared" si="168"/>
        <v>13.8592</v>
      </c>
      <c r="AB254" s="448">
        <f t="shared" si="169"/>
        <v>0.24424454399999998</v>
      </c>
      <c r="AC254" s="448">
        <f t="shared" si="170"/>
        <v>298</v>
      </c>
      <c r="AD254" s="229">
        <f t="shared" si="171"/>
        <v>817920</v>
      </c>
      <c r="AE254" s="229">
        <f t="shared" si="172"/>
        <v>858240</v>
      </c>
      <c r="AF254" s="421">
        <f t="shared" si="173"/>
        <v>20</v>
      </c>
      <c r="AG254" s="421">
        <f t="shared" si="174"/>
        <v>0</v>
      </c>
      <c r="AH254" s="422">
        <f t="array" ref="AH254">MAX((IF(MNU_CODIGO_ALIMENTO_ENTREGA=CONCATENATE($E254,"_","S_"),MNU_GRAMAJE_REQUERIDO_TIPOC,"")))</f>
        <v>60</v>
      </c>
      <c r="AI254" s="227">
        <f t="shared" si="175"/>
        <v>1122</v>
      </c>
      <c r="AJ254" s="227">
        <f t="shared" si="176"/>
        <v>0</v>
      </c>
      <c r="AK254" s="227">
        <f t="shared" si="177"/>
        <v>22440</v>
      </c>
      <c r="AL254" s="448">
        <f t="shared" si="178"/>
        <v>569</v>
      </c>
      <c r="AM254" s="448">
        <f t="shared" si="179"/>
        <v>27.767199999999999</v>
      </c>
      <c r="AN254" s="448">
        <f t="shared" si="180"/>
        <v>0.48934910400000003</v>
      </c>
      <c r="AO254" s="448">
        <f t="shared" si="181"/>
        <v>597</v>
      </c>
      <c r="AP254" s="448">
        <f t="shared" si="182"/>
        <v>12768360</v>
      </c>
      <c r="AQ254" s="228">
        <f t="shared" si="183"/>
        <v>13396680</v>
      </c>
      <c r="AR254" s="391">
        <f t="shared" si="184"/>
        <v>14741480</v>
      </c>
      <c r="AS254" s="391">
        <f t="shared" si="185"/>
        <v>15464840</v>
      </c>
    </row>
    <row r="255" spans="1:45" ht="15.75">
      <c r="A255" s="226">
        <v>30</v>
      </c>
      <c r="B255" s="226" t="str">
        <f t="shared" si="149"/>
        <v>CEREAL EMPACADO_30</v>
      </c>
      <c r="C255" s="333" t="str">
        <f t="shared" si="150"/>
        <v>61_30</v>
      </c>
      <c r="D255" s="392" t="s">
        <v>1607</v>
      </c>
      <c r="E255" s="226">
        <v>61</v>
      </c>
      <c r="F255" s="325" t="s">
        <v>13</v>
      </c>
      <c r="G255" s="226" t="s">
        <v>9</v>
      </c>
      <c r="H255" s="421">
        <f t="shared" si="151"/>
        <v>20</v>
      </c>
      <c r="I255" s="421">
        <f t="shared" si="152"/>
        <v>0</v>
      </c>
      <c r="J255" s="422">
        <f t="array" ref="J255">MAX((IF(MNU_CODIGO_ALIMENTO_ENTREGA=CONCATENATE($E255,"_","S_"),MNU_GRAMAJE_REQUERIDO_TIPOA,"")))</f>
        <v>20</v>
      </c>
      <c r="K255" s="227">
        <f t="shared" si="153"/>
        <v>304</v>
      </c>
      <c r="L255" s="227">
        <f t="shared" si="154"/>
        <v>0</v>
      </c>
      <c r="M255" s="227">
        <f t="shared" si="155"/>
        <v>6080</v>
      </c>
      <c r="N255" s="448">
        <f t="shared" si="156"/>
        <v>222</v>
      </c>
      <c r="O255" s="448">
        <f t="shared" si="157"/>
        <v>10.833600000000001</v>
      </c>
      <c r="P255" s="448">
        <f t="shared" si="158"/>
        <v>0.190923552</v>
      </c>
      <c r="Q255" s="448">
        <f t="shared" si="159"/>
        <v>233</v>
      </c>
      <c r="R255" s="228">
        <f t="shared" si="160"/>
        <v>1349760</v>
      </c>
      <c r="S255" s="228">
        <f t="shared" si="161"/>
        <v>1416640</v>
      </c>
      <c r="T255" s="423">
        <f t="shared" si="162"/>
        <v>20</v>
      </c>
      <c r="U255" s="423">
        <f t="shared" si="163"/>
        <v>0</v>
      </c>
      <c r="V255" s="424">
        <f t="array" ref="V255">MAX((IF(MNU_CODIGO_ALIMENTO_ENTREGA=CONCATENATE($E255,"_","S_"),MNU_GRAMAJE_REQUERIDO_TIPOB,"")))</f>
        <v>30</v>
      </c>
      <c r="W255" s="391">
        <f t="shared" si="164"/>
        <v>144</v>
      </c>
      <c r="X255" s="391">
        <f t="shared" si="165"/>
        <v>0</v>
      </c>
      <c r="Y255" s="391">
        <f t="shared" si="166"/>
        <v>2880</v>
      </c>
      <c r="Z255" s="448">
        <f t="shared" si="167"/>
        <v>334</v>
      </c>
      <c r="AA255" s="448">
        <f t="shared" si="168"/>
        <v>16.299199999999999</v>
      </c>
      <c r="AB255" s="448">
        <f t="shared" si="169"/>
        <v>0.28724534400000001</v>
      </c>
      <c r="AC255" s="448">
        <f t="shared" si="170"/>
        <v>351</v>
      </c>
      <c r="AD255" s="229">
        <f t="shared" si="171"/>
        <v>961920</v>
      </c>
      <c r="AE255" s="229">
        <f t="shared" si="172"/>
        <v>1010880</v>
      </c>
      <c r="AF255" s="421">
        <f t="shared" si="173"/>
        <v>20</v>
      </c>
      <c r="AG255" s="421">
        <f t="shared" si="174"/>
        <v>0</v>
      </c>
      <c r="AH255" s="422">
        <f t="array" ref="AH255">MAX((IF(MNU_CODIGO_ALIMENTO_ENTREGA=CONCATENATE($E255,"_","S_"),MNU_GRAMAJE_REQUERIDO_TIPOC,"")))</f>
        <v>70</v>
      </c>
      <c r="AI255" s="227">
        <f t="shared" si="175"/>
        <v>1122</v>
      </c>
      <c r="AJ255" s="227">
        <f t="shared" si="176"/>
        <v>0</v>
      </c>
      <c r="AK255" s="227">
        <f t="shared" si="177"/>
        <v>22440</v>
      </c>
      <c r="AL255" s="448">
        <f t="shared" si="178"/>
        <v>779</v>
      </c>
      <c r="AM255" s="448">
        <f t="shared" si="179"/>
        <v>38.0152</v>
      </c>
      <c r="AN255" s="448">
        <f t="shared" si="180"/>
        <v>0.66995246400000008</v>
      </c>
      <c r="AO255" s="448">
        <f t="shared" si="181"/>
        <v>818</v>
      </c>
      <c r="AP255" s="448">
        <f t="shared" si="182"/>
        <v>17480760</v>
      </c>
      <c r="AQ255" s="228">
        <f t="shared" si="183"/>
        <v>18355920</v>
      </c>
      <c r="AR255" s="391">
        <f t="shared" si="184"/>
        <v>19792440</v>
      </c>
      <c r="AS255" s="391">
        <f t="shared" si="185"/>
        <v>20783440</v>
      </c>
    </row>
    <row r="256" spans="1:45" ht="15.75" customHeight="1"/>
    <row r="257" ht="15.75" customHeight="1"/>
  </sheetData>
  <sortState ref="A16:AS1395">
    <sortCondition ref="D16:D1395"/>
  </sortState>
  <mergeCells count="9">
    <mergeCell ref="H13:S13"/>
    <mergeCell ref="T13:AE13"/>
    <mergeCell ref="AF13:AQ13"/>
    <mergeCell ref="E2:F2"/>
    <mergeCell ref="A3:AS3"/>
    <mergeCell ref="A4:AS4"/>
    <mergeCell ref="A5:AS5"/>
    <mergeCell ref="A7:AS7"/>
    <mergeCell ref="A8:AS8"/>
  </mergeCells>
  <hyperlinks>
    <hyperlink ref="E2:F2" location="'INDICE_ MODELO'!A1" display="Ir a Indice"/>
  </hyperlink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13</vt:i4>
      </vt:variant>
      <vt:variant>
        <vt:lpstr>Rangos con nombre</vt:lpstr>
      </vt:variant>
      <vt:variant>
        <vt:i4>127</vt:i4>
      </vt:variant>
    </vt:vector>
  </HeadingPairs>
  <TitlesOfParts>
    <vt:vector size="140" baseType="lpstr">
      <vt:lpstr>INDICE_ MODELO</vt:lpstr>
      <vt:lpstr>RES_RESUMEN_PRESUPUESTO_2</vt:lpstr>
      <vt:lpstr>PRE_PRESUPUESTO_GRUPOS_ALIMENTO</vt:lpstr>
      <vt:lpstr>COSTPE_G_ALIMENTOS_GRUPOS (2)</vt:lpstr>
      <vt:lpstr>MNU_BD_MENUS</vt:lpstr>
      <vt:lpstr>COT_BASE_COTIZACIONES</vt:lpstr>
      <vt:lpstr>COT_PRECALCULOS</vt:lpstr>
      <vt:lpstr>COSTPE_G_ALIMENTOS_GRUPOS</vt:lpstr>
      <vt:lpstr>COSTSE_G_ALIMENTOS_GRUPOS</vt:lpstr>
      <vt:lpstr>PRO_BASE_PROVEEDORES</vt:lpstr>
      <vt:lpstr>FRE_FRECUENCIAS</vt:lpstr>
      <vt:lpstr>CAL_CALENDARIO_CICLOS</vt:lpstr>
      <vt:lpstr>VOL_VOLUMEN_SUMINISTROS</vt:lpstr>
      <vt:lpstr>CAL_DIAS_SUMINISTRO_PE</vt:lpstr>
      <vt:lpstr>CAL_DIAS_SUMINISTRO_SE_FDS</vt:lpstr>
      <vt:lpstr>CAL_DIAS_SUMINISTRO_SE_LAV</vt:lpstr>
      <vt:lpstr>CAL_PRIMERA_ENTREGA</vt:lpstr>
      <vt:lpstr>CAL_PRIMERA_ENTREGA_FRUTA</vt:lpstr>
      <vt:lpstr>CAL_SEGUNDA_ENTREGA_FDS</vt:lpstr>
      <vt:lpstr>CAL_SEGUNDA_ENTREGA_FDS_FRUTA</vt:lpstr>
      <vt:lpstr>CAL_SEGUNDA_ENTREGA_LAV</vt:lpstr>
      <vt:lpstr>CAL_SEGUNDA_ENTREGA_LAV_FRUTA</vt:lpstr>
      <vt:lpstr>COSTPE_G_ALIMENTO_GRUPO</vt:lpstr>
      <vt:lpstr>COSTPE_G_CATEGORIA</vt:lpstr>
      <vt:lpstr>COSTPE_G_CATEGORIA_GRUPO</vt:lpstr>
      <vt:lpstr>COSTPE_G_CODIGO_ALIMENTOS</vt:lpstr>
      <vt:lpstr>COSTPE_G_GRUPOS</vt:lpstr>
      <vt:lpstr>COSTPE_G_VALOR_TOTAL_IVAINLCUIDO</vt:lpstr>
      <vt:lpstr>COSTPE_G_VALOR_TOTAL_TIPOA</vt:lpstr>
      <vt:lpstr>COSTPE_G_VALOR_TOTAL_TIPOB</vt:lpstr>
      <vt:lpstr>COSTPE_G_VALOR_TOTAL_TIPOC</vt:lpstr>
      <vt:lpstr>COSTPE_G_VALOR_TOTAL_TIPOH</vt:lpstr>
      <vt:lpstr>COSTPE_G_VALOR_TOTAL_TIPOM</vt:lpstr>
      <vt:lpstr>COSTPE_G_VOLUMEN_TOTAL_TIPOA</vt:lpstr>
      <vt:lpstr>COSTPE_G_VOLUMEN_TOTAL_TIPOB</vt:lpstr>
      <vt:lpstr>COSTPE_G_VOLUMEN_TOTAL_TIPOC</vt:lpstr>
      <vt:lpstr>COSTPE_G_VOLUMEN_TOTAL_TIPOH</vt:lpstr>
      <vt:lpstr>COSTPE_G_VOLUMEN_TOTAL_TIPOM</vt:lpstr>
      <vt:lpstr>COSTSE_G_ALIMENTO_GRUPO</vt:lpstr>
      <vt:lpstr>COSTSE_G_CATEGORIA</vt:lpstr>
      <vt:lpstr>COSTSE_G_CATEGORIA_GRUPO</vt:lpstr>
      <vt:lpstr>COSTSE_G_CODIGO_ALIMENTOS</vt:lpstr>
      <vt:lpstr>COSTSE_G_GRUPOS</vt:lpstr>
      <vt:lpstr>COSTSE_G_VALOR_TOTAL_IVAINLCUIDO</vt:lpstr>
      <vt:lpstr>COSTSE_G_VALOR_TOTAL_TIPOA</vt:lpstr>
      <vt:lpstr>COSTSE_G_VALOR_TOTAL_TIPOB</vt:lpstr>
      <vt:lpstr>COSTSE_G_VALOR_TOTAL_TIPOC</vt:lpstr>
      <vt:lpstr>COSTSE_G_VOLUMEN_TOTAL_TIPOA</vt:lpstr>
      <vt:lpstr>COSTSE_G_VOLUMEN_TOTAL_TIPOB</vt:lpstr>
      <vt:lpstr>COSTSE_G_VOLUMEN_TOTAL_TIPOC</vt:lpstr>
      <vt:lpstr>COT_ALIMENTOS</vt:lpstr>
      <vt:lpstr>COT_CODIGO_ALIMENTOS</vt:lpstr>
      <vt:lpstr>COT_COTIZACIONES_TOTAL</vt:lpstr>
      <vt:lpstr>COT_FACTOR_PROMEDIO_PONDERADO</vt:lpstr>
      <vt:lpstr>COT_PRE_ALIMENTOS</vt:lpstr>
      <vt:lpstr>COT_PRE_CODIGO_ALIMENTOS</vt:lpstr>
      <vt:lpstr>COT_PRE_ESTADISTICOS</vt:lpstr>
      <vt:lpstr>COT_VALOR_UNITARIO_CONIVA</vt:lpstr>
      <vt:lpstr>COT_VALOR_UNITARIO_SINIVA</vt:lpstr>
      <vt:lpstr>COT_VALORES_PONDERADOS_CONIVA</vt:lpstr>
      <vt:lpstr>COT_VALORES_PONDERADOS_SINIVA</vt:lpstr>
      <vt:lpstr>FRE_CANTIDADES_DIARIAS_SUMINISTROS</vt:lpstr>
      <vt:lpstr>FRE_FRECUENCIA_MENUS_FDS</vt:lpstr>
      <vt:lpstr>FRE_FRECUENCIA_MENUS_LAV</vt:lpstr>
      <vt:lpstr>MNU_ALIMENTOS</vt:lpstr>
      <vt:lpstr>MNU_CODIGO_ALIMENTO</vt:lpstr>
      <vt:lpstr>MNU_CODIGO_ALIMENTO_ENTREGA</vt:lpstr>
      <vt:lpstr>MNU_COSTO_GRAMO_TIPOA_CONIVA</vt:lpstr>
      <vt:lpstr>MNU_COSTO_GRAMO_TIPOA_SINIVA</vt:lpstr>
      <vt:lpstr>MNU_COSTO_GRAMO_TIPOB_CONIVA</vt:lpstr>
      <vt:lpstr>MNU_COSTO_GRAMO_TIPOB_SINIVA</vt:lpstr>
      <vt:lpstr>MNU_COSTO_GRAMO_TIPOC_CONIVA</vt:lpstr>
      <vt:lpstr>MNU_COSTO_GRAMO_TIPOC_SINIVA</vt:lpstr>
      <vt:lpstr>MNU_COSTO_GRAMO_TIPOH_CONIVA</vt:lpstr>
      <vt:lpstr>MNU_COSTO_GRAMO_TIPOH_SINIVA</vt:lpstr>
      <vt:lpstr>MNU_COSTO_GRAMO_TIPOM_CONIVA</vt:lpstr>
      <vt:lpstr>MNU_COSTO_GRAMO_TIPOM_SINIVA</vt:lpstr>
      <vt:lpstr>MNU_COSTO_TOTAL_CONIVA</vt:lpstr>
      <vt:lpstr>MNU_COSTO_TOTAL_SINIVA</vt:lpstr>
      <vt:lpstr>MNU_COSTO_TOTAL_TIPOA_CONIVA</vt:lpstr>
      <vt:lpstr>MNU_COSTO_TOTAL_TIPOA_SELECCIONADO</vt:lpstr>
      <vt:lpstr>MNU_COSTO_TOTAL_TIPOA_SINIVA</vt:lpstr>
      <vt:lpstr>MNU_COSTO_TOTAL_TIPOB_CONIVA</vt:lpstr>
      <vt:lpstr>MNU_COSTO_TOTAL_TIPOB_SELECCIONADO</vt:lpstr>
      <vt:lpstr>MNU_COSTO_TOTAL_TIPOB_SINIVA</vt:lpstr>
      <vt:lpstr>MNU_COSTO_TOTAL_TIPOC_CONIVA</vt:lpstr>
      <vt:lpstr>MNU_COSTO_TOTAL_TIPOC_SELECCIONADO</vt:lpstr>
      <vt:lpstr>MNU_COSTO_TOTAL_TIPOC_SINIVA</vt:lpstr>
      <vt:lpstr>MNU_COSTO_TOTAL_TIPOH_CONIVA</vt:lpstr>
      <vt:lpstr>MNU_COSTO_TOTAL_TIPOH_SELECCIONADO</vt:lpstr>
      <vt:lpstr>MNU_COSTO_TOTAL_TIPOH_SINIVA</vt:lpstr>
      <vt:lpstr>MNU_COSTO_TOTAL_TIPOM_CONIVA</vt:lpstr>
      <vt:lpstr>MNU_COSTO_TOTAL_TIPOM_SELECCIONADO</vt:lpstr>
      <vt:lpstr>MNU_COSTO_TOTAL_TIPOM_SINIVA</vt:lpstr>
      <vt:lpstr>MNU_COSTO_UNITARIO_TIPOA_CONIVA</vt:lpstr>
      <vt:lpstr>MNU_COSTO_UNITARIO_TIPOA_SELECCIONADO</vt:lpstr>
      <vt:lpstr>MNU_COSTO_UNITARIO_TIPOA_SINIVA</vt:lpstr>
      <vt:lpstr>MNU_COSTO_UNITARIO_TIPOB_CONIVA</vt:lpstr>
      <vt:lpstr>MNU_COSTO_UNITARIO_TIPOB_SELECCIONADO</vt:lpstr>
      <vt:lpstr>MNU_COSTO_UNITARIO_TIPOB_SINIVA</vt:lpstr>
      <vt:lpstr>MNU_COSTO_UNITARIO_TIPOC_CONIVA</vt:lpstr>
      <vt:lpstr>MNU_COSTO_UNITARIO_TIPOC_SELECCIONADO</vt:lpstr>
      <vt:lpstr>MNU_COSTO_UNITARIO_TIPOC_SINIVA</vt:lpstr>
      <vt:lpstr>MNU_COSTO_UNITARIO_TIPOH_CONIVA</vt:lpstr>
      <vt:lpstr>MNU_COSTO_UNITARIO_TIPOH_SELECCIONADO</vt:lpstr>
      <vt:lpstr>MNU_COSTO_UNITARIO_TIPOH_SINIVA</vt:lpstr>
      <vt:lpstr>MNU_COSTO_UNITARIO_TIPOM_CONIVA</vt:lpstr>
      <vt:lpstr>MNU_COSTO_UNITARIO_TIPOM_SELECCIONADO</vt:lpstr>
      <vt:lpstr>MNU_COSTO_UNITARIO_TIPOM_SINIVA</vt:lpstr>
      <vt:lpstr>MNU_FRECUENCIAS_FDS</vt:lpstr>
      <vt:lpstr>MNU_FRECUENCIAS_FDS_TIPOA</vt:lpstr>
      <vt:lpstr>MNU_FRECUENCIAS_FDS_TIPOB</vt:lpstr>
      <vt:lpstr>MNU_FRECUENCIAS_FDS_TIPOC</vt:lpstr>
      <vt:lpstr>MNU_FRECUENCIAS_LAV</vt:lpstr>
      <vt:lpstr>MNU_FRECUENCIAS_LAV_TIPOA</vt:lpstr>
      <vt:lpstr>MNU_FRECUENCIAS_LAV_TIPOB</vt:lpstr>
      <vt:lpstr>MNU_FRECUENCIAS_LAV_TIPOC</vt:lpstr>
      <vt:lpstr>MNU_FRECUENCIAS_LAV_TIPOH</vt:lpstr>
      <vt:lpstr>MNU_FRECUENCIAS_LAV_TIPOM</vt:lpstr>
      <vt:lpstr>MNU_GRAMAJE_REQUERIDO_TIPOA</vt:lpstr>
      <vt:lpstr>MNU_GRAMAJE_REQUERIDO_TIPOB</vt:lpstr>
      <vt:lpstr>MNU_GRAMAJE_REQUERIDO_TIPOC</vt:lpstr>
      <vt:lpstr>MNU_GRAMAJE_REQUERIDO_TIPOH</vt:lpstr>
      <vt:lpstr>MNU_GRAMAJE_REQUERIDO_TIPOM</vt:lpstr>
      <vt:lpstr>MNU_GRUPO_ALIMENTO</vt:lpstr>
      <vt:lpstr>MNU_GRUPO_ALIMENTO_PRECIO</vt:lpstr>
      <vt:lpstr>MNU_NUMERO_MENU</vt:lpstr>
      <vt:lpstr>MNU_VOLUMEN_TOTAL_A</vt:lpstr>
      <vt:lpstr>MNU_VOLUMEN_TOTAL_B</vt:lpstr>
      <vt:lpstr>MNU_VOLUMEN_TOTAL_C</vt:lpstr>
      <vt:lpstr>MNU_VOLUMEN_TOTAL_H</vt:lpstr>
      <vt:lpstr>MNU_VOLUMEN_TOTAL_M</vt:lpstr>
      <vt:lpstr>PRE_A_CONSOLIDADO_CATEGORIA</vt:lpstr>
      <vt:lpstr>VOL_GRUPO</vt:lpstr>
      <vt:lpstr>VOL_JORNADA</vt:lpstr>
      <vt:lpstr>VOL_TIPOA</vt:lpstr>
      <vt:lpstr>VOL_TIPOB</vt:lpstr>
      <vt:lpstr>VOL_TIPOC</vt:lpstr>
      <vt:lpstr>VOL_TIPOH</vt:lpstr>
      <vt:lpstr>VOL_TIPOM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JUAN CARLOS ZAMBRANO</dc:creator>
  <cp:lastModifiedBy>JUAN CARLOS ZAMBRANO</cp:lastModifiedBy>
  <cp:lastPrinted>2016-11-01T02:11:54Z</cp:lastPrinted>
  <dcterms:created xsi:type="dcterms:W3CDTF">2016-09-20T19:08:23Z</dcterms:created>
  <dcterms:modified xsi:type="dcterms:W3CDTF">2017-01-17T14:22:59Z</dcterms:modified>
</cp:coreProperties>
</file>